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xml" ContentType="application/vnd.ms-excel.rdrichvalue+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S DE GESTIÓN POR PROCESOS\"/>
    </mc:Choice>
  </mc:AlternateContent>
  <bookViews>
    <workbookView xWindow="0" yWindow="0" windowWidth="20490" windowHeight="7650"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Print_Area" localSheetId="1">'Mapa final'!$A$7:$AK$20</definedName>
  </definedNames>
  <calcPr calcId="162913"/>
  <pivotCaches>
    <pivotCache cacheId="0" r:id="rId10"/>
  </pivotCaches>
</workbook>
</file>

<file path=xl/calcChain.xml><?xml version="1.0" encoding="utf-8"?>
<calcChain xmlns="http://schemas.openxmlformats.org/spreadsheetml/2006/main">
  <c r="S14" i="1" l="1"/>
  <c r="V11" i="1" l="1"/>
  <c r="V13" i="1"/>
  <c r="V14" i="1"/>
  <c r="V15" i="1"/>
  <c r="V16" i="1"/>
  <c r="V18" i="1"/>
  <c r="V19" i="1"/>
  <c r="V20" i="1"/>
  <c r="J21" i="1" l="1"/>
  <c r="K21" i="1" s="1"/>
  <c r="J27" i="1"/>
  <c r="J33" i="1"/>
  <c r="K33" i="1" s="1"/>
  <c r="J39" i="1"/>
  <c r="K39" i="1" s="1"/>
  <c r="J45" i="1"/>
  <c r="K45" i="1" s="1"/>
  <c r="J51" i="1"/>
  <c r="K51" i="1" s="1"/>
  <c r="J57" i="1"/>
  <c r="K57" i="1" s="1"/>
  <c r="J63" i="1"/>
  <c r="K63" i="1" s="1"/>
  <c r="V32" i="1"/>
  <c r="S32" i="1"/>
  <c r="V31" i="1"/>
  <c r="S31" i="1"/>
  <c r="V30" i="1"/>
  <c r="S30" i="1"/>
  <c r="V29" i="1"/>
  <c r="S29" i="1"/>
  <c r="V28" i="1"/>
  <c r="S28" i="1"/>
  <c r="V27" i="1"/>
  <c r="S27" i="1"/>
  <c r="V26" i="1"/>
  <c r="S26" i="1"/>
  <c r="V25" i="1"/>
  <c r="S25" i="1"/>
  <c r="V24" i="1"/>
  <c r="S24" i="1"/>
  <c r="V23" i="1"/>
  <c r="S23" i="1"/>
  <c r="V22" i="1"/>
  <c r="S22" i="1"/>
  <c r="AD22" i="1" s="1"/>
  <c r="AC22" i="1" s="1"/>
  <c r="M64" i="1"/>
  <c r="M30" i="1"/>
  <c r="M34" i="1"/>
  <c r="M32" i="1"/>
  <c r="M66" i="1"/>
  <c r="M26" i="1"/>
  <c r="M42" i="1"/>
  <c r="M38" i="1"/>
  <c r="M31" i="1"/>
  <c r="M48" i="1"/>
  <c r="M54" i="1"/>
  <c r="M41" i="1"/>
  <c r="M37" i="1"/>
  <c r="M29" i="1"/>
  <c r="M60" i="1"/>
  <c r="M47" i="1"/>
  <c r="M44" i="1"/>
  <c r="M24" i="1"/>
  <c r="M25" i="1"/>
  <c r="M40" i="1"/>
  <c r="M50" i="1"/>
  <c r="M53" i="1"/>
  <c r="M52" i="1"/>
  <c r="M35" i="1"/>
  <c r="M22" i="1"/>
  <c r="M23" i="1"/>
  <c r="M28" i="1"/>
  <c r="M56" i="1"/>
  <c r="M61" i="1"/>
  <c r="M49" i="1"/>
  <c r="M55" i="1"/>
  <c r="M43" i="1"/>
  <c r="M65" i="1"/>
  <c r="M58" i="1"/>
  <c r="M59" i="1"/>
  <c r="M46" i="1"/>
  <c r="M62" i="1"/>
  <c r="M67" i="1"/>
  <c r="M36" i="1"/>
  <c r="M68" i="1"/>
  <c r="AD24" i="1" l="1"/>
  <c r="AC24" i="1" s="1"/>
  <c r="Z26" i="1"/>
  <c r="AB26" i="1" s="1"/>
  <c r="AD28" i="1"/>
  <c r="AC28" i="1" s="1"/>
  <c r="AD30" i="1"/>
  <c r="AC30" i="1" s="1"/>
  <c r="AD32" i="1"/>
  <c r="AC32" i="1" s="1"/>
  <c r="AD23" i="1"/>
  <c r="AC23" i="1" s="1"/>
  <c r="AD25" i="1"/>
  <c r="AC25" i="1" s="1"/>
  <c r="Z29" i="1"/>
  <c r="AA29" i="1" s="1"/>
  <c r="AD31" i="1"/>
  <c r="AC31" i="1" s="1"/>
  <c r="K27" i="1"/>
  <c r="Z27" i="1"/>
  <c r="Z31" i="1"/>
  <c r="AD27" i="1"/>
  <c r="AC27" i="1" s="1"/>
  <c r="AD29" i="1"/>
  <c r="AC29" i="1" s="1"/>
  <c r="Z28" i="1"/>
  <c r="Z30" i="1"/>
  <c r="Z32" i="1"/>
  <c r="Z23" i="1"/>
  <c r="Z25" i="1"/>
  <c r="Z24" i="1"/>
  <c r="Z22" i="1"/>
  <c r="AD26" i="1"/>
  <c r="AC26" i="1" s="1"/>
  <c r="AA26" i="1" l="1"/>
  <c r="AE26" i="1" s="1"/>
  <c r="AB29" i="1"/>
  <c r="AB31" i="1"/>
  <c r="AA31" i="1"/>
  <c r="AE31" i="1" s="1"/>
  <c r="AB30" i="1"/>
  <c r="AA30" i="1"/>
  <c r="AE30" i="1" s="1"/>
  <c r="AB27" i="1"/>
  <c r="AA27" i="1"/>
  <c r="AE27" i="1" s="1"/>
  <c r="AA32" i="1"/>
  <c r="AE32" i="1" s="1"/>
  <c r="AB32" i="1"/>
  <c r="AB28" i="1"/>
  <c r="AA28" i="1"/>
  <c r="AE28" i="1" s="1"/>
  <c r="AE29" i="1"/>
  <c r="AB22" i="1"/>
  <c r="AA22" i="1"/>
  <c r="AE22" i="1" s="1"/>
  <c r="AB24" i="1"/>
  <c r="AA24" i="1"/>
  <c r="AE24" i="1" s="1"/>
  <c r="AB25" i="1"/>
  <c r="AA25" i="1"/>
  <c r="AE25" i="1" s="1"/>
  <c r="AB23" i="1"/>
  <c r="AA23" i="1"/>
  <c r="AE23" i="1" s="1"/>
  <c r="S11" i="1" l="1"/>
  <c r="F217" i="13"/>
  <c r="S13" i="1"/>
  <c r="V10" i="1" l="1"/>
  <c r="S10" i="1"/>
  <c r="J10" i="1" l="1"/>
  <c r="K10" i="1" s="1"/>
  <c r="M16" i="1"/>
  <c r="M17" i="1"/>
  <c r="M18" i="1"/>
  <c r="M20" i="1"/>
  <c r="M19" i="1"/>
  <c r="F221" i="13" l="1"/>
  <c r="F211" i="13"/>
  <c r="F212" i="13"/>
  <c r="F213" i="13"/>
  <c r="F214" i="13"/>
  <c r="F215" i="13"/>
  <c r="F216" i="13"/>
  <c r="F218" i="13"/>
  <c r="F219" i="13"/>
  <c r="F220" i="13"/>
  <c r="F210" i="13"/>
  <c r="M13" i="1"/>
  <c r="B221" i="13" a="1"/>
  <c r="M12" i="1"/>
  <c r="M14" i="1"/>
  <c r="B221" i="13" l="1"/>
  <c r="S5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8" i="1" l="1"/>
  <c r="S68" i="1"/>
  <c r="V67" i="1"/>
  <c r="S67" i="1"/>
  <c r="V66" i="1"/>
  <c r="S66" i="1"/>
  <c r="V65" i="1"/>
  <c r="S65" i="1"/>
  <c r="V64" i="1"/>
  <c r="S64" i="1"/>
  <c r="V63" i="1"/>
  <c r="S63" i="1"/>
  <c r="V62" i="1"/>
  <c r="S62" i="1"/>
  <c r="V61" i="1"/>
  <c r="S61" i="1"/>
  <c r="V60" i="1"/>
  <c r="S60" i="1"/>
  <c r="V59" i="1"/>
  <c r="S59" i="1"/>
  <c r="V58" i="1"/>
  <c r="S58" i="1"/>
  <c r="V57" i="1"/>
  <c r="S57" i="1"/>
  <c r="V56" i="1"/>
  <c r="S56" i="1"/>
  <c r="V55" i="1"/>
  <c r="S55" i="1"/>
  <c r="V54" i="1"/>
  <c r="S54" i="1"/>
  <c r="V53" i="1"/>
  <c r="S53" i="1"/>
  <c r="V52" i="1"/>
  <c r="S52" i="1"/>
  <c r="AD52" i="1" s="1"/>
  <c r="V51" i="1"/>
  <c r="J15" i="1"/>
  <c r="S20" i="1"/>
  <c r="S16" i="1"/>
  <c r="S15" i="1"/>
  <c r="AD64" i="1" l="1"/>
  <c r="AD58" i="1"/>
  <c r="K15" i="1"/>
  <c r="Z15" i="1" s="1"/>
  <c r="Z63" i="1"/>
  <c r="Z57" i="1"/>
  <c r="Z51" i="1"/>
  <c r="AB15" i="1" l="1"/>
  <c r="Z16" i="1" s="1"/>
  <c r="AB16" i="1" s="1"/>
  <c r="Z17" i="1" s="1"/>
  <c r="AA15" i="1"/>
  <c r="AA63" i="1"/>
  <c r="AB63" i="1"/>
  <c r="Z64" i="1" s="1"/>
  <c r="AA64" i="1" s="1"/>
  <c r="AA57" i="1"/>
  <c r="AB57" i="1"/>
  <c r="Z58" i="1" s="1"/>
  <c r="AB58" i="1" s="1"/>
  <c r="Z59" i="1" s="1"/>
  <c r="AA51" i="1"/>
  <c r="AB51" i="1"/>
  <c r="Z52" i="1" s="1"/>
  <c r="AB52" i="1" s="1"/>
  <c r="Z53" i="1" s="1"/>
  <c r="AA17" i="1" l="1"/>
  <c r="AB17" i="1"/>
  <c r="Z18" i="1" s="1"/>
  <c r="AA16" i="1"/>
  <c r="AA58" i="1"/>
  <c r="AA52" i="1"/>
  <c r="AB59" i="1"/>
  <c r="Z60" i="1" s="1"/>
  <c r="AA59" i="1"/>
  <c r="AB53" i="1"/>
  <c r="Z54" i="1" s="1"/>
  <c r="AA53" i="1"/>
  <c r="AB64" i="1"/>
  <c r="Z65"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8" i="1" l="1"/>
  <c r="AB18" i="1"/>
  <c r="Z19" i="1" s="1"/>
  <c r="AA60" i="1"/>
  <c r="AB60" i="1"/>
  <c r="AA54" i="1"/>
  <c r="AB54" i="1"/>
  <c r="Z55" i="1" s="1"/>
  <c r="AA65" i="1"/>
  <c r="AB65" i="1"/>
  <c r="Z66" i="1" s="1"/>
  <c r="AA19" i="1" l="1"/>
  <c r="AB19" i="1"/>
  <c r="Z20" i="1" s="1"/>
  <c r="AA55" i="1"/>
  <c r="AB55" i="1"/>
  <c r="Z56" i="1" s="1"/>
  <c r="Z61" i="1"/>
  <c r="Z62" i="1"/>
  <c r="AB66" i="1"/>
  <c r="AA66" i="1"/>
  <c r="AA20" i="1" l="1"/>
  <c r="AB20" i="1"/>
  <c r="AA62" i="1"/>
  <c r="AB62" i="1"/>
  <c r="AA61" i="1"/>
  <c r="AB61" i="1"/>
  <c r="AA56" i="1"/>
  <c r="AB56" i="1"/>
  <c r="Z67" i="1"/>
  <c r="Z68" i="1"/>
  <c r="Z10" i="1"/>
  <c r="AA10" i="1" s="1"/>
  <c r="AA68" i="1" l="1"/>
  <c r="AB68" i="1"/>
  <c r="AA67" i="1"/>
  <c r="AB67" i="1"/>
  <c r="AB10" i="1" l="1"/>
  <c r="Z11" i="1" s="1"/>
  <c r="AA11" i="1" l="1"/>
  <c r="AB11" i="1"/>
  <c r="Z13" i="1" s="1"/>
  <c r="AD63" i="1"/>
  <c r="AA13" i="1" l="1"/>
  <c r="AB13" i="1"/>
  <c r="Z14" i="1" s="1"/>
  <c r="AC63" i="1"/>
  <c r="AD65" i="1"/>
  <c r="AD57" i="1"/>
  <c r="AD51" i="1"/>
  <c r="AC51" i="1" s="1"/>
  <c r="AB14" i="1" l="1"/>
  <c r="AA14"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3" i="1"/>
  <c r="P25" i="19"/>
  <c r="V55" i="19"/>
  <c r="J15" i="19"/>
  <c r="AB15" i="19"/>
  <c r="J35" i="19"/>
  <c r="AB35" i="19"/>
  <c r="J55" i="19"/>
  <c r="AB25" i="19"/>
  <c r="P35" i="19"/>
  <c r="P55" i="19"/>
  <c r="AB45" i="19"/>
  <c r="P15" i="19"/>
  <c r="AE51"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7" i="1"/>
  <c r="AC6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65" i="1"/>
  <c r="AD66"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52" i="1"/>
  <c r="AD53" i="1"/>
  <c r="AC58" i="1"/>
  <c r="AD59" i="1"/>
  <c r="AC66" i="1" l="1"/>
  <c r="AD67" i="1"/>
  <c r="K35" i="19"/>
  <c r="AC25" i="19"/>
  <c r="K45" i="19"/>
  <c r="AI45" i="19"/>
  <c r="W45" i="19"/>
  <c r="Q35" i="19"/>
  <c r="K55" i="19"/>
  <c r="AC15" i="19"/>
  <c r="Q15" i="19"/>
  <c r="AC35" i="19"/>
  <c r="AI35" i="19"/>
  <c r="Q55" i="19"/>
  <c r="AI25" i="19"/>
  <c r="AE64"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8"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5"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7"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3" i="1"/>
  <c r="AD54"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59" i="1"/>
  <c r="AD60"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2"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4" i="1"/>
  <c r="AD55" i="1"/>
  <c r="AC67" i="1"/>
  <c r="AD68" i="1"/>
  <c r="AC68" i="1" s="1"/>
  <c r="AJ43" i="19"/>
  <c r="AD33" i="19"/>
  <c r="X33" i="19"/>
  <c r="X13" i="19"/>
  <c r="AD43" i="19"/>
  <c r="L43" i="19"/>
  <c r="AE53" i="1"/>
  <c r="X23" i="19"/>
  <c r="R33" i="19"/>
  <c r="R43" i="19"/>
  <c r="AD53" i="19"/>
  <c r="AJ13" i="19"/>
  <c r="R23" i="19"/>
  <c r="R13" i="19"/>
  <c r="AJ53" i="19"/>
  <c r="L33" i="19"/>
  <c r="L23" i="19"/>
  <c r="X43" i="19"/>
  <c r="X53" i="19"/>
  <c r="AD13" i="19"/>
  <c r="L53" i="19"/>
  <c r="L13" i="19"/>
  <c r="AD23" i="19"/>
  <c r="AJ33" i="19"/>
  <c r="AJ23" i="19"/>
  <c r="R53" i="19"/>
  <c r="M55" i="19"/>
  <c r="AK15" i="19"/>
  <c r="AE25" i="19"/>
  <c r="AE66"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60" i="1"/>
  <c r="AD61"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9"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0"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8"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7"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5" i="1"/>
  <c r="AD56" i="1"/>
  <c r="AC56" i="1" s="1"/>
  <c r="AC61" i="1"/>
  <c r="AD62" i="1"/>
  <c r="AC62"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4" i="1"/>
  <c r="M33" i="19"/>
  <c r="AG24" i="19" l="1"/>
  <c r="O44" i="19"/>
  <c r="O24" i="19"/>
  <c r="AM14" i="19"/>
  <c r="AG34" i="19"/>
  <c r="O34" i="19"/>
  <c r="AA44" i="19"/>
  <c r="O14" i="19"/>
  <c r="AA54" i="19"/>
  <c r="U14" i="19"/>
  <c r="AM44" i="19"/>
  <c r="AA34" i="19"/>
  <c r="AM24" i="19"/>
  <c r="AM54" i="19"/>
  <c r="AG14" i="19"/>
  <c r="AM34" i="19"/>
  <c r="U54" i="19"/>
  <c r="AG44" i="19"/>
  <c r="AA24" i="19"/>
  <c r="AG54" i="19"/>
  <c r="U34" i="19"/>
  <c r="U24" i="19"/>
  <c r="AE62" i="1"/>
  <c r="AA14" i="19"/>
  <c r="O54" i="19"/>
  <c r="U44" i="19"/>
  <c r="U43" i="19"/>
  <c r="U13" i="19"/>
  <c r="AM53" i="19"/>
  <c r="AA53" i="19"/>
  <c r="AA43" i="19"/>
  <c r="O53" i="19"/>
  <c r="O23" i="19"/>
  <c r="O13" i="19"/>
  <c r="AG43" i="19"/>
  <c r="U33" i="19"/>
  <c r="U23" i="19"/>
  <c r="AM13" i="19"/>
  <c r="AM23" i="19"/>
  <c r="AG13" i="19"/>
  <c r="AA23" i="19"/>
  <c r="AG33" i="19"/>
  <c r="AA33" i="19"/>
  <c r="AM33" i="19"/>
  <c r="AA13" i="19"/>
  <c r="AE56"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1" i="1"/>
  <c r="AF53" i="19"/>
  <c r="T43" i="19"/>
  <c r="Z53" i="19"/>
  <c r="N43" i="19"/>
  <c r="T23" i="19"/>
  <c r="AF43" i="19"/>
  <c r="Z13" i="19"/>
  <c r="Z43" i="19"/>
  <c r="AF23" i="19"/>
  <c r="AL13" i="19"/>
  <c r="Z23" i="19"/>
  <c r="AL43" i="19"/>
  <c r="AF13" i="19"/>
  <c r="AL23" i="19"/>
  <c r="N13" i="19"/>
  <c r="T33" i="19"/>
  <c r="AL53" i="19"/>
  <c r="N23" i="19"/>
  <c r="N53" i="19"/>
  <c r="AF33" i="19"/>
  <c r="N33" i="19"/>
  <c r="AE55" i="1"/>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21" i="1" l="1"/>
  <c r="N21" i="1" s="1"/>
  <c r="M27" i="1"/>
  <c r="N27" i="1" s="1"/>
  <c r="M15" i="1"/>
  <c r="N15" i="1" s="1"/>
  <c r="M33" i="1"/>
  <c r="N33" i="1" s="1"/>
  <c r="M39" i="1"/>
  <c r="N39" i="1" s="1"/>
  <c r="M10" i="1"/>
  <c r="N10" i="1" s="1"/>
  <c r="M45" i="1"/>
  <c r="N45" i="1" s="1"/>
  <c r="M51" i="1"/>
  <c r="N51" i="1" s="1"/>
  <c r="M57" i="1"/>
  <c r="N57" i="1" s="1"/>
  <c r="M63" i="1"/>
  <c r="N63" i="1" s="1"/>
  <c r="O57" i="1" l="1"/>
  <c r="P57" i="1"/>
  <c r="Z42" i="18"/>
  <c r="AF18" i="18"/>
  <c r="T18" i="18"/>
  <c r="Z26" i="18"/>
  <c r="N18" i="18"/>
  <c r="AF10" i="18"/>
  <c r="T26" i="18"/>
  <c r="N34" i="18"/>
  <c r="Z10" i="18"/>
  <c r="AF42" i="18"/>
  <c r="N42" i="18"/>
  <c r="T10" i="18"/>
  <c r="Z18" i="18"/>
  <c r="T42" i="18"/>
  <c r="N10" i="18"/>
  <c r="Z34" i="18"/>
  <c r="AF26" i="18"/>
  <c r="AF34" i="18"/>
  <c r="N26" i="18"/>
  <c r="T34" i="18"/>
  <c r="AL18" i="18"/>
  <c r="AL10" i="18"/>
  <c r="AL42" i="18"/>
  <c r="AL26" i="18"/>
  <c r="AL34" i="18"/>
  <c r="P51" i="1"/>
  <c r="O51" i="1"/>
  <c r="AJ26" i="18"/>
  <c r="R18" i="18"/>
  <c r="X34" i="18"/>
  <c r="AJ10" i="18"/>
  <c r="L10" i="18"/>
  <c r="L18" i="18"/>
  <c r="X42" i="18"/>
  <c r="AD34" i="18"/>
  <c r="X18" i="18"/>
  <c r="AJ34" i="18"/>
  <c r="X10" i="18"/>
  <c r="R26" i="18"/>
  <c r="AD18" i="18"/>
  <c r="AJ42" i="18"/>
  <c r="AD10" i="18"/>
  <c r="R10" i="18"/>
  <c r="R34" i="18"/>
  <c r="L34" i="18"/>
  <c r="AJ18" i="18"/>
  <c r="R42" i="18"/>
  <c r="L42" i="18"/>
  <c r="X26" i="18"/>
  <c r="L26" i="18"/>
  <c r="AD26" i="18"/>
  <c r="AD42" i="18"/>
  <c r="O33" i="1"/>
  <c r="P33" i="1"/>
  <c r="L16" i="18"/>
  <c r="AJ40" i="18"/>
  <c r="AJ16" i="18"/>
  <c r="R16" i="18"/>
  <c r="R8" i="18"/>
  <c r="AD40" i="18"/>
  <c r="AJ24" i="18"/>
  <c r="X32" i="18"/>
  <c r="R32" i="18"/>
  <c r="AD24" i="18"/>
  <c r="AD8" i="18"/>
  <c r="L24" i="18"/>
  <c r="X40" i="18"/>
  <c r="X24" i="18"/>
  <c r="L32" i="18"/>
  <c r="X8" i="18"/>
  <c r="AJ8" i="18"/>
  <c r="R40" i="18"/>
  <c r="R24" i="18"/>
  <c r="L40" i="18"/>
  <c r="L8" i="18"/>
  <c r="X16" i="18"/>
  <c r="AD32" i="18"/>
  <c r="AJ32" i="18"/>
  <c r="AD16" i="18"/>
  <c r="O45" i="1"/>
  <c r="P45" i="1"/>
  <c r="AB10" i="18"/>
  <c r="J42" i="18"/>
  <c r="J18" i="18"/>
  <c r="P34" i="18"/>
  <c r="P18" i="18"/>
  <c r="P42" i="18"/>
  <c r="AH34" i="18"/>
  <c r="J26" i="18"/>
  <c r="P10" i="18"/>
  <c r="AH10" i="18"/>
  <c r="V34" i="18"/>
  <c r="AB42" i="18"/>
  <c r="V26" i="18"/>
  <c r="AH18" i="18"/>
  <c r="V42" i="18"/>
  <c r="J34" i="18"/>
  <c r="P26" i="18"/>
  <c r="J10" i="18"/>
  <c r="AB18" i="18"/>
  <c r="V18" i="18"/>
  <c r="AB34" i="18"/>
  <c r="AH26" i="18"/>
  <c r="V10" i="18"/>
  <c r="AB26" i="18"/>
  <c r="AH42" i="18"/>
  <c r="L30" i="18"/>
  <c r="L22" i="18"/>
  <c r="R38" i="18"/>
  <c r="R6" i="18"/>
  <c r="AJ14" i="18"/>
  <c r="X14" i="18"/>
  <c r="R14" i="18"/>
  <c r="L38" i="18"/>
  <c r="AD14" i="18"/>
  <c r="AD30" i="18"/>
  <c r="X6" i="18"/>
  <c r="AJ38" i="18"/>
  <c r="AJ30" i="18"/>
  <c r="AJ22" i="18"/>
  <c r="R22" i="18"/>
  <c r="X30" i="18"/>
  <c r="AJ6" i="18"/>
  <c r="R30" i="18"/>
  <c r="AD38" i="18"/>
  <c r="L14" i="18"/>
  <c r="P15" i="1"/>
  <c r="AD6" i="18"/>
  <c r="AD22" i="18"/>
  <c r="X38" i="18"/>
  <c r="O15" i="1"/>
  <c r="AD15" i="1" s="1"/>
  <c r="L6" i="18"/>
  <c r="X22" i="18"/>
  <c r="AH30" i="18"/>
  <c r="J30" i="18"/>
  <c r="J22" i="18"/>
  <c r="P38" i="18"/>
  <c r="V38" i="18"/>
  <c r="AB6" i="18"/>
  <c r="P10" i="1"/>
  <c r="AH14" i="18"/>
  <c r="AH38" i="18"/>
  <c r="P14" i="18"/>
  <c r="J38" i="18"/>
  <c r="V22" i="18"/>
  <c r="AH6" i="18"/>
  <c r="V14" i="18"/>
  <c r="V6" i="18"/>
  <c r="J6" i="18"/>
  <c r="P30" i="18"/>
  <c r="J14" i="18"/>
  <c r="AB38" i="18"/>
  <c r="AB22" i="18"/>
  <c r="P22" i="18"/>
  <c r="V30" i="18"/>
  <c r="AB30" i="18"/>
  <c r="AB14" i="18"/>
  <c r="O10" i="1"/>
  <c r="AD10" i="1" s="1"/>
  <c r="P6" i="18"/>
  <c r="AH22" i="18"/>
  <c r="O27" i="1"/>
  <c r="P27" i="1"/>
  <c r="P16" i="18"/>
  <c r="AH16" i="18"/>
  <c r="P40" i="18"/>
  <c r="V16" i="18"/>
  <c r="V32" i="18"/>
  <c r="AH40" i="18"/>
  <c r="J40" i="18"/>
  <c r="AB32" i="18"/>
  <c r="P24" i="18"/>
  <c r="V8" i="18"/>
  <c r="AB16" i="18"/>
  <c r="AH24" i="18"/>
  <c r="V40" i="18"/>
  <c r="AH8" i="18"/>
  <c r="AB24" i="18"/>
  <c r="AB40" i="18"/>
  <c r="AB8" i="18"/>
  <c r="J16" i="18"/>
  <c r="J24" i="18"/>
  <c r="P32" i="18"/>
  <c r="J32" i="18"/>
  <c r="V24" i="18"/>
  <c r="P8" i="18"/>
  <c r="J8" i="18"/>
  <c r="AH32" i="18"/>
  <c r="O63" i="1"/>
  <c r="P63" i="1"/>
  <c r="AH12" i="18"/>
  <c r="V12" i="18"/>
  <c r="J20" i="18"/>
  <c r="V36" i="18"/>
  <c r="P12" i="18"/>
  <c r="V20" i="18"/>
  <c r="AH20" i="18"/>
  <c r="AB20" i="18"/>
  <c r="AH36" i="18"/>
  <c r="J36" i="18"/>
  <c r="P28" i="18"/>
  <c r="AH28" i="18"/>
  <c r="P44" i="18"/>
  <c r="J28" i="18"/>
  <c r="AB12" i="18"/>
  <c r="P20" i="18"/>
  <c r="AB36" i="18"/>
  <c r="P36" i="18"/>
  <c r="J12" i="18"/>
  <c r="V28" i="18"/>
  <c r="J44" i="18"/>
  <c r="AH44" i="18"/>
  <c r="AB28" i="18"/>
  <c r="AB44" i="18"/>
  <c r="V44" i="18"/>
  <c r="O39" i="1"/>
  <c r="P39" i="1"/>
  <c r="AL32" i="18"/>
  <c r="Z40" i="18"/>
  <c r="N40" i="18"/>
  <c r="T24" i="18"/>
  <c r="AF16" i="18"/>
  <c r="Z8" i="18"/>
  <c r="AL40" i="18"/>
  <c r="Z16" i="18"/>
  <c r="T8" i="18"/>
  <c r="N16" i="18"/>
  <c r="T40" i="18"/>
  <c r="AF40" i="18"/>
  <c r="N24" i="18"/>
  <c r="AF24" i="18"/>
  <c r="T32" i="18"/>
  <c r="AL8" i="18"/>
  <c r="Z24" i="18"/>
  <c r="AL24" i="18"/>
  <c r="N8" i="18"/>
  <c r="AF8" i="18"/>
  <c r="N32" i="18"/>
  <c r="AL16" i="18"/>
  <c r="AF32" i="18"/>
  <c r="T16" i="18"/>
  <c r="Z32" i="18"/>
  <c r="O21" i="1"/>
  <c r="P21" i="1"/>
  <c r="T38" i="18"/>
  <c r="AL6" i="18"/>
  <c r="N6" i="18"/>
  <c r="Z30" i="18"/>
  <c r="AL22" i="18"/>
  <c r="N30" i="18"/>
  <c r="T6" i="18"/>
  <c r="N38" i="18"/>
  <c r="Z22" i="18"/>
  <c r="N22" i="18"/>
  <c r="AF22" i="18"/>
  <c r="Z6" i="18"/>
  <c r="AL30" i="18"/>
  <c r="AL38" i="18"/>
  <c r="T30" i="18"/>
  <c r="N14" i="18"/>
  <c r="Z38" i="18"/>
  <c r="AF30" i="18"/>
  <c r="T22" i="18"/>
  <c r="Z14" i="18"/>
  <c r="AF6" i="18"/>
  <c r="AF14" i="18"/>
  <c r="AF38" i="18"/>
  <c r="T14" i="18"/>
  <c r="AL14" i="18"/>
  <c r="AC10" i="1" l="1"/>
  <c r="AH36" i="19" s="1"/>
  <c r="AD11" i="1"/>
  <c r="P38" i="19"/>
  <c r="AH38" i="19"/>
  <c r="P48" i="19"/>
  <c r="AB18" i="19"/>
  <c r="J8" i="19"/>
  <c r="J18" i="19"/>
  <c r="AH8" i="19"/>
  <c r="AB48" i="19"/>
  <c r="V8" i="19"/>
  <c r="AH48" i="19"/>
  <c r="AH18" i="19"/>
  <c r="V18" i="19"/>
  <c r="J38" i="19"/>
  <c r="P18" i="19"/>
  <c r="J28" i="19"/>
  <c r="J48" i="19"/>
  <c r="V28" i="19"/>
  <c r="AB8" i="19"/>
  <c r="P28" i="19"/>
  <c r="P8" i="19"/>
  <c r="AB28" i="19"/>
  <c r="V38" i="19"/>
  <c r="AH28" i="19"/>
  <c r="AB38" i="19"/>
  <c r="V48" i="19"/>
  <c r="AC15" i="1"/>
  <c r="AH7" i="19" s="1"/>
  <c r="AD16" i="1"/>
  <c r="AH47" i="19" l="1"/>
  <c r="AE10" i="1"/>
  <c r="J26" i="19"/>
  <c r="J6" i="19"/>
  <c r="P6" i="19"/>
  <c r="AH16" i="19"/>
  <c r="AH26" i="19"/>
  <c r="V26" i="19"/>
  <c r="P36" i="19"/>
  <c r="P16" i="19"/>
  <c r="V6" i="19"/>
  <c r="P46" i="19"/>
  <c r="AH46" i="19"/>
  <c r="AH37" i="19"/>
  <c r="J47" i="19"/>
  <c r="P47" i="19"/>
  <c r="AB26" i="19"/>
  <c r="AB36" i="19"/>
  <c r="V16" i="19"/>
  <c r="AB7" i="19"/>
  <c r="P7" i="19"/>
  <c r="P37" i="19"/>
  <c r="AB47" i="19"/>
  <c r="J17" i="19"/>
  <c r="V7" i="19"/>
  <c r="J36" i="19"/>
  <c r="AB6" i="19"/>
  <c r="AB16" i="19"/>
  <c r="J16" i="19"/>
  <c r="P27" i="19"/>
  <c r="V17" i="19"/>
  <c r="P17" i="19"/>
  <c r="J46" i="19"/>
  <c r="V36" i="19"/>
  <c r="P26" i="19"/>
  <c r="V27" i="19"/>
  <c r="AB37" i="19"/>
  <c r="J7" i="19"/>
  <c r="J27" i="19"/>
  <c r="V47" i="19"/>
  <c r="AH6" i="19"/>
  <c r="AE15" i="1"/>
  <c r="AH17" i="19"/>
  <c r="V37" i="19"/>
  <c r="AB27" i="19"/>
  <c r="AH27" i="19"/>
  <c r="J37" i="19"/>
  <c r="AB17" i="19"/>
  <c r="AB46" i="19"/>
  <c r="V46" i="19"/>
  <c r="AC16" i="1"/>
  <c r="AD17" i="1"/>
  <c r="AC11" i="1"/>
  <c r="AD13" i="1"/>
  <c r="AC13" i="1" l="1"/>
  <c r="AD14" i="1"/>
  <c r="AC17" i="1"/>
  <c r="AD18" i="1"/>
  <c r="AE11" i="1"/>
  <c r="AI36" i="19"/>
  <c r="W16" i="19"/>
  <c r="AI26" i="19"/>
  <c r="K36" i="19"/>
  <c r="AC6" i="19"/>
  <c r="Q26" i="19"/>
  <c r="W36" i="19"/>
  <c r="Q6" i="19"/>
  <c r="AC36" i="19"/>
  <c r="K6" i="19"/>
  <c r="K16" i="19"/>
  <c r="Q16" i="19"/>
  <c r="AI6" i="19"/>
  <c r="K46" i="19"/>
  <c r="AI16" i="19"/>
  <c r="AI46" i="19"/>
  <c r="Q36" i="19"/>
  <c r="AC46" i="19"/>
  <c r="W6" i="19"/>
  <c r="W26" i="19"/>
  <c r="Q46" i="19"/>
  <c r="K26" i="19"/>
  <c r="AC26" i="19"/>
  <c r="W46" i="19"/>
  <c r="AC16" i="19"/>
  <c r="AE16" i="1"/>
  <c r="W37" i="19"/>
  <c r="Q47" i="19"/>
  <c r="AI47" i="19"/>
  <c r="AC37" i="19"/>
  <c r="AC7" i="19"/>
  <c r="Q7" i="19"/>
  <c r="Q17" i="19"/>
  <c r="AI7" i="19"/>
  <c r="W7" i="19"/>
  <c r="Q27" i="19"/>
  <c r="AI37" i="19"/>
  <c r="W47" i="19"/>
  <c r="K27" i="19"/>
  <c r="W17" i="19"/>
  <c r="AI17" i="19"/>
  <c r="AC27" i="19"/>
  <c r="AC17" i="19"/>
  <c r="Q37" i="19"/>
  <c r="K17" i="19"/>
  <c r="W27" i="19"/>
  <c r="K47" i="19"/>
  <c r="AC47" i="19"/>
  <c r="K37" i="19"/>
  <c r="AI27" i="19"/>
  <c r="K7" i="19"/>
  <c r="AC18" i="1" l="1"/>
  <c r="AD19" i="1"/>
  <c r="AE17" i="1"/>
  <c r="AJ7" i="19"/>
  <c r="L37" i="19"/>
  <c r="X47" i="19"/>
  <c r="X27" i="19"/>
  <c r="L47" i="19"/>
  <c r="R47" i="19"/>
  <c r="AD47" i="19"/>
  <c r="AJ37" i="19"/>
  <c r="R17" i="19"/>
  <c r="L7" i="19"/>
  <c r="R7" i="19"/>
  <c r="R37" i="19"/>
  <c r="AD37" i="19"/>
  <c r="AJ27" i="19"/>
  <c r="L27" i="19"/>
  <c r="AJ17" i="19"/>
  <c r="L17" i="19"/>
  <c r="X17" i="19"/>
  <c r="AD7" i="19"/>
  <c r="AD27" i="19"/>
  <c r="AD17" i="19"/>
  <c r="X7" i="19"/>
  <c r="R27" i="19"/>
  <c r="AJ47" i="19"/>
  <c r="X37" i="19"/>
  <c r="AC14" i="1"/>
  <c r="AE13" i="1"/>
  <c r="AJ46" i="19"/>
  <c r="AJ26" i="19"/>
  <c r="X36" i="19"/>
  <c r="R46" i="19"/>
  <c r="X46" i="19"/>
  <c r="AD6" i="19"/>
  <c r="AJ16" i="19"/>
  <c r="AJ36" i="19"/>
  <c r="AD46" i="19"/>
  <c r="L46" i="19"/>
  <c r="R6" i="19"/>
  <c r="AD26" i="19"/>
  <c r="X26" i="19"/>
  <c r="L6" i="19"/>
  <c r="X6" i="19"/>
  <c r="L16" i="19"/>
  <c r="L36" i="19"/>
  <c r="AJ6" i="19"/>
  <c r="L26" i="19"/>
  <c r="X16" i="19"/>
  <c r="R36" i="19"/>
  <c r="AD36" i="19"/>
  <c r="AD16" i="19"/>
  <c r="R26" i="19"/>
  <c r="R16" i="19"/>
  <c r="AC19" i="1" l="1"/>
  <c r="AD20" i="1"/>
  <c r="AC20" i="1" s="1"/>
  <c r="AE14" i="1"/>
  <c r="AE46" i="19"/>
  <c r="S36" i="19"/>
  <c r="M26" i="19"/>
  <c r="Y46" i="19"/>
  <c r="AK36" i="19"/>
  <c r="Y26" i="19"/>
  <c r="AE36" i="19"/>
  <c r="M36" i="19"/>
  <c r="AE16" i="19"/>
  <c r="S46" i="19"/>
  <c r="AK26" i="19"/>
  <c r="S26" i="19"/>
  <c r="AK6" i="19"/>
  <c r="Y16" i="19"/>
  <c r="M6" i="19"/>
  <c r="AE26" i="19"/>
  <c r="S16" i="19"/>
  <c r="AE6" i="19"/>
  <c r="Y36" i="19"/>
  <c r="AK46" i="19"/>
  <c r="AK16" i="19"/>
  <c r="M16" i="19"/>
  <c r="Y6" i="19"/>
  <c r="M46" i="19"/>
  <c r="S6" i="19"/>
  <c r="AE18" i="1"/>
  <c r="S27" i="19"/>
  <c r="S7" i="19"/>
  <c r="Y7" i="19"/>
  <c r="M47" i="19"/>
  <c r="M27" i="19"/>
  <c r="S17" i="19"/>
  <c r="S37" i="19"/>
  <c r="M17" i="19"/>
  <c r="Y37" i="19"/>
  <c r="AE47" i="19"/>
  <c r="S47" i="19"/>
  <c r="AK7" i="19"/>
  <c r="AE27" i="19"/>
  <c r="AE17" i="19"/>
  <c r="AE37" i="19"/>
  <c r="Y17" i="19"/>
  <c r="M7" i="19"/>
  <c r="AK47" i="19"/>
  <c r="AK17" i="19"/>
  <c r="Y47" i="19"/>
  <c r="AK27" i="19"/>
  <c r="Y27" i="19"/>
  <c r="AE7" i="19"/>
  <c r="M37" i="19"/>
  <c r="AK37" i="19"/>
  <c r="AE20" i="1" l="1"/>
  <c r="U7" i="19"/>
  <c r="O17" i="19"/>
  <c r="U37" i="19"/>
  <c r="AM7" i="19"/>
  <c r="AA37" i="19"/>
  <c r="U47" i="19"/>
  <c r="O47" i="19"/>
  <c r="AM47" i="19"/>
  <c r="AA7" i="19"/>
  <c r="AM17" i="19"/>
  <c r="AG7" i="19"/>
  <c r="AA27" i="19"/>
  <c r="AG37" i="19"/>
  <c r="U27" i="19"/>
  <c r="AA47" i="19"/>
  <c r="AM37" i="19"/>
  <c r="AA17" i="19"/>
  <c r="AM27" i="19"/>
  <c r="AG47" i="19"/>
  <c r="O37" i="19"/>
  <c r="O27" i="19"/>
  <c r="AG27" i="19"/>
  <c r="O7" i="19"/>
  <c r="U17" i="19"/>
  <c r="AG17" i="19"/>
  <c r="AE19" i="1"/>
  <c r="Z47" i="19"/>
  <c r="Z17" i="19"/>
  <c r="AF27" i="19"/>
  <c r="Z37" i="19"/>
  <c r="Z27" i="19"/>
  <c r="AL27" i="19"/>
  <c r="T47" i="19"/>
  <c r="T7" i="19"/>
  <c r="AF7" i="19"/>
  <c r="AF47" i="19"/>
  <c r="T37" i="19"/>
  <c r="AL7" i="19"/>
  <c r="N27" i="19"/>
  <c r="AL37" i="19"/>
  <c r="AF37" i="19"/>
  <c r="AL47" i="19"/>
  <c r="N37" i="19"/>
  <c r="AL17" i="19"/>
  <c r="N7" i="19"/>
  <c r="T17" i="19"/>
  <c r="N17" i="19"/>
  <c r="T27" i="19"/>
  <c r="N47" i="19"/>
  <c r="AF17" i="19"/>
  <c r="Z7" i="19"/>
  <c r="U36" i="19"/>
  <c r="AM16" i="19"/>
  <c r="AA6" i="19"/>
  <c r="U16" i="19"/>
  <c r="AA26" i="19"/>
  <c r="O16" i="19"/>
  <c r="AG16" i="19"/>
  <c r="U6" i="19"/>
  <c r="AG6" i="19"/>
  <c r="O36" i="19"/>
  <c r="AM6" i="19"/>
  <c r="AG36" i="19"/>
  <c r="O6" i="19"/>
  <c r="AG46" i="19"/>
  <c r="AA46" i="19"/>
  <c r="U26" i="19"/>
  <c r="U46" i="19"/>
  <c r="O26" i="19"/>
  <c r="AM46" i="19"/>
  <c r="AA36" i="19"/>
  <c r="AA16" i="19"/>
  <c r="AM26" i="19"/>
  <c r="O46" i="19"/>
  <c r="AG26" i="19"/>
  <c r="AM36" i="19"/>
  <c r="AL6" i="19"/>
  <c r="T26" i="19"/>
  <c r="T6" i="19"/>
  <c r="AL26" i="19"/>
  <c r="T36" i="19"/>
  <c r="AL16" i="19"/>
  <c r="Z36" i="19"/>
  <c r="N6" i="19"/>
  <c r="AF6" i="19"/>
  <c r="AL36" i="19"/>
  <c r="Z46" i="19"/>
  <c r="AF36" i="19"/>
  <c r="T16" i="19"/>
  <c r="N46" i="19"/>
  <c r="AF26" i="19"/>
  <c r="AF46" i="19"/>
  <c r="N26" i="19"/>
  <c r="Z26" i="19"/>
  <c r="Z6" i="19"/>
  <c r="T46" i="19"/>
  <c r="Z16" i="19"/>
  <c r="AL46" i="19"/>
  <c r="N16" i="19"/>
  <c r="AF16" i="19"/>
  <c r="N36" i="19"/>
</calcChain>
</file>

<file path=xl/comments1.xml><?xml version="1.0" encoding="utf-8"?>
<comments xmlns="http://schemas.openxmlformats.org/spreadsheetml/2006/main">
  <authors>
    <author>ATENCION CIUDADANO</author>
  </authors>
  <commentList>
    <comment ref="I10" authorId="0" shapeId="0">
      <text>
        <r>
          <rPr>
            <b/>
            <sz val="9"/>
            <color indexed="81"/>
            <rFont val="Tahoma"/>
            <charset val="1"/>
          </rPr>
          <t>ATENCION CIUDADANO:</t>
        </r>
        <r>
          <rPr>
            <sz val="9"/>
            <color indexed="81"/>
            <rFont val="Tahoma"/>
            <charset val="1"/>
          </rPr>
          <t xml:space="preserve">
Número de PQRSD respondidos por fuera del termino y sin respuesta vencidos (enero - agosto).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<sst xmlns="http://schemas.openxmlformats.org/spreadsheetml/2006/main" count="538" uniqueCount="251">
  <si>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</si>
  <si>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</si>
  <si>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</si>
  <si>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</si>
  <si>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</si>
  <si>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</si>
  <si>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</si>
  <si>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</si>
  <si>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</si>
  <si>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</si>
  <si>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</si>
  <si>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</si>
  <si>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</si>
  <si>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</si>
  <si>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</si>
  <si>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</si>
  <si>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</si>
  <si>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</si>
  <si>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</si>
  <si>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</si>
  <si>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</si>
  <si>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</si>
  <si>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</si>
  <si>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</si>
  <si>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</si>
  <si>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</si>
  <si>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</si>
  <si>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</si>
  <si>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</si>
  <si>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</si>
  <si>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</si>
  <si>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</si>
  <si>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</si>
  <si>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</si>
  <si>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</si>
  <si>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</si>
  <si>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</si>
  <si>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</si>
  <si>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</si>
  <si>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</si>
  <si>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</si>
  <si>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</si>
  <si>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</si>
  <si>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</si>
  <si>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</si>
  <si>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</si>
  <si>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</si>
  <si>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</si>
  <si>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</si>
  <si>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</si>
  <si>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</si>
  <si>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</si>
  <si>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</si>
  <si>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</si>
  <si>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</si>
  <si>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</si>
  <si>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</si>
  <si>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</si>
  <si>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</si>
  <si>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</si>
  <si>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</si>
  <si>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</si>
  <si>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</si>
  <si>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</si>
  <si>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</si>
  <si>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</si>
  <si>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</si>
  <si>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</si>
  <si>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</si>
  <si>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</si>
  <si>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</si>
  <si>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</si>
  <si>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</si>
  <si>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</si>
  <si>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</si>
  <si>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</si>
  <si>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</si>
  <si>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</si>
  <si>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</si>
  <si>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</si>
  <si>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</si>
  <si>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</si>
  <si>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</si>
  <si>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</si>
  <si>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</si>
  <si>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</si>
  <si>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</si>
  <si>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</si>
  <si>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</si>
  <si>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</si>
  <si>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</si>
  <si>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</si>
  <si>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</si>
  <si>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</si>
  <si>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</si>
  <si>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</si>
  <si>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</si>
  <si>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</si>
  <si>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</si>
  <si>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</si>
  <si>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</si>
  <si>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</si>
  <si>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</si>
  <si>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</si>
  <si>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</si>
  <si>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</si>
  <si>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</si>
  <si>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</si>
  <si>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</si>
  <si>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</si>
  <si>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</si>
  <si>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</si>
  <si>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</si>
  <si>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</si>
  <si>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</si>
  <si>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</si>
  <si>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</si>
  <si>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</si>
  <si>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</si>
  <si>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</si>
  <si>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</si>
  <si>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</si>
  <si>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</si>
  <si>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</si>
  <si>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</si>
  <si>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</si>
  <si>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</si>
  <si>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</si>
  <si>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</si>
  <si>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</si>
  <si>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</si>
  <si>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</si>
  <si>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</si>
  <si>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</si>
  <si>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</si>
  <si>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</si>
  <si>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</si>
  <si>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</si>
  <si>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</si>
  <si>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</si>
  <si>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</si>
  <si>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</si>
  <si>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</si>
  <si>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</si>
  <si>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</si>
  <si>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</si>
  <si>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</si>
  <si>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</si>
  <si>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</si>
  <si>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</si>
  <si>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</si>
  <si>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</si>
  <si>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</si>
  <si>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</si>
  <si>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</si>
  <si>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</si>
  <si>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</si>
  <si>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</si>
  <si>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</si>
  <si>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</si>
  <si>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</si>
  <si>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</si>
  <si>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</si>
  <si>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</si>
  <si>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</si>
  <si>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</si>
  <si>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</si>
  <si>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</si>
  <si>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</si>
  <si>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</si>
  <si>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</si>
  <si>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</si>
  <si>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</si>
  <si>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</si>
  <si>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</si>
  <si>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</si>
  <si>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</si>
  <si>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</si>
  <si>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</si>
  <si>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</si>
  <si>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</si>
  <si>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</si>
  <si>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</si>
  <si>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</si>
  <si>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</si>
  <si>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</si>
  <si>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</si>
  <si>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</si>
  <si>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</si>
  <si>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</si>
  <si>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</si>
  <si>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</si>
  <si>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</si>
  <si>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</si>
  <si>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</si>
  <si>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</si>
  <si>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</si>
  <si>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</si>
  <si>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</si>
  <si>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</si>
  <si>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</si>
  <si>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</si>
  <si>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</si>
  <si>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</si>
  <si>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</si>
  <si>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</si>
  <si>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</si>
  <si>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</si>
  <si>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Entre 1000 y 5000 SMLMV </t>
  </si>
  <si>
    <t>Entre 5000 y 10000 SMLMV</t>
  </si>
  <si>
    <t xml:space="preserve">     Entre 1000 y 5000 SMLMV </t>
  </si>
  <si>
    <t xml:space="preserve">     Mayor a 10000 SMLMV</t>
  </si>
  <si>
    <t xml:space="preserve">     Entre 5000 y 10000 SMLMV</t>
  </si>
  <si>
    <t/>
  </si>
  <si>
    <t>GESTIÓN DEL SERVICIO Y ATENCIÓN AL CIUDADANO</t>
  </si>
  <si>
    <t>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t>
  </si>
  <si>
    <t>INICIA CON LA PRESENTACIÓN DE LAS NECESIDADES DE LOS CIUDADANOS EN CUANTO A LA PRESTACIÓN DE LOS SERVICIOS, PLANEACIÓN DE LAS ESTRATEGIAS Y ACTIVIDADES A REALIZAR PARA MEJORAR LA ATENCIÓN TENIENDO EN CUENTA LA ORIENTACIÓN QUE SE DEBE BRINDAR, PARA LA RECEPCIÓN DE SOLICITUDES, PQRS, Y FACILITAR LAS RESPUESTAS OPORTUNAS, EFECTUANDO EVALUACIONES PARA EL ANÁLISIS Y LA RETROALIMENTACIÓN DE LA INFORMACIÓN A LOS REQUERIMIENTOS, EJERCIENDO CONTROLES EN CUANTO A LA PERCEPCIÓN DEL CIUDADANO Y FINALIZA CON EL SEGUIMIENTO E IMPLEMENTACIÓN DE ACCIONES PREVENTIVAS, CORRECTIVAS Y DE MEJORA.</t>
  </si>
  <si>
    <t>Falta de seguimiento a los tiempos de respuestas de las PQRS - Derechos de Petición formuladas a la entidad</t>
  </si>
  <si>
    <t>Errores en la clasificación del tipo de petición - Derechos de Petición</t>
  </si>
  <si>
    <t>Errores en el direccionamiento del tipo de petición - Derechos de Petición</t>
  </si>
  <si>
    <t>Falta de socialización de los mecanismos de comunicación para con los ciudadanos</t>
  </si>
  <si>
    <t xml:space="preserve">Baja competencia del personal frente al manejo de las PQRS, orientación y atención al ciudadano </t>
  </si>
  <si>
    <t>Seguimiento a la gestión de mejoramiento de la reducción de las PQRS al interior de los Procesos</t>
  </si>
  <si>
    <t xml:space="preserve">Incumplimiento a la oportunidad de respuesta de los PQRS clasificados como Derechos de Petición a la Entidad. </t>
  </si>
  <si>
    <t>Falta de seguimiento a los tiempos de respuestas de los Reclamos - Derechos de Petición formulados a la entidad</t>
  </si>
  <si>
    <t>El Profesional Universitario(a) de la Dirección de Atención al Ciudadano quincenalmente  verifica que las respuestas emitidas por las diferentes unidades administrativas de las PQRS sean respondidas dentro delos términos establecidos por la ley y se genera un informe que se exporta de la plataforma PISAMI, donde se puede visualizar el estado de las respuestas de las PQRS de cada unidad administrativa. En caso de encontrar PQRS a las cuales no se les dio respuesta dentro de los términos establecidos por la ley, se remite un informe de lo ocurrido a la oficina de control disciplinario y se proyectan informes de seguimiento con los respectivos memorandos.</t>
  </si>
  <si>
    <t>EL Profesional Universitaro(a) de la Dirección de Atención al Ciudadano y lider de cada unidad administrativa diariamente verifica y revisa aleatoreamente que la clasificación del tipo de petición sea la correcta a través de la consulta en la página web (modulo de radicación de peticiones, quejas y reclamos - clasificación de PQR y descripción de los mismos), el procedimiento del proceso y trámite interno del Derecho de petición de la Alcaldía. En caso de encontrar tipos de peticiones mal clasificadas, se procede a realizar el cambio en la plataforma PISAMI y se envia correo electrónico informativo.</t>
  </si>
  <si>
    <t>El Profesional Universitaro(a) de la Dirección de Atención al Ciudadano y lider de cada unidad administrativa diariamente verifica y revisa aleatoreamente que la correspondencia haya sido remitida a la unidad administrativa competente a través de la plataforma PISAMI, donde se realiza la exportación de las peticiones radicadas y se verifica el grado de clasificación, de acuerdo a lo establecido en la resolución del trámite interno del Derecho de Petición de la Alcaldía y normatividad vigente. En caso de encontrar peticiones mal direccionadas, se procede a realizar el cambio en la Plataforma PISAMI y se envia correo electrónico informativo.</t>
  </si>
  <si>
    <t>El Director (a) de Atención al Ciudadano y su equipo de trabajo cuatrimestralmente verifica y revisa las actividades del componente Atención al Ciudadano del Plan Anticorrupción y Atención al Ciudadano relacionadas con los mecanismos de comunicación para con los ciudadanos a través de las redes sociales de la Alcaldía. En caso de no encontrar implementados los mecanismos de comunicación entre la Entidad y los Ciudadanos, se procede a enviar memorando o correo electrónico a la Secretaría de las TICS o Comunicaciones, según sea el caso. Esta actividad se reporta en el avance del Informe del Plan Anticorrupción y de Atención al Ciudadano.</t>
  </si>
  <si>
    <t>El Director (a) de Atención al Ciudadano y Director(a) de Talento Humano cuatrimestralmente verifica y revisa las actividades del componente Atención al Ciudadano del Plan Anticorrupción y Atención al Ciudadano relacionadas con la capacitación al personal que atiende en ventanillas y da respuesta a las PQRS - Derechos de Petición a través de capacitaciones programadas dentro del PIC. En caso de no darsen las capacitaciones se procede a gestionar con otras entidades. Esta actividad se reporta en el avance del Informe del Plan Anticorrupción y de Atención al Ciudadano.</t>
  </si>
  <si>
    <t>El Director de Atención al Ciudadano trimestralmente verifica que las respuestas emitidas por las diferentes unidades administrativas de los Reclamos sean respondidas dentro de los términos establecidos por la ley y genera un informe que se exporta de la plataforma PISAMI, donde se puede visualizar el estado de las respuestas a los Reclamos de cada unidad administrativa perteneciente a los procesos misionales. En caso de encontrar Reclamos a los cuales no se les dio respuesta dentro de los términos establecidos por la ley, se remite un informe de lo ocurrido a las Dependencias y se expone en el Comité de Coordinación de Control Interno para que cada Dependencia implemente las acciones correspondientes, se procede a realizar informes de seguimiento con el respectivo seguimiento al indicador.</t>
  </si>
  <si>
    <t>Socializar y difundir información de los canales de atención, trámites, servicios y correos electrónicos de las Dependencias a los ciudadanos.</t>
  </si>
  <si>
    <t>Socializar el procedimiento de peticiones, quejas y reclamos con los servidores públicos.</t>
  </si>
  <si>
    <t xml:space="preserve"> Reportar en el Comité de Coordinación de Control Interno mediante informe el estado de respuestas de los Reclamos con el fin de que cada Dependencia implemente las acciones de mejora correspondientes.</t>
  </si>
  <si>
    <t>Realizar informes consolidados de seguimiento a las ventanillas</t>
  </si>
  <si>
    <t xml:space="preserve"> Insatisfacción de los  ciudadanos frente a los servicios y trámites que presta la Entidad. </t>
  </si>
  <si>
    <t>Seguimiento a la orientación en la prestación de los servicios y trámites que presta la Entidad.</t>
  </si>
  <si>
    <t>Orientación inadecuada en la prestación de los servicios y trámites que presta la Entidad</t>
  </si>
  <si>
    <t xml:space="preserve">Acciones legales (sanciones disciplinarias, demandas y demás acciones jurídicas) y/o hallazgos de los entes de control </t>
  </si>
  <si>
    <t xml:space="preserve">Posibilidad de perdida económica y reputacional por acciones legales (sanciones disciplinarias, demandas y demás acciones jurídicas) y/o hallazgos de los entes de control debido al incumplimiento a la oportunidad de respuesta de los PQRS clasificados como Derechos de Petición a la Entidad. </t>
  </si>
  <si>
    <t>Realizar informes de seguimiento por unidad administrativa, referente a las respuestas y el estado de seguimiento de las PQRS</t>
  </si>
  <si>
    <t>Posibilidad de perdida reputacional por insatisfacción de los ciudadanos frente a los servicios y trámites que presta la Entidad debido a la orientación inadecuada en la prestación de los servicios y trámites de la Entidad.</t>
  </si>
  <si>
    <t>Directora de Atención al Ciudadano</t>
  </si>
  <si>
    <t>Realizar capacitación mensual por parte de las áreas que generan mayor número de errores de clasificación de los documentos al personal de ventanillas</t>
  </si>
  <si>
    <t>Circular número 000013 del 20 de febrero (citación para el jueves, 23 de febrero a las 8:00 am) como evidencia de dicha actividad se deja el acta 01 de dicha socialización.</t>
  </si>
  <si>
    <t>Memorando 000789 del 12 de enero - acta # 01 y memorando 006444 del 20 de febrero - acta # 02</t>
  </si>
  <si>
    <t>Seguimiento enero - febrero</t>
  </si>
  <si>
    <r>
      <t xml:space="preserve">Informes de seguimiento a las ventanillas enviados mediante correo institucional: 
</t>
    </r>
    <r>
      <rPr>
        <b/>
        <sz val="11"/>
        <color theme="1"/>
        <rFont val="Arial Narrow"/>
        <family val="2"/>
      </rPr>
      <t>enero</t>
    </r>
    <r>
      <rPr>
        <sz val="11"/>
        <color theme="1"/>
        <rFont val="Arial Narrow"/>
        <family val="2"/>
      </rPr>
      <t xml:space="preserve">
 (02 al 06, 10 al 13 , 16 al 20, 23 al 27, 30 al 03 de febrero)
</t>
    </r>
    <r>
      <rPr>
        <b/>
        <sz val="11"/>
        <color theme="1"/>
        <rFont val="Arial Narrow"/>
        <family val="2"/>
      </rPr>
      <t>febrero</t>
    </r>
    <r>
      <rPr>
        <sz val="11"/>
        <color theme="1"/>
        <rFont val="Arial Narrow"/>
        <family val="2"/>
      </rPr>
      <t xml:space="preserve">
(06 al 11, 13 al 17, 20 al 25 y 27 al 03 de marzo).</t>
    </r>
  </si>
  <si>
    <t>Se enviaron en el periodo los siguientes informes a las Dependencias mediante circulares: 000003 del 11 de enero, 000006 del 30 de enero y 000015 del 27 de febrero</t>
  </si>
  <si>
    <t>Piezas gráficas de los siguientes temas: horario de ventanilla de radicación y horario especial atención al público los sábados (se publicaron como banners en la página principal de la Alcaldía)</t>
  </si>
  <si>
    <t>En el presente periodo no se realizo Comité y el informe de Reclamos se realiza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</si>
</sst>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charset val="1"/>
    </font>
    <font>
      <b/>
      <sz val="9"/>
      <color indexed="81"/>
      <name val="Tahoma"/>
      <charset val="1"/>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top/>
      <bottom/>
      <diagonal/>
    </border>
    <border>
      <left style="thin">
        <color indexed="64"/>
      </left>
      <right style="thin">
        <color indexed="64"/>
      </right>
      <top style="thin">
        <color indexed="64"/>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7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0" xfId="0" applyFont="1" applyFill="1" applyBorder="1" applyAlignment="1">
      <alignment horizontal="center" vertical="center" wrapText="1" readingOrder="1"/>
    </xf>
    <xf numFmtId="0" fontId="10" fillId="0" borderId="10" xfId="0" applyFont="1" applyBorder="1" applyAlignment="1">
      <alignment horizontal="justify" vertical="center" wrapText="1" readingOrder="1"/>
    </xf>
    <xf numFmtId="9" fontId="10" fillId="0" borderId="10"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1"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22" fillId="13" borderId="18" xfId="0" applyFont="1" applyFill="1" applyBorder="1" applyAlignment="1" applyProtection="1">
      <alignment horizontal="center" wrapText="1" readingOrder="1"/>
      <protection hidden="1"/>
    </xf>
    <xf numFmtId="0" fontId="0" fillId="3" borderId="0" xfId="0" applyFill="1"/>
    <xf numFmtId="0" fontId="40" fillId="3" borderId="49" xfId="2" applyFont="1" applyFill="1" applyBorder="1"/>
    <xf numFmtId="0" fontId="40" fillId="3" borderId="50" xfId="2" applyFont="1" applyFill="1" applyBorder="1"/>
    <xf numFmtId="0" fontId="40" fillId="3" borderId="51"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2" xfId="0" applyFont="1" applyFill="1" applyBorder="1" applyAlignment="1">
      <alignment horizontal="center" vertical="center" wrapText="1" readingOrder="1"/>
    </xf>
    <xf numFmtId="0" fontId="30" fillId="3" borderId="32" xfId="0" applyFont="1" applyFill="1" applyBorder="1" applyAlignment="1">
      <alignment horizontal="justify" vertical="center" wrapText="1" readingOrder="1"/>
    </xf>
    <xf numFmtId="9" fontId="29" fillId="3" borderId="41" xfId="0" applyNumberFormat="1" applyFont="1" applyFill="1" applyBorder="1" applyAlignment="1">
      <alignment horizontal="center" vertical="center" wrapText="1" readingOrder="1"/>
    </xf>
    <xf numFmtId="0" fontId="29" fillId="3" borderId="31" xfId="0" applyFont="1" applyFill="1" applyBorder="1" applyAlignment="1">
      <alignment horizontal="center" vertical="center" wrapText="1" readingOrder="1"/>
    </xf>
    <xf numFmtId="0" fontId="30" fillId="3" borderId="31" xfId="0" applyFont="1" applyFill="1" applyBorder="1" applyAlignment="1">
      <alignment horizontal="justify" vertical="center" wrapText="1" readingOrder="1"/>
    </xf>
    <xf numFmtId="9" fontId="29" fillId="3" borderId="36" xfId="0" applyNumberFormat="1" applyFont="1" applyFill="1" applyBorder="1" applyAlignment="1">
      <alignment horizontal="center" vertical="center" wrapText="1" readingOrder="1"/>
    </xf>
    <xf numFmtId="0" fontId="30" fillId="3" borderId="36"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xf numFmtId="0" fontId="30" fillId="3" borderId="38" xfId="0" applyFont="1" applyFill="1" applyBorder="1" applyAlignment="1">
      <alignment horizontal="justify" vertical="center" wrapText="1" readingOrder="1"/>
    </xf>
    <xf numFmtId="0" fontId="30" fillId="3" borderId="39" xfId="0" applyFont="1" applyFill="1" applyBorder="1" applyAlignment="1">
      <alignment horizontal="center" vertical="center" wrapText="1" readingOrder="1"/>
    </xf>
    <xf numFmtId="0" fontId="37" fillId="3" borderId="0" xfId="0" applyFont="1" applyFill="1"/>
    <xf numFmtId="0" fontId="29" fillId="15" borderId="43" xfId="0" applyFont="1" applyFill="1" applyBorder="1" applyAlignment="1">
      <alignment horizontal="center" vertical="center" wrapText="1" readingOrder="1"/>
    </xf>
    <xf numFmtId="0" fontId="29" fillId="15" borderId="44"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3"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4" xfId="2" applyFont="1" applyFill="1" applyBorder="1"/>
    <xf numFmtId="0" fontId="40" fillId="3" borderId="15" xfId="2" applyFont="1" applyFill="1" applyBorder="1"/>
    <xf numFmtId="0" fontId="40" fillId="3" borderId="17" xfId="2" applyFont="1" applyFill="1" applyBorder="1"/>
    <xf numFmtId="0" fontId="40" fillId="3" borderId="16"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3"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4"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0" xfId="0" applyFont="1" applyFill="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0"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7" xfId="0" applyFont="1" applyFill="1" applyBorder="1" applyAlignment="1">
      <alignment horizontal="center" vertical="center"/>
    </xf>
    <xf numFmtId="0" fontId="27" fillId="0" borderId="73" xfId="0" applyFont="1" applyBorder="1" applyAlignment="1" applyProtection="1">
      <alignment horizontal="center" vertical="top" wrapText="1"/>
      <protection locked="0"/>
    </xf>
    <xf numFmtId="0" fontId="1" fillId="0" borderId="73" xfId="0" applyFont="1" applyBorder="1" applyAlignment="1" applyProtection="1">
      <alignment horizontal="center" vertical="top" wrapText="1"/>
      <protection locked="0"/>
    </xf>
    <xf numFmtId="0" fontId="2" fillId="0" borderId="73"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0" borderId="73" xfId="0" applyFont="1" applyBorder="1" applyAlignment="1" applyProtection="1">
      <alignment horizontal="left" vertical="top" wrapText="1"/>
      <protection locked="0"/>
    </xf>
    <xf numFmtId="0" fontId="1" fillId="0" borderId="73" xfId="0" applyFont="1" applyBorder="1" applyAlignment="1" applyProtection="1">
      <alignment horizontal="left" vertical="top" wrapText="1"/>
      <protection locked="0"/>
    </xf>
    <xf numFmtId="0" fontId="27" fillId="3" borderId="73" xfId="0" applyFont="1" applyFill="1" applyBorder="1" applyAlignment="1">
      <alignment vertical="center" wrapText="1"/>
    </xf>
    <xf numFmtId="0" fontId="27" fillId="0" borderId="2" xfId="0" applyFont="1" applyBorder="1" applyAlignment="1" applyProtection="1">
      <alignment horizontal="justify" vertical="top" wrapText="1"/>
      <protection locked="0"/>
    </xf>
    <xf numFmtId="0" fontId="27" fillId="0" borderId="2" xfId="0" applyFont="1" applyBorder="1" applyAlignment="1" applyProtection="1">
      <alignment horizontal="justify" vertical="top"/>
      <protection locked="0"/>
    </xf>
    <xf numFmtId="14" fontId="27" fillId="0" borderId="2" xfId="0" applyNumberFormat="1"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27"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protection locked="0"/>
    </xf>
    <xf numFmtId="0" fontId="4" fillId="2" borderId="3" xfId="0" applyFont="1" applyFill="1" applyBorder="1" applyAlignment="1">
      <alignment vertical="center"/>
    </xf>
    <xf numFmtId="0" fontId="4" fillId="2" borderId="29" xfId="0" applyFont="1" applyFill="1" applyBorder="1" applyAlignment="1">
      <alignment vertical="center"/>
    </xf>
    <xf numFmtId="0" fontId="4" fillId="2" borderId="6" xfId="0" applyFont="1" applyFill="1" applyBorder="1" applyAlignment="1">
      <alignment vertical="center"/>
    </xf>
    <xf numFmtId="0" fontId="4" fillId="2" borderId="9" xfId="0" applyFont="1" applyFill="1" applyBorder="1" applyAlignment="1">
      <alignment vertical="center"/>
    </xf>
    <xf numFmtId="0" fontId="4" fillId="2" borderId="30" xfId="0" applyFont="1" applyFill="1" applyBorder="1" applyAlignment="1">
      <alignment vertical="center"/>
    </xf>
    <xf numFmtId="0" fontId="27" fillId="0" borderId="6" xfId="0" applyFont="1" applyBorder="1" applyAlignment="1" applyProtection="1">
      <alignment horizontal="center" vertical="center"/>
      <protection locked="0"/>
    </xf>
    <xf numFmtId="0" fontId="27"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4" fillId="3" borderId="31" xfId="0" applyFont="1" applyFill="1" applyBorder="1" applyAlignment="1">
      <alignment horizontal="center" vertical="center"/>
    </xf>
    <xf numFmtId="0" fontId="1" fillId="3" borderId="31" xfId="0" applyFont="1" applyFill="1" applyBorder="1" applyAlignment="1">
      <alignment vertical="center" wrapText="1"/>
    </xf>
    <xf numFmtId="0" fontId="2" fillId="3" borderId="31" xfId="0" applyFont="1" applyFill="1" applyBorder="1" applyAlignment="1">
      <alignment vertical="center" wrapText="1"/>
    </xf>
    <xf numFmtId="0" fontId="1" fillId="0" borderId="31" xfId="0" applyFont="1" applyBorder="1" applyAlignment="1">
      <alignment vertical="center" wrapText="1"/>
    </xf>
    <xf numFmtId="0" fontId="41" fillId="14" borderId="46" xfId="2" applyFont="1" applyFill="1" applyBorder="1" applyAlignment="1">
      <alignment horizontal="center" vertical="center" wrapText="1"/>
    </xf>
    <xf numFmtId="0" fontId="41" fillId="14" borderId="47" xfId="2" applyFont="1" applyFill="1" applyBorder="1" applyAlignment="1">
      <alignment horizontal="center" vertical="center" wrapText="1"/>
    </xf>
    <xf numFmtId="0" fontId="41" fillId="14" borderId="48" xfId="2" applyFont="1" applyFill="1" applyBorder="1" applyAlignment="1">
      <alignment horizontal="center" vertical="center" wrapText="1"/>
    </xf>
    <xf numFmtId="0" fontId="40" fillId="0" borderId="13"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4" xfId="2" quotePrefix="1" applyFont="1" applyBorder="1" applyAlignment="1">
      <alignment horizontal="left" vertical="center" wrapText="1"/>
    </xf>
    <xf numFmtId="0" fontId="40" fillId="0" borderId="66" xfId="2" quotePrefix="1" applyFont="1" applyBorder="1" applyAlignment="1">
      <alignment horizontal="left" vertical="center" wrapText="1"/>
    </xf>
    <xf numFmtId="0" fontId="40" fillId="0" borderId="67"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2" fillId="3" borderId="49" xfId="2" quotePrefix="1" applyFont="1" applyFill="1" applyBorder="1" applyAlignment="1">
      <alignment horizontal="left" vertical="top" wrapText="1"/>
    </xf>
    <xf numFmtId="0" fontId="43" fillId="3" borderId="50" xfId="2" quotePrefix="1" applyFont="1" applyFill="1" applyBorder="1" applyAlignment="1">
      <alignment horizontal="left" vertical="top" wrapText="1"/>
    </xf>
    <xf numFmtId="0" fontId="43" fillId="3" borderId="51" xfId="2" quotePrefix="1" applyFont="1" applyFill="1" applyBorder="1" applyAlignment="1">
      <alignment horizontal="left" vertical="top" wrapText="1"/>
    </xf>
    <xf numFmtId="0" fontId="40" fillId="0" borderId="13"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4" xfId="2" quotePrefix="1" applyFont="1" applyBorder="1" applyAlignment="1">
      <alignment horizontal="left" vertical="top" wrapText="1"/>
    </xf>
    <xf numFmtId="0" fontId="45" fillId="14" borderId="52" xfId="3" applyFont="1" applyFill="1" applyBorder="1" applyAlignment="1">
      <alignment horizontal="center" vertical="center" wrapText="1"/>
    </xf>
    <xf numFmtId="0" fontId="45" fillId="14" borderId="53" xfId="3" applyFont="1" applyFill="1" applyBorder="1" applyAlignment="1">
      <alignment horizontal="center" vertical="center" wrapText="1"/>
    </xf>
    <xf numFmtId="0" fontId="45" fillId="14" borderId="54" xfId="2" applyFont="1" applyFill="1" applyBorder="1" applyAlignment="1">
      <alignment horizontal="center" vertical="center"/>
    </xf>
    <xf numFmtId="0" fontId="45" fillId="14" borderId="55" xfId="2" applyFont="1" applyFill="1" applyBorder="1" applyAlignment="1">
      <alignment horizontal="center" vertical="center"/>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45" fillId="3" borderId="56" xfId="3" applyFont="1" applyFill="1" applyBorder="1" applyAlignment="1">
      <alignment horizontal="left" vertical="top" wrapText="1" readingOrder="1"/>
    </xf>
    <xf numFmtId="0" fontId="45" fillId="3" borderId="57" xfId="3" applyFont="1" applyFill="1" applyBorder="1" applyAlignment="1">
      <alignment horizontal="left" vertical="top" wrapText="1" readingOrder="1"/>
    </xf>
    <xf numFmtId="0" fontId="46" fillId="3" borderId="58" xfId="2" applyFont="1" applyFill="1" applyBorder="1" applyAlignment="1">
      <alignment horizontal="justify" vertical="center" wrapText="1"/>
    </xf>
    <xf numFmtId="0" fontId="46" fillId="3" borderId="59" xfId="2" applyFont="1" applyFill="1" applyBorder="1" applyAlignment="1">
      <alignment horizontal="justify" vertical="center" wrapText="1"/>
    </xf>
    <xf numFmtId="0" fontId="45" fillId="3" borderId="60" xfId="0" applyFont="1" applyFill="1" applyBorder="1" applyAlignment="1">
      <alignment horizontal="left" vertical="center" wrapText="1"/>
    </xf>
    <xf numFmtId="0" fontId="45" fillId="3" borderId="61" xfId="0" applyFont="1" applyFill="1" applyBorder="1" applyAlignment="1">
      <alignment horizontal="left" vertical="center" wrapText="1"/>
    </xf>
    <xf numFmtId="0" fontId="46" fillId="3" borderId="62" xfId="2" applyFont="1" applyFill="1" applyBorder="1" applyAlignment="1">
      <alignment horizontal="justify" vertical="center" wrapText="1"/>
    </xf>
    <xf numFmtId="0" fontId="46" fillId="3" borderId="63" xfId="2" applyFont="1" applyFill="1" applyBorder="1" applyAlignment="1">
      <alignment horizontal="justify" vertical="center" wrapText="1"/>
    </xf>
    <xf numFmtId="0" fontId="40" fillId="3" borderId="13"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4" xfId="2" applyFont="1" applyFill="1" applyBorder="1" applyAlignment="1">
      <alignment horizontal="left" vertical="top" wrapText="1"/>
    </xf>
    <xf numFmtId="0" fontId="45" fillId="3" borderId="69" xfId="0" applyFont="1" applyFill="1" applyBorder="1" applyAlignment="1">
      <alignment horizontal="left" vertical="center" wrapText="1"/>
    </xf>
    <xf numFmtId="0" fontId="45" fillId="3" borderId="70" xfId="0" applyFont="1" applyFill="1" applyBorder="1" applyAlignment="1">
      <alignment horizontal="left"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6" fillId="3" borderId="64" xfId="0" applyFont="1" applyFill="1" applyBorder="1" applyAlignment="1">
      <alignment horizontal="justify" vertical="center" wrapText="1"/>
    </xf>
    <xf numFmtId="0" fontId="46" fillId="3" borderId="65" xfId="0" applyFont="1" applyFill="1" applyBorder="1" applyAlignment="1">
      <alignment horizontal="justify" vertical="center" wrapText="1"/>
    </xf>
    <xf numFmtId="0" fontId="1" fillId="3" borderId="79"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0" borderId="2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27" fillId="3" borderId="78" xfId="0" applyFont="1" applyFill="1" applyBorder="1" applyAlignment="1" applyProtection="1">
      <alignment horizontal="center" vertical="center" wrapText="1"/>
      <protection locked="0"/>
    </xf>
    <xf numFmtId="0" fontId="27" fillId="3" borderId="0" xfId="0" applyFont="1" applyFill="1" applyAlignment="1" applyProtection="1">
      <alignment horizontal="center" vertical="center" wrapText="1"/>
      <protection locked="0"/>
    </xf>
    <xf numFmtId="0" fontId="27" fillId="3" borderId="78" xfId="0" applyFont="1" applyFill="1" applyBorder="1" applyAlignment="1" applyProtection="1">
      <alignment horizontal="center" vertical="center"/>
      <protection locked="0"/>
    </xf>
    <xf numFmtId="0" fontId="27" fillId="3" borderId="0" xfId="0" applyFont="1" applyFill="1" applyAlignment="1" applyProtection="1">
      <alignment horizontal="center" vertical="center"/>
      <protection locked="0"/>
    </xf>
    <xf numFmtId="0" fontId="24" fillId="2" borderId="8" xfId="0" applyFont="1" applyFill="1" applyBorder="1" applyAlignment="1">
      <alignment horizontal="center" vertical="center"/>
    </xf>
    <xf numFmtId="0" fontId="24" fillId="2" borderId="0" xfId="0" applyFont="1" applyFill="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7" xfId="0" applyFont="1" applyBorder="1" applyAlignment="1" applyProtection="1">
      <alignment horizontal="center" vertical="top" wrapText="1"/>
      <protection locked="0"/>
    </xf>
    <xf numFmtId="0" fontId="27" fillId="0" borderId="27"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50" fillId="0" borderId="73" xfId="0" applyFont="1" applyBorder="1" applyAlignment="1" applyProtection="1">
      <alignment horizontal="center" vertical="top" wrapText="1"/>
      <protection locked="0"/>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9"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2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3"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7"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7"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7"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27" fillId="0" borderId="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7"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7"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7"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7" xfId="0" applyFont="1" applyBorder="1" applyAlignment="1" applyProtection="1">
      <alignment horizontal="center" vertical="top" wrapText="1"/>
      <protection hidden="1"/>
    </xf>
    <xf numFmtId="0" fontId="50" fillId="0" borderId="75" xfId="0" applyFont="1" applyBorder="1" applyAlignment="1" applyProtection="1">
      <alignment horizontal="center" vertical="top" wrapText="1"/>
      <protection locked="0"/>
    </xf>
    <xf numFmtId="0" fontId="50" fillId="0" borderId="76" xfId="0" applyFont="1" applyBorder="1" applyAlignment="1" applyProtection="1">
      <alignment horizontal="center" vertical="top" wrapText="1"/>
      <protection locked="0"/>
    </xf>
    <xf numFmtId="0" fontId="50" fillId="0" borderId="77"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74"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7" xfId="0" applyFont="1" applyBorder="1" applyAlignment="1" applyProtection="1">
      <alignment horizontal="center" vertical="top"/>
      <protection locked="0"/>
    </xf>
    <xf numFmtId="0" fontId="27" fillId="0" borderId="30"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7"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7" fillId="3" borderId="75" xfId="0" applyFont="1" applyFill="1" applyBorder="1" applyAlignment="1">
      <alignment horizontal="center" vertical="center" wrapText="1"/>
    </xf>
    <xf numFmtId="0" fontId="27" fillId="3" borderId="77"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7" fillId="0" borderId="4"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protection locked="0"/>
    </xf>
    <xf numFmtId="14" fontId="27" fillId="0" borderId="5" xfId="0" applyNumberFormat="1" applyFont="1" applyBorder="1" applyAlignment="1" applyProtection="1">
      <alignment horizontal="center" vertical="center"/>
      <protection locked="0"/>
    </xf>
    <xf numFmtId="14" fontId="1" fillId="0" borderId="4" xfId="0" applyNumberFormat="1" applyFont="1" applyBorder="1" applyAlignment="1" applyProtection="1">
      <alignment horizontal="center" vertical="center"/>
      <protection locked="0"/>
    </xf>
    <xf numFmtId="14" fontId="1" fillId="0" borderId="5" xfId="0" applyNumberFormat="1" applyFont="1" applyBorder="1" applyAlignment="1" applyProtection="1">
      <alignment horizontal="center" vertical="center"/>
      <protection locked="0"/>
    </xf>
    <xf numFmtId="0" fontId="27" fillId="0" borderId="4"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0" fontId="49" fillId="0" borderId="4" xfId="0" applyFont="1" applyBorder="1" applyAlignment="1" applyProtection="1">
      <alignment horizontal="center" vertical="top" textRotation="90"/>
      <protection hidden="1"/>
    </xf>
    <xf numFmtId="0" fontId="49" fillId="0" borderId="5" xfId="0" applyFont="1" applyBorder="1" applyAlignment="1" applyProtection="1">
      <alignment horizontal="center" vertical="top" textRotation="90"/>
      <protection hidden="1"/>
    </xf>
    <xf numFmtId="9" fontId="27" fillId="0" borderId="4" xfId="0" applyNumberFormat="1" applyFont="1" applyBorder="1" applyAlignment="1" applyProtection="1">
      <alignment horizontal="center" vertical="top"/>
      <protection hidden="1"/>
    </xf>
    <xf numFmtId="9" fontId="27" fillId="0" borderId="5" xfId="0" applyNumberFormat="1" applyFont="1" applyBorder="1" applyAlignment="1" applyProtection="1">
      <alignment horizontal="center" vertical="top"/>
      <protection hidden="1"/>
    </xf>
    <xf numFmtId="0" fontId="49" fillId="0" borderId="4" xfId="0" applyFont="1" applyBorder="1" applyAlignment="1" applyProtection="1">
      <alignment horizontal="center" vertical="top" textRotation="90" wrapText="1"/>
      <protection hidden="1"/>
    </xf>
    <xf numFmtId="0" fontId="49" fillId="0" borderId="5" xfId="0" applyFont="1" applyBorder="1" applyAlignment="1" applyProtection="1">
      <alignment horizontal="center" vertical="top" textRotation="90" wrapText="1"/>
      <protection hidden="1"/>
    </xf>
    <xf numFmtId="0" fontId="2" fillId="0" borderId="75" xfId="0" applyFont="1" applyBorder="1" applyAlignment="1" applyProtection="1">
      <alignment horizontal="center" vertical="top" wrapText="1"/>
      <protection locked="0"/>
    </xf>
    <xf numFmtId="0" fontId="2" fillId="0" borderId="76" xfId="0" applyFont="1" applyBorder="1" applyAlignment="1" applyProtection="1">
      <alignment horizontal="center" vertical="top" wrapText="1"/>
      <protection locked="0"/>
    </xf>
    <xf numFmtId="0" fontId="2" fillId="0" borderId="77"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74"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164" fontId="1" fillId="0" borderId="4" xfId="1" applyNumberFormat="1" applyFont="1" applyBorder="1" applyAlignment="1">
      <alignment horizontal="center" vertical="top"/>
    </xf>
    <xf numFmtId="164" fontId="1" fillId="0" borderId="5" xfId="1" applyNumberFormat="1" applyFont="1" applyBorder="1" applyAlignment="1">
      <alignment horizontal="center" vertical="top"/>
    </xf>
    <xf numFmtId="0" fontId="24" fillId="0" borderId="0" xfId="0" applyFont="1" applyAlignment="1">
      <alignment horizontal="center" vertical="center" wrapText="1"/>
    </xf>
    <xf numFmtId="0" fontId="19" fillId="5"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1" xfId="0" applyFont="1" applyBorder="1" applyAlignment="1">
      <alignment horizontal="center"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4" xfId="0" applyFont="1" applyFill="1" applyBorder="1" applyAlignment="1">
      <alignment horizontal="center" vertical="center" textRotation="90"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35" fillId="0" borderId="11" xfId="0" applyFont="1" applyBorder="1" applyAlignment="1">
      <alignment horizontal="center" vertical="center" wrapText="1"/>
    </xf>
    <xf numFmtId="0" fontId="35" fillId="0" borderId="18" xfId="0" applyFont="1" applyBorder="1" applyAlignment="1">
      <alignment horizontal="center"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wrapText="1"/>
    </xf>
    <xf numFmtId="0" fontId="34" fillId="11" borderId="19" xfId="0" applyFont="1" applyFill="1" applyBorder="1" applyAlignment="1">
      <alignment horizontal="center" vertical="center" wrapText="1" readingOrder="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5" fillId="0" borderId="13" xfId="0" applyFont="1" applyBorder="1" applyAlignment="1">
      <alignment horizontal="center" vertical="center" wrapText="1"/>
    </xf>
    <xf numFmtId="0" fontId="34" fillId="12" borderId="19" xfId="0" applyFont="1" applyFill="1" applyBorder="1" applyAlignment="1">
      <alignment horizontal="center" vertical="center" wrapText="1" readingOrder="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19" xfId="0" applyFont="1" applyFill="1" applyBorder="1" applyAlignment="1">
      <alignment horizontal="center" vertical="center" wrapText="1" readingOrder="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13" borderId="19"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3" xfId="0" applyFont="1" applyFill="1" applyBorder="1" applyAlignment="1">
      <alignment horizontal="center" vertical="center" wrapText="1" readingOrder="1"/>
    </xf>
    <xf numFmtId="0" fontId="32" fillId="15" borderId="34" xfId="0" applyFont="1" applyFill="1" applyBorder="1" applyAlignment="1">
      <alignment horizontal="center" vertical="center" wrapText="1" readingOrder="1"/>
    </xf>
    <xf numFmtId="0" fontId="32" fillId="15" borderId="45"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2" xfId="0" applyFont="1" applyFill="1" applyBorder="1" applyAlignment="1">
      <alignment horizontal="center" vertical="center" wrapText="1" readingOrder="1"/>
    </xf>
    <xf numFmtId="0" fontId="29" fillId="15" borderId="43"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29" fillId="3" borderId="35" xfId="0" applyFont="1" applyFill="1" applyBorder="1" applyAlignment="1">
      <alignment horizontal="center" vertical="center" wrapText="1" readingOrder="1"/>
    </xf>
    <xf numFmtId="0" fontId="29" fillId="3" borderId="32" xfId="0" applyFont="1" applyFill="1" applyBorder="1" applyAlignment="1">
      <alignment horizontal="center" vertical="center" wrapText="1" readingOrder="1"/>
    </xf>
    <xf numFmtId="0" fontId="29" fillId="3" borderId="31"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89">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7" zoomScale="134" workbookViewId="0">
      <selection activeCell="B7" sqref="B7:H7"/>
    </sheetView>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176" t="s">
        <v>154</v>
      </c>
      <c r="C2" s="177"/>
      <c r="D2" s="177"/>
      <c r="E2" s="177"/>
      <c r="F2" s="177"/>
      <c r="G2" s="177"/>
      <c r="H2" s="178"/>
    </row>
    <row r="3" spans="2:8" x14ac:dyDescent="0.25">
      <c r="B3" s="68"/>
      <c r="C3" s="69"/>
      <c r="D3" s="69"/>
      <c r="E3" s="69"/>
      <c r="F3" s="69"/>
      <c r="G3" s="69"/>
      <c r="H3" s="70"/>
    </row>
    <row r="4" spans="2:8" ht="63" customHeight="1" x14ac:dyDescent="0.25">
      <c r="B4" s="179" t="s">
        <v>197</v>
      </c>
      <c r="C4" s="180"/>
      <c r="D4" s="180"/>
      <c r="E4" s="180"/>
      <c r="F4" s="180"/>
      <c r="G4" s="180"/>
      <c r="H4" s="181"/>
    </row>
    <row r="5" spans="2:8" ht="63" customHeight="1" x14ac:dyDescent="0.25">
      <c r="B5" s="182"/>
      <c r="C5" s="183"/>
      <c r="D5" s="183"/>
      <c r="E5" s="183"/>
      <c r="F5" s="183"/>
      <c r="G5" s="183"/>
      <c r="H5" s="184"/>
    </row>
    <row r="6" spans="2:8" ht="16.5" x14ac:dyDescent="0.25">
      <c r="B6" s="185" t="s">
        <v>152</v>
      </c>
      <c r="C6" s="186"/>
      <c r="D6" s="186"/>
      <c r="E6" s="186"/>
      <c r="F6" s="186"/>
      <c r="G6" s="186"/>
      <c r="H6" s="187"/>
    </row>
    <row r="7" spans="2:8" ht="95.25" customHeight="1" x14ac:dyDescent="0.25">
      <c r="B7" s="195" t="s">
        <v>157</v>
      </c>
      <c r="C7" s="196"/>
      <c r="D7" s="196"/>
      <c r="E7" s="196"/>
      <c r="F7" s="196"/>
      <c r="G7" s="196"/>
      <c r="H7" s="197"/>
    </row>
    <row r="8" spans="2:8" ht="16.5" x14ac:dyDescent="0.25">
      <c r="B8" s="102"/>
      <c r="C8" s="103"/>
      <c r="D8" s="103"/>
      <c r="E8" s="103"/>
      <c r="F8" s="103"/>
      <c r="G8" s="103"/>
      <c r="H8" s="104"/>
    </row>
    <row r="9" spans="2:8" ht="16.5" customHeight="1" x14ac:dyDescent="0.25">
      <c r="B9" s="188" t="s">
        <v>190</v>
      </c>
      <c r="C9" s="189"/>
      <c r="D9" s="189"/>
      <c r="E9" s="189"/>
      <c r="F9" s="189"/>
      <c r="G9" s="189"/>
      <c r="H9" s="190"/>
    </row>
    <row r="10" spans="2:8" ht="44.25" customHeight="1" x14ac:dyDescent="0.25">
      <c r="B10" s="188"/>
      <c r="C10" s="189"/>
      <c r="D10" s="189"/>
      <c r="E10" s="189"/>
      <c r="F10" s="189"/>
      <c r="G10" s="189"/>
      <c r="H10" s="190"/>
    </row>
    <row r="11" spans="2:8" ht="15.75" thickBot="1" x14ac:dyDescent="0.3">
      <c r="B11" s="91"/>
      <c r="C11" s="94"/>
      <c r="D11" s="99"/>
      <c r="E11" s="100"/>
      <c r="F11" s="100"/>
      <c r="G11" s="101"/>
      <c r="H11" s="95"/>
    </row>
    <row r="12" spans="2:8" ht="15.75" thickTop="1" x14ac:dyDescent="0.25">
      <c r="B12" s="91"/>
      <c r="C12" s="191" t="s">
        <v>153</v>
      </c>
      <c r="D12" s="192"/>
      <c r="E12" s="193" t="s">
        <v>191</v>
      </c>
      <c r="F12" s="194"/>
      <c r="G12" s="94"/>
      <c r="H12" s="95"/>
    </row>
    <row r="13" spans="2:8" ht="35.25" customHeight="1" x14ac:dyDescent="0.25">
      <c r="B13" s="91"/>
      <c r="C13" s="198" t="s">
        <v>184</v>
      </c>
      <c r="D13" s="199"/>
      <c r="E13" s="200" t="s">
        <v>189</v>
      </c>
      <c r="F13" s="201"/>
      <c r="G13" s="94"/>
      <c r="H13" s="95"/>
    </row>
    <row r="14" spans="2:8" ht="17.25" customHeight="1" x14ac:dyDescent="0.25">
      <c r="B14" s="91"/>
      <c r="C14" s="198" t="s">
        <v>185</v>
      </c>
      <c r="D14" s="199"/>
      <c r="E14" s="200" t="s">
        <v>187</v>
      </c>
      <c r="F14" s="201"/>
      <c r="G14" s="94"/>
      <c r="H14" s="95"/>
    </row>
    <row r="15" spans="2:8" ht="19.5" customHeight="1" x14ac:dyDescent="0.25">
      <c r="B15" s="91"/>
      <c r="C15" s="198" t="s">
        <v>186</v>
      </c>
      <c r="D15" s="199"/>
      <c r="E15" s="200" t="s">
        <v>188</v>
      </c>
      <c r="F15" s="201"/>
      <c r="G15" s="94"/>
      <c r="H15" s="95"/>
    </row>
    <row r="16" spans="2:8" ht="69.75" customHeight="1" x14ac:dyDescent="0.25">
      <c r="B16" s="91"/>
      <c r="C16" s="198" t="s">
        <v>155</v>
      </c>
      <c r="D16" s="199"/>
      <c r="E16" s="200" t="s">
        <v>156</v>
      </c>
      <c r="F16" s="201"/>
      <c r="G16" s="94"/>
      <c r="H16" s="95"/>
    </row>
    <row r="17" spans="2:8" ht="34.5" customHeight="1" x14ac:dyDescent="0.25">
      <c r="B17" s="91"/>
      <c r="C17" s="202" t="s">
        <v>2</v>
      </c>
      <c r="D17" s="203"/>
      <c r="E17" s="204" t="s">
        <v>198</v>
      </c>
      <c r="F17" s="205"/>
      <c r="G17" s="94"/>
      <c r="H17" s="95"/>
    </row>
    <row r="18" spans="2:8" ht="27.75" customHeight="1" x14ac:dyDescent="0.25">
      <c r="B18" s="91"/>
      <c r="C18" s="202" t="s">
        <v>3</v>
      </c>
      <c r="D18" s="203"/>
      <c r="E18" s="204" t="s">
        <v>199</v>
      </c>
      <c r="F18" s="205"/>
      <c r="G18" s="94"/>
      <c r="H18" s="95"/>
    </row>
    <row r="19" spans="2:8" ht="28.5" customHeight="1" x14ac:dyDescent="0.25">
      <c r="B19" s="91"/>
      <c r="C19" s="202" t="s">
        <v>41</v>
      </c>
      <c r="D19" s="203"/>
      <c r="E19" s="204" t="s">
        <v>200</v>
      </c>
      <c r="F19" s="205"/>
      <c r="G19" s="94"/>
      <c r="H19" s="95"/>
    </row>
    <row r="20" spans="2:8" ht="72.75" customHeight="1" x14ac:dyDescent="0.25">
      <c r="B20" s="91"/>
      <c r="C20" s="202" t="s">
        <v>1</v>
      </c>
      <c r="D20" s="203"/>
      <c r="E20" s="204" t="s">
        <v>201</v>
      </c>
      <c r="F20" s="205"/>
      <c r="G20" s="94"/>
      <c r="H20" s="95"/>
    </row>
    <row r="21" spans="2:8" ht="64.5" customHeight="1" x14ac:dyDescent="0.25">
      <c r="B21" s="91"/>
      <c r="C21" s="202" t="s">
        <v>49</v>
      </c>
      <c r="D21" s="203"/>
      <c r="E21" s="204" t="s">
        <v>159</v>
      </c>
      <c r="F21" s="205"/>
      <c r="G21" s="94"/>
      <c r="H21" s="95"/>
    </row>
    <row r="22" spans="2:8" ht="71.25" customHeight="1" x14ac:dyDescent="0.25">
      <c r="B22" s="91"/>
      <c r="C22" s="202" t="s">
        <v>158</v>
      </c>
      <c r="D22" s="203"/>
      <c r="E22" s="204" t="s">
        <v>160</v>
      </c>
      <c r="F22" s="205"/>
      <c r="G22" s="94"/>
      <c r="H22" s="95"/>
    </row>
    <row r="23" spans="2:8" ht="55.5" customHeight="1" x14ac:dyDescent="0.25">
      <c r="B23" s="91"/>
      <c r="C23" s="209" t="s">
        <v>161</v>
      </c>
      <c r="D23" s="210"/>
      <c r="E23" s="204" t="s">
        <v>162</v>
      </c>
      <c r="F23" s="205"/>
      <c r="G23" s="94"/>
      <c r="H23" s="95"/>
    </row>
    <row r="24" spans="2:8" ht="42" customHeight="1" x14ac:dyDescent="0.25">
      <c r="B24" s="91"/>
      <c r="C24" s="209" t="s">
        <v>47</v>
      </c>
      <c r="D24" s="210"/>
      <c r="E24" s="204" t="s">
        <v>163</v>
      </c>
      <c r="F24" s="205"/>
      <c r="G24" s="94"/>
      <c r="H24" s="95"/>
    </row>
    <row r="25" spans="2:8" ht="59.25" customHeight="1" x14ac:dyDescent="0.25">
      <c r="B25" s="91"/>
      <c r="C25" s="209" t="s">
        <v>151</v>
      </c>
      <c r="D25" s="210"/>
      <c r="E25" s="204" t="s">
        <v>164</v>
      </c>
      <c r="F25" s="205"/>
      <c r="G25" s="94"/>
      <c r="H25" s="95"/>
    </row>
    <row r="26" spans="2:8" ht="23.25" customHeight="1" x14ac:dyDescent="0.25">
      <c r="B26" s="91"/>
      <c r="C26" s="209" t="s">
        <v>12</v>
      </c>
      <c r="D26" s="210"/>
      <c r="E26" s="204" t="s">
        <v>165</v>
      </c>
      <c r="F26" s="205"/>
      <c r="G26" s="94"/>
      <c r="H26" s="95"/>
    </row>
    <row r="27" spans="2:8" ht="30.75" customHeight="1" x14ac:dyDescent="0.25">
      <c r="B27" s="91"/>
      <c r="C27" s="209" t="s">
        <v>169</v>
      </c>
      <c r="D27" s="210"/>
      <c r="E27" s="204" t="s">
        <v>166</v>
      </c>
      <c r="F27" s="205"/>
      <c r="G27" s="94"/>
      <c r="H27" s="95"/>
    </row>
    <row r="28" spans="2:8" ht="35.25" customHeight="1" x14ac:dyDescent="0.25">
      <c r="B28" s="91"/>
      <c r="C28" s="209" t="s">
        <v>170</v>
      </c>
      <c r="D28" s="210"/>
      <c r="E28" s="204" t="s">
        <v>167</v>
      </c>
      <c r="F28" s="205"/>
      <c r="G28" s="94"/>
      <c r="H28" s="95"/>
    </row>
    <row r="29" spans="2:8" ht="33" customHeight="1" x14ac:dyDescent="0.25">
      <c r="B29" s="91"/>
      <c r="C29" s="209" t="s">
        <v>170</v>
      </c>
      <c r="D29" s="210"/>
      <c r="E29" s="204" t="s">
        <v>167</v>
      </c>
      <c r="F29" s="205"/>
      <c r="G29" s="94"/>
      <c r="H29" s="95"/>
    </row>
    <row r="30" spans="2:8" ht="30" customHeight="1" x14ac:dyDescent="0.25">
      <c r="B30" s="91"/>
      <c r="C30" s="209" t="s">
        <v>171</v>
      </c>
      <c r="D30" s="210"/>
      <c r="E30" s="204" t="s">
        <v>168</v>
      </c>
      <c r="F30" s="205"/>
      <c r="G30" s="94"/>
      <c r="H30" s="95"/>
    </row>
    <row r="31" spans="2:8" ht="35.25" customHeight="1" x14ac:dyDescent="0.25">
      <c r="B31" s="91"/>
      <c r="C31" s="209" t="s">
        <v>172</v>
      </c>
      <c r="D31" s="210"/>
      <c r="E31" s="204" t="s">
        <v>173</v>
      </c>
      <c r="F31" s="205"/>
      <c r="G31" s="94"/>
      <c r="H31" s="95"/>
    </row>
    <row r="32" spans="2:8" ht="31.5" customHeight="1" x14ac:dyDescent="0.25">
      <c r="B32" s="91"/>
      <c r="C32" s="209" t="s">
        <v>174</v>
      </c>
      <c r="D32" s="210"/>
      <c r="E32" s="204" t="s">
        <v>175</v>
      </c>
      <c r="F32" s="205"/>
      <c r="G32" s="94"/>
      <c r="H32" s="95"/>
    </row>
    <row r="33" spans="2:8" ht="35.25" customHeight="1" x14ac:dyDescent="0.25">
      <c r="B33" s="91"/>
      <c r="C33" s="209" t="s">
        <v>176</v>
      </c>
      <c r="D33" s="210"/>
      <c r="E33" s="204" t="s">
        <v>177</v>
      </c>
      <c r="F33" s="205"/>
      <c r="G33" s="94"/>
      <c r="H33" s="95"/>
    </row>
    <row r="34" spans="2:8" ht="59.25" customHeight="1" x14ac:dyDescent="0.25">
      <c r="B34" s="91"/>
      <c r="C34" s="209" t="s">
        <v>178</v>
      </c>
      <c r="D34" s="210"/>
      <c r="E34" s="204" t="s">
        <v>179</v>
      </c>
      <c r="F34" s="205"/>
      <c r="G34" s="94"/>
      <c r="H34" s="95"/>
    </row>
    <row r="35" spans="2:8" ht="29.25" customHeight="1" x14ac:dyDescent="0.25">
      <c r="B35" s="91"/>
      <c r="C35" s="209" t="s">
        <v>29</v>
      </c>
      <c r="D35" s="210"/>
      <c r="E35" s="204" t="s">
        <v>180</v>
      </c>
      <c r="F35" s="205"/>
      <c r="G35" s="94"/>
      <c r="H35" s="95"/>
    </row>
    <row r="36" spans="2:8" ht="82.5" customHeight="1" x14ac:dyDescent="0.25">
      <c r="B36" s="91"/>
      <c r="C36" s="209" t="s">
        <v>182</v>
      </c>
      <c r="D36" s="210"/>
      <c r="E36" s="204" t="s">
        <v>181</v>
      </c>
      <c r="F36" s="205"/>
      <c r="G36" s="94"/>
      <c r="H36" s="95"/>
    </row>
    <row r="37" spans="2:8" ht="46.5" customHeight="1" x14ac:dyDescent="0.25">
      <c r="B37" s="91"/>
      <c r="C37" s="209" t="s">
        <v>38</v>
      </c>
      <c r="D37" s="210"/>
      <c r="E37" s="204" t="s">
        <v>183</v>
      </c>
      <c r="F37" s="205"/>
      <c r="G37" s="94"/>
      <c r="H37" s="95"/>
    </row>
    <row r="38" spans="2:8" ht="6.75" customHeight="1" thickBot="1" x14ac:dyDescent="0.3">
      <c r="B38" s="91"/>
      <c r="C38" s="211"/>
      <c r="D38" s="212"/>
      <c r="E38" s="213"/>
      <c r="F38" s="214"/>
      <c r="G38" s="94"/>
      <c r="H38" s="95"/>
    </row>
    <row r="39" spans="2:8" ht="15.75" thickTop="1" x14ac:dyDescent="0.25">
      <c r="B39" s="91"/>
      <c r="C39" s="92"/>
      <c r="D39" s="92"/>
      <c r="E39" s="93"/>
      <c r="F39" s="93"/>
      <c r="G39" s="94"/>
      <c r="H39" s="95"/>
    </row>
    <row r="40" spans="2:8" ht="21" customHeight="1" x14ac:dyDescent="0.25">
      <c r="B40" s="206" t="s">
        <v>192</v>
      </c>
      <c r="C40" s="207"/>
      <c r="D40" s="207"/>
      <c r="E40" s="207"/>
      <c r="F40" s="207"/>
      <c r="G40" s="207"/>
      <c r="H40" s="208"/>
    </row>
    <row r="41" spans="2:8" ht="20.25" customHeight="1" x14ac:dyDescent="0.25">
      <c r="B41" s="206" t="s">
        <v>193</v>
      </c>
      <c r="C41" s="207"/>
      <c r="D41" s="207"/>
      <c r="E41" s="207"/>
      <c r="F41" s="207"/>
      <c r="G41" s="207"/>
      <c r="H41" s="208"/>
    </row>
    <row r="42" spans="2:8" ht="20.25" customHeight="1" x14ac:dyDescent="0.25">
      <c r="B42" s="206" t="s">
        <v>194</v>
      </c>
      <c r="C42" s="207"/>
      <c r="D42" s="207"/>
      <c r="E42" s="207"/>
      <c r="F42" s="207"/>
      <c r="G42" s="207"/>
      <c r="H42" s="208"/>
    </row>
    <row r="43" spans="2:8" ht="20.25" customHeight="1" x14ac:dyDescent="0.25">
      <c r="B43" s="206" t="s">
        <v>195</v>
      </c>
      <c r="C43" s="207"/>
      <c r="D43" s="207"/>
      <c r="E43" s="207"/>
      <c r="F43" s="207"/>
      <c r="G43" s="207"/>
      <c r="H43" s="208"/>
    </row>
    <row r="44" spans="2:8" x14ac:dyDescent="0.25">
      <c r="B44" s="206" t="s">
        <v>196</v>
      </c>
      <c r="C44" s="207"/>
      <c r="D44" s="207"/>
      <c r="E44" s="207"/>
      <c r="F44" s="207"/>
      <c r="G44" s="207"/>
      <c r="H44" s="208"/>
    </row>
    <row r="45" spans="2:8" ht="15.75" thickBot="1" x14ac:dyDescent="0.3">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BL71"/>
  <sheetViews>
    <sheetView tabSelected="1" zoomScale="60" zoomScaleNormal="60" workbookViewId="0">
      <selection activeCell="C4" sqref="C4:AK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15.140625" style="1" customWidth="1"/>
    <col min="12" max="12" width="24.42578125" style="1" bestFit="1" customWidth="1"/>
    <col min="13" max="13" width="28.28515625" style="1" hidden="1" customWidth="1"/>
    <col min="14" max="14" width="17.42578125" style="1" customWidth="1"/>
    <col min="15" max="15" width="9.140625" style="1" customWidth="1"/>
    <col min="16" max="16" width="16" style="1" customWidth="1"/>
    <col min="17" max="17" width="5.85546875" style="1" customWidth="1"/>
    <col min="18" max="18" width="55" style="1" customWidth="1"/>
    <col min="19" max="19" width="15.140625" style="1" bestFit="1" customWidth="1"/>
    <col min="20" max="20" width="6.85546875" style="1" customWidth="1"/>
    <col min="21" max="21" width="5" style="1" customWidth="1"/>
    <col min="22" max="22" width="5.42578125" style="1" customWidth="1"/>
    <col min="23" max="23" width="7.140625" style="1" customWidth="1"/>
    <col min="24" max="24" width="6.7109375" style="1" customWidth="1"/>
    <col min="25" max="25" width="4.7109375" style="1" bestFit="1" customWidth="1"/>
    <col min="26" max="26" width="38.42578125" style="1" bestFit="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4.85546875" style="1" customWidth="1"/>
    <col min="37" max="37" width="21" style="1" customWidth="1"/>
    <col min="38" max="38" width="47.140625" style="1" customWidth="1"/>
    <col min="39" max="16384" width="11.42578125" style="1"/>
  </cols>
  <sheetData>
    <row r="1" spans="1:64" ht="16.5" customHeight="1" x14ac:dyDescent="0.3">
      <c r="A1" s="225" t="s">
        <v>138</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ht="24" customHeight="1" x14ac:dyDescent="0.3">
      <c r="A2" s="225"/>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3" spans="1:64"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row>
    <row r="4" spans="1:64" ht="26.25" customHeight="1" x14ac:dyDescent="0.3">
      <c r="A4" s="240" t="s">
        <v>42</v>
      </c>
      <c r="B4" s="241"/>
      <c r="C4" s="223" t="s">
        <v>214</v>
      </c>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8"/>
      <c r="AM4" s="8"/>
      <c r="AN4" s="8"/>
      <c r="AO4" s="8"/>
      <c r="AP4" s="8"/>
      <c r="AQ4" s="8"/>
      <c r="AR4" s="8"/>
      <c r="AS4" s="8"/>
      <c r="AT4" s="8"/>
      <c r="AU4" s="8"/>
      <c r="AV4" s="8"/>
      <c r="AW4" s="8"/>
      <c r="AX4" s="8"/>
      <c r="AY4" s="8"/>
      <c r="AZ4" s="8"/>
      <c r="BA4" s="8"/>
      <c r="BB4" s="8"/>
      <c r="BC4" s="8"/>
      <c r="BD4" s="8"/>
      <c r="BE4" s="8"/>
      <c r="BF4" s="8"/>
      <c r="BG4" s="8"/>
      <c r="BH4" s="8"/>
      <c r="BI4" s="8"/>
      <c r="BJ4" s="8"/>
      <c r="BK4" s="8"/>
      <c r="BL4" s="8"/>
    </row>
    <row r="5" spans="1:64" ht="30" customHeight="1" x14ac:dyDescent="0.3">
      <c r="A5" s="240" t="s">
        <v>124</v>
      </c>
      <c r="B5" s="241"/>
      <c r="C5" s="221" t="s">
        <v>215</v>
      </c>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8"/>
      <c r="AM5" s="8"/>
      <c r="AN5" s="8"/>
      <c r="AO5" s="8"/>
      <c r="AP5" s="8"/>
      <c r="AQ5" s="8"/>
      <c r="AR5" s="8"/>
      <c r="AS5" s="8"/>
      <c r="AT5" s="8"/>
      <c r="AU5" s="8"/>
      <c r="AV5" s="8"/>
      <c r="AW5" s="8"/>
      <c r="AX5" s="8"/>
      <c r="AY5" s="8"/>
      <c r="AZ5" s="8"/>
      <c r="BA5" s="8"/>
      <c r="BB5" s="8"/>
      <c r="BC5" s="8"/>
      <c r="BD5" s="8"/>
      <c r="BE5" s="8"/>
      <c r="BF5" s="8"/>
      <c r="BG5" s="8"/>
      <c r="BH5" s="8"/>
      <c r="BI5" s="8"/>
      <c r="BJ5" s="8"/>
      <c r="BK5" s="8"/>
      <c r="BL5" s="8"/>
    </row>
    <row r="6" spans="1:64" ht="49.5" customHeight="1" x14ac:dyDescent="0.3">
      <c r="A6" s="240" t="s">
        <v>43</v>
      </c>
      <c r="B6" s="241"/>
      <c r="C6" s="221" t="s">
        <v>216</v>
      </c>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8"/>
      <c r="AM6" s="8"/>
      <c r="AN6" s="8"/>
      <c r="AO6" s="8"/>
      <c r="AP6" s="8"/>
      <c r="AQ6" s="8"/>
      <c r="AR6" s="8"/>
      <c r="AS6" s="8"/>
      <c r="AT6" s="8"/>
      <c r="AU6" s="8"/>
      <c r="AV6" s="8"/>
      <c r="AW6" s="8"/>
      <c r="AX6" s="8"/>
      <c r="AY6" s="8"/>
      <c r="AZ6" s="8"/>
      <c r="BA6" s="8"/>
      <c r="BB6" s="8"/>
      <c r="BC6" s="8"/>
      <c r="BD6" s="8"/>
      <c r="BE6" s="8"/>
      <c r="BF6" s="8"/>
      <c r="BG6" s="8"/>
      <c r="BH6" s="8"/>
      <c r="BI6" s="8"/>
      <c r="BJ6" s="8"/>
      <c r="BK6" s="8"/>
      <c r="BL6" s="8"/>
    </row>
    <row r="7" spans="1:64" x14ac:dyDescent="0.3">
      <c r="A7" s="166" t="s">
        <v>133</v>
      </c>
      <c r="B7" s="167"/>
      <c r="C7" s="165"/>
      <c r="D7" s="165"/>
      <c r="E7" s="165"/>
      <c r="F7" s="165"/>
      <c r="G7" s="165"/>
      <c r="H7" s="165"/>
      <c r="I7" s="168"/>
      <c r="J7" s="164" t="s">
        <v>134</v>
      </c>
      <c r="K7" s="165"/>
      <c r="L7" s="165"/>
      <c r="M7" s="165"/>
      <c r="N7" s="165"/>
      <c r="O7" s="165"/>
      <c r="P7" s="168"/>
      <c r="Q7" s="164" t="s">
        <v>135</v>
      </c>
      <c r="R7" s="165"/>
      <c r="S7" s="165"/>
      <c r="T7" s="165"/>
      <c r="U7" s="165"/>
      <c r="V7" s="165"/>
      <c r="W7" s="165"/>
      <c r="X7" s="165"/>
      <c r="Y7" s="168"/>
      <c r="Z7" s="164" t="s">
        <v>136</v>
      </c>
      <c r="AA7" s="165"/>
      <c r="AB7" s="165"/>
      <c r="AC7" s="165"/>
      <c r="AD7" s="165"/>
      <c r="AE7" s="165"/>
      <c r="AF7" s="168"/>
      <c r="AG7" s="164" t="s">
        <v>34</v>
      </c>
      <c r="AH7" s="165"/>
      <c r="AI7" s="165"/>
      <c r="AJ7" s="165"/>
      <c r="AK7" s="165"/>
      <c r="AL7" s="8"/>
      <c r="AM7" s="8"/>
      <c r="AN7" s="8"/>
      <c r="AO7" s="8"/>
      <c r="AP7" s="8"/>
      <c r="AQ7" s="8"/>
      <c r="AR7" s="8"/>
      <c r="AS7" s="8"/>
      <c r="AT7" s="8"/>
      <c r="AU7" s="8"/>
      <c r="AV7" s="8"/>
      <c r="AW7" s="8"/>
      <c r="AX7" s="8"/>
      <c r="AY7" s="8"/>
      <c r="AZ7" s="8"/>
      <c r="BA7" s="8"/>
      <c r="BB7" s="8"/>
      <c r="BC7" s="8"/>
      <c r="BD7" s="8"/>
      <c r="BE7" s="8"/>
      <c r="BF7" s="8"/>
      <c r="BG7" s="8"/>
      <c r="BH7" s="8"/>
      <c r="BI7" s="8"/>
      <c r="BJ7" s="8"/>
      <c r="BK7" s="8"/>
      <c r="BL7" s="8"/>
    </row>
    <row r="8" spans="1:64" ht="16.5" customHeight="1" x14ac:dyDescent="0.3">
      <c r="A8" s="242" t="s">
        <v>0</v>
      </c>
      <c r="B8" s="289" t="s">
        <v>2</v>
      </c>
      <c r="C8" s="234" t="s">
        <v>3</v>
      </c>
      <c r="D8" s="234" t="s">
        <v>41</v>
      </c>
      <c r="E8" s="217" t="s">
        <v>202</v>
      </c>
      <c r="F8" s="244" t="s">
        <v>1</v>
      </c>
      <c r="G8" s="142"/>
      <c r="H8" s="217" t="s">
        <v>49</v>
      </c>
      <c r="I8" s="234" t="s">
        <v>129</v>
      </c>
      <c r="J8" s="236" t="s">
        <v>33</v>
      </c>
      <c r="K8" s="237" t="s">
        <v>5</v>
      </c>
      <c r="L8" s="217" t="s">
        <v>85</v>
      </c>
      <c r="M8" s="217" t="s">
        <v>90</v>
      </c>
      <c r="N8" s="239" t="s">
        <v>44</v>
      </c>
      <c r="O8" s="237" t="s">
        <v>5</v>
      </c>
      <c r="P8" s="234" t="s">
        <v>47</v>
      </c>
      <c r="Q8" s="290" t="s">
        <v>11</v>
      </c>
      <c r="R8" s="235" t="s">
        <v>151</v>
      </c>
      <c r="S8" s="217" t="s">
        <v>12</v>
      </c>
      <c r="T8" s="235" t="s">
        <v>8</v>
      </c>
      <c r="U8" s="235"/>
      <c r="V8" s="235"/>
      <c r="W8" s="235"/>
      <c r="X8" s="235"/>
      <c r="Y8" s="235"/>
      <c r="Z8" s="292" t="s">
        <v>132</v>
      </c>
      <c r="AA8" s="292" t="s">
        <v>45</v>
      </c>
      <c r="AB8" s="292" t="s">
        <v>5</v>
      </c>
      <c r="AC8" s="292" t="s">
        <v>46</v>
      </c>
      <c r="AD8" s="292" t="s">
        <v>5</v>
      </c>
      <c r="AE8" s="292" t="s">
        <v>48</v>
      </c>
      <c r="AF8" s="290" t="s">
        <v>29</v>
      </c>
      <c r="AG8" s="235" t="s">
        <v>34</v>
      </c>
      <c r="AH8" s="235" t="s">
        <v>35</v>
      </c>
      <c r="AI8" s="235" t="s">
        <v>36</v>
      </c>
      <c r="AJ8" s="235" t="s">
        <v>37</v>
      </c>
      <c r="AK8" s="217" t="s">
        <v>38</v>
      </c>
      <c r="AL8" s="8"/>
      <c r="AM8" s="8"/>
      <c r="AN8" s="8"/>
      <c r="AO8" s="8"/>
      <c r="AP8" s="8"/>
      <c r="AQ8" s="8"/>
      <c r="AR8" s="8"/>
      <c r="AS8" s="8"/>
      <c r="AT8" s="8"/>
      <c r="AU8" s="8"/>
      <c r="AV8" s="8"/>
      <c r="AW8" s="8"/>
      <c r="AX8" s="8"/>
      <c r="AY8" s="8"/>
      <c r="AZ8" s="8"/>
      <c r="BA8" s="8"/>
      <c r="BB8" s="8"/>
      <c r="BC8" s="8"/>
      <c r="BD8" s="8"/>
      <c r="BE8" s="8"/>
      <c r="BF8" s="8"/>
      <c r="BG8" s="8"/>
      <c r="BH8" s="8"/>
      <c r="BI8" s="8"/>
      <c r="BJ8" s="8"/>
      <c r="BK8" s="8"/>
      <c r="BL8" s="8"/>
    </row>
    <row r="9" spans="1:64" s="4" customFormat="1" ht="94.5" customHeight="1" x14ac:dyDescent="0.25">
      <c r="A9" s="243"/>
      <c r="B9" s="289"/>
      <c r="C9" s="235"/>
      <c r="D9" s="235"/>
      <c r="E9" s="236"/>
      <c r="F9" s="245"/>
      <c r="G9" s="142" t="s">
        <v>203</v>
      </c>
      <c r="H9" s="234"/>
      <c r="I9" s="235"/>
      <c r="J9" s="234"/>
      <c r="K9" s="238"/>
      <c r="L9" s="234"/>
      <c r="M9" s="234"/>
      <c r="N9" s="238"/>
      <c r="O9" s="238"/>
      <c r="P9" s="235"/>
      <c r="Q9" s="291"/>
      <c r="R9" s="235"/>
      <c r="S9" s="234"/>
      <c r="T9" s="7" t="s">
        <v>13</v>
      </c>
      <c r="U9" s="7" t="s">
        <v>17</v>
      </c>
      <c r="V9" s="7" t="s">
        <v>28</v>
      </c>
      <c r="W9" s="7" t="s">
        <v>18</v>
      </c>
      <c r="X9" s="7" t="s">
        <v>21</v>
      </c>
      <c r="Y9" s="7" t="s">
        <v>24</v>
      </c>
      <c r="Z9" s="292"/>
      <c r="AA9" s="292"/>
      <c r="AB9" s="292"/>
      <c r="AC9" s="292"/>
      <c r="AD9" s="292"/>
      <c r="AE9" s="292"/>
      <c r="AF9" s="291"/>
      <c r="AG9" s="235"/>
      <c r="AH9" s="235"/>
      <c r="AI9" s="235"/>
      <c r="AJ9" s="235"/>
      <c r="AK9" s="218"/>
      <c r="AL9" s="172" t="s">
        <v>246</v>
      </c>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row>
    <row r="10" spans="1:64" s="3" customFormat="1" ht="279.75" customHeight="1" x14ac:dyDescent="0.25">
      <c r="A10" s="227">
        <v>1</v>
      </c>
      <c r="B10" s="229" t="s">
        <v>128</v>
      </c>
      <c r="C10" s="229" t="s">
        <v>238</v>
      </c>
      <c r="D10" s="231" t="s">
        <v>223</v>
      </c>
      <c r="E10" s="155" t="s">
        <v>217</v>
      </c>
      <c r="F10" s="233" t="s">
        <v>239</v>
      </c>
      <c r="G10" s="233" t="s">
        <v>222</v>
      </c>
      <c r="H10" s="276" t="s">
        <v>117</v>
      </c>
      <c r="I10" s="278">
        <v>4946</v>
      </c>
      <c r="J10" s="271" t="str">
        <f>IF(I10&lt;=0,"",IF(I10&lt;=2,"Muy Baja",IF(I10&lt;=24,"Baja",IF(I10&lt;=500,"Media",IF(I10&lt;=5000,"Alta","Muy Alta")))))</f>
        <v>Alta</v>
      </c>
      <c r="K10" s="267">
        <f>IF(J10="","",IF(J10="Muy Baja",0.2,IF(J10="Baja",0.4,IF(J10="Media",0.6,IF(J10="Alta",0.8,IF(J10="Muy Alta",1,))))))</f>
        <v>0.8</v>
      </c>
      <c r="L10" s="269" t="s">
        <v>145</v>
      </c>
      <c r="M10" s="267"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271" t="str">
        <f ca="1">IF(OR(M10='Tabla Impacto'!$C$11,M10='Tabla Impacto'!$D$11),"Leve",IF(OR(M10='Tabla Impacto'!$C$12,M10='Tabla Impacto'!$D$12),"Menor",IF(OR(M10='Tabla Impacto'!$C$13,M10='Tabla Impacto'!$D$13),"Moderado",IF(OR(M10='Tabla Impacto'!$C$14,M10='Tabla Impacto'!$D$14),"Mayor",IF(OR(M10='Tabla Impacto'!$C$15,M10='Tabla Impacto'!$D$15),"Catastrófico","")))))</f>
        <v>Mayor</v>
      </c>
      <c r="O10" s="267">
        <f ca="1">IF(N10="","",IF(N10="Leve",0.2,IF(N10="Menor",0.4,IF(N10="Moderado",0.6,IF(N10="Mayor",0.8,IF(N10="Catastrófico",1,))))))</f>
        <v>0.8</v>
      </c>
      <c r="P10" s="265"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5">
        <v>1</v>
      </c>
      <c r="R10" s="156" t="s">
        <v>225</v>
      </c>
      <c r="S10" s="107" t="str">
        <f>IF(OR(T10="Preventivo",T10="Detectivo"),"Probabilidad",IF(T10="Correctivo","Impacto",""))</f>
        <v>Impacto</v>
      </c>
      <c r="T10" s="119" t="s">
        <v>16</v>
      </c>
      <c r="U10" s="119" t="s">
        <v>9</v>
      </c>
      <c r="V10" s="120" t="str">
        <f>IF(AND(T10="Preventivo",U10="Automático"),"50%",IF(AND(T10="Preventivo",U10="Manual"),"40%",IF(AND(T10="Detectivo",U10="Automático"),"40%",IF(AND(T10="Detectivo",U10="Manual"),"30%",IF(AND(T10="Correctivo",U10="Automático"),"35%",IF(AND(T10="Correctivo",U10="Manual"),"25%",""))))))</f>
        <v>25%</v>
      </c>
      <c r="W10" s="119" t="s">
        <v>19</v>
      </c>
      <c r="X10" s="119" t="s">
        <v>22</v>
      </c>
      <c r="Y10" s="119" t="s">
        <v>113</v>
      </c>
      <c r="Z10" s="110">
        <f>IFERROR(IF(S10="Probabilidad",(K10-(+K10*V10)),IF(S10="Impacto",K10,"")),"")</f>
        <v>0.8</v>
      </c>
      <c r="AA10" s="122" t="str">
        <f>IFERROR(IF(Z10="","",IF(Z10&lt;=0.2,"Muy Baja",IF(Z10&lt;=0.4,"Baja",IF(Z10&lt;=0.6,"Media",IF(Z10&lt;=0.8,"Alta","Muy Alta"))))),"")</f>
        <v>Alta</v>
      </c>
      <c r="AB10" s="123">
        <f>+Z10</f>
        <v>0.8</v>
      </c>
      <c r="AC10" s="122" t="str">
        <f ca="1">IFERROR(IF(AD10="","",IF(AD10&lt;=0.2,"Leve",IF(AD10&lt;=0.4,"Menor",IF(AD10&lt;=0.6,"Moderado",IF(AD10&lt;=0.8,"Mayor","Catastrófico"))))),"")</f>
        <v>Moderado</v>
      </c>
      <c r="AD10" s="123">
        <f ca="1">IFERROR(IF(S10="Impacto",(O10-(+O10*V10)),IF(S10="Probabilidad",O10,"")),"")</f>
        <v>0.60000000000000009</v>
      </c>
      <c r="AE10" s="124"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125" t="s">
        <v>130</v>
      </c>
      <c r="AG10" s="160" t="s">
        <v>240</v>
      </c>
      <c r="AH10" s="160" t="s">
        <v>242</v>
      </c>
      <c r="AI10" s="158">
        <v>44927</v>
      </c>
      <c r="AJ10" s="158">
        <v>45291</v>
      </c>
      <c r="AK10" s="169" t="s">
        <v>40</v>
      </c>
      <c r="AL10" s="174" t="s">
        <v>248</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row>
    <row r="11" spans="1:64" s="3" customFormat="1" ht="279.75" customHeight="1" x14ac:dyDescent="0.25">
      <c r="A11" s="228"/>
      <c r="B11" s="230"/>
      <c r="C11" s="230"/>
      <c r="D11" s="232"/>
      <c r="E11" s="287" t="s">
        <v>218</v>
      </c>
      <c r="F11" s="233"/>
      <c r="G11" s="233"/>
      <c r="H11" s="277"/>
      <c r="I11" s="279"/>
      <c r="J11" s="272"/>
      <c r="K11" s="268"/>
      <c r="L11" s="270"/>
      <c r="M11" s="268"/>
      <c r="N11" s="272"/>
      <c r="O11" s="268"/>
      <c r="P11" s="266"/>
      <c r="Q11" s="316">
        <v>2</v>
      </c>
      <c r="R11" s="229" t="s">
        <v>226</v>
      </c>
      <c r="S11" s="318" t="str">
        <f>IF(OR(T11="Preventivo",T11="Detectivo"),"Probabilidad",IF(T11="Correctivo","Impacto",""))</f>
        <v>Impacto</v>
      </c>
      <c r="T11" s="299" t="s">
        <v>16</v>
      </c>
      <c r="U11" s="299" t="s">
        <v>9</v>
      </c>
      <c r="V11" s="303" t="str">
        <f>IF(AND(T11="Preventivo",U11="Automático"),"50%",IF(AND(T11="Preventivo",U11="Manual"),"40%",IF(AND(T11="Detectivo",U11="Automático"),"40%",IF(AND(T11="Detectivo",U11="Manual"),"30%",IF(AND(T11="Correctivo",U11="Automático"),"35%",IF(AND(T11="Correctivo",U11="Manual"),"25%",""))))))</f>
        <v>25%</v>
      </c>
      <c r="W11" s="299" t="s">
        <v>19</v>
      </c>
      <c r="X11" s="299" t="s">
        <v>22</v>
      </c>
      <c r="Y11" s="299" t="s">
        <v>113</v>
      </c>
      <c r="Z11" s="322">
        <f>IFERROR(IF(AND(S10="Probabilidad",S11="Probabilidad"),(AB10-(+AB10*V11)),IF(AND(S10="Impacto",S11="Probabilidad"),(AB9-(+AB9*V11)),IF(S11="Impacto",AB10,""))),"")</f>
        <v>0.8</v>
      </c>
      <c r="AA11" s="305" t="str">
        <f>IFERROR(IF(Z11="","",IF(Z11&lt;=0.2,"Muy Baja",IF(Z11&lt;=0.4,"Baja",IF(Z11&lt;=0.6,"Media",IF(Z11&lt;=0.8,"Alta","Muy Alta"))))),"")</f>
        <v>Alta</v>
      </c>
      <c r="AB11" s="303">
        <f>+Z11</f>
        <v>0.8</v>
      </c>
      <c r="AC11" s="305" t="str">
        <f ca="1">IFERROR(IF(AD11="","",IF(AD11&lt;=0.2,"Leve",IF(AD11&lt;=0.4,"Menor",IF(AD11&lt;=0.6,"Moderado",IF(AD11&lt;=0.8,"Mayor","Catastrófico"))))),"")</f>
        <v>Moderado</v>
      </c>
      <c r="AD11" s="303">
        <f ca="1">IFERROR(IF(AND(S10="Impacto",S11="Impacto"),(AD10-(+AD10*V11)),IF(AND(S10="Probabilidad",S11="Impacto"),(AD9-(+AD9*V11)),IF(S11="Probabilidad",AD10,""))),"")</f>
        <v>0.45000000000000007</v>
      </c>
      <c r="AE11" s="301" t="str">
        <f ca="1">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299" t="s">
        <v>130</v>
      </c>
      <c r="AG11" s="162" t="s">
        <v>243</v>
      </c>
      <c r="AH11" s="162" t="s">
        <v>242</v>
      </c>
      <c r="AI11" s="163">
        <v>45170</v>
      </c>
      <c r="AJ11" s="163">
        <v>45291</v>
      </c>
      <c r="AK11" s="170" t="s">
        <v>40</v>
      </c>
      <c r="AL11" s="173" t="s">
        <v>245</v>
      </c>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row>
    <row r="12" spans="1:64" ht="378" customHeight="1" x14ac:dyDescent="0.3">
      <c r="A12" s="228"/>
      <c r="B12" s="230"/>
      <c r="C12" s="230"/>
      <c r="D12" s="232"/>
      <c r="E12" s="288"/>
      <c r="F12" s="233"/>
      <c r="G12" s="233"/>
      <c r="H12" s="277"/>
      <c r="I12" s="279"/>
      <c r="J12" s="272"/>
      <c r="K12" s="268"/>
      <c r="L12" s="270"/>
      <c r="M12" s="268">
        <f ca="1">IF(NOT(ISERROR(MATCH(L12,_xlfn.ANCHORARRAY(F21),0))),K23&amp;"Por favor no seleccionar los criterios de impacto",L12)</f>
        <v>0</v>
      </c>
      <c r="N12" s="272"/>
      <c r="O12" s="268"/>
      <c r="P12" s="266"/>
      <c r="Q12" s="317"/>
      <c r="R12" s="264"/>
      <c r="S12" s="319"/>
      <c r="T12" s="300"/>
      <c r="U12" s="300"/>
      <c r="V12" s="304"/>
      <c r="W12" s="300"/>
      <c r="X12" s="300"/>
      <c r="Y12" s="300"/>
      <c r="Z12" s="323"/>
      <c r="AA12" s="306"/>
      <c r="AB12" s="304"/>
      <c r="AC12" s="306"/>
      <c r="AD12" s="304"/>
      <c r="AE12" s="302"/>
      <c r="AF12" s="300"/>
      <c r="AG12" s="293" t="s">
        <v>234</v>
      </c>
      <c r="AH12" s="293" t="s">
        <v>242</v>
      </c>
      <c r="AI12" s="295">
        <v>44927</v>
      </c>
      <c r="AJ12" s="297">
        <v>45291</v>
      </c>
      <c r="AK12" s="219" t="s">
        <v>40</v>
      </c>
      <c r="AL12" s="215" t="s">
        <v>247</v>
      </c>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64" ht="409.6" customHeight="1" x14ac:dyDescent="0.3">
      <c r="A13" s="228"/>
      <c r="B13" s="230"/>
      <c r="C13" s="230"/>
      <c r="D13" s="232"/>
      <c r="E13" s="153" t="s">
        <v>219</v>
      </c>
      <c r="F13" s="233"/>
      <c r="G13" s="233"/>
      <c r="H13" s="277"/>
      <c r="I13" s="279"/>
      <c r="J13" s="272"/>
      <c r="K13" s="268"/>
      <c r="L13" s="270"/>
      <c r="M13" s="268">
        <f ca="1">IF(NOT(ISERROR(MATCH(L13,_xlfn.ANCHORARRAY(F22),0))),K24&amp;"Por favor no seleccionar los criterios de impacto",L13)</f>
        <v>0</v>
      </c>
      <c r="N13" s="272"/>
      <c r="O13" s="268"/>
      <c r="P13" s="266"/>
      <c r="Q13" s="105">
        <v>3</v>
      </c>
      <c r="R13" s="157" t="s">
        <v>227</v>
      </c>
      <c r="S13" s="107" t="str">
        <f t="shared" ref="S13:S14" si="0">IF(OR(T13="Preventivo",T13="Detectivo"),"Probabilidad",IF(T13="Correctivo","Impacto",""))</f>
        <v>Impacto</v>
      </c>
      <c r="T13" s="119" t="s">
        <v>16</v>
      </c>
      <c r="U13" s="119" t="s">
        <v>9</v>
      </c>
      <c r="V13" s="120" t="str">
        <f t="shared" ref="V13:V20" si="1">IF(AND(T13="Preventivo",U13="Automático"),"50%",IF(AND(T13="Preventivo",U13="Manual"),"40%",IF(AND(T13="Detectivo",U13="Automático"),"40%",IF(AND(T13="Detectivo",U13="Manual"),"30%",IF(AND(T13="Correctivo",U13="Automático"),"35%",IF(AND(T13="Correctivo",U13="Manual"),"25%",""))))))</f>
        <v>25%</v>
      </c>
      <c r="W13" s="119" t="s">
        <v>19</v>
      </c>
      <c r="X13" s="119" t="s">
        <v>22</v>
      </c>
      <c r="Y13" s="119" t="s">
        <v>113</v>
      </c>
      <c r="Z13" s="110">
        <f>IFERROR(IF(AND(S11="Probabilidad",S13="Probabilidad"),(AB11-(+AB11*V13)),IF(AND(S11="Impacto",S13="Probabilidad"),(AB10-(+AB10*V13)),IF(S13="Impacto",AB11,""))),"")</f>
        <v>0.8</v>
      </c>
      <c r="AA13" s="122" t="str">
        <f t="shared" ref="AA13:AA14" si="2">IFERROR(IF(Z13="","",IF(Z13&lt;=0.2,"Muy Baja",IF(Z13&lt;=0.4,"Baja",IF(Z13&lt;=0.6,"Media",IF(Z13&lt;=0.8,"Alta","Muy Alta"))))),"")</f>
        <v>Alta</v>
      </c>
      <c r="AB13" s="123">
        <f t="shared" ref="AB13:AB14" si="3">+Z13</f>
        <v>0.8</v>
      </c>
      <c r="AC13" s="122" t="str">
        <f t="shared" ref="AC13:AC14" ca="1" si="4">IFERROR(IF(AD13="","",IF(AD13&lt;=0.2,"Leve",IF(AD13&lt;=0.4,"Menor",IF(AD13&lt;=0.6,"Moderado",IF(AD13&lt;=0.8,"Mayor","Catastrófico"))))),"")</f>
        <v>Menor</v>
      </c>
      <c r="AD13" s="123">
        <f ca="1">IFERROR(IF(AND(S11="Impacto",S13="Impacto"),(AD11-(+AD11*V13)),IF(AND(S11="Probabilidad",S13="Impacto"),(AD10-(+AD10*V13)),IF(S13="Probabilidad",AD11,""))),"")</f>
        <v>0.33750000000000002</v>
      </c>
      <c r="AE13" s="124" t="str">
        <f t="shared" ref="AE13:AE14" ca="1" si="5">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Moderado</v>
      </c>
      <c r="AF13" s="125" t="s">
        <v>130</v>
      </c>
      <c r="AG13" s="294"/>
      <c r="AH13" s="294"/>
      <c r="AI13" s="296"/>
      <c r="AJ13" s="298"/>
      <c r="AK13" s="220"/>
      <c r="AL13" s="216"/>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row>
    <row r="14" spans="1:64" ht="366" customHeight="1" x14ac:dyDescent="0.3">
      <c r="A14" s="228"/>
      <c r="B14" s="230"/>
      <c r="C14" s="230"/>
      <c r="D14" s="232"/>
      <c r="E14" s="153" t="s">
        <v>224</v>
      </c>
      <c r="F14" s="233"/>
      <c r="G14" s="233"/>
      <c r="H14" s="277"/>
      <c r="I14" s="279"/>
      <c r="J14" s="272"/>
      <c r="K14" s="268"/>
      <c r="L14" s="270"/>
      <c r="M14" s="268">
        <f ca="1">IF(NOT(ISERROR(MATCH(L14,_xlfn.ANCHORARRAY(F23),0))),K25&amp;"Por favor no seleccionar los criterios de impacto",L14)</f>
        <v>0</v>
      </c>
      <c r="N14" s="272"/>
      <c r="O14" s="268"/>
      <c r="P14" s="266"/>
      <c r="Q14" s="105">
        <v>4</v>
      </c>
      <c r="R14" s="156" t="s">
        <v>230</v>
      </c>
      <c r="S14" s="107" t="str">
        <f t="shared" si="0"/>
        <v>Impacto</v>
      </c>
      <c r="T14" s="119" t="s">
        <v>16</v>
      </c>
      <c r="U14" s="119" t="s">
        <v>9</v>
      </c>
      <c r="V14" s="120" t="str">
        <f t="shared" si="1"/>
        <v>25%</v>
      </c>
      <c r="W14" s="119" t="s">
        <v>19</v>
      </c>
      <c r="X14" s="119" t="s">
        <v>22</v>
      </c>
      <c r="Y14" s="119" t="s">
        <v>113</v>
      </c>
      <c r="Z14" s="110">
        <f>IFERROR(IF(AND(S13="Probabilidad",S14="Probabilidad"),(AB13-(+AB13*V14)),IF(AND(S13="Impacto",S14="Probabilidad"),(AB11-(+AB11*V14)),IF(S14="Impacto",AB13,""))),"")</f>
        <v>0.8</v>
      </c>
      <c r="AA14" s="122" t="str">
        <f t="shared" si="2"/>
        <v>Alta</v>
      </c>
      <c r="AB14" s="123">
        <f t="shared" si="3"/>
        <v>0.8</v>
      </c>
      <c r="AC14" s="122" t="str">
        <f t="shared" ca="1" si="4"/>
        <v>Menor</v>
      </c>
      <c r="AD14" s="123">
        <f ca="1">IFERROR(IF(AND(S13="Impacto",S14="Impacto"),(AD13-(+AD13*V14)),IF(AND(S13="Probabilidad",S14="Impacto"),(AD11-(+AD11*V14)),IF(S14="Probabilidad",AD13,""))),"")</f>
        <v>0.25312500000000004</v>
      </c>
      <c r="AE14" s="124" t="str">
        <f t="shared" ca="1" si="5"/>
        <v>Moderado</v>
      </c>
      <c r="AF14" s="125"/>
      <c r="AG14" s="160" t="s">
        <v>233</v>
      </c>
      <c r="AH14" s="161" t="s">
        <v>242</v>
      </c>
      <c r="AI14" s="159">
        <v>44840</v>
      </c>
      <c r="AJ14" s="159">
        <v>45291</v>
      </c>
      <c r="AK14" s="171" t="s">
        <v>40</v>
      </c>
      <c r="AL14" s="173" t="s">
        <v>250</v>
      </c>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row>
    <row r="15" spans="1:64" ht="399" customHeight="1" x14ac:dyDescent="0.3">
      <c r="A15" s="227">
        <v>2</v>
      </c>
      <c r="B15" s="229" t="s">
        <v>126</v>
      </c>
      <c r="C15" s="229" t="s">
        <v>235</v>
      </c>
      <c r="D15" s="231" t="s">
        <v>237</v>
      </c>
      <c r="E15" s="153" t="s">
        <v>220</v>
      </c>
      <c r="F15" s="233" t="s">
        <v>241</v>
      </c>
      <c r="G15" s="273" t="s">
        <v>236</v>
      </c>
      <c r="H15" s="276" t="s">
        <v>122</v>
      </c>
      <c r="I15" s="281">
        <v>4946</v>
      </c>
      <c r="J15" s="258" t="str">
        <f>IF(I15&lt;=0,"",IF(I15&lt;=2,"Muy Baja",IF(I15&lt;=24,"Baja",IF(I15&lt;=500,"Media",IF(I15&lt;=5000,"Alta","Muy Alta")))))</f>
        <v>Alta</v>
      </c>
      <c r="K15" s="255">
        <f>IF(J15="","",IF(J15="Muy Baja",0.2,IF(J15="Baja",0.4,IF(J15="Media",0.6,IF(J15="Alta",0.8,IF(J15="Muy Alta",1,))))))</f>
        <v>0.8</v>
      </c>
      <c r="L15" s="284" t="s">
        <v>207</v>
      </c>
      <c r="M15" s="255" t="str">
        <f ca="1">IF(NOT(ISERROR(MATCH(L15,'Tabla Impacto'!$B$221:$B$223,0))),'Tabla Impacto'!$F$223&amp;"Por favor no seleccionar los criterios de impacto(Afectación Económica o presupuestal y Pérdida Reputacional)",L15)</f>
        <v xml:space="preserve">     Entre 200 y 1000 SMLMV</v>
      </c>
      <c r="N15" s="258" t="str">
        <f ca="1">IF(OR(M15='Tabla Impacto'!$C$11,M15='Tabla Impacto'!$D$11),"Leve",IF(OR(M15='Tabla Impacto'!$C$12,M15='Tabla Impacto'!$D$12),"Menor",IF(OR(M15='Tabla Impacto'!$C$13,M15='Tabla Impacto'!$D$13),"Moderado",IF(OR(M15='Tabla Impacto'!$C$14,M15='Tabla Impacto'!$D$14),"Mayor",IF(OR(M15='Tabla Impacto'!$C$15,M15='Tabla Impacto'!$D$15),"Catastrófico","")))))</f>
        <v>Menor</v>
      </c>
      <c r="O15" s="255">
        <f ca="1">IF(N15="","",IF(N15="Leve",0.2,IF(N15="Menor",0.4,IF(N15="Moderado",0.6,IF(N15="Mayor",0.8,IF(N15="Catastrófico",1,))))))</f>
        <v>0.4</v>
      </c>
      <c r="P15" s="261" t="str">
        <f ca="1">IF(OR(AND(J15="Muy Baja",N15="Leve"),AND(J15="Muy Baja",N15="Menor"),AND(J15="Baja",N15="Leve")),"Bajo",IF(OR(AND(J15="Muy baja",N15="Moderado"),AND(J15="Baja",N15="Menor"),AND(J15="Baja",N15="Moderado"),AND(J15="Media",N15="Leve"),AND(J15="Media",N15="Menor"),AND(J15="Media",N15="Moderado"),AND(J15="Alta",N15="Leve"),AND(J15="Alta",N15="Menor")),"Moderado",IF(OR(AND(J15="Muy Baja",N15="Mayor"),AND(J15="Baja",N15="Mayor"),AND(J15="Media",N15="Mayor"),AND(J15="Alta",N15="Moderado"),AND(J15="Alta",N15="Mayor"),AND(J15="Muy Alta",N15="Leve"),AND(J15="Muy Alta",N15="Menor"),AND(J15="Muy Alta",N15="Moderado"),AND(J15="Muy Alta",N15="Mayor")),"Alto",IF(OR(AND(J15="Muy Baja",N15="Catastrófico"),AND(J15="Baja",N15="Catastrófico"),AND(J15="Media",N15="Catastrófico"),AND(J15="Alta",N15="Catastrófico"),AND(J15="Muy Alta",N15="Catastrófico")),"Extremo",""))))</f>
        <v>Moderado</v>
      </c>
      <c r="Q15" s="105">
        <v>1</v>
      </c>
      <c r="R15" s="156" t="s">
        <v>228</v>
      </c>
      <c r="S15" s="107" t="str">
        <f>IF(OR(T15="Preventivo",T15="Detectivo"),"Probabilidad",IF(T15="Correctivo","Impacto",""))</f>
        <v>Impacto</v>
      </c>
      <c r="T15" s="119" t="s">
        <v>16</v>
      </c>
      <c r="U15" s="119" t="s">
        <v>9</v>
      </c>
      <c r="V15" s="120" t="str">
        <f t="shared" si="1"/>
        <v>25%</v>
      </c>
      <c r="W15" s="119" t="s">
        <v>19</v>
      </c>
      <c r="X15" s="119" t="s">
        <v>22</v>
      </c>
      <c r="Y15" s="119" t="s">
        <v>113</v>
      </c>
      <c r="Z15" s="110">
        <f>IFERROR(IF(S15="Probabilidad",(K15-(+K15*V15)),IF(S15="Impacto",K15,"")),"")</f>
        <v>0.8</v>
      </c>
      <c r="AA15" s="122" t="str">
        <f>IFERROR(IF(Z15="","",IF(Z15&lt;=0.2,"Muy Baja",IF(Z15&lt;=0.4,"Baja",IF(Z15&lt;=0.6,"Media",IF(Z15&lt;=0.8,"Alta","Muy Alta"))))),"")</f>
        <v>Alta</v>
      </c>
      <c r="AB15" s="123">
        <f>+Z15</f>
        <v>0.8</v>
      </c>
      <c r="AC15" s="122" t="str">
        <f ca="1">IFERROR(IF(AD15="","",IF(AD15&lt;=0.2,"Leve",IF(AD15&lt;=0.4,"Menor",IF(AD15&lt;=0.6,"Moderado",IF(AD15&lt;=0.8,"Mayor","Catastrófico"))))),"")</f>
        <v>Menor</v>
      </c>
      <c r="AD15" s="123">
        <f ca="1">IFERROR(IF(S15="Impacto",(O15-(+O15*V15)),IF(S15="Probabilidad",O15,"")),"")</f>
        <v>0.30000000000000004</v>
      </c>
      <c r="AE15" s="124" t="str">
        <f ca="1">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Moderado</v>
      </c>
      <c r="AF15" s="114" t="s">
        <v>130</v>
      </c>
      <c r="AG15" s="160" t="s">
        <v>231</v>
      </c>
      <c r="AH15" s="160" t="s">
        <v>242</v>
      </c>
      <c r="AI15" s="159">
        <v>44927</v>
      </c>
      <c r="AJ15" s="159">
        <v>44926</v>
      </c>
      <c r="AK15" s="171" t="s">
        <v>40</v>
      </c>
      <c r="AL15" s="175" t="s">
        <v>249</v>
      </c>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row>
    <row r="16" spans="1:64" ht="201" customHeight="1" x14ac:dyDescent="0.3">
      <c r="A16" s="228"/>
      <c r="B16" s="230"/>
      <c r="C16" s="230"/>
      <c r="D16" s="232"/>
      <c r="E16" s="153" t="s">
        <v>221</v>
      </c>
      <c r="F16" s="233"/>
      <c r="G16" s="274"/>
      <c r="H16" s="277"/>
      <c r="I16" s="282"/>
      <c r="J16" s="259"/>
      <c r="K16" s="256"/>
      <c r="L16" s="285"/>
      <c r="M16" s="256">
        <f ca="1">IF(NOT(ISERROR(MATCH(L16,_xlfn.ANCHORARRAY(F27),0))),K29&amp;"Por favor no seleccionar los criterios de impacto",L16)</f>
        <v>0</v>
      </c>
      <c r="N16" s="259"/>
      <c r="O16" s="256"/>
      <c r="P16" s="262"/>
      <c r="Q16" s="105">
        <v>2</v>
      </c>
      <c r="R16" s="156" t="s">
        <v>229</v>
      </c>
      <c r="S16" s="107" t="str">
        <f>IF(OR(T16="Preventivo",T16="Detectivo"),"Probabilidad",IF(T16="Correctivo","Impacto",""))</f>
        <v>Impacto</v>
      </c>
      <c r="T16" s="119" t="s">
        <v>16</v>
      </c>
      <c r="U16" s="119" t="s">
        <v>9</v>
      </c>
      <c r="V16" s="120" t="str">
        <f t="shared" si="1"/>
        <v>25%</v>
      </c>
      <c r="W16" s="119" t="s">
        <v>19</v>
      </c>
      <c r="X16" s="119" t="s">
        <v>22</v>
      </c>
      <c r="Y16" s="119" t="s">
        <v>113</v>
      </c>
      <c r="Z16" s="110">
        <f>IFERROR(IF(AND(S15="Probabilidad",S16="Probabilidad"),(AB15-(+AB15*V16)),IF(AND(S15="Impacto",S16="Probabilidad"),(#REF!-(+#REF!*V16)),IF(S16="Impacto",AB15,""))),"")</f>
        <v>0.8</v>
      </c>
      <c r="AA16" s="122" t="str">
        <f t="shared" ref="AA16:AA20" si="6">IFERROR(IF(Z16="","",IF(Z16&lt;=0.2,"Muy Baja",IF(Z16&lt;=0.4,"Baja",IF(Z16&lt;=0.6,"Media",IF(Z16&lt;=0.8,"Alta","Muy Alta"))))),"")</f>
        <v>Alta</v>
      </c>
      <c r="AB16" s="123">
        <f t="shared" ref="AB16:AB20" si="7">+Z16</f>
        <v>0.8</v>
      </c>
      <c r="AC16" s="122" t="str">
        <f t="shared" ref="AC16:AC20" ca="1" si="8">IFERROR(IF(AD16="","",IF(AD16&lt;=0.2,"Leve",IF(AD16&lt;=0.4,"Menor",IF(AD16&lt;=0.6,"Moderado",IF(AD16&lt;=0.8,"Mayor","Catastrófico"))))),"")</f>
        <v>Menor</v>
      </c>
      <c r="AD16" s="123">
        <f ca="1">IFERROR(IF(AND(S15="Impacto",S16="Impacto"),(AD15-(+AD15*V16)),IF(AND(S15="Probabilidad",S16="Impacto"),(#REF!-(+#REF!*V16)),IF(S16="Probabilidad",AD15,""))),"")</f>
        <v>0.22500000000000003</v>
      </c>
      <c r="AE16" s="124" t="str">
        <f t="shared" ref="AE16:AE20" ca="1" si="9">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Moderado</v>
      </c>
      <c r="AF16" s="114" t="s">
        <v>130</v>
      </c>
      <c r="AG16" s="160" t="s">
        <v>232</v>
      </c>
      <c r="AH16" s="160" t="s">
        <v>242</v>
      </c>
      <c r="AI16" s="159">
        <v>44927</v>
      </c>
      <c r="AJ16" s="159">
        <v>45291</v>
      </c>
      <c r="AK16" s="171" t="s">
        <v>40</v>
      </c>
      <c r="AL16" s="173" t="s">
        <v>244</v>
      </c>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row>
    <row r="17" spans="1:64" ht="25.5" customHeight="1" x14ac:dyDescent="0.3">
      <c r="A17" s="228"/>
      <c r="B17" s="230"/>
      <c r="C17" s="230"/>
      <c r="D17" s="232"/>
      <c r="E17" s="143"/>
      <c r="F17" s="233"/>
      <c r="G17" s="274"/>
      <c r="H17" s="277"/>
      <c r="I17" s="282"/>
      <c r="J17" s="259"/>
      <c r="K17" s="256"/>
      <c r="L17" s="285"/>
      <c r="M17" s="256">
        <f ca="1">IF(NOT(ISERROR(MATCH(L17,_xlfn.ANCHORARRAY(F28),0))),K30&amp;"Por favor no seleccionar los criterios de impacto",L17)</f>
        <v>0</v>
      </c>
      <c r="N17" s="259"/>
      <c r="O17" s="256"/>
      <c r="P17" s="262"/>
      <c r="Q17" s="105">
        <v>3</v>
      </c>
      <c r="R17" s="118"/>
      <c r="S17" s="107"/>
      <c r="T17" s="119"/>
      <c r="U17" s="119"/>
      <c r="V17" s="120"/>
      <c r="W17" s="119"/>
      <c r="X17" s="119"/>
      <c r="Y17" s="119"/>
      <c r="Z17" s="110" t="str">
        <f t="shared" ref="Z17:Z20" si="10">IFERROR(IF(AND(S16="Probabilidad",S17="Probabilidad"),(AB16-(+AB16*V17)),IF(AND(S16="Impacto",S17="Probabilidad"),(AB15-(+AB15*V17)),IF(S17="Impacto",AB16,""))),"")</f>
        <v/>
      </c>
      <c r="AA17" s="122" t="str">
        <f t="shared" si="6"/>
        <v/>
      </c>
      <c r="AB17" s="123" t="str">
        <f t="shared" si="7"/>
        <v/>
      </c>
      <c r="AC17" s="122" t="str">
        <f t="shared" si="8"/>
        <v/>
      </c>
      <c r="AD17" s="123" t="str">
        <f t="shared" ref="AD17:AD20" si="11">IFERROR(IF(AND(S16="Impacto",S17="Impacto"),(AD16-(+AD16*V17)),IF(AND(S16="Probabilidad",S17="Impacto"),(AD15-(+AD15*V17)),IF(S17="Probabilidad",AD16,""))),"")</f>
        <v/>
      </c>
      <c r="AE17" s="124" t="str">
        <f t="shared" si="9"/>
        <v/>
      </c>
      <c r="AF17" s="114"/>
      <c r="AG17" s="115"/>
      <c r="AH17" s="116"/>
      <c r="AI17" s="117"/>
      <c r="AJ17" s="117"/>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row>
    <row r="18" spans="1:64" ht="25.5" customHeight="1" x14ac:dyDescent="0.3">
      <c r="A18" s="228"/>
      <c r="B18" s="230"/>
      <c r="C18" s="230"/>
      <c r="D18" s="232"/>
      <c r="E18" s="143"/>
      <c r="F18" s="233"/>
      <c r="G18" s="274"/>
      <c r="H18" s="277"/>
      <c r="I18" s="282"/>
      <c r="J18" s="259"/>
      <c r="K18" s="256"/>
      <c r="L18" s="285"/>
      <c r="M18" s="256">
        <f ca="1">IF(NOT(ISERROR(MATCH(L18,_xlfn.ANCHORARRAY(F29),0))),K31&amp;"Por favor no seleccionar los criterios de impacto",L18)</f>
        <v>0</v>
      </c>
      <c r="N18" s="259"/>
      <c r="O18" s="256"/>
      <c r="P18" s="262"/>
      <c r="Q18" s="105">
        <v>4</v>
      </c>
      <c r="R18" s="106"/>
      <c r="S18" s="107"/>
      <c r="T18" s="119"/>
      <c r="U18" s="119"/>
      <c r="V18" s="120" t="str">
        <f t="shared" si="1"/>
        <v/>
      </c>
      <c r="W18" s="119"/>
      <c r="X18" s="119"/>
      <c r="Y18" s="119"/>
      <c r="Z18" s="110" t="str">
        <f t="shared" si="10"/>
        <v/>
      </c>
      <c r="AA18" s="122" t="str">
        <f t="shared" si="6"/>
        <v/>
      </c>
      <c r="AB18" s="123" t="str">
        <f t="shared" si="7"/>
        <v/>
      </c>
      <c r="AC18" s="122" t="str">
        <f t="shared" si="8"/>
        <v/>
      </c>
      <c r="AD18" s="123" t="str">
        <f t="shared" si="11"/>
        <v/>
      </c>
      <c r="AE18" s="124" t="str">
        <f t="shared" si="9"/>
        <v/>
      </c>
      <c r="AF18" s="114"/>
      <c r="AG18" s="115"/>
      <c r="AH18" s="116"/>
      <c r="AI18" s="117"/>
      <c r="AJ18" s="117"/>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row>
    <row r="19" spans="1:64" ht="24" customHeight="1" x14ac:dyDescent="0.3">
      <c r="A19" s="228"/>
      <c r="B19" s="230"/>
      <c r="C19" s="230"/>
      <c r="D19" s="232"/>
      <c r="E19" s="143"/>
      <c r="F19" s="233"/>
      <c r="G19" s="274"/>
      <c r="H19" s="277"/>
      <c r="I19" s="282"/>
      <c r="J19" s="259"/>
      <c r="K19" s="256"/>
      <c r="L19" s="285"/>
      <c r="M19" s="256">
        <f ca="1">IF(NOT(ISERROR(MATCH(L19,_xlfn.ANCHORARRAY(F30),0))),K32&amp;"Por favor no seleccionar los criterios de impacto",L19)</f>
        <v>0</v>
      </c>
      <c r="N19" s="259"/>
      <c r="O19" s="256"/>
      <c r="P19" s="262"/>
      <c r="Q19" s="105">
        <v>5</v>
      </c>
      <c r="R19" s="106"/>
      <c r="S19" s="107"/>
      <c r="T19" s="119"/>
      <c r="U19" s="119"/>
      <c r="V19" s="120" t="str">
        <f t="shared" si="1"/>
        <v/>
      </c>
      <c r="W19" s="119"/>
      <c r="X19" s="119"/>
      <c r="Y19" s="119"/>
      <c r="Z19" s="110" t="str">
        <f t="shared" si="10"/>
        <v/>
      </c>
      <c r="AA19" s="122" t="str">
        <f t="shared" si="6"/>
        <v/>
      </c>
      <c r="AB19" s="123" t="str">
        <f t="shared" si="7"/>
        <v/>
      </c>
      <c r="AC19" s="122" t="str">
        <f t="shared" si="8"/>
        <v/>
      </c>
      <c r="AD19" s="123" t="str">
        <f t="shared" si="11"/>
        <v/>
      </c>
      <c r="AE19" s="124" t="str">
        <f t="shared" si="9"/>
        <v/>
      </c>
      <c r="AF19" s="114"/>
      <c r="AG19" s="115"/>
      <c r="AH19" s="116"/>
      <c r="AI19" s="117"/>
      <c r="AJ19" s="117"/>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row>
    <row r="20" spans="1:64" ht="25.5" customHeight="1" x14ac:dyDescent="0.3">
      <c r="A20" s="246"/>
      <c r="B20" s="264"/>
      <c r="C20" s="264"/>
      <c r="D20" s="254"/>
      <c r="E20" s="143"/>
      <c r="F20" s="233"/>
      <c r="G20" s="275"/>
      <c r="H20" s="280"/>
      <c r="I20" s="283"/>
      <c r="J20" s="260"/>
      <c r="K20" s="257"/>
      <c r="L20" s="286"/>
      <c r="M20" s="257">
        <f ca="1">IF(NOT(ISERROR(MATCH(L20,_xlfn.ANCHORARRAY(F31),0))),K33&amp;"Por favor no seleccionar los criterios de impacto",L20)</f>
        <v>0</v>
      </c>
      <c r="N20" s="260"/>
      <c r="O20" s="257"/>
      <c r="P20" s="263"/>
      <c r="Q20" s="105">
        <v>6</v>
      </c>
      <c r="R20" s="106"/>
      <c r="S20" s="107" t="str">
        <f t="shared" ref="S20" si="12">IF(OR(T20="Preventivo",T20="Detectivo"),"Probabilidad",IF(T20="Correctivo","Impacto",""))</f>
        <v/>
      </c>
      <c r="T20" s="119"/>
      <c r="U20" s="119"/>
      <c r="V20" s="120" t="str">
        <f t="shared" si="1"/>
        <v/>
      </c>
      <c r="W20" s="119"/>
      <c r="X20" s="119"/>
      <c r="Y20" s="119"/>
      <c r="Z20" s="110" t="str">
        <f t="shared" si="10"/>
        <v/>
      </c>
      <c r="AA20" s="122" t="str">
        <f t="shared" si="6"/>
        <v/>
      </c>
      <c r="AB20" s="123" t="str">
        <f t="shared" si="7"/>
        <v/>
      </c>
      <c r="AC20" s="122" t="str">
        <f t="shared" si="8"/>
        <v/>
      </c>
      <c r="AD20" s="123" t="str">
        <f t="shared" si="11"/>
        <v/>
      </c>
      <c r="AE20" s="124" t="str">
        <f t="shared" si="9"/>
        <v/>
      </c>
      <c r="AF20" s="114"/>
      <c r="AG20" s="115"/>
      <c r="AH20" s="116"/>
      <c r="AI20" s="117"/>
      <c r="AJ20" s="117"/>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row>
    <row r="21" spans="1:64" ht="27" customHeight="1" x14ac:dyDescent="0.3">
      <c r="A21" s="227">
        <v>3</v>
      </c>
      <c r="B21" s="247"/>
      <c r="C21" s="247"/>
      <c r="D21" s="250"/>
      <c r="E21" s="154"/>
      <c r="F21" s="253"/>
      <c r="G21" s="307"/>
      <c r="H21" s="310"/>
      <c r="I21" s="281"/>
      <c r="J21" s="258" t="str">
        <f t="shared" ref="J21" si="13">IF(I21&lt;=0,"",IF(I21&lt;=2,"Muy Baja",IF(I21&lt;=24,"Baja",IF(I21&lt;=500,"Media",IF(I21&lt;=5000,"Alta","Muy Alta")))))</f>
        <v/>
      </c>
      <c r="K21" s="255" t="str">
        <f t="shared" ref="K21" si="14">IF(J21="","",IF(J21="Muy Baja",0.2,IF(J21="Baja",0.4,IF(J21="Media",0.6,IF(J21="Alta",0.8,IF(J21="Muy Alta",1,))))))</f>
        <v/>
      </c>
      <c r="L21" s="284"/>
      <c r="M21" s="255">
        <f ca="1">IF(NOT(ISERROR(MATCH(L21,'Tabla Impacto'!$B$221:$B$223,0))),'Tabla Impacto'!$F$223&amp;"Por favor no seleccionar los criterios de impacto(Afectación Económica o presupuestal y Pérdida Reputacional)",L21)</f>
        <v>0</v>
      </c>
      <c r="N21" s="258" t="str">
        <f ca="1">IF(OR(M21='Tabla Impacto'!$C$11,M21='Tabla Impacto'!$D$11),"Leve",IF(OR(M21='Tabla Impacto'!$C$12,M21='Tabla Impacto'!$D$12),"Menor",IF(OR(M21='Tabla Impacto'!$C$13,M21='Tabla Impacto'!$D$13),"Moderado",IF(OR(M21='Tabla Impacto'!$C$14,M21='Tabla Impacto'!$D$14),"Mayor",IF(OR(M21='Tabla Impacto'!$C$15,M21='Tabla Impacto'!$D$15),"Catastrófico","")))))</f>
        <v>Leve</v>
      </c>
      <c r="O21" s="255">
        <f t="shared" ref="O21" ca="1" si="15">IF(N21="","",IF(N21="Leve",0.2,IF(N21="Menor",0.4,IF(N21="Moderado",0.6,IF(N21="Mayor",0.8,IF(N21="Catastrófico",1,))))))</f>
        <v>0.2</v>
      </c>
      <c r="P21" s="261" t="str">
        <f t="shared" ref="P21" ca="1" si="16">IF(OR(AND(J21="Muy Baja",N21="Leve"),AND(J21="Muy Baja",N21="Menor"),AND(J21="Baja",N21="Leve")),"Bajo",IF(OR(AND(J21="Muy baja",N21="Moderado"),AND(J21="Baja",N21="Menor"),AND(J21="Baja",N21="Moderado"),AND(J21="Media",N21="Leve"),AND(J21="Media",N21="Menor"),AND(J21="Media",N21="Moderado"),AND(J21="Alta",N21="Leve"),AND(J21="Alta",N21="Menor")),"Moderado",IF(OR(AND(J21="Muy Baja",N21="Mayor"),AND(J21="Baja",N21="Mayor"),AND(J21="Media",N21="Mayor"),AND(J21="Alta",N21="Moderado"),AND(J21="Alta",N21="Mayor"),AND(J21="Muy Alta",N21="Leve"),AND(J21="Muy Alta",N21="Menor"),AND(J21="Muy Alta",N21="Moderado"),AND(J21="Muy Alta",N21="Mayor")),"Alto",IF(OR(AND(J21="Muy Baja",N21="Catastrófico"),AND(J21="Baja",N21="Catastrófico"),AND(J21="Media",N21="Catastrófico"),AND(J21="Alta",N21="Catastrófico"),AND(J21="Muy Alta",N21="Catastrófico")),"Extremo",""))))</f>
        <v/>
      </c>
      <c r="Q21" s="105">
        <v>1</v>
      </c>
      <c r="R21" s="156"/>
      <c r="S21" s="107"/>
      <c r="T21" s="119"/>
      <c r="U21" s="119"/>
      <c r="V21" s="120"/>
      <c r="W21" s="119"/>
      <c r="X21" s="119"/>
      <c r="Y21" s="119"/>
      <c r="Z21" s="110"/>
      <c r="AA21" s="111"/>
      <c r="AB21" s="112"/>
      <c r="AC21" s="111"/>
      <c r="AD21" s="112"/>
      <c r="AE21" s="113"/>
      <c r="AF21" s="114"/>
      <c r="AG21" s="121"/>
      <c r="AH21" s="121"/>
      <c r="AI21" s="117"/>
      <c r="AJ21" s="117"/>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64" ht="26.1" customHeight="1" x14ac:dyDescent="0.3">
      <c r="A22" s="228"/>
      <c r="B22" s="248"/>
      <c r="C22" s="248"/>
      <c r="D22" s="251"/>
      <c r="E22" s="154"/>
      <c r="F22" s="253"/>
      <c r="G22" s="308"/>
      <c r="H22" s="311"/>
      <c r="I22" s="282"/>
      <c r="J22" s="259"/>
      <c r="K22" s="256"/>
      <c r="L22" s="285"/>
      <c r="M22" s="256">
        <f ca="1">IF(NOT(ISERROR(MATCH(L22,_xlfn.ANCHORARRAY(F33),0))),K35&amp;"Por favor no seleccionar los criterios de impacto",L22)</f>
        <v>0</v>
      </c>
      <c r="N22" s="259"/>
      <c r="O22" s="256"/>
      <c r="P22" s="262"/>
      <c r="Q22" s="105">
        <v>2</v>
      </c>
      <c r="R22" s="106"/>
      <c r="S22" s="107" t="str">
        <f>IF(OR(T22="Preventivo",T22="Detectivo"),"Probabilidad",IF(T22="Correctivo","Impacto",""))</f>
        <v/>
      </c>
      <c r="T22" s="108"/>
      <c r="U22" s="108"/>
      <c r="V22" s="109" t="str">
        <f t="shared" ref="V22:V26" si="17">IF(AND(T22="Preventivo",U22="Automático"),"50%",IF(AND(T22="Preventivo",U22="Manual"),"40%",IF(AND(T22="Detectivo",U22="Automático"),"40%",IF(AND(T22="Detectivo",U22="Manual"),"30%",IF(AND(T22="Correctivo",U22="Automático"),"35%",IF(AND(T22="Correctivo",U22="Manual"),"25%",""))))))</f>
        <v/>
      </c>
      <c r="W22" s="108"/>
      <c r="X22" s="108"/>
      <c r="Y22" s="108"/>
      <c r="Z22" s="110" t="str">
        <f>IFERROR(IF(AND(S21="Probabilidad",S22="Probabilidad"),(AB21-(+AB21*V22)),IF(AND(S21="Impacto",S22="Probabilidad"),(AB20-(+AB20*V22)),IF(S22="Impacto",AB21,""))),"")</f>
        <v/>
      </c>
      <c r="AA22" s="111" t="str">
        <f t="shared" ref="AA22:AA26" si="18">IFERROR(IF(Z22="","",IF(Z22&lt;=0.2,"Muy Baja",IF(Z22&lt;=0.4,"Baja",IF(Z22&lt;=0.6,"Media",IF(Z22&lt;=0.8,"Alta","Muy Alta"))))),"")</f>
        <v/>
      </c>
      <c r="AB22" s="112" t="str">
        <f t="shared" ref="AB22:AB26" si="19">+Z22</f>
        <v/>
      </c>
      <c r="AC22" s="111" t="str">
        <f t="shared" ref="AC22:AC26" si="20">IFERROR(IF(AD22="","",IF(AD22&lt;=0.2,"Leve",IF(AD22&lt;=0.4,"Menor",IF(AD22&lt;=0.6,"Moderado",IF(AD22&lt;=0.8,"Mayor","Catastrófico"))))),"")</f>
        <v/>
      </c>
      <c r="AD22" s="112" t="str">
        <f>IFERROR(IF(AND(S21="Impacto",S22="Impacto"),(AD21-(+AD21*V22)),IF(AND(S21="Probabilidad",S22="Impacto"),(AD20-(+AD20*V22)),IF(S22="Probabilidad",AD21,""))),"")</f>
        <v/>
      </c>
      <c r="AE22" s="113" t="str">
        <f t="shared" ref="AE22:AE26" si="21">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14"/>
      <c r="AG22" s="115"/>
      <c r="AH22" s="116"/>
      <c r="AI22" s="117"/>
      <c r="AJ22" s="117"/>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row>
    <row r="23" spans="1:64" ht="26.1" customHeight="1" x14ac:dyDescent="0.3">
      <c r="A23" s="228"/>
      <c r="B23" s="248"/>
      <c r="C23" s="248"/>
      <c r="D23" s="251"/>
      <c r="E23" s="154"/>
      <c r="F23" s="253"/>
      <c r="G23" s="308"/>
      <c r="H23" s="311"/>
      <c r="I23" s="282"/>
      <c r="J23" s="259"/>
      <c r="K23" s="256"/>
      <c r="L23" s="285"/>
      <c r="M23" s="256">
        <f ca="1">IF(NOT(ISERROR(MATCH(L23,_xlfn.ANCHORARRAY(F34),0))),K36&amp;"Por favor no seleccionar los criterios de impacto",L23)</f>
        <v>0</v>
      </c>
      <c r="N23" s="259"/>
      <c r="O23" s="256"/>
      <c r="P23" s="262"/>
      <c r="Q23" s="105">
        <v>3</v>
      </c>
      <c r="R23" s="118"/>
      <c r="S23" s="107" t="str">
        <f>IF(OR(T23="Preventivo",T23="Detectivo"),"Probabilidad",IF(T23="Correctivo","Impacto",""))</f>
        <v/>
      </c>
      <c r="T23" s="108"/>
      <c r="U23" s="108"/>
      <c r="V23" s="109" t="str">
        <f t="shared" si="17"/>
        <v/>
      </c>
      <c r="W23" s="108"/>
      <c r="X23" s="108"/>
      <c r="Y23" s="108"/>
      <c r="Z23" s="110" t="str">
        <f t="shared" ref="Z23:Z26" si="22">IFERROR(IF(AND(S22="Probabilidad",S23="Probabilidad"),(AB22-(+AB22*V23)),IF(AND(S22="Impacto",S23="Probabilidad"),(AB21-(+AB21*V23)),IF(S23="Impacto",AB22,""))),"")</f>
        <v/>
      </c>
      <c r="AA23" s="111" t="str">
        <f t="shared" si="18"/>
        <v/>
      </c>
      <c r="AB23" s="112" t="str">
        <f t="shared" si="19"/>
        <v/>
      </c>
      <c r="AC23" s="111" t="str">
        <f t="shared" si="20"/>
        <v/>
      </c>
      <c r="AD23" s="112" t="str">
        <f t="shared" ref="AD23:AD26" si="23">IFERROR(IF(AND(S22="Impacto",S23="Impacto"),(AD22-(+AD22*V23)),IF(AND(S22="Probabilidad",S23="Impacto"),(AD21-(+AD21*V23)),IF(S23="Probabilidad",AD22,""))),"")</f>
        <v/>
      </c>
      <c r="AE23" s="113" t="str">
        <f t="shared" si="21"/>
        <v/>
      </c>
      <c r="AF23" s="114"/>
      <c r="AG23" s="115"/>
      <c r="AH23" s="116"/>
      <c r="AI23" s="117"/>
      <c r="AJ23" s="117"/>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row>
    <row r="24" spans="1:64" ht="26.25" customHeight="1" x14ac:dyDescent="0.3">
      <c r="A24" s="228"/>
      <c r="B24" s="248"/>
      <c r="C24" s="248"/>
      <c r="D24" s="251"/>
      <c r="E24" s="144"/>
      <c r="F24" s="253"/>
      <c r="G24" s="308"/>
      <c r="H24" s="311"/>
      <c r="I24" s="282"/>
      <c r="J24" s="259"/>
      <c r="K24" s="256"/>
      <c r="L24" s="285"/>
      <c r="M24" s="256">
        <f ca="1">IF(NOT(ISERROR(MATCH(L24,_xlfn.ANCHORARRAY(F35),0))),K37&amp;"Por favor no seleccionar los criterios de impacto",L24)</f>
        <v>0</v>
      </c>
      <c r="N24" s="259"/>
      <c r="O24" s="256"/>
      <c r="P24" s="262"/>
      <c r="Q24" s="105">
        <v>4</v>
      </c>
      <c r="R24" s="106"/>
      <c r="S24" s="107" t="str">
        <f t="shared" ref="S24:S26" si="24">IF(OR(T24="Preventivo",T24="Detectivo"),"Probabilidad",IF(T24="Correctivo","Impacto",""))</f>
        <v/>
      </c>
      <c r="T24" s="108"/>
      <c r="U24" s="108"/>
      <c r="V24" s="109" t="str">
        <f t="shared" si="17"/>
        <v/>
      </c>
      <c r="W24" s="108"/>
      <c r="X24" s="108"/>
      <c r="Y24" s="108"/>
      <c r="Z24" s="110" t="str">
        <f t="shared" si="22"/>
        <v/>
      </c>
      <c r="AA24" s="111" t="str">
        <f t="shared" si="18"/>
        <v/>
      </c>
      <c r="AB24" s="112" t="str">
        <f t="shared" si="19"/>
        <v/>
      </c>
      <c r="AC24" s="111" t="str">
        <f t="shared" si="20"/>
        <v/>
      </c>
      <c r="AD24" s="112" t="str">
        <f t="shared" si="23"/>
        <v/>
      </c>
      <c r="AE24" s="113" t="str">
        <f t="shared" si="21"/>
        <v/>
      </c>
      <c r="AF24" s="114"/>
      <c r="AG24" s="115"/>
      <c r="AH24" s="116"/>
      <c r="AI24" s="117"/>
      <c r="AJ24" s="117"/>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row>
    <row r="25" spans="1:64" ht="26.25" customHeight="1" x14ac:dyDescent="0.3">
      <c r="A25" s="228"/>
      <c r="B25" s="248"/>
      <c r="C25" s="248"/>
      <c r="D25" s="251"/>
      <c r="E25" s="144"/>
      <c r="F25" s="253"/>
      <c r="G25" s="308"/>
      <c r="H25" s="311"/>
      <c r="I25" s="282"/>
      <c r="J25" s="259"/>
      <c r="K25" s="256"/>
      <c r="L25" s="285"/>
      <c r="M25" s="256">
        <f ca="1">IF(NOT(ISERROR(MATCH(L25,_xlfn.ANCHORARRAY(F36),0))),K38&amp;"Por favor no seleccionar los criterios de impacto",L25)</f>
        <v>0</v>
      </c>
      <c r="N25" s="259"/>
      <c r="O25" s="256"/>
      <c r="P25" s="262"/>
      <c r="Q25" s="105">
        <v>5</v>
      </c>
      <c r="R25" s="106"/>
      <c r="S25" s="107" t="str">
        <f t="shared" si="24"/>
        <v/>
      </c>
      <c r="T25" s="108"/>
      <c r="U25" s="108"/>
      <c r="V25" s="109" t="str">
        <f t="shared" si="17"/>
        <v/>
      </c>
      <c r="W25" s="108"/>
      <c r="X25" s="108"/>
      <c r="Y25" s="108"/>
      <c r="Z25" s="110" t="str">
        <f t="shared" si="22"/>
        <v/>
      </c>
      <c r="AA25" s="111" t="str">
        <f t="shared" si="18"/>
        <v/>
      </c>
      <c r="AB25" s="112" t="str">
        <f t="shared" si="19"/>
        <v/>
      </c>
      <c r="AC25" s="111" t="str">
        <f t="shared" si="20"/>
        <v/>
      </c>
      <c r="AD25" s="112" t="str">
        <f t="shared" si="23"/>
        <v/>
      </c>
      <c r="AE25" s="113" t="str">
        <f t="shared" si="21"/>
        <v/>
      </c>
      <c r="AF25" s="114"/>
      <c r="AG25" s="115"/>
      <c r="AH25" s="116"/>
      <c r="AI25" s="117"/>
      <c r="AJ25" s="117"/>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row>
    <row r="26" spans="1:64" ht="26.25" customHeight="1" x14ac:dyDescent="0.3">
      <c r="A26" s="246"/>
      <c r="B26" s="249"/>
      <c r="C26" s="249"/>
      <c r="D26" s="252"/>
      <c r="E26" s="144"/>
      <c r="F26" s="253"/>
      <c r="G26" s="309"/>
      <c r="H26" s="312"/>
      <c r="I26" s="283"/>
      <c r="J26" s="260"/>
      <c r="K26" s="257"/>
      <c r="L26" s="286"/>
      <c r="M26" s="257">
        <f ca="1">IF(NOT(ISERROR(MATCH(L26,_xlfn.ANCHORARRAY(F37),0))),K39&amp;"Por favor no seleccionar los criterios de impacto",L26)</f>
        <v>0</v>
      </c>
      <c r="N26" s="260"/>
      <c r="O26" s="257"/>
      <c r="P26" s="263"/>
      <c r="Q26" s="105">
        <v>6</v>
      </c>
      <c r="R26" s="106"/>
      <c r="S26" s="107" t="str">
        <f t="shared" si="24"/>
        <v/>
      </c>
      <c r="T26" s="108"/>
      <c r="U26" s="108"/>
      <c r="V26" s="109" t="str">
        <f t="shared" si="17"/>
        <v/>
      </c>
      <c r="W26" s="108"/>
      <c r="X26" s="108"/>
      <c r="Y26" s="108"/>
      <c r="Z26" s="110" t="str">
        <f t="shared" si="22"/>
        <v/>
      </c>
      <c r="AA26" s="111" t="str">
        <f t="shared" si="18"/>
        <v/>
      </c>
      <c r="AB26" s="112" t="str">
        <f t="shared" si="19"/>
        <v/>
      </c>
      <c r="AC26" s="111" t="str">
        <f t="shared" si="20"/>
        <v/>
      </c>
      <c r="AD26" s="112" t="str">
        <f t="shared" si="23"/>
        <v/>
      </c>
      <c r="AE26" s="113" t="str">
        <f t="shared" si="21"/>
        <v/>
      </c>
      <c r="AF26" s="114"/>
      <c r="AG26" s="115"/>
      <c r="AH26" s="116"/>
      <c r="AI26" s="117"/>
      <c r="AJ26" s="117"/>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row>
    <row r="27" spans="1:64" ht="26.25" customHeight="1" x14ac:dyDescent="0.3">
      <c r="A27" s="227">
        <v>4</v>
      </c>
      <c r="B27" s="247"/>
      <c r="C27" s="247"/>
      <c r="D27" s="250"/>
      <c r="E27" s="144"/>
      <c r="F27" s="253"/>
      <c r="G27" s="145"/>
      <c r="H27" s="310"/>
      <c r="I27" s="281"/>
      <c r="J27" s="258" t="str">
        <f t="shared" ref="J27" si="25">IF(I27&lt;=0,"",IF(I27&lt;=2,"Muy Baja",IF(I27&lt;=24,"Baja",IF(I27&lt;=500,"Media",IF(I27&lt;=5000,"Alta","Muy Alta")))))</f>
        <v/>
      </c>
      <c r="K27" s="255" t="str">
        <f t="shared" ref="K27" si="26">IF(J27="","",IF(J27="Muy Baja",0.2,IF(J27="Baja",0.4,IF(J27="Media",0.6,IF(J27="Alta",0.8,IF(J27="Muy Alta",1,))))))</f>
        <v/>
      </c>
      <c r="L27" s="284"/>
      <c r="M27" s="255">
        <f ca="1">IF(NOT(ISERROR(MATCH(L27,'Tabla Impacto'!$B$221:$B$223,0))),'Tabla Impacto'!$F$223&amp;"Por favor no seleccionar los criterios de impacto(Afectación Económica o presupuestal y Pérdida Reputacional)",L27)</f>
        <v>0</v>
      </c>
      <c r="N27" s="258" t="str">
        <f ca="1">IF(OR(M27='Tabla Impacto'!$C$11,M27='Tabla Impacto'!$D$11),"Leve",IF(OR(M27='Tabla Impacto'!$C$12,M27='Tabla Impacto'!$D$12),"Menor",IF(OR(M27='Tabla Impacto'!$C$13,M27='Tabla Impacto'!$D$13),"Moderado",IF(OR(M27='Tabla Impacto'!$C$14,M27='Tabla Impacto'!$D$14),"Mayor",IF(OR(M27='Tabla Impacto'!$C$15,M27='Tabla Impacto'!$D$15),"Catastrófico","")))))</f>
        <v>Leve</v>
      </c>
      <c r="O27" s="255">
        <f t="shared" ref="O27" ca="1" si="27">IF(N27="","",IF(N27="Leve",0.2,IF(N27="Menor",0.4,IF(N27="Moderado",0.6,IF(N27="Mayor",0.8,IF(N27="Catastrófico",1,))))))</f>
        <v>0.2</v>
      </c>
      <c r="P27" s="261" t="str">
        <f t="shared" ref="P27" ca="1" si="28">IF(OR(AND(J27="Muy Baja",N27="Leve"),AND(J27="Muy Baja",N27="Menor"),AND(J27="Baja",N27="Leve")),"Bajo",IF(OR(AND(J27="Muy baja",N27="Moderado"),AND(J27="Baja",N27="Menor"),AND(J27="Baja",N27="Moderado"),AND(J27="Media",N27="Leve"),AND(J27="Media",N27="Menor"),AND(J27="Media",N27="Moderado"),AND(J27="Alta",N27="Leve"),AND(J27="Alta",N27="Menor")),"Moderado",IF(OR(AND(J27="Muy Baja",N27="Mayor"),AND(J27="Baja",N27="Mayor"),AND(J27="Media",N27="Mayor"),AND(J27="Alta",N27="Moderado"),AND(J27="Alta",N27="Mayor"),AND(J27="Muy Alta",N27="Leve"),AND(J27="Muy Alta",N27="Menor"),AND(J27="Muy Alta",N27="Moderado"),AND(J27="Muy Alta",N27="Mayor")),"Alto",IF(OR(AND(J27="Muy Baja",N27="Catastrófico"),AND(J27="Baja",N27="Catastrófico"),AND(J27="Media",N27="Catastrófico"),AND(J27="Alta",N27="Catastrófico"),AND(J27="Muy Alta",N27="Catastrófico")),"Extremo",""))))</f>
        <v/>
      </c>
      <c r="Q27" s="105">
        <v>1</v>
      </c>
      <c r="R27" s="106"/>
      <c r="S27" s="107" t="str">
        <f>IF(OR(T27="Preventivo",T27="Detectivo"),"Probabilidad",IF(T27="Correctivo","Impacto",""))</f>
        <v/>
      </c>
      <c r="T27" s="108"/>
      <c r="U27" s="108"/>
      <c r="V27" s="109" t="str">
        <f>IF(AND(T27="Preventivo",U27="Automático"),"50%",IF(AND(T27="Preventivo",U27="Manual"),"40%",IF(AND(T27="Detectivo",U27="Automático"),"40%",IF(AND(T27="Detectivo",U27="Manual"),"30%",IF(AND(T27="Correctivo",U27="Automático"),"35%",IF(AND(T27="Correctivo",U27="Manual"),"25%",""))))))</f>
        <v/>
      </c>
      <c r="W27" s="108"/>
      <c r="X27" s="108"/>
      <c r="Y27" s="108"/>
      <c r="Z27" s="110" t="str">
        <f>IFERROR(IF(S27="Probabilidad",(K27-(+K27*V27)),IF(S27="Impacto",K27,"")),"")</f>
        <v/>
      </c>
      <c r="AA27" s="111" t="str">
        <f>IFERROR(IF(Z27="","",IF(Z27&lt;=0.2,"Muy Baja",IF(Z27&lt;=0.4,"Baja",IF(Z27&lt;=0.6,"Media",IF(Z27&lt;=0.8,"Alta","Muy Alta"))))),"")</f>
        <v/>
      </c>
      <c r="AB27" s="112" t="str">
        <f>+Z27</f>
        <v/>
      </c>
      <c r="AC27" s="111" t="str">
        <f>IFERROR(IF(AD27="","",IF(AD27&lt;=0.2,"Leve",IF(AD27&lt;=0.4,"Menor",IF(AD27&lt;=0.6,"Moderado",IF(AD27&lt;=0.8,"Mayor","Catastrófico"))))),"")</f>
        <v/>
      </c>
      <c r="AD27" s="112" t="str">
        <f>IFERROR(IF(S27="Impacto",(O27-(+O27*V27)),IF(S27="Probabilidad",O27,"")),"")</f>
        <v/>
      </c>
      <c r="AE27" s="113" t="str">
        <f>IFERROR(IF(OR(AND(AA27="Muy Baja",AC27="Leve"),AND(AA27="Muy Baja",AC27="Menor"),AND(AA27="Baja",AC27="Leve")),"Bajo",IF(OR(AND(AA27="Muy baja",AC27="Moderado"),AND(AA27="Baja",AC27="Menor"),AND(AA27="Baja",AC27="Moderado"),AND(AA27="Media",AC27="Leve"),AND(AA27="Media",AC27="Menor"),AND(AA27="Media",AC27="Moderado"),AND(AA27="Alta",AC27="Leve"),AND(AA27="Alta",AC27="Menor")),"Moderado",IF(OR(AND(AA27="Muy Baja",AC27="Mayor"),AND(AA27="Baja",AC27="Mayor"),AND(AA27="Media",AC27="Mayor"),AND(AA27="Alta",AC27="Moderado"),AND(AA27="Alta",AC27="Mayor"),AND(AA27="Muy Alta",AC27="Leve"),AND(AA27="Muy Alta",AC27="Menor"),AND(AA27="Muy Alta",AC27="Moderado"),AND(AA27="Muy Alta",AC27="Mayor")),"Alto",IF(OR(AND(AA27="Muy Baja",AC27="Catastrófico"),AND(AA27="Baja",AC27="Catastrófico"),AND(AA27="Media",AC27="Catastrófico"),AND(AA27="Alta",AC27="Catastrófico"),AND(AA27="Muy Alta",AC27="Catastrófico")),"Extremo","")))),"")</f>
        <v/>
      </c>
      <c r="AF27" s="114"/>
      <c r="AG27" s="115"/>
      <c r="AH27" s="116"/>
      <c r="AI27" s="117"/>
      <c r="AJ27" s="117"/>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row>
    <row r="28" spans="1:64" ht="26.25" customHeight="1" x14ac:dyDescent="0.3">
      <c r="A28" s="228"/>
      <c r="B28" s="248"/>
      <c r="C28" s="248"/>
      <c r="D28" s="251"/>
      <c r="E28" s="144"/>
      <c r="F28" s="253"/>
      <c r="G28" s="145"/>
      <c r="H28" s="311"/>
      <c r="I28" s="282"/>
      <c r="J28" s="259"/>
      <c r="K28" s="256"/>
      <c r="L28" s="285"/>
      <c r="M28" s="256">
        <f ca="1">IF(NOT(ISERROR(MATCH(L28,_xlfn.ANCHORARRAY(F39),0))),K41&amp;"Por favor no seleccionar los criterios de impacto",L28)</f>
        <v>0</v>
      </c>
      <c r="N28" s="259"/>
      <c r="O28" s="256"/>
      <c r="P28" s="262"/>
      <c r="Q28" s="105">
        <v>2</v>
      </c>
      <c r="R28" s="106"/>
      <c r="S28" s="107" t="str">
        <f>IF(OR(T28="Preventivo",T28="Detectivo"),"Probabilidad",IF(T28="Correctivo","Impacto",""))</f>
        <v/>
      </c>
      <c r="T28" s="108"/>
      <c r="U28" s="108"/>
      <c r="V28" s="109" t="str">
        <f t="shared" ref="V28:V32" si="29">IF(AND(T28="Preventivo",U28="Automático"),"50%",IF(AND(T28="Preventivo",U28="Manual"),"40%",IF(AND(T28="Detectivo",U28="Automático"),"40%",IF(AND(T28="Detectivo",U28="Manual"),"30%",IF(AND(T28="Correctivo",U28="Automático"),"35%",IF(AND(T28="Correctivo",U28="Manual"),"25%",""))))))</f>
        <v/>
      </c>
      <c r="W28" s="108"/>
      <c r="X28" s="108"/>
      <c r="Y28" s="108"/>
      <c r="Z28" s="110" t="str">
        <f>IFERROR(IF(AND(S27="Probabilidad",S28="Probabilidad"),(AB27-(+AB27*V28)),IF(AND(S27="Impacto",S28="Probabilidad"),(AB26-(+AB26*V28)),IF(S28="Impacto",AB27,""))),"")</f>
        <v/>
      </c>
      <c r="AA28" s="111" t="str">
        <f t="shared" ref="AA28:AA32" si="30">IFERROR(IF(Z28="","",IF(Z28&lt;=0.2,"Muy Baja",IF(Z28&lt;=0.4,"Baja",IF(Z28&lt;=0.6,"Media",IF(Z28&lt;=0.8,"Alta","Muy Alta"))))),"")</f>
        <v/>
      </c>
      <c r="AB28" s="112" t="str">
        <f t="shared" ref="AB28:AB32" si="31">+Z28</f>
        <v/>
      </c>
      <c r="AC28" s="111" t="str">
        <f t="shared" ref="AC28:AC32" si="32">IFERROR(IF(AD28="","",IF(AD28&lt;=0.2,"Leve",IF(AD28&lt;=0.4,"Menor",IF(AD28&lt;=0.6,"Moderado",IF(AD28&lt;=0.8,"Mayor","Catastrófico"))))),"")</f>
        <v/>
      </c>
      <c r="AD28" s="112" t="str">
        <f>IFERROR(IF(AND(S27="Impacto",S28="Impacto"),(AD27-(+AD27*V28)),IF(AND(S27="Probabilidad",S28="Impacto"),(AD26-(+AD26*V28)),IF(S28="Probabilidad",AD27,""))),"")</f>
        <v/>
      </c>
      <c r="AE28" s="113" t="str">
        <f t="shared" ref="AE28:AE32" si="33">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14"/>
      <c r="AG28" s="115"/>
      <c r="AH28" s="116"/>
      <c r="AI28" s="117"/>
      <c r="AJ28" s="117"/>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row>
    <row r="29" spans="1:64" ht="26.25" customHeight="1" x14ac:dyDescent="0.3">
      <c r="A29" s="228"/>
      <c r="B29" s="248"/>
      <c r="C29" s="248"/>
      <c r="D29" s="251"/>
      <c r="E29" s="144"/>
      <c r="F29" s="253"/>
      <c r="G29" s="145"/>
      <c r="H29" s="311"/>
      <c r="I29" s="282"/>
      <c r="J29" s="259"/>
      <c r="K29" s="256"/>
      <c r="L29" s="285"/>
      <c r="M29" s="256">
        <f ca="1">IF(NOT(ISERROR(MATCH(L29,_xlfn.ANCHORARRAY(F40),0))),K42&amp;"Por favor no seleccionar los criterios de impacto",L29)</f>
        <v>0</v>
      </c>
      <c r="N29" s="259"/>
      <c r="O29" s="256"/>
      <c r="P29" s="262"/>
      <c r="Q29" s="105">
        <v>3</v>
      </c>
      <c r="R29" s="118"/>
      <c r="S29" s="107" t="str">
        <f>IF(OR(T29="Preventivo",T29="Detectivo"),"Probabilidad",IF(T29="Correctivo","Impacto",""))</f>
        <v/>
      </c>
      <c r="T29" s="108"/>
      <c r="U29" s="108"/>
      <c r="V29" s="109" t="str">
        <f t="shared" si="29"/>
        <v/>
      </c>
      <c r="W29" s="108"/>
      <c r="X29" s="108"/>
      <c r="Y29" s="108"/>
      <c r="Z29" s="110" t="str">
        <f t="shared" ref="Z29:Z32" si="34">IFERROR(IF(AND(S28="Probabilidad",S29="Probabilidad"),(AB28-(+AB28*V29)),IF(AND(S28="Impacto",S29="Probabilidad"),(AB27-(+AB27*V29)),IF(S29="Impacto",AB28,""))),"")</f>
        <v/>
      </c>
      <c r="AA29" s="111" t="str">
        <f t="shared" si="30"/>
        <v/>
      </c>
      <c r="AB29" s="112" t="str">
        <f t="shared" si="31"/>
        <v/>
      </c>
      <c r="AC29" s="111" t="str">
        <f t="shared" si="32"/>
        <v/>
      </c>
      <c r="AD29" s="112" t="str">
        <f t="shared" ref="AD29:AD32" si="35">IFERROR(IF(AND(S28="Impacto",S29="Impacto"),(AD28-(+AD28*V29)),IF(AND(S28="Probabilidad",S29="Impacto"),(AD27-(+AD27*V29)),IF(S29="Probabilidad",AD28,""))),"")</f>
        <v/>
      </c>
      <c r="AE29" s="113" t="str">
        <f t="shared" si="33"/>
        <v/>
      </c>
      <c r="AF29" s="114"/>
      <c r="AG29" s="115"/>
      <c r="AH29" s="116"/>
      <c r="AI29" s="117"/>
      <c r="AJ29" s="117"/>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row>
    <row r="30" spans="1:64" ht="26.25" customHeight="1" x14ac:dyDescent="0.3">
      <c r="A30" s="228"/>
      <c r="B30" s="248"/>
      <c r="C30" s="248"/>
      <c r="D30" s="251"/>
      <c r="E30" s="144"/>
      <c r="F30" s="253"/>
      <c r="G30" s="145"/>
      <c r="H30" s="311"/>
      <c r="I30" s="282"/>
      <c r="J30" s="259"/>
      <c r="K30" s="256"/>
      <c r="L30" s="285"/>
      <c r="M30" s="256">
        <f ca="1">IF(NOT(ISERROR(MATCH(L30,_xlfn.ANCHORARRAY(F41),0))),K43&amp;"Por favor no seleccionar los criterios de impacto",L30)</f>
        <v>0</v>
      </c>
      <c r="N30" s="259"/>
      <c r="O30" s="256"/>
      <c r="P30" s="262"/>
      <c r="Q30" s="105">
        <v>4</v>
      </c>
      <c r="R30" s="106"/>
      <c r="S30" s="107" t="str">
        <f t="shared" ref="S30:S32" si="36">IF(OR(T30="Preventivo",T30="Detectivo"),"Probabilidad",IF(T30="Correctivo","Impacto",""))</f>
        <v/>
      </c>
      <c r="T30" s="108"/>
      <c r="U30" s="108"/>
      <c r="V30" s="109" t="str">
        <f t="shared" si="29"/>
        <v/>
      </c>
      <c r="W30" s="108"/>
      <c r="X30" s="108"/>
      <c r="Y30" s="108"/>
      <c r="Z30" s="110" t="str">
        <f t="shared" si="34"/>
        <v/>
      </c>
      <c r="AA30" s="111" t="str">
        <f t="shared" si="30"/>
        <v/>
      </c>
      <c r="AB30" s="112" t="str">
        <f t="shared" si="31"/>
        <v/>
      </c>
      <c r="AC30" s="111" t="str">
        <f t="shared" si="32"/>
        <v/>
      </c>
      <c r="AD30" s="112" t="str">
        <f t="shared" si="35"/>
        <v/>
      </c>
      <c r="AE30" s="113" t="str">
        <f t="shared" si="33"/>
        <v/>
      </c>
      <c r="AF30" s="114"/>
      <c r="AG30" s="115"/>
      <c r="AH30" s="116"/>
      <c r="AI30" s="117"/>
      <c r="AJ30" s="117"/>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row>
    <row r="31" spans="1:64" ht="26.25" customHeight="1" x14ac:dyDescent="0.3">
      <c r="A31" s="228"/>
      <c r="B31" s="248"/>
      <c r="C31" s="248"/>
      <c r="D31" s="251"/>
      <c r="E31" s="144"/>
      <c r="F31" s="253"/>
      <c r="G31" s="145"/>
      <c r="H31" s="311"/>
      <c r="I31" s="282"/>
      <c r="J31" s="259"/>
      <c r="K31" s="256"/>
      <c r="L31" s="285"/>
      <c r="M31" s="256">
        <f ca="1">IF(NOT(ISERROR(MATCH(L31,_xlfn.ANCHORARRAY(F42),0))),K44&amp;"Por favor no seleccionar los criterios de impacto",L31)</f>
        <v>0</v>
      </c>
      <c r="N31" s="259"/>
      <c r="O31" s="256"/>
      <c r="P31" s="262"/>
      <c r="Q31" s="105">
        <v>5</v>
      </c>
      <c r="R31" s="106"/>
      <c r="S31" s="107" t="str">
        <f t="shared" si="36"/>
        <v/>
      </c>
      <c r="T31" s="108"/>
      <c r="U31" s="108"/>
      <c r="V31" s="109" t="str">
        <f t="shared" si="29"/>
        <v/>
      </c>
      <c r="W31" s="108"/>
      <c r="X31" s="108"/>
      <c r="Y31" s="108"/>
      <c r="Z31" s="110" t="str">
        <f t="shared" si="34"/>
        <v/>
      </c>
      <c r="AA31" s="111" t="str">
        <f t="shared" si="30"/>
        <v/>
      </c>
      <c r="AB31" s="112" t="str">
        <f t="shared" si="31"/>
        <v/>
      </c>
      <c r="AC31" s="111" t="str">
        <f t="shared" si="32"/>
        <v/>
      </c>
      <c r="AD31" s="112" t="str">
        <f t="shared" si="35"/>
        <v/>
      </c>
      <c r="AE31" s="113" t="str">
        <f t="shared" si="33"/>
        <v/>
      </c>
      <c r="AF31" s="114"/>
      <c r="AG31" s="115"/>
      <c r="AH31" s="116"/>
      <c r="AI31" s="117"/>
      <c r="AJ31" s="117"/>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row>
    <row r="32" spans="1:64" ht="26.25" customHeight="1" x14ac:dyDescent="0.3">
      <c r="A32" s="246"/>
      <c r="B32" s="249"/>
      <c r="C32" s="249"/>
      <c r="D32" s="252"/>
      <c r="E32" s="144"/>
      <c r="F32" s="253"/>
      <c r="G32" s="145"/>
      <c r="H32" s="312"/>
      <c r="I32" s="283"/>
      <c r="J32" s="260"/>
      <c r="K32" s="257"/>
      <c r="L32" s="286"/>
      <c r="M32" s="257">
        <f ca="1">IF(NOT(ISERROR(MATCH(L32,_xlfn.ANCHORARRAY(F43),0))),K45&amp;"Por favor no seleccionar los criterios de impacto",L32)</f>
        <v>0</v>
      </c>
      <c r="N32" s="260"/>
      <c r="O32" s="257"/>
      <c r="P32" s="263"/>
      <c r="Q32" s="105">
        <v>6</v>
      </c>
      <c r="R32" s="106"/>
      <c r="S32" s="107" t="str">
        <f t="shared" si="36"/>
        <v/>
      </c>
      <c r="T32" s="108"/>
      <c r="U32" s="108"/>
      <c r="V32" s="109" t="str">
        <f t="shared" si="29"/>
        <v/>
      </c>
      <c r="W32" s="108"/>
      <c r="X32" s="108"/>
      <c r="Y32" s="108"/>
      <c r="Z32" s="110" t="str">
        <f t="shared" si="34"/>
        <v/>
      </c>
      <c r="AA32" s="111" t="str">
        <f t="shared" si="30"/>
        <v/>
      </c>
      <c r="AB32" s="112" t="str">
        <f t="shared" si="31"/>
        <v/>
      </c>
      <c r="AC32" s="111" t="str">
        <f t="shared" si="32"/>
        <v/>
      </c>
      <c r="AD32" s="112" t="str">
        <f t="shared" si="35"/>
        <v/>
      </c>
      <c r="AE32" s="113" t="str">
        <f t="shared" si="33"/>
        <v/>
      </c>
      <c r="AF32" s="114"/>
      <c r="AG32" s="115"/>
      <c r="AH32" s="116"/>
      <c r="AI32" s="117"/>
      <c r="AJ32" s="117"/>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row>
    <row r="33" spans="1:64" ht="26.25" customHeight="1" x14ac:dyDescent="0.3">
      <c r="A33" s="227">
        <v>5</v>
      </c>
      <c r="B33" s="247"/>
      <c r="C33" s="247"/>
      <c r="D33" s="250"/>
      <c r="E33" s="144"/>
      <c r="F33" s="253"/>
      <c r="G33" s="145"/>
      <c r="H33" s="310"/>
      <c r="I33" s="281"/>
      <c r="J33" s="258" t="str">
        <f t="shared" ref="J33" si="37">IF(I33&lt;=0,"",IF(I33&lt;=2,"Muy Baja",IF(I33&lt;=24,"Baja",IF(I33&lt;=500,"Media",IF(I33&lt;=5000,"Alta","Muy Alta")))))</f>
        <v/>
      </c>
      <c r="K33" s="255" t="str">
        <f t="shared" ref="K33" si="38">IF(J33="","",IF(J33="Muy Baja",0.2,IF(J33="Baja",0.4,IF(J33="Media",0.6,IF(J33="Alta",0.8,IF(J33="Muy Alta",1,))))))</f>
        <v/>
      </c>
      <c r="L33" s="284"/>
      <c r="M33" s="255">
        <f ca="1">IF(NOT(ISERROR(MATCH(L33,'Tabla Impacto'!$B$221:$B$223,0))),'Tabla Impacto'!$F$223&amp;"Por favor no seleccionar los criterios de impacto(Afectación Económica o presupuestal y Pérdida Reputacional)",L33)</f>
        <v>0</v>
      </c>
      <c r="N33" s="258" t="str">
        <f ca="1">IF(OR(M33='Tabla Impacto'!$C$11,M33='Tabla Impacto'!$D$11),"Leve",IF(OR(M33='Tabla Impacto'!$C$12,M33='Tabla Impacto'!$D$12),"Menor",IF(OR(M33='Tabla Impacto'!$C$13,M33='Tabla Impacto'!$D$13),"Moderado",IF(OR(M33='Tabla Impacto'!$C$14,M33='Tabla Impacto'!$D$14),"Mayor",IF(OR(M33='Tabla Impacto'!$C$15,M33='Tabla Impacto'!$D$15),"Catastrófico","")))))</f>
        <v>Leve</v>
      </c>
      <c r="O33" s="255">
        <f t="shared" ref="O33" ca="1" si="39">IF(N33="","",IF(N33="Leve",0.2,IF(N33="Menor",0.4,IF(N33="Moderado",0.6,IF(N33="Mayor",0.8,IF(N33="Catastrófico",1,))))))</f>
        <v>0.2</v>
      </c>
      <c r="P33" s="261" t="str">
        <f t="shared" ref="P33" ca="1" si="40">IF(OR(AND(J33="Muy Baja",N33="Leve"),AND(J33="Muy Baja",N33="Menor"),AND(J33="Baja",N33="Leve")),"Bajo",IF(OR(AND(J33="Muy baja",N33="Moderado"),AND(J33="Baja",N33="Menor"),AND(J33="Baja",N33="Moderado"),AND(J33="Media",N33="Leve"),AND(J33="Media",N33="Menor"),AND(J33="Media",N33="Moderado"),AND(J33="Alta",N33="Leve"),AND(J33="Alta",N33="Menor")),"Moderado",IF(OR(AND(J33="Muy Baja",N33="Mayor"),AND(J33="Baja",N33="Mayor"),AND(J33="Media",N33="Mayor"),AND(J33="Alta",N33="Moderado"),AND(J33="Alta",N33="Mayor"),AND(J33="Muy Alta",N33="Leve"),AND(J33="Muy Alta",N33="Menor"),AND(J33="Muy Alta",N33="Moderado"),AND(J33="Muy Alta",N33="Mayor")),"Alto",IF(OR(AND(J33="Muy Baja",N33="Catastrófico"),AND(J33="Baja",N33="Catastrófico"),AND(J33="Media",N33="Catastrófico"),AND(J33="Alta",N33="Catastrófico"),AND(J33="Muy Alta",N33="Catastrófico")),"Extremo",""))))</f>
        <v/>
      </c>
      <c r="Q33" s="105">
        <v>1</v>
      </c>
      <c r="R33" s="106"/>
      <c r="S33" s="107" t="s">
        <v>213</v>
      </c>
      <c r="T33" s="108"/>
      <c r="U33" s="108"/>
      <c r="V33" s="109" t="s">
        <v>213</v>
      </c>
      <c r="W33" s="108"/>
      <c r="X33" s="108"/>
      <c r="Y33" s="108"/>
      <c r="Z33" s="110" t="s">
        <v>213</v>
      </c>
      <c r="AA33" s="111" t="s">
        <v>213</v>
      </c>
      <c r="AB33" s="112" t="s">
        <v>213</v>
      </c>
      <c r="AC33" s="111" t="s">
        <v>213</v>
      </c>
      <c r="AD33" s="112" t="s">
        <v>213</v>
      </c>
      <c r="AE33" s="113" t="s">
        <v>213</v>
      </c>
      <c r="AF33" s="114"/>
      <c r="AG33" s="115"/>
      <c r="AH33" s="116"/>
      <c r="AI33" s="117"/>
      <c r="AJ33" s="117"/>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row>
    <row r="34" spans="1:64" ht="26.25" customHeight="1" x14ac:dyDescent="0.3">
      <c r="A34" s="228"/>
      <c r="B34" s="248"/>
      <c r="C34" s="248"/>
      <c r="D34" s="251"/>
      <c r="E34" s="144"/>
      <c r="F34" s="253"/>
      <c r="G34" s="145"/>
      <c r="H34" s="311"/>
      <c r="I34" s="282"/>
      <c r="J34" s="259"/>
      <c r="K34" s="256"/>
      <c r="L34" s="285"/>
      <c r="M34" s="256">
        <f ca="1">IF(NOT(ISERROR(MATCH(L34,_xlfn.ANCHORARRAY(F45),0))),K47&amp;"Por favor no seleccionar los criterios de impacto",L34)</f>
        <v>0</v>
      </c>
      <c r="N34" s="259"/>
      <c r="O34" s="256"/>
      <c r="P34" s="262"/>
      <c r="Q34" s="105">
        <v>2</v>
      </c>
      <c r="R34" s="106"/>
      <c r="S34" s="107" t="s">
        <v>213</v>
      </c>
      <c r="T34" s="108"/>
      <c r="U34" s="108"/>
      <c r="V34" s="109" t="s">
        <v>213</v>
      </c>
      <c r="W34" s="108"/>
      <c r="X34" s="108"/>
      <c r="Y34" s="108"/>
      <c r="Z34" s="110" t="s">
        <v>213</v>
      </c>
      <c r="AA34" s="111" t="s">
        <v>213</v>
      </c>
      <c r="AB34" s="112" t="s">
        <v>213</v>
      </c>
      <c r="AC34" s="111" t="s">
        <v>213</v>
      </c>
      <c r="AD34" s="112" t="s">
        <v>213</v>
      </c>
      <c r="AE34" s="113" t="s">
        <v>213</v>
      </c>
      <c r="AF34" s="114"/>
      <c r="AG34" s="115"/>
      <c r="AH34" s="116"/>
      <c r="AI34" s="117"/>
      <c r="AJ34" s="117"/>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row>
    <row r="35" spans="1:64" ht="26.25" customHeight="1" x14ac:dyDescent="0.3">
      <c r="A35" s="228"/>
      <c r="B35" s="248"/>
      <c r="C35" s="248"/>
      <c r="D35" s="251"/>
      <c r="E35" s="144"/>
      <c r="F35" s="253"/>
      <c r="G35" s="145"/>
      <c r="H35" s="311"/>
      <c r="I35" s="282"/>
      <c r="J35" s="259"/>
      <c r="K35" s="256"/>
      <c r="L35" s="285"/>
      <c r="M35" s="256">
        <f ca="1">IF(NOT(ISERROR(MATCH(L35,_xlfn.ANCHORARRAY(F46),0))),K48&amp;"Por favor no seleccionar los criterios de impacto",L35)</f>
        <v>0</v>
      </c>
      <c r="N35" s="259"/>
      <c r="O35" s="256"/>
      <c r="P35" s="262"/>
      <c r="Q35" s="105">
        <v>3</v>
      </c>
      <c r="R35" s="118"/>
      <c r="S35" s="107" t="s">
        <v>213</v>
      </c>
      <c r="T35" s="108"/>
      <c r="U35" s="108"/>
      <c r="V35" s="109" t="s">
        <v>213</v>
      </c>
      <c r="W35" s="108"/>
      <c r="X35" s="108"/>
      <c r="Y35" s="108"/>
      <c r="Z35" s="110" t="s">
        <v>213</v>
      </c>
      <c r="AA35" s="111" t="s">
        <v>213</v>
      </c>
      <c r="AB35" s="112" t="s">
        <v>213</v>
      </c>
      <c r="AC35" s="111" t="s">
        <v>213</v>
      </c>
      <c r="AD35" s="112" t="s">
        <v>213</v>
      </c>
      <c r="AE35" s="113" t="s">
        <v>213</v>
      </c>
      <c r="AF35" s="114"/>
      <c r="AG35" s="115"/>
      <c r="AH35" s="116"/>
      <c r="AI35" s="117"/>
      <c r="AJ35" s="117"/>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row>
    <row r="36" spans="1:64" ht="26.25" customHeight="1" x14ac:dyDescent="0.3">
      <c r="A36" s="228"/>
      <c r="B36" s="248"/>
      <c r="C36" s="248"/>
      <c r="D36" s="251"/>
      <c r="E36" s="144"/>
      <c r="F36" s="253"/>
      <c r="G36" s="145"/>
      <c r="H36" s="311"/>
      <c r="I36" s="282"/>
      <c r="J36" s="259"/>
      <c r="K36" s="256"/>
      <c r="L36" s="285"/>
      <c r="M36" s="256">
        <f ca="1">IF(NOT(ISERROR(MATCH(L36,_xlfn.ANCHORARRAY(F47),0))),K49&amp;"Por favor no seleccionar los criterios de impacto",L36)</f>
        <v>0</v>
      </c>
      <c r="N36" s="259"/>
      <c r="O36" s="256"/>
      <c r="P36" s="262"/>
      <c r="Q36" s="105">
        <v>4</v>
      </c>
      <c r="R36" s="106"/>
      <c r="S36" s="107" t="s">
        <v>213</v>
      </c>
      <c r="T36" s="108"/>
      <c r="U36" s="108"/>
      <c r="V36" s="109" t="s">
        <v>213</v>
      </c>
      <c r="W36" s="108"/>
      <c r="X36" s="108"/>
      <c r="Y36" s="108"/>
      <c r="Z36" s="110" t="s">
        <v>213</v>
      </c>
      <c r="AA36" s="111" t="s">
        <v>213</v>
      </c>
      <c r="AB36" s="112" t="s">
        <v>213</v>
      </c>
      <c r="AC36" s="111" t="s">
        <v>213</v>
      </c>
      <c r="AD36" s="112" t="s">
        <v>213</v>
      </c>
      <c r="AE36" s="113" t="s">
        <v>213</v>
      </c>
      <c r="AF36" s="114"/>
      <c r="AG36" s="115"/>
      <c r="AH36" s="116"/>
      <c r="AI36" s="117"/>
      <c r="AJ36" s="117"/>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row>
    <row r="37" spans="1:64" ht="26.25" customHeight="1" x14ac:dyDescent="0.3">
      <c r="A37" s="228"/>
      <c r="B37" s="248"/>
      <c r="C37" s="248"/>
      <c r="D37" s="251"/>
      <c r="E37" s="144"/>
      <c r="F37" s="253"/>
      <c r="G37" s="145"/>
      <c r="H37" s="311"/>
      <c r="I37" s="282"/>
      <c r="J37" s="259"/>
      <c r="K37" s="256"/>
      <c r="L37" s="285"/>
      <c r="M37" s="256">
        <f ca="1">IF(NOT(ISERROR(MATCH(L37,_xlfn.ANCHORARRAY(F48),0))),K50&amp;"Por favor no seleccionar los criterios de impacto",L37)</f>
        <v>0</v>
      </c>
      <c r="N37" s="259"/>
      <c r="O37" s="256"/>
      <c r="P37" s="262"/>
      <c r="Q37" s="105">
        <v>5</v>
      </c>
      <c r="R37" s="106"/>
      <c r="S37" s="107" t="s">
        <v>213</v>
      </c>
      <c r="T37" s="108"/>
      <c r="U37" s="108"/>
      <c r="V37" s="109" t="s">
        <v>213</v>
      </c>
      <c r="W37" s="108"/>
      <c r="X37" s="108"/>
      <c r="Y37" s="108"/>
      <c r="Z37" s="110" t="s">
        <v>213</v>
      </c>
      <c r="AA37" s="111" t="s">
        <v>213</v>
      </c>
      <c r="AB37" s="112" t="s">
        <v>213</v>
      </c>
      <c r="AC37" s="111" t="s">
        <v>213</v>
      </c>
      <c r="AD37" s="112" t="s">
        <v>213</v>
      </c>
      <c r="AE37" s="113" t="s">
        <v>213</v>
      </c>
      <c r="AF37" s="114"/>
      <c r="AG37" s="115"/>
      <c r="AH37" s="116"/>
      <c r="AI37" s="117"/>
      <c r="AJ37" s="117"/>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row>
    <row r="38" spans="1:64" ht="26.25" customHeight="1" x14ac:dyDescent="0.3">
      <c r="A38" s="246"/>
      <c r="B38" s="249"/>
      <c r="C38" s="249"/>
      <c r="D38" s="252"/>
      <c r="E38" s="144"/>
      <c r="F38" s="253"/>
      <c r="G38" s="145"/>
      <c r="H38" s="312"/>
      <c r="I38" s="283"/>
      <c r="J38" s="260"/>
      <c r="K38" s="257"/>
      <c r="L38" s="286"/>
      <c r="M38" s="257">
        <f ca="1">IF(NOT(ISERROR(MATCH(L38,_xlfn.ANCHORARRAY(F49),0))),K51&amp;"Por favor no seleccionar los criterios de impacto",L38)</f>
        <v>0</v>
      </c>
      <c r="N38" s="260"/>
      <c r="O38" s="257"/>
      <c r="P38" s="263"/>
      <c r="Q38" s="105">
        <v>6</v>
      </c>
      <c r="R38" s="106"/>
      <c r="S38" s="107" t="s">
        <v>213</v>
      </c>
      <c r="T38" s="108"/>
      <c r="U38" s="108"/>
      <c r="V38" s="109" t="s">
        <v>213</v>
      </c>
      <c r="W38" s="108"/>
      <c r="X38" s="108"/>
      <c r="Y38" s="108"/>
      <c r="Z38" s="110" t="s">
        <v>213</v>
      </c>
      <c r="AA38" s="111" t="s">
        <v>213</v>
      </c>
      <c r="AB38" s="112" t="s">
        <v>213</v>
      </c>
      <c r="AC38" s="111" t="s">
        <v>213</v>
      </c>
      <c r="AD38" s="112" t="s">
        <v>213</v>
      </c>
      <c r="AE38" s="113" t="s">
        <v>213</v>
      </c>
      <c r="AF38" s="114"/>
      <c r="AG38" s="115"/>
      <c r="AH38" s="116"/>
      <c r="AI38" s="117"/>
      <c r="AJ38" s="117"/>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row>
    <row r="39" spans="1:64" ht="26.25" customHeight="1" x14ac:dyDescent="0.3">
      <c r="A39" s="227">
        <v>6</v>
      </c>
      <c r="B39" s="247"/>
      <c r="C39" s="247"/>
      <c r="D39" s="250"/>
      <c r="E39" s="144"/>
      <c r="F39" s="253"/>
      <c r="G39" s="145"/>
      <c r="H39" s="310"/>
      <c r="I39" s="281"/>
      <c r="J39" s="258" t="str">
        <f t="shared" ref="J39" si="41">IF(I39&lt;=0,"",IF(I39&lt;=2,"Muy Baja",IF(I39&lt;=24,"Baja",IF(I39&lt;=500,"Media",IF(I39&lt;=5000,"Alta","Muy Alta")))))</f>
        <v/>
      </c>
      <c r="K39" s="255" t="str">
        <f t="shared" ref="K39" si="42">IF(J39="","",IF(J39="Muy Baja",0.2,IF(J39="Baja",0.4,IF(J39="Media",0.6,IF(J39="Alta",0.8,IF(J39="Muy Alta",1,))))))</f>
        <v/>
      </c>
      <c r="L39" s="284"/>
      <c r="M39" s="255">
        <f ca="1">IF(NOT(ISERROR(MATCH(L39,'Tabla Impacto'!$B$221:$B$223,0))),'Tabla Impacto'!$F$223&amp;"Por favor no seleccionar los criterios de impacto(Afectación Económica o presupuestal y Pérdida Reputacional)",L39)</f>
        <v>0</v>
      </c>
      <c r="N39" s="258" t="str">
        <f ca="1">IF(OR(M39='Tabla Impacto'!$C$11,M39='Tabla Impacto'!$D$11),"Leve",IF(OR(M39='Tabla Impacto'!$C$12,M39='Tabla Impacto'!$D$12),"Menor",IF(OR(M39='Tabla Impacto'!$C$13,M39='Tabla Impacto'!$D$13),"Moderado",IF(OR(M39='Tabla Impacto'!$C$14,M39='Tabla Impacto'!$D$14),"Mayor",IF(OR(M39='Tabla Impacto'!$C$15,M39='Tabla Impacto'!$D$15),"Catastrófico","")))))</f>
        <v>Leve</v>
      </c>
      <c r="O39" s="255">
        <f t="shared" ref="O39" ca="1" si="43">IF(N39="","",IF(N39="Leve",0.2,IF(N39="Menor",0.4,IF(N39="Moderado",0.6,IF(N39="Mayor",0.8,IF(N39="Catastrófico",1,))))))</f>
        <v>0.2</v>
      </c>
      <c r="P39" s="261" t="str">
        <f t="shared" ref="P39" ca="1" si="44">IF(OR(AND(J39="Muy Baja",N39="Leve"),AND(J39="Muy Baja",N39="Menor"),AND(J39="Baja",N39="Leve")),"Bajo",IF(OR(AND(J39="Muy baja",N39="Moderado"),AND(J39="Baja",N39="Menor"),AND(J39="Baja",N39="Moderado"),AND(J39="Media",N39="Leve"),AND(J39="Media",N39="Menor"),AND(J39="Media",N39="Moderado"),AND(J39="Alta",N39="Leve"),AND(J39="Alta",N39="Menor")),"Moderado",IF(OR(AND(J39="Muy Baja",N39="Mayor"),AND(J39="Baja",N39="Mayor"),AND(J39="Media",N39="Mayor"),AND(J39="Alta",N39="Moderado"),AND(J39="Alta",N39="Mayor"),AND(J39="Muy Alta",N39="Leve"),AND(J39="Muy Alta",N39="Menor"),AND(J39="Muy Alta",N39="Moderado"),AND(J39="Muy Alta",N39="Mayor")),"Alto",IF(OR(AND(J39="Muy Baja",N39="Catastrófico"),AND(J39="Baja",N39="Catastrófico"),AND(J39="Media",N39="Catastrófico"),AND(J39="Alta",N39="Catastrófico"),AND(J39="Muy Alta",N39="Catastrófico")),"Extremo",""))))</f>
        <v/>
      </c>
      <c r="Q39" s="105">
        <v>1</v>
      </c>
      <c r="R39" s="106"/>
      <c r="S39" s="107" t="s">
        <v>213</v>
      </c>
      <c r="T39" s="108"/>
      <c r="U39" s="108"/>
      <c r="V39" s="109" t="s">
        <v>213</v>
      </c>
      <c r="W39" s="108"/>
      <c r="X39" s="108"/>
      <c r="Y39" s="108"/>
      <c r="Z39" s="110" t="s">
        <v>213</v>
      </c>
      <c r="AA39" s="111" t="s">
        <v>213</v>
      </c>
      <c r="AB39" s="112" t="s">
        <v>213</v>
      </c>
      <c r="AC39" s="111" t="s">
        <v>213</v>
      </c>
      <c r="AD39" s="112" t="s">
        <v>213</v>
      </c>
      <c r="AE39" s="113" t="s">
        <v>213</v>
      </c>
      <c r="AF39" s="114"/>
      <c r="AG39" s="115"/>
      <c r="AH39" s="116"/>
      <c r="AI39" s="117"/>
      <c r="AJ39" s="117"/>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row>
    <row r="40" spans="1:64" ht="26.25" customHeight="1" x14ac:dyDescent="0.3">
      <c r="A40" s="228"/>
      <c r="B40" s="248"/>
      <c r="C40" s="248"/>
      <c r="D40" s="251"/>
      <c r="E40" s="144"/>
      <c r="F40" s="253"/>
      <c r="G40" s="145"/>
      <c r="H40" s="311"/>
      <c r="I40" s="282"/>
      <c r="J40" s="259"/>
      <c r="K40" s="256"/>
      <c r="L40" s="285"/>
      <c r="M40" s="256">
        <f ca="1">IF(NOT(ISERROR(MATCH(L40,_xlfn.ANCHORARRAY(F51),0))),K53&amp;"Por favor no seleccionar los criterios de impacto",L40)</f>
        <v>0</v>
      </c>
      <c r="N40" s="259"/>
      <c r="O40" s="256"/>
      <c r="P40" s="262"/>
      <c r="Q40" s="105">
        <v>2</v>
      </c>
      <c r="R40" s="106"/>
      <c r="S40" s="107" t="s">
        <v>213</v>
      </c>
      <c r="T40" s="108"/>
      <c r="U40" s="108"/>
      <c r="V40" s="109" t="s">
        <v>213</v>
      </c>
      <c r="W40" s="108"/>
      <c r="X40" s="108"/>
      <c r="Y40" s="108"/>
      <c r="Z40" s="110" t="s">
        <v>213</v>
      </c>
      <c r="AA40" s="111" t="s">
        <v>213</v>
      </c>
      <c r="AB40" s="112" t="s">
        <v>213</v>
      </c>
      <c r="AC40" s="111" t="s">
        <v>213</v>
      </c>
      <c r="AD40" s="112" t="s">
        <v>213</v>
      </c>
      <c r="AE40" s="113" t="s">
        <v>213</v>
      </c>
      <c r="AF40" s="114"/>
      <c r="AG40" s="115"/>
      <c r="AH40" s="116"/>
      <c r="AI40" s="117"/>
      <c r="AJ40" s="117"/>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row>
    <row r="41" spans="1:64" ht="26.25" customHeight="1" x14ac:dyDescent="0.3">
      <c r="A41" s="228"/>
      <c r="B41" s="248"/>
      <c r="C41" s="248"/>
      <c r="D41" s="251"/>
      <c r="E41" s="144"/>
      <c r="F41" s="253"/>
      <c r="G41" s="145"/>
      <c r="H41" s="311"/>
      <c r="I41" s="282"/>
      <c r="J41" s="259"/>
      <c r="K41" s="256"/>
      <c r="L41" s="285"/>
      <c r="M41" s="256">
        <f ca="1">IF(NOT(ISERROR(MATCH(L41,_xlfn.ANCHORARRAY(F52),0))),K54&amp;"Por favor no seleccionar los criterios de impacto",L41)</f>
        <v>0</v>
      </c>
      <c r="N41" s="259"/>
      <c r="O41" s="256"/>
      <c r="P41" s="262"/>
      <c r="Q41" s="105">
        <v>3</v>
      </c>
      <c r="R41" s="118"/>
      <c r="S41" s="107" t="s">
        <v>213</v>
      </c>
      <c r="T41" s="108"/>
      <c r="U41" s="108"/>
      <c r="V41" s="109" t="s">
        <v>213</v>
      </c>
      <c r="W41" s="108"/>
      <c r="X41" s="108"/>
      <c r="Y41" s="108"/>
      <c r="Z41" s="110" t="s">
        <v>213</v>
      </c>
      <c r="AA41" s="111" t="s">
        <v>213</v>
      </c>
      <c r="AB41" s="112" t="s">
        <v>213</v>
      </c>
      <c r="AC41" s="111" t="s">
        <v>213</v>
      </c>
      <c r="AD41" s="112" t="s">
        <v>213</v>
      </c>
      <c r="AE41" s="113" t="s">
        <v>213</v>
      </c>
      <c r="AF41" s="114"/>
      <c r="AG41" s="115"/>
      <c r="AH41" s="116"/>
      <c r="AI41" s="117"/>
      <c r="AJ41" s="117"/>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row>
    <row r="42" spans="1:64" ht="26.25" customHeight="1" x14ac:dyDescent="0.3">
      <c r="A42" s="228"/>
      <c r="B42" s="248"/>
      <c r="C42" s="248"/>
      <c r="D42" s="251"/>
      <c r="E42" s="144"/>
      <c r="F42" s="253"/>
      <c r="G42" s="145"/>
      <c r="H42" s="311"/>
      <c r="I42" s="282"/>
      <c r="J42" s="259"/>
      <c r="K42" s="256"/>
      <c r="L42" s="285"/>
      <c r="M42" s="256">
        <f ca="1">IF(NOT(ISERROR(MATCH(L42,_xlfn.ANCHORARRAY(F53),0))),K55&amp;"Por favor no seleccionar los criterios de impacto",L42)</f>
        <v>0</v>
      </c>
      <c r="N42" s="259"/>
      <c r="O42" s="256"/>
      <c r="P42" s="262"/>
      <c r="Q42" s="105">
        <v>4</v>
      </c>
      <c r="R42" s="106"/>
      <c r="S42" s="107" t="s">
        <v>213</v>
      </c>
      <c r="T42" s="108"/>
      <c r="U42" s="108"/>
      <c r="V42" s="109" t="s">
        <v>213</v>
      </c>
      <c r="W42" s="108"/>
      <c r="X42" s="108"/>
      <c r="Y42" s="108"/>
      <c r="Z42" s="110" t="s">
        <v>213</v>
      </c>
      <c r="AA42" s="111" t="s">
        <v>213</v>
      </c>
      <c r="AB42" s="112" t="s">
        <v>213</v>
      </c>
      <c r="AC42" s="111" t="s">
        <v>213</v>
      </c>
      <c r="AD42" s="112" t="s">
        <v>213</v>
      </c>
      <c r="AE42" s="113" t="s">
        <v>213</v>
      </c>
      <c r="AF42" s="114"/>
      <c r="AG42" s="115"/>
      <c r="AH42" s="116"/>
      <c r="AI42" s="117"/>
      <c r="AJ42" s="117"/>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row>
    <row r="43" spans="1:64" ht="26.25" customHeight="1" x14ac:dyDescent="0.3">
      <c r="A43" s="228"/>
      <c r="B43" s="248"/>
      <c r="C43" s="248"/>
      <c r="D43" s="251"/>
      <c r="E43" s="144"/>
      <c r="F43" s="253"/>
      <c r="G43" s="145"/>
      <c r="H43" s="311"/>
      <c r="I43" s="282"/>
      <c r="J43" s="259"/>
      <c r="K43" s="256"/>
      <c r="L43" s="285"/>
      <c r="M43" s="256">
        <f ca="1">IF(NOT(ISERROR(MATCH(L43,_xlfn.ANCHORARRAY(F54),0))),K56&amp;"Por favor no seleccionar los criterios de impacto",L43)</f>
        <v>0</v>
      </c>
      <c r="N43" s="259"/>
      <c r="O43" s="256"/>
      <c r="P43" s="262"/>
      <c r="Q43" s="105">
        <v>5</v>
      </c>
      <c r="R43" s="106"/>
      <c r="S43" s="107" t="s">
        <v>213</v>
      </c>
      <c r="T43" s="108"/>
      <c r="U43" s="108"/>
      <c r="V43" s="109" t="s">
        <v>213</v>
      </c>
      <c r="W43" s="108"/>
      <c r="X43" s="108"/>
      <c r="Y43" s="108"/>
      <c r="Z43" s="110" t="s">
        <v>213</v>
      </c>
      <c r="AA43" s="111" t="s">
        <v>213</v>
      </c>
      <c r="AB43" s="112" t="s">
        <v>213</v>
      </c>
      <c r="AC43" s="111" t="s">
        <v>213</v>
      </c>
      <c r="AD43" s="112" t="s">
        <v>213</v>
      </c>
      <c r="AE43" s="113" t="s">
        <v>213</v>
      </c>
      <c r="AF43" s="114"/>
      <c r="AG43" s="115"/>
      <c r="AH43" s="116"/>
      <c r="AI43" s="117"/>
      <c r="AJ43" s="117"/>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row>
    <row r="44" spans="1:64" ht="26.25" customHeight="1" x14ac:dyDescent="0.3">
      <c r="A44" s="246"/>
      <c r="B44" s="249"/>
      <c r="C44" s="249"/>
      <c r="D44" s="252"/>
      <c r="E44" s="144"/>
      <c r="F44" s="253"/>
      <c r="G44" s="145"/>
      <c r="H44" s="312"/>
      <c r="I44" s="283"/>
      <c r="J44" s="260"/>
      <c r="K44" s="257"/>
      <c r="L44" s="286"/>
      <c r="M44" s="257">
        <f ca="1">IF(NOT(ISERROR(MATCH(L44,_xlfn.ANCHORARRAY(F55),0))),K57&amp;"Por favor no seleccionar los criterios de impacto",L44)</f>
        <v>0</v>
      </c>
      <c r="N44" s="260"/>
      <c r="O44" s="257"/>
      <c r="P44" s="263"/>
      <c r="Q44" s="105">
        <v>6</v>
      </c>
      <c r="R44" s="106"/>
      <c r="S44" s="107" t="s">
        <v>213</v>
      </c>
      <c r="T44" s="108"/>
      <c r="U44" s="108"/>
      <c r="V44" s="109" t="s">
        <v>213</v>
      </c>
      <c r="W44" s="108"/>
      <c r="X44" s="108"/>
      <c r="Y44" s="108"/>
      <c r="Z44" s="110" t="s">
        <v>213</v>
      </c>
      <c r="AA44" s="111" t="s">
        <v>213</v>
      </c>
      <c r="AB44" s="112" t="s">
        <v>213</v>
      </c>
      <c r="AC44" s="111" t="s">
        <v>213</v>
      </c>
      <c r="AD44" s="112" t="s">
        <v>213</v>
      </c>
      <c r="AE44" s="113" t="s">
        <v>213</v>
      </c>
      <c r="AF44" s="114"/>
      <c r="AG44" s="115"/>
      <c r="AH44" s="116"/>
      <c r="AI44" s="117"/>
      <c r="AJ44" s="117"/>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row>
    <row r="45" spans="1:64" ht="26.25" customHeight="1" x14ac:dyDescent="0.3">
      <c r="A45" s="227">
        <v>7</v>
      </c>
      <c r="B45" s="247"/>
      <c r="C45" s="247"/>
      <c r="D45" s="247"/>
      <c r="E45" s="127"/>
      <c r="F45" s="314"/>
      <c r="G45" s="130"/>
      <c r="H45" s="247"/>
      <c r="I45" s="281"/>
      <c r="J45" s="258" t="str">
        <f t="shared" ref="J45" si="45">IF(I45&lt;=0,"",IF(I45&lt;=2,"Muy Baja",IF(I45&lt;=24,"Baja",IF(I45&lt;=500,"Media",IF(I45&lt;=5000,"Alta","Muy Alta")))))</f>
        <v/>
      </c>
      <c r="K45" s="255" t="str">
        <f t="shared" ref="K45" si="46">IF(J45="","",IF(J45="Muy Baja",0.2,IF(J45="Baja",0.4,IF(J45="Media",0.6,IF(J45="Alta",0.8,IF(J45="Muy Alta",1,))))))</f>
        <v/>
      </c>
      <c r="L45" s="284"/>
      <c r="M45" s="255">
        <f ca="1">IF(NOT(ISERROR(MATCH(L45,'Tabla Impacto'!$B$221:$B$223,0))),'Tabla Impacto'!$F$223&amp;"Por favor no seleccionar los criterios de impacto(Afectación Económica o presupuestal y Pérdida Reputacional)",L45)</f>
        <v>0</v>
      </c>
      <c r="N45" s="258" t="str">
        <f ca="1">IF(OR(M45='Tabla Impacto'!$C$11,M45='Tabla Impacto'!$D$11),"Leve",IF(OR(M45='Tabla Impacto'!$C$12,M45='Tabla Impacto'!$D$12),"Menor",IF(OR(M45='Tabla Impacto'!$C$13,M45='Tabla Impacto'!$D$13),"Moderado",IF(OR(M45='Tabla Impacto'!$C$14,M45='Tabla Impacto'!$D$14),"Mayor",IF(OR(M45='Tabla Impacto'!$C$15,M45='Tabla Impacto'!$D$15),"Catastrófico","")))))</f>
        <v>Leve</v>
      </c>
      <c r="O45" s="255">
        <f t="shared" ref="O45" ca="1" si="47">IF(N45="","",IF(N45="Leve",0.2,IF(N45="Menor",0.4,IF(N45="Moderado",0.6,IF(N45="Mayor",0.8,IF(N45="Catastrófico",1,))))))</f>
        <v>0.2</v>
      </c>
      <c r="P45" s="261" t="str">
        <f t="shared" ref="P45" ca="1" si="48">IF(OR(AND(J45="Muy Baja",N45="Leve"),AND(J45="Muy Baja",N45="Menor"),AND(J45="Baja",N45="Leve")),"Bajo",IF(OR(AND(J45="Muy baja",N45="Moderado"),AND(J45="Baja",N45="Menor"),AND(J45="Baja",N45="Moderado"),AND(J45="Media",N45="Leve"),AND(J45="Media",N45="Menor"),AND(J45="Media",N45="Moderado"),AND(J45="Alta",N45="Leve"),AND(J45="Alta",N45="Menor")),"Moderado",IF(OR(AND(J45="Muy Baja",N45="Mayor"),AND(J45="Baja",N45="Mayor"),AND(J45="Media",N45="Mayor"),AND(J45="Alta",N45="Moderado"),AND(J45="Alta",N45="Mayor"),AND(J45="Muy Alta",N45="Leve"),AND(J45="Muy Alta",N45="Menor"),AND(J45="Muy Alta",N45="Moderado"),AND(J45="Muy Alta",N45="Mayor")),"Alto",IF(OR(AND(J45="Muy Baja",N45="Catastrófico"),AND(J45="Baja",N45="Catastrófico"),AND(J45="Media",N45="Catastrófico"),AND(J45="Alta",N45="Catastrófico"),AND(J45="Muy Alta",N45="Catastrófico")),"Extremo",""))))</f>
        <v/>
      </c>
      <c r="Q45" s="105">
        <v>1</v>
      </c>
      <c r="R45" s="106"/>
      <c r="S45" s="107" t="s">
        <v>213</v>
      </c>
      <c r="T45" s="108"/>
      <c r="U45" s="108"/>
      <c r="V45" s="109" t="s">
        <v>213</v>
      </c>
      <c r="W45" s="108"/>
      <c r="X45" s="108"/>
      <c r="Y45" s="108"/>
      <c r="Z45" s="110" t="s">
        <v>213</v>
      </c>
      <c r="AA45" s="111" t="s">
        <v>213</v>
      </c>
      <c r="AB45" s="112" t="s">
        <v>213</v>
      </c>
      <c r="AC45" s="111" t="s">
        <v>213</v>
      </c>
      <c r="AD45" s="112" t="s">
        <v>213</v>
      </c>
      <c r="AE45" s="113" t="s">
        <v>213</v>
      </c>
      <c r="AF45" s="114"/>
      <c r="AG45" s="115"/>
      <c r="AH45" s="116"/>
      <c r="AI45" s="117"/>
      <c r="AJ45" s="117"/>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row>
    <row r="46" spans="1:64" ht="26.25" customHeight="1" x14ac:dyDescent="0.3">
      <c r="A46" s="228"/>
      <c r="B46" s="248"/>
      <c r="C46" s="248"/>
      <c r="D46" s="248"/>
      <c r="E46" s="127"/>
      <c r="F46" s="314"/>
      <c r="G46" s="130"/>
      <c r="H46" s="248"/>
      <c r="I46" s="282"/>
      <c r="J46" s="259"/>
      <c r="K46" s="256"/>
      <c r="L46" s="285"/>
      <c r="M46" s="256">
        <f ca="1">IF(NOT(ISERROR(MATCH(L46,_xlfn.ANCHORARRAY(F57),0))),K59&amp;"Por favor no seleccionar los criterios de impacto",L46)</f>
        <v>0</v>
      </c>
      <c r="N46" s="259"/>
      <c r="O46" s="256"/>
      <c r="P46" s="262"/>
      <c r="Q46" s="105">
        <v>2</v>
      </c>
      <c r="R46" s="106"/>
      <c r="S46" s="107" t="s">
        <v>213</v>
      </c>
      <c r="T46" s="108"/>
      <c r="U46" s="108"/>
      <c r="V46" s="109" t="s">
        <v>213</v>
      </c>
      <c r="W46" s="108"/>
      <c r="X46" s="108"/>
      <c r="Y46" s="108"/>
      <c r="Z46" s="110" t="s">
        <v>213</v>
      </c>
      <c r="AA46" s="111" t="s">
        <v>213</v>
      </c>
      <c r="AB46" s="112" t="s">
        <v>213</v>
      </c>
      <c r="AC46" s="111" t="s">
        <v>213</v>
      </c>
      <c r="AD46" s="112" t="s">
        <v>213</v>
      </c>
      <c r="AE46" s="113" t="s">
        <v>213</v>
      </c>
      <c r="AF46" s="114"/>
      <c r="AG46" s="115"/>
      <c r="AH46" s="116"/>
      <c r="AI46" s="117"/>
      <c r="AJ46" s="117"/>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row>
    <row r="47" spans="1:64" ht="26.25" customHeight="1" x14ac:dyDescent="0.3">
      <c r="A47" s="228"/>
      <c r="B47" s="248"/>
      <c r="C47" s="248"/>
      <c r="D47" s="248"/>
      <c r="E47" s="127"/>
      <c r="F47" s="314"/>
      <c r="G47" s="130"/>
      <c r="H47" s="248"/>
      <c r="I47" s="282"/>
      <c r="J47" s="259"/>
      <c r="K47" s="256"/>
      <c r="L47" s="285"/>
      <c r="M47" s="256">
        <f ca="1">IF(NOT(ISERROR(MATCH(L47,_xlfn.ANCHORARRAY(F58),0))),K60&amp;"Por favor no seleccionar los criterios de impacto",L47)</f>
        <v>0</v>
      </c>
      <c r="N47" s="259"/>
      <c r="O47" s="256"/>
      <c r="P47" s="262"/>
      <c r="Q47" s="105">
        <v>3</v>
      </c>
      <c r="R47" s="118"/>
      <c r="S47" s="107" t="s">
        <v>213</v>
      </c>
      <c r="T47" s="108"/>
      <c r="U47" s="108"/>
      <c r="V47" s="109" t="s">
        <v>213</v>
      </c>
      <c r="W47" s="108"/>
      <c r="X47" s="108"/>
      <c r="Y47" s="108"/>
      <c r="Z47" s="110" t="s">
        <v>213</v>
      </c>
      <c r="AA47" s="111" t="s">
        <v>213</v>
      </c>
      <c r="AB47" s="112" t="s">
        <v>213</v>
      </c>
      <c r="AC47" s="111" t="s">
        <v>213</v>
      </c>
      <c r="AD47" s="112" t="s">
        <v>213</v>
      </c>
      <c r="AE47" s="113" t="s">
        <v>213</v>
      </c>
      <c r="AF47" s="114"/>
      <c r="AG47" s="115"/>
      <c r="AH47" s="116"/>
      <c r="AI47" s="117"/>
      <c r="AJ47" s="117"/>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row>
    <row r="48" spans="1:64" ht="26.25" customHeight="1" x14ac:dyDescent="0.3">
      <c r="A48" s="228"/>
      <c r="B48" s="248"/>
      <c r="C48" s="248"/>
      <c r="D48" s="248"/>
      <c r="E48" s="127"/>
      <c r="F48" s="314"/>
      <c r="G48" s="130"/>
      <c r="H48" s="248"/>
      <c r="I48" s="282"/>
      <c r="J48" s="259"/>
      <c r="K48" s="256"/>
      <c r="L48" s="285"/>
      <c r="M48" s="256">
        <f ca="1">IF(NOT(ISERROR(MATCH(L48,_xlfn.ANCHORARRAY(F59),0))),K61&amp;"Por favor no seleccionar los criterios de impacto",L48)</f>
        <v>0</v>
      </c>
      <c r="N48" s="259"/>
      <c r="O48" s="256"/>
      <c r="P48" s="262"/>
      <c r="Q48" s="105">
        <v>4</v>
      </c>
      <c r="R48" s="106"/>
      <c r="S48" s="107" t="s">
        <v>213</v>
      </c>
      <c r="T48" s="108"/>
      <c r="U48" s="108"/>
      <c r="V48" s="109" t="s">
        <v>213</v>
      </c>
      <c r="W48" s="108"/>
      <c r="X48" s="108"/>
      <c r="Y48" s="108"/>
      <c r="Z48" s="110" t="s">
        <v>213</v>
      </c>
      <c r="AA48" s="111" t="s">
        <v>213</v>
      </c>
      <c r="AB48" s="112" t="s">
        <v>213</v>
      </c>
      <c r="AC48" s="111" t="s">
        <v>213</v>
      </c>
      <c r="AD48" s="112" t="s">
        <v>213</v>
      </c>
      <c r="AE48" s="113" t="s">
        <v>213</v>
      </c>
      <c r="AF48" s="114"/>
      <c r="AG48" s="115"/>
      <c r="AH48" s="116"/>
      <c r="AI48" s="117"/>
      <c r="AJ48" s="117"/>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row>
    <row r="49" spans="1:64" ht="26.25" customHeight="1" x14ac:dyDescent="0.3">
      <c r="A49" s="228"/>
      <c r="B49" s="248"/>
      <c r="C49" s="248"/>
      <c r="D49" s="248"/>
      <c r="E49" s="127"/>
      <c r="F49" s="314"/>
      <c r="G49" s="130"/>
      <c r="H49" s="248"/>
      <c r="I49" s="282"/>
      <c r="J49" s="259"/>
      <c r="K49" s="256"/>
      <c r="L49" s="285"/>
      <c r="M49" s="256">
        <f ca="1">IF(NOT(ISERROR(MATCH(L49,_xlfn.ANCHORARRAY(F60),0))),K62&amp;"Por favor no seleccionar los criterios de impacto",L49)</f>
        <v>0</v>
      </c>
      <c r="N49" s="259"/>
      <c r="O49" s="256"/>
      <c r="P49" s="262"/>
      <c r="Q49" s="105">
        <v>5</v>
      </c>
      <c r="R49" s="106"/>
      <c r="S49" s="107" t="s">
        <v>213</v>
      </c>
      <c r="T49" s="108"/>
      <c r="U49" s="108"/>
      <c r="V49" s="109" t="s">
        <v>213</v>
      </c>
      <c r="W49" s="108"/>
      <c r="X49" s="108"/>
      <c r="Y49" s="108"/>
      <c r="Z49" s="110" t="s">
        <v>213</v>
      </c>
      <c r="AA49" s="111" t="s">
        <v>213</v>
      </c>
      <c r="AB49" s="112" t="s">
        <v>213</v>
      </c>
      <c r="AC49" s="111" t="s">
        <v>213</v>
      </c>
      <c r="AD49" s="112" t="s">
        <v>213</v>
      </c>
      <c r="AE49" s="113" t="s">
        <v>213</v>
      </c>
      <c r="AF49" s="114"/>
      <c r="AG49" s="115"/>
      <c r="AH49" s="116"/>
      <c r="AI49" s="117"/>
      <c r="AJ49" s="117"/>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row>
    <row r="50" spans="1:64" ht="26.25" customHeight="1" x14ac:dyDescent="0.3">
      <c r="A50" s="246"/>
      <c r="B50" s="249"/>
      <c r="C50" s="249"/>
      <c r="D50" s="249"/>
      <c r="E50" s="128"/>
      <c r="F50" s="315"/>
      <c r="G50" s="131"/>
      <c r="H50" s="249"/>
      <c r="I50" s="283"/>
      <c r="J50" s="260"/>
      <c r="K50" s="257"/>
      <c r="L50" s="286"/>
      <c r="M50" s="257">
        <f ca="1">IF(NOT(ISERROR(MATCH(L50,_xlfn.ANCHORARRAY(F61),0))),K63&amp;"Por favor no seleccionar los criterios de impacto",L50)</f>
        <v>0</v>
      </c>
      <c r="N50" s="260"/>
      <c r="O50" s="257"/>
      <c r="P50" s="263"/>
      <c r="Q50" s="105">
        <v>6</v>
      </c>
      <c r="R50" s="106"/>
      <c r="S50" s="107" t="s">
        <v>213</v>
      </c>
      <c r="T50" s="108"/>
      <c r="U50" s="108"/>
      <c r="V50" s="109" t="s">
        <v>213</v>
      </c>
      <c r="W50" s="108"/>
      <c r="X50" s="108"/>
      <c r="Y50" s="108"/>
      <c r="Z50" s="110" t="s">
        <v>213</v>
      </c>
      <c r="AA50" s="111" t="s">
        <v>213</v>
      </c>
      <c r="AB50" s="112" t="s">
        <v>213</v>
      </c>
      <c r="AC50" s="111" t="s">
        <v>213</v>
      </c>
      <c r="AD50" s="112" t="s">
        <v>213</v>
      </c>
      <c r="AE50" s="113" t="s">
        <v>213</v>
      </c>
      <c r="AF50" s="114"/>
      <c r="AG50" s="115"/>
      <c r="AH50" s="116"/>
      <c r="AI50" s="117"/>
      <c r="AJ50" s="117"/>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row>
    <row r="51" spans="1:64" ht="26.25" customHeight="1" x14ac:dyDescent="0.3">
      <c r="A51" s="227">
        <v>8</v>
      </c>
      <c r="B51" s="247"/>
      <c r="C51" s="247"/>
      <c r="D51" s="247"/>
      <c r="E51" s="126"/>
      <c r="F51" s="313"/>
      <c r="G51" s="129"/>
      <c r="H51" s="247"/>
      <c r="I51" s="281"/>
      <c r="J51" s="258" t="str">
        <f t="shared" ref="J51" si="49">IF(I51&lt;=0,"",IF(I51&lt;=2,"Muy Baja",IF(I51&lt;=24,"Baja",IF(I51&lt;=500,"Media",IF(I51&lt;=5000,"Alta","Muy Alta")))))</f>
        <v/>
      </c>
      <c r="K51" s="255" t="str">
        <f t="shared" ref="K51" si="50">IF(J51="","",IF(J51="Muy Baja",0.2,IF(J51="Baja",0.4,IF(J51="Media",0.6,IF(J51="Alta",0.8,IF(J51="Muy Alta",1,))))))</f>
        <v/>
      </c>
      <c r="L51" s="284"/>
      <c r="M51" s="255">
        <f ca="1">IF(NOT(ISERROR(MATCH(L51,'Tabla Impacto'!$B$221:$B$223,0))),'Tabla Impacto'!$F$223&amp;"Por favor no seleccionar los criterios de impacto(Afectación Económica o presupuestal y Pérdida Reputacional)",L51)</f>
        <v>0</v>
      </c>
      <c r="N51" s="258" t="str">
        <f ca="1">IF(OR(M51='Tabla Impacto'!$C$11,M51='Tabla Impacto'!$D$11),"Leve",IF(OR(M51='Tabla Impacto'!$C$12,M51='Tabla Impacto'!$D$12),"Menor",IF(OR(M51='Tabla Impacto'!$C$13,M51='Tabla Impacto'!$D$13),"Moderado",IF(OR(M51='Tabla Impacto'!$C$14,M51='Tabla Impacto'!$D$14),"Mayor",IF(OR(M51='Tabla Impacto'!$C$15,M51='Tabla Impacto'!$D$15),"Catastrófico","")))))</f>
        <v>Leve</v>
      </c>
      <c r="O51" s="255">
        <f t="shared" ref="O51" ca="1" si="51">IF(N51="","",IF(N51="Leve",0.2,IF(N51="Menor",0.4,IF(N51="Moderado",0.6,IF(N51="Mayor",0.8,IF(N51="Catastrófico",1,))))))</f>
        <v>0.2</v>
      </c>
      <c r="P51" s="261" t="str">
        <f t="shared" ref="P51" ca="1" si="52">IF(OR(AND(J51="Muy Baja",N51="Leve"),AND(J51="Muy Baja",N51="Menor"),AND(J51="Baja",N51="Leve")),"Bajo",IF(OR(AND(J51="Muy baja",N51="Moderado"),AND(J51="Baja",N51="Menor"),AND(J51="Baja",N51="Moderado"),AND(J51="Media",N51="Leve"),AND(J51="Media",N51="Menor"),AND(J51="Media",N51="Moderado"),AND(J51="Alta",N51="Leve"),AND(J51="Alta",N51="Menor")),"Moderado",IF(OR(AND(J51="Muy Baja",N51="Mayor"),AND(J51="Baja",N51="Mayor"),AND(J51="Media",N51="Mayor"),AND(J51="Alta",N51="Moderado"),AND(J51="Alta",N51="Mayor"),AND(J51="Muy Alta",N51="Leve"),AND(J51="Muy Alta",N51="Menor"),AND(J51="Muy Alta",N51="Moderado"),AND(J51="Muy Alta",N51="Mayor")),"Alto",IF(OR(AND(J51="Muy Baja",N51="Catastrófico"),AND(J51="Baja",N51="Catastrófico"),AND(J51="Media",N51="Catastrófico"),AND(J51="Alta",N51="Catastrófico"),AND(J51="Muy Alta",N51="Catastrófico")),"Extremo",""))))</f>
        <v/>
      </c>
      <c r="Q51" s="105">
        <v>1</v>
      </c>
      <c r="R51" s="106"/>
      <c r="S51" s="107" t="str">
        <f>IF(OR(T51="Preventivo",T51="Detectivo"),"Probabilidad",IF(T51="Correctivo","Impacto",""))</f>
        <v/>
      </c>
      <c r="T51" s="108"/>
      <c r="U51" s="108"/>
      <c r="V51" s="109" t="str">
        <f>IF(AND(T51="Preventivo",U51="Automático"),"50%",IF(AND(T51="Preventivo",U51="Manual"),"40%",IF(AND(T51="Detectivo",U51="Automático"),"40%",IF(AND(T51="Detectivo",U51="Manual"),"30%",IF(AND(T51="Correctivo",U51="Automático"),"35%",IF(AND(T51="Correctivo",U51="Manual"),"25%",""))))))</f>
        <v/>
      </c>
      <c r="W51" s="108"/>
      <c r="X51" s="108"/>
      <c r="Y51" s="108"/>
      <c r="Z51" s="110" t="str">
        <f>IFERROR(IF(S51="Probabilidad",(K51-(+K51*V51)),IF(S51="Impacto",K51,"")),"")</f>
        <v/>
      </c>
      <c r="AA51" s="111" t="str">
        <f>IFERROR(IF(Z51="","",IF(Z51&lt;=0.2,"Muy Baja",IF(Z51&lt;=0.4,"Baja",IF(Z51&lt;=0.6,"Media",IF(Z51&lt;=0.8,"Alta","Muy Alta"))))),"")</f>
        <v/>
      </c>
      <c r="AB51" s="112" t="str">
        <f>+Z51</f>
        <v/>
      </c>
      <c r="AC51" s="111" t="str">
        <f>IFERROR(IF(AD51="","",IF(AD51&lt;=0.2,"Leve",IF(AD51&lt;=0.4,"Menor",IF(AD51&lt;=0.6,"Moderado",IF(AD51&lt;=0.8,"Mayor","Catastrófico"))))),"")</f>
        <v/>
      </c>
      <c r="AD51" s="112" t="str">
        <f>IFERROR(IF(S51="Impacto",(O51-(+O51*V51)),IF(S51="Probabilidad",O51,"")),"")</f>
        <v/>
      </c>
      <c r="AE51" s="113" t="str">
        <f>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14"/>
      <c r="AG51" s="115"/>
      <c r="AH51" s="116"/>
      <c r="AI51" s="117"/>
      <c r="AJ51" s="117"/>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row>
    <row r="52" spans="1:64" ht="26.25" customHeight="1" x14ac:dyDescent="0.3">
      <c r="A52" s="228"/>
      <c r="B52" s="248"/>
      <c r="C52" s="248"/>
      <c r="D52" s="248"/>
      <c r="E52" s="127"/>
      <c r="F52" s="314"/>
      <c r="G52" s="130"/>
      <c r="H52" s="248"/>
      <c r="I52" s="282"/>
      <c r="J52" s="259"/>
      <c r="K52" s="256"/>
      <c r="L52" s="285"/>
      <c r="M52" s="256">
        <f ca="1">IF(NOT(ISERROR(MATCH(L52,_xlfn.ANCHORARRAY(F63),0))),K65&amp;"Por favor no seleccionar los criterios de impacto",L52)</f>
        <v>0</v>
      </c>
      <c r="N52" s="259"/>
      <c r="O52" s="256"/>
      <c r="P52" s="262"/>
      <c r="Q52" s="105">
        <v>2</v>
      </c>
      <c r="R52" s="106"/>
      <c r="S52" s="107" t="str">
        <f>IF(OR(T52="Preventivo",T52="Detectivo"),"Probabilidad",IF(T52="Correctivo","Impacto",""))</f>
        <v/>
      </c>
      <c r="T52" s="108"/>
      <c r="U52" s="108"/>
      <c r="V52" s="109" t="str">
        <f t="shared" ref="V52:V56" si="53">IF(AND(T52="Preventivo",U52="Automático"),"50%",IF(AND(T52="Preventivo",U52="Manual"),"40%",IF(AND(T52="Detectivo",U52="Automático"),"40%",IF(AND(T52="Detectivo",U52="Manual"),"30%",IF(AND(T52="Correctivo",U52="Automático"),"35%",IF(AND(T52="Correctivo",U52="Manual"),"25%",""))))))</f>
        <v/>
      </c>
      <c r="W52" s="108"/>
      <c r="X52" s="108"/>
      <c r="Y52" s="108"/>
      <c r="Z52" s="110" t="str">
        <f>IFERROR(IF(AND(S51="Probabilidad",S52="Probabilidad"),(AB51-(+AB51*V52)),IF(S52="Probabilidad",(K51-(+K51*V52)),IF(S52="Impacto",AB51,""))),"")</f>
        <v/>
      </c>
      <c r="AA52" s="111" t="str">
        <f t="shared" ref="AA52:AA68" si="54">IFERROR(IF(Z52="","",IF(Z52&lt;=0.2,"Muy Baja",IF(Z52&lt;=0.4,"Baja",IF(Z52&lt;=0.6,"Media",IF(Z52&lt;=0.8,"Alta","Muy Alta"))))),"")</f>
        <v/>
      </c>
      <c r="AB52" s="112" t="str">
        <f t="shared" ref="AB52:AB56" si="55">+Z52</f>
        <v/>
      </c>
      <c r="AC52" s="111" t="str">
        <f t="shared" ref="AC52:AC68" si="56">IFERROR(IF(AD52="","",IF(AD52&lt;=0.2,"Leve",IF(AD52&lt;=0.4,"Menor",IF(AD52&lt;=0.6,"Moderado",IF(AD52&lt;=0.8,"Mayor","Catastrófico"))))),"")</f>
        <v/>
      </c>
      <c r="AD52" s="112" t="str">
        <f>IFERROR(IF(AND(S51="Impacto",S52="Impacto"),(AD51-(+AD51*V52)),IF(S52="Impacto",(O51-(+O51*V52)),IF(S52="Probabilidad",AD51,""))),"")</f>
        <v/>
      </c>
      <c r="AE52" s="113" t="str">
        <f t="shared" ref="AE52:AE53" si="57">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4"/>
      <c r="AG52" s="115"/>
      <c r="AH52" s="116"/>
      <c r="AI52" s="117"/>
      <c r="AJ52" s="117"/>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row>
    <row r="53" spans="1:64" ht="26.25" customHeight="1" x14ac:dyDescent="0.3">
      <c r="A53" s="228"/>
      <c r="B53" s="248"/>
      <c r="C53" s="248"/>
      <c r="D53" s="248"/>
      <c r="E53" s="127"/>
      <c r="F53" s="314"/>
      <c r="G53" s="130"/>
      <c r="H53" s="248"/>
      <c r="I53" s="282"/>
      <c r="J53" s="259"/>
      <c r="K53" s="256"/>
      <c r="L53" s="285"/>
      <c r="M53" s="256">
        <f ca="1">IF(NOT(ISERROR(MATCH(L53,_xlfn.ANCHORARRAY(F64),0))),K66&amp;"Por favor no seleccionar los criterios de impacto",L53)</f>
        <v>0</v>
      </c>
      <c r="N53" s="259"/>
      <c r="O53" s="256"/>
      <c r="P53" s="262"/>
      <c r="Q53" s="105">
        <v>3</v>
      </c>
      <c r="R53" s="118"/>
      <c r="S53" s="107" t="str">
        <f>IF(OR(T53="Preventivo",T53="Detectivo"),"Probabilidad",IF(T53="Correctivo","Impacto",""))</f>
        <v/>
      </c>
      <c r="T53" s="108"/>
      <c r="U53" s="108"/>
      <c r="V53" s="109" t="str">
        <f t="shared" si="53"/>
        <v/>
      </c>
      <c r="W53" s="108"/>
      <c r="X53" s="108"/>
      <c r="Y53" s="108"/>
      <c r="Z53" s="110" t="str">
        <f>IFERROR(IF(AND(S52="Probabilidad",S53="Probabilidad"),(AB52-(+AB52*V53)),IF(AND(S52="Impacto",S53="Probabilidad"),(AB51-(+AB51*V53)),IF(S53="Impacto",AB52,""))),"")</f>
        <v/>
      </c>
      <c r="AA53" s="111" t="str">
        <f t="shared" si="54"/>
        <v/>
      </c>
      <c r="AB53" s="112" t="str">
        <f t="shared" si="55"/>
        <v/>
      </c>
      <c r="AC53" s="111" t="str">
        <f t="shared" si="56"/>
        <v/>
      </c>
      <c r="AD53" s="112" t="str">
        <f>IFERROR(IF(AND(S52="Impacto",S53="Impacto"),(AD52-(+AD52*V53)),IF(AND(S52="Probabilidad",S53="Impacto"),(AD51-(+AD51*V53)),IF(S53="Probabilidad",AD52,""))),"")</f>
        <v/>
      </c>
      <c r="AE53" s="113" t="str">
        <f t="shared" si="57"/>
        <v/>
      </c>
      <c r="AF53" s="114"/>
      <c r="AG53" s="115"/>
      <c r="AH53" s="116"/>
      <c r="AI53" s="117"/>
      <c r="AJ53" s="117"/>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row>
    <row r="54" spans="1:64" ht="26.25" customHeight="1" x14ac:dyDescent="0.3">
      <c r="A54" s="228"/>
      <c r="B54" s="248"/>
      <c r="C54" s="248"/>
      <c r="D54" s="248"/>
      <c r="E54" s="127"/>
      <c r="F54" s="314"/>
      <c r="G54" s="130"/>
      <c r="H54" s="248"/>
      <c r="I54" s="282"/>
      <c r="J54" s="259"/>
      <c r="K54" s="256"/>
      <c r="L54" s="285"/>
      <c r="M54" s="256">
        <f ca="1">IF(NOT(ISERROR(MATCH(L54,_xlfn.ANCHORARRAY(F65),0))),K67&amp;"Por favor no seleccionar los criterios de impacto",L54)</f>
        <v>0</v>
      </c>
      <c r="N54" s="259"/>
      <c r="O54" s="256"/>
      <c r="P54" s="262"/>
      <c r="Q54" s="105">
        <v>4</v>
      </c>
      <c r="R54" s="106"/>
      <c r="S54" s="107" t="str">
        <f t="shared" ref="S54:S56" si="58">IF(OR(T54="Preventivo",T54="Detectivo"),"Probabilidad",IF(T54="Correctivo","Impacto",""))</f>
        <v/>
      </c>
      <c r="T54" s="108"/>
      <c r="U54" s="108"/>
      <c r="V54" s="109" t="str">
        <f t="shared" si="53"/>
        <v/>
      </c>
      <c r="W54" s="108"/>
      <c r="X54" s="108"/>
      <c r="Y54" s="108"/>
      <c r="Z54" s="110" t="str">
        <f t="shared" ref="Z54:Z56" si="59">IFERROR(IF(AND(S53="Probabilidad",S54="Probabilidad"),(AB53-(+AB53*V54)),IF(AND(S53="Impacto",S54="Probabilidad"),(AB52-(+AB52*V54)),IF(S54="Impacto",AB53,""))),"")</f>
        <v/>
      </c>
      <c r="AA54" s="111" t="str">
        <f t="shared" si="54"/>
        <v/>
      </c>
      <c r="AB54" s="112" t="str">
        <f t="shared" si="55"/>
        <v/>
      </c>
      <c r="AC54" s="111" t="str">
        <f t="shared" si="56"/>
        <v/>
      </c>
      <c r="AD54" s="112" t="str">
        <f t="shared" ref="AD54:AD56" si="60">IFERROR(IF(AND(S53="Impacto",S54="Impacto"),(AD53-(+AD53*V54)),IF(AND(S53="Probabilidad",S54="Impacto"),(AD52-(+AD52*V54)),IF(S54="Probabilidad",AD53,""))),"")</f>
        <v/>
      </c>
      <c r="AE54" s="113" t="str">
        <f>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14"/>
      <c r="AG54" s="115"/>
      <c r="AH54" s="116"/>
      <c r="AI54" s="117"/>
      <c r="AJ54" s="117"/>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row>
    <row r="55" spans="1:64" ht="26.25" customHeight="1" x14ac:dyDescent="0.3">
      <c r="A55" s="228"/>
      <c r="B55" s="248"/>
      <c r="C55" s="248"/>
      <c r="D55" s="248"/>
      <c r="E55" s="127"/>
      <c r="F55" s="314"/>
      <c r="G55" s="130"/>
      <c r="H55" s="248"/>
      <c r="I55" s="282"/>
      <c r="J55" s="259"/>
      <c r="K55" s="256"/>
      <c r="L55" s="285"/>
      <c r="M55" s="256">
        <f ca="1">IF(NOT(ISERROR(MATCH(L55,_xlfn.ANCHORARRAY(F66),0))),K68&amp;"Por favor no seleccionar los criterios de impacto",L55)</f>
        <v>0</v>
      </c>
      <c r="N55" s="259"/>
      <c r="O55" s="256"/>
      <c r="P55" s="262"/>
      <c r="Q55" s="105">
        <v>5</v>
      </c>
      <c r="R55" s="106"/>
      <c r="S55" s="107" t="str">
        <f t="shared" si="58"/>
        <v/>
      </c>
      <c r="T55" s="108"/>
      <c r="U55" s="108"/>
      <c r="V55" s="109" t="str">
        <f t="shared" si="53"/>
        <v/>
      </c>
      <c r="W55" s="108"/>
      <c r="X55" s="108"/>
      <c r="Y55" s="108"/>
      <c r="Z55" s="110" t="str">
        <f t="shared" si="59"/>
        <v/>
      </c>
      <c r="AA55" s="111" t="str">
        <f t="shared" si="54"/>
        <v/>
      </c>
      <c r="AB55" s="112" t="str">
        <f t="shared" si="55"/>
        <v/>
      </c>
      <c r="AC55" s="111" t="str">
        <f t="shared" si="56"/>
        <v/>
      </c>
      <c r="AD55" s="112" t="str">
        <f t="shared" si="60"/>
        <v/>
      </c>
      <c r="AE55" s="113" t="str">
        <f t="shared" ref="AE55:AE56" si="61">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4"/>
      <c r="AG55" s="115"/>
      <c r="AH55" s="116"/>
      <c r="AI55" s="117"/>
      <c r="AJ55" s="117"/>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row>
    <row r="56" spans="1:64" ht="26.25" customHeight="1" x14ac:dyDescent="0.3">
      <c r="A56" s="246"/>
      <c r="B56" s="249"/>
      <c r="C56" s="249"/>
      <c r="D56" s="249"/>
      <c r="E56" s="128"/>
      <c r="F56" s="315"/>
      <c r="G56" s="131"/>
      <c r="H56" s="249"/>
      <c r="I56" s="283"/>
      <c r="J56" s="260"/>
      <c r="K56" s="257"/>
      <c r="L56" s="286"/>
      <c r="M56" s="257">
        <f ca="1">IF(NOT(ISERROR(MATCH(L56,_xlfn.ANCHORARRAY(F67),0))),K69&amp;"Por favor no seleccionar los criterios de impacto",L56)</f>
        <v>0</v>
      </c>
      <c r="N56" s="260"/>
      <c r="O56" s="257"/>
      <c r="P56" s="263"/>
      <c r="Q56" s="105">
        <v>6</v>
      </c>
      <c r="R56" s="106"/>
      <c r="S56" s="107" t="str">
        <f t="shared" si="58"/>
        <v/>
      </c>
      <c r="T56" s="108"/>
      <c r="U56" s="108"/>
      <c r="V56" s="109" t="str">
        <f t="shared" si="53"/>
        <v/>
      </c>
      <c r="W56" s="108"/>
      <c r="X56" s="108"/>
      <c r="Y56" s="108"/>
      <c r="Z56" s="110" t="str">
        <f t="shared" si="59"/>
        <v/>
      </c>
      <c r="AA56" s="111" t="str">
        <f t="shared" si="54"/>
        <v/>
      </c>
      <c r="AB56" s="112" t="str">
        <f t="shared" si="55"/>
        <v/>
      </c>
      <c r="AC56" s="111" t="str">
        <f t="shared" si="56"/>
        <v/>
      </c>
      <c r="AD56" s="112" t="str">
        <f t="shared" si="60"/>
        <v/>
      </c>
      <c r="AE56" s="113" t="str">
        <f t="shared" si="61"/>
        <v/>
      </c>
      <c r="AF56" s="114"/>
      <c r="AG56" s="115"/>
      <c r="AH56" s="116"/>
      <c r="AI56" s="117"/>
      <c r="AJ56" s="117"/>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row>
    <row r="57" spans="1:64" ht="26.25" customHeight="1" x14ac:dyDescent="0.3">
      <c r="A57" s="227">
        <v>9</v>
      </c>
      <c r="B57" s="247"/>
      <c r="C57" s="247"/>
      <c r="D57" s="247"/>
      <c r="E57" s="126"/>
      <c r="F57" s="313"/>
      <c r="G57" s="129"/>
      <c r="H57" s="247"/>
      <c r="I57" s="281"/>
      <c r="J57" s="258" t="str">
        <f t="shared" ref="J57" si="62">IF(I57&lt;=0,"",IF(I57&lt;=2,"Muy Baja",IF(I57&lt;=24,"Baja",IF(I57&lt;=500,"Media",IF(I57&lt;=5000,"Alta","Muy Alta")))))</f>
        <v/>
      </c>
      <c r="K57" s="255" t="str">
        <f t="shared" ref="K57" si="63">IF(J57="","",IF(J57="Muy Baja",0.2,IF(J57="Baja",0.4,IF(J57="Media",0.6,IF(J57="Alta",0.8,IF(J57="Muy Alta",1,))))))</f>
        <v/>
      </c>
      <c r="L57" s="284"/>
      <c r="M57" s="255">
        <f ca="1">IF(NOT(ISERROR(MATCH(L57,'Tabla Impacto'!$B$221:$B$223,0))),'Tabla Impacto'!$F$223&amp;"Por favor no seleccionar los criterios de impacto(Afectación Económica o presupuestal y Pérdida Reputacional)",L57)</f>
        <v>0</v>
      </c>
      <c r="N57" s="258" t="str">
        <f ca="1">IF(OR(M57='Tabla Impacto'!$C$11,M57='Tabla Impacto'!$D$11),"Leve",IF(OR(M57='Tabla Impacto'!$C$12,M57='Tabla Impacto'!$D$12),"Menor",IF(OR(M57='Tabla Impacto'!$C$13,M57='Tabla Impacto'!$D$13),"Moderado",IF(OR(M57='Tabla Impacto'!$C$14,M57='Tabla Impacto'!$D$14),"Mayor",IF(OR(M57='Tabla Impacto'!$C$15,M57='Tabla Impacto'!$D$15),"Catastrófico","")))))</f>
        <v>Leve</v>
      </c>
      <c r="O57" s="255">
        <f t="shared" ref="O57" ca="1" si="64">IF(N57="","",IF(N57="Leve",0.2,IF(N57="Menor",0.4,IF(N57="Moderado",0.6,IF(N57="Mayor",0.8,IF(N57="Catastrófico",1,))))))</f>
        <v>0.2</v>
      </c>
      <c r="P57" s="261" t="str">
        <f t="shared" ref="P57" ca="1" si="65">IF(OR(AND(J57="Muy Baja",N57="Leve"),AND(J57="Muy Baja",N57="Menor"),AND(J57="Baja",N57="Leve")),"Bajo",IF(OR(AND(J57="Muy baja",N57="Moderado"),AND(J57="Baja",N57="Menor"),AND(J57="Baja",N57="Moderado"),AND(J57="Media",N57="Leve"),AND(J57="Media",N57="Menor"),AND(J57="Media",N57="Moderado"),AND(J57="Alta",N57="Leve"),AND(J57="Alta",N57="Menor")),"Moderado",IF(OR(AND(J57="Muy Baja",N57="Mayor"),AND(J57="Baja",N57="Mayor"),AND(J57="Media",N57="Mayor"),AND(J57="Alta",N57="Moderado"),AND(J57="Alta",N57="Mayor"),AND(J57="Muy Alta",N57="Leve"),AND(J57="Muy Alta",N57="Menor"),AND(J57="Muy Alta",N57="Moderado"),AND(J57="Muy Alta",N57="Mayor")),"Alto",IF(OR(AND(J57="Muy Baja",N57="Catastrófico"),AND(J57="Baja",N57="Catastrófico"),AND(J57="Media",N57="Catastrófico"),AND(J57="Alta",N57="Catastrófico"),AND(J57="Muy Alta",N57="Catastrófico")),"Extremo",""))))</f>
        <v/>
      </c>
      <c r="Q57" s="105">
        <v>1</v>
      </c>
      <c r="R57" s="106"/>
      <c r="S57" s="107" t="str">
        <f>IF(OR(T57="Preventivo",T57="Detectivo"),"Probabilidad",IF(T57="Correctivo","Impacto",""))</f>
        <v/>
      </c>
      <c r="T57" s="108"/>
      <c r="U57" s="108"/>
      <c r="V57" s="109" t="str">
        <f>IF(AND(T57="Preventivo",U57="Automático"),"50%",IF(AND(T57="Preventivo",U57="Manual"),"40%",IF(AND(T57="Detectivo",U57="Automático"),"40%",IF(AND(T57="Detectivo",U57="Manual"),"30%",IF(AND(T57="Correctivo",U57="Automático"),"35%",IF(AND(T57="Correctivo",U57="Manual"),"25%",""))))))</f>
        <v/>
      </c>
      <c r="W57" s="108"/>
      <c r="X57" s="108"/>
      <c r="Y57" s="108"/>
      <c r="Z57" s="110" t="str">
        <f>IFERROR(IF(S57="Probabilidad",(K57-(+K57*V57)),IF(S57="Impacto",K57,"")),"")</f>
        <v/>
      </c>
      <c r="AA57" s="111" t="str">
        <f>IFERROR(IF(Z57="","",IF(Z57&lt;=0.2,"Muy Baja",IF(Z57&lt;=0.4,"Baja",IF(Z57&lt;=0.6,"Media",IF(Z57&lt;=0.8,"Alta","Muy Alta"))))),"")</f>
        <v/>
      </c>
      <c r="AB57" s="112" t="str">
        <f>+Z57</f>
        <v/>
      </c>
      <c r="AC57" s="111" t="str">
        <f>IFERROR(IF(AD57="","",IF(AD57&lt;=0.2,"Leve",IF(AD57&lt;=0.4,"Menor",IF(AD57&lt;=0.6,"Moderado",IF(AD57&lt;=0.8,"Mayor","Catastrófico"))))),"")</f>
        <v/>
      </c>
      <c r="AD57" s="112" t="str">
        <f>IFERROR(IF(S57="Impacto",(O57-(+O57*V57)),IF(S57="Probabilidad",O57,"")),"")</f>
        <v/>
      </c>
      <c r="AE57" s="113" t="str">
        <f>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14"/>
      <c r="AG57" s="115"/>
      <c r="AH57" s="116"/>
      <c r="AI57" s="117"/>
      <c r="AJ57" s="117"/>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row>
    <row r="58" spans="1:64" ht="26.25" customHeight="1" x14ac:dyDescent="0.3">
      <c r="A58" s="228"/>
      <c r="B58" s="248"/>
      <c r="C58" s="248"/>
      <c r="D58" s="248"/>
      <c r="E58" s="127"/>
      <c r="F58" s="314"/>
      <c r="G58" s="130"/>
      <c r="H58" s="248"/>
      <c r="I58" s="282"/>
      <c r="J58" s="259"/>
      <c r="K58" s="256"/>
      <c r="L58" s="285"/>
      <c r="M58" s="256">
        <f ca="1">IF(NOT(ISERROR(MATCH(L58,_xlfn.ANCHORARRAY(F69),0))),K71&amp;"Por favor no seleccionar los criterios de impacto",L58)</f>
        <v>0</v>
      </c>
      <c r="N58" s="259"/>
      <c r="O58" s="256"/>
      <c r="P58" s="262"/>
      <c r="Q58" s="105">
        <v>2</v>
      </c>
      <c r="R58" s="106"/>
      <c r="S58" s="107" t="str">
        <f>IF(OR(T58="Preventivo",T58="Detectivo"),"Probabilidad",IF(T58="Correctivo","Impacto",""))</f>
        <v/>
      </c>
      <c r="T58" s="108"/>
      <c r="U58" s="108"/>
      <c r="V58" s="109" t="str">
        <f t="shared" ref="V58:V62" si="66">IF(AND(T58="Preventivo",U58="Automático"),"50%",IF(AND(T58="Preventivo",U58="Manual"),"40%",IF(AND(T58="Detectivo",U58="Automático"),"40%",IF(AND(T58="Detectivo",U58="Manual"),"30%",IF(AND(T58="Correctivo",U58="Automático"),"35%",IF(AND(T58="Correctivo",U58="Manual"),"25%",""))))))</f>
        <v/>
      </c>
      <c r="W58" s="108"/>
      <c r="X58" s="108"/>
      <c r="Y58" s="108"/>
      <c r="Z58" s="110" t="str">
        <f>IFERROR(IF(AND(S57="Probabilidad",S58="Probabilidad"),(AB57-(+AB57*V58)),IF(S58="Probabilidad",(K57-(+K57*V58)),IF(S58="Impacto",AB57,""))),"")</f>
        <v/>
      </c>
      <c r="AA58" s="111" t="str">
        <f t="shared" si="54"/>
        <v/>
      </c>
      <c r="AB58" s="112" t="str">
        <f t="shared" ref="AB58:AB62" si="67">+Z58</f>
        <v/>
      </c>
      <c r="AC58" s="111" t="str">
        <f t="shared" si="56"/>
        <v/>
      </c>
      <c r="AD58" s="112" t="str">
        <f>IFERROR(IF(AND(S57="Impacto",S58="Impacto"),(AD57-(+AD57*V58)),IF(S58="Impacto",(O57-(+O57*V58)),IF(S58="Probabilidad",AD57,""))),"")</f>
        <v/>
      </c>
      <c r="AE58" s="113" t="str">
        <f t="shared" ref="AE58:AE59" si="68">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4"/>
      <c r="AG58" s="115"/>
      <c r="AH58" s="116"/>
      <c r="AI58" s="117"/>
      <c r="AJ58" s="117"/>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row>
    <row r="59" spans="1:64" ht="26.25" customHeight="1" x14ac:dyDescent="0.3">
      <c r="A59" s="228"/>
      <c r="B59" s="248"/>
      <c r="C59" s="248"/>
      <c r="D59" s="248"/>
      <c r="E59" s="127"/>
      <c r="F59" s="314"/>
      <c r="G59" s="130"/>
      <c r="H59" s="248"/>
      <c r="I59" s="282"/>
      <c r="J59" s="259"/>
      <c r="K59" s="256"/>
      <c r="L59" s="285"/>
      <c r="M59" s="256">
        <f ca="1">IF(NOT(ISERROR(MATCH(L59,_xlfn.ANCHORARRAY(F70),0))),K72&amp;"Por favor no seleccionar los criterios de impacto",L59)</f>
        <v>0</v>
      </c>
      <c r="N59" s="259"/>
      <c r="O59" s="256"/>
      <c r="P59" s="262"/>
      <c r="Q59" s="105">
        <v>3</v>
      </c>
      <c r="R59" s="118"/>
      <c r="S59" s="107" t="str">
        <f>IF(OR(T59="Preventivo",T59="Detectivo"),"Probabilidad",IF(T59="Correctivo","Impacto",""))</f>
        <v/>
      </c>
      <c r="T59" s="108"/>
      <c r="U59" s="108"/>
      <c r="V59" s="109" t="str">
        <f t="shared" si="66"/>
        <v/>
      </c>
      <c r="W59" s="108"/>
      <c r="X59" s="108"/>
      <c r="Y59" s="108"/>
      <c r="Z59" s="110" t="str">
        <f>IFERROR(IF(AND(S58="Probabilidad",S59="Probabilidad"),(AB58-(+AB58*V59)),IF(AND(S58="Impacto",S59="Probabilidad"),(AB57-(+AB57*V59)),IF(S59="Impacto",AB58,""))),"")</f>
        <v/>
      </c>
      <c r="AA59" s="111" t="str">
        <f t="shared" si="54"/>
        <v/>
      </c>
      <c r="AB59" s="112" t="str">
        <f t="shared" si="67"/>
        <v/>
      </c>
      <c r="AC59" s="111" t="str">
        <f t="shared" si="56"/>
        <v/>
      </c>
      <c r="AD59" s="112" t="str">
        <f>IFERROR(IF(AND(S58="Impacto",S59="Impacto"),(AD58-(+AD58*V59)),IF(AND(S58="Probabilidad",S59="Impacto"),(AD57-(+AD57*V59)),IF(S59="Probabilidad",AD58,""))),"")</f>
        <v/>
      </c>
      <c r="AE59" s="113" t="str">
        <f t="shared" si="68"/>
        <v/>
      </c>
      <c r="AF59" s="114"/>
      <c r="AG59" s="115"/>
      <c r="AH59" s="116"/>
      <c r="AI59" s="117"/>
      <c r="AJ59" s="117"/>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row>
    <row r="60" spans="1:64" ht="26.25" customHeight="1" x14ac:dyDescent="0.3">
      <c r="A60" s="228"/>
      <c r="B60" s="248"/>
      <c r="C60" s="248"/>
      <c r="D60" s="248"/>
      <c r="E60" s="127"/>
      <c r="F60" s="314"/>
      <c r="G60" s="130"/>
      <c r="H60" s="248"/>
      <c r="I60" s="282"/>
      <c r="J60" s="259"/>
      <c r="K60" s="256"/>
      <c r="L60" s="285"/>
      <c r="M60" s="256">
        <f ca="1">IF(NOT(ISERROR(MATCH(L60,_xlfn.ANCHORARRAY(F71),0))),K73&amp;"Por favor no seleccionar los criterios de impacto",L60)</f>
        <v>0</v>
      </c>
      <c r="N60" s="259"/>
      <c r="O60" s="256"/>
      <c r="P60" s="262"/>
      <c r="Q60" s="105">
        <v>4</v>
      </c>
      <c r="R60" s="106"/>
      <c r="S60" s="107" t="str">
        <f t="shared" ref="S60:S62" si="69">IF(OR(T60="Preventivo",T60="Detectivo"),"Probabilidad",IF(T60="Correctivo","Impacto",""))</f>
        <v/>
      </c>
      <c r="T60" s="108"/>
      <c r="U60" s="108"/>
      <c r="V60" s="109" t="str">
        <f t="shared" si="66"/>
        <v/>
      </c>
      <c r="W60" s="108"/>
      <c r="X60" s="108"/>
      <c r="Y60" s="108"/>
      <c r="Z60" s="110" t="str">
        <f t="shared" ref="Z60:Z62" si="70">IFERROR(IF(AND(S59="Probabilidad",S60="Probabilidad"),(AB59-(+AB59*V60)),IF(AND(S59="Impacto",S60="Probabilidad"),(AB58-(+AB58*V60)),IF(S60="Impacto",AB59,""))),"")</f>
        <v/>
      </c>
      <c r="AA60" s="111" t="str">
        <f t="shared" si="54"/>
        <v/>
      </c>
      <c r="AB60" s="112" t="str">
        <f t="shared" si="67"/>
        <v/>
      </c>
      <c r="AC60" s="111" t="str">
        <f t="shared" si="56"/>
        <v/>
      </c>
      <c r="AD60" s="112" t="str">
        <f t="shared" ref="AD60:AD62" si="71">IFERROR(IF(AND(S59="Impacto",S60="Impacto"),(AD59-(+AD59*V60)),IF(AND(S59="Probabilidad",S60="Impacto"),(AD58-(+AD58*V60)),IF(S60="Probabilidad",AD59,""))),"")</f>
        <v/>
      </c>
      <c r="AE60" s="113" t="str">
        <f>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14"/>
      <c r="AG60" s="115"/>
      <c r="AH60" s="116"/>
      <c r="AI60" s="117"/>
      <c r="AJ60" s="117"/>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row>
    <row r="61" spans="1:64" ht="26.25" customHeight="1" x14ac:dyDescent="0.3">
      <c r="A61" s="228"/>
      <c r="B61" s="248"/>
      <c r="C61" s="248"/>
      <c r="D61" s="248"/>
      <c r="E61" s="127"/>
      <c r="F61" s="314"/>
      <c r="G61" s="130"/>
      <c r="H61" s="248"/>
      <c r="I61" s="282"/>
      <c r="J61" s="259"/>
      <c r="K61" s="256"/>
      <c r="L61" s="285"/>
      <c r="M61" s="256">
        <f ca="1">IF(NOT(ISERROR(MATCH(L61,_xlfn.ANCHORARRAY(F72),0))),K74&amp;"Por favor no seleccionar los criterios de impacto",L61)</f>
        <v>0</v>
      </c>
      <c r="N61" s="259"/>
      <c r="O61" s="256"/>
      <c r="P61" s="262"/>
      <c r="Q61" s="105">
        <v>5</v>
      </c>
      <c r="R61" s="106"/>
      <c r="S61" s="107" t="str">
        <f t="shared" si="69"/>
        <v/>
      </c>
      <c r="T61" s="108"/>
      <c r="U61" s="108"/>
      <c r="V61" s="109" t="str">
        <f t="shared" si="66"/>
        <v/>
      </c>
      <c r="W61" s="108"/>
      <c r="X61" s="108"/>
      <c r="Y61" s="108"/>
      <c r="Z61" s="110" t="str">
        <f t="shared" si="70"/>
        <v/>
      </c>
      <c r="AA61" s="111" t="str">
        <f t="shared" si="54"/>
        <v/>
      </c>
      <c r="AB61" s="112" t="str">
        <f t="shared" si="67"/>
        <v/>
      </c>
      <c r="AC61" s="111" t="str">
        <f t="shared" si="56"/>
        <v/>
      </c>
      <c r="AD61" s="112" t="str">
        <f t="shared" si="71"/>
        <v/>
      </c>
      <c r="AE61" s="113" t="str">
        <f t="shared" ref="AE61:AE62" si="72">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4"/>
      <c r="AG61" s="115"/>
      <c r="AH61" s="116"/>
      <c r="AI61" s="117"/>
      <c r="AJ61" s="117"/>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row>
    <row r="62" spans="1:64" ht="26.25" customHeight="1" x14ac:dyDescent="0.3">
      <c r="A62" s="246"/>
      <c r="B62" s="249"/>
      <c r="C62" s="249"/>
      <c r="D62" s="249"/>
      <c r="E62" s="128"/>
      <c r="F62" s="315"/>
      <c r="G62" s="131"/>
      <c r="H62" s="249"/>
      <c r="I62" s="283"/>
      <c r="J62" s="260"/>
      <c r="K62" s="257"/>
      <c r="L62" s="286"/>
      <c r="M62" s="257">
        <f ca="1">IF(NOT(ISERROR(MATCH(L62,_xlfn.ANCHORARRAY(F73),0))),K75&amp;"Por favor no seleccionar los criterios de impacto",L62)</f>
        <v>0</v>
      </c>
      <c r="N62" s="260"/>
      <c r="O62" s="257"/>
      <c r="P62" s="263"/>
      <c r="Q62" s="105">
        <v>6</v>
      </c>
      <c r="R62" s="106"/>
      <c r="S62" s="107" t="str">
        <f t="shared" si="69"/>
        <v/>
      </c>
      <c r="T62" s="108"/>
      <c r="U62" s="108"/>
      <c r="V62" s="109" t="str">
        <f t="shared" si="66"/>
        <v/>
      </c>
      <c r="W62" s="108"/>
      <c r="X62" s="108"/>
      <c r="Y62" s="108"/>
      <c r="Z62" s="110" t="str">
        <f t="shared" si="70"/>
        <v/>
      </c>
      <c r="AA62" s="111" t="str">
        <f t="shared" si="54"/>
        <v/>
      </c>
      <c r="AB62" s="112" t="str">
        <f t="shared" si="67"/>
        <v/>
      </c>
      <c r="AC62" s="111" t="str">
        <f t="shared" si="56"/>
        <v/>
      </c>
      <c r="AD62" s="112" t="str">
        <f t="shared" si="71"/>
        <v/>
      </c>
      <c r="AE62" s="113" t="str">
        <f t="shared" si="72"/>
        <v/>
      </c>
      <c r="AF62" s="114"/>
      <c r="AG62" s="115"/>
      <c r="AH62" s="116"/>
      <c r="AI62" s="117"/>
      <c r="AJ62" s="117"/>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row>
    <row r="63" spans="1:64" ht="19.5" customHeight="1" x14ac:dyDescent="0.3">
      <c r="A63" s="227">
        <v>10</v>
      </c>
      <c r="B63" s="247"/>
      <c r="C63" s="247"/>
      <c r="D63" s="247"/>
      <c r="E63" s="126"/>
      <c r="F63" s="313"/>
      <c r="G63" s="129"/>
      <c r="H63" s="247"/>
      <c r="I63" s="281"/>
      <c r="J63" s="258" t="str">
        <f t="shared" ref="J63" si="73">IF(I63&lt;=0,"",IF(I63&lt;=2,"Muy Baja",IF(I63&lt;=24,"Baja",IF(I63&lt;=500,"Media",IF(I63&lt;=5000,"Alta","Muy Alta")))))</f>
        <v/>
      </c>
      <c r="K63" s="255" t="str">
        <f t="shared" ref="K63" si="74">IF(J63="","",IF(J63="Muy Baja",0.2,IF(J63="Baja",0.4,IF(J63="Media",0.6,IF(J63="Alta",0.8,IF(J63="Muy Alta",1,))))))</f>
        <v/>
      </c>
      <c r="L63" s="284"/>
      <c r="M63" s="255">
        <f ca="1">IF(NOT(ISERROR(MATCH(L63,'Tabla Impacto'!$B$221:$B$223,0))),'Tabla Impacto'!$F$223&amp;"Por favor no seleccionar los criterios de impacto(Afectación Económica o presupuestal y Pérdida Reputacional)",L63)</f>
        <v>0</v>
      </c>
      <c r="N63" s="258" t="str">
        <f ca="1">IF(OR(M63='Tabla Impacto'!$C$11,M63='Tabla Impacto'!$D$11),"Leve",IF(OR(M63='Tabla Impacto'!$C$12,M63='Tabla Impacto'!$D$12),"Menor",IF(OR(M63='Tabla Impacto'!$C$13,M63='Tabla Impacto'!$D$13),"Moderado",IF(OR(M63='Tabla Impacto'!$C$14,M63='Tabla Impacto'!$D$14),"Mayor",IF(OR(M63='Tabla Impacto'!$C$15,M63='Tabla Impacto'!$D$15),"Catastrófico","")))))</f>
        <v>Leve</v>
      </c>
      <c r="O63" s="255">
        <f t="shared" ref="O63" ca="1" si="75">IF(N63="","",IF(N63="Leve",0.2,IF(N63="Menor",0.4,IF(N63="Moderado",0.6,IF(N63="Mayor",0.8,IF(N63="Catastrófico",1,))))))</f>
        <v>0.2</v>
      </c>
      <c r="P63" s="261" t="str">
        <f t="shared" ref="P63" ca="1" si="76">IF(OR(AND(J63="Muy Baja",N63="Leve"),AND(J63="Muy Baja",N63="Menor"),AND(J63="Baja",N63="Leve")),"Bajo",IF(OR(AND(J63="Muy baja",N63="Moderado"),AND(J63="Baja",N63="Menor"),AND(J63="Baja",N63="Moderado"),AND(J63="Media",N63="Leve"),AND(J63="Media",N63="Menor"),AND(J63="Media",N63="Moderado"),AND(J63="Alta",N63="Leve"),AND(J63="Alta",N63="Menor")),"Moderado",IF(OR(AND(J63="Muy Baja",N63="Mayor"),AND(J63="Baja",N63="Mayor"),AND(J63="Media",N63="Mayor"),AND(J63="Alta",N63="Moderado"),AND(J63="Alta",N63="Mayor"),AND(J63="Muy Alta",N63="Leve"),AND(J63="Muy Alta",N63="Menor"),AND(J63="Muy Alta",N63="Moderado"),AND(J63="Muy Alta",N63="Mayor")),"Alto",IF(OR(AND(J63="Muy Baja",N63="Catastrófico"),AND(J63="Baja",N63="Catastrófico"),AND(J63="Media",N63="Catastrófico"),AND(J63="Alta",N63="Catastrófico"),AND(J63="Muy Alta",N63="Catastrófico")),"Extremo",""))))</f>
        <v/>
      </c>
      <c r="Q63" s="105">
        <v>1</v>
      </c>
      <c r="R63" s="106"/>
      <c r="S63" s="107" t="str">
        <f>IF(OR(T63="Preventivo",T63="Detectivo"),"Probabilidad",IF(T63="Correctivo","Impacto",""))</f>
        <v/>
      </c>
      <c r="T63" s="108"/>
      <c r="U63" s="108"/>
      <c r="V63" s="109" t="str">
        <f>IF(AND(T63="Preventivo",U63="Automático"),"50%",IF(AND(T63="Preventivo",U63="Manual"),"40%",IF(AND(T63="Detectivo",U63="Automático"),"40%",IF(AND(T63="Detectivo",U63="Manual"),"30%",IF(AND(T63="Correctivo",U63="Automático"),"35%",IF(AND(T63="Correctivo",U63="Manual"),"25%",""))))))</f>
        <v/>
      </c>
      <c r="W63" s="108"/>
      <c r="X63" s="108"/>
      <c r="Y63" s="108"/>
      <c r="Z63" s="110" t="str">
        <f>IFERROR(IF(S63="Probabilidad",(K63-(+K63*V63)),IF(S63="Impacto",K63,"")),"")</f>
        <v/>
      </c>
      <c r="AA63" s="111" t="str">
        <f>IFERROR(IF(Z63="","",IF(Z63&lt;=0.2,"Muy Baja",IF(Z63&lt;=0.4,"Baja",IF(Z63&lt;=0.6,"Media",IF(Z63&lt;=0.8,"Alta","Muy Alta"))))),"")</f>
        <v/>
      </c>
      <c r="AB63" s="112" t="str">
        <f>+Z63</f>
        <v/>
      </c>
      <c r="AC63" s="111" t="str">
        <f>IFERROR(IF(AD63="","",IF(AD63&lt;=0.2,"Leve",IF(AD63&lt;=0.4,"Menor",IF(AD63&lt;=0.6,"Moderado",IF(AD63&lt;=0.8,"Mayor","Catastrófico"))))),"")</f>
        <v/>
      </c>
      <c r="AD63" s="112" t="str">
        <f>IFERROR(IF(S63="Impacto",(O63-(+O63*V63)),IF(S63="Probabilidad",O63,"")),"")</f>
        <v/>
      </c>
      <c r="AE63" s="113" t="str">
        <f>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14"/>
      <c r="AG63" s="115"/>
      <c r="AH63" s="116"/>
      <c r="AI63" s="117"/>
      <c r="AJ63" s="117"/>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row>
    <row r="64" spans="1:64" ht="19.5" customHeight="1" x14ac:dyDescent="0.3">
      <c r="A64" s="228"/>
      <c r="B64" s="248"/>
      <c r="C64" s="248"/>
      <c r="D64" s="248"/>
      <c r="E64" s="127"/>
      <c r="F64" s="314"/>
      <c r="G64" s="130"/>
      <c r="H64" s="248"/>
      <c r="I64" s="282"/>
      <c r="J64" s="259"/>
      <c r="K64" s="256"/>
      <c r="L64" s="285"/>
      <c r="M64" s="256">
        <f ca="1">IF(NOT(ISERROR(MATCH(L64,_xlfn.ANCHORARRAY(F75),0))),K77&amp;"Por favor no seleccionar los criterios de impacto",L64)</f>
        <v>0</v>
      </c>
      <c r="N64" s="259"/>
      <c r="O64" s="256"/>
      <c r="P64" s="262"/>
      <c r="Q64" s="105">
        <v>2</v>
      </c>
      <c r="R64" s="106"/>
      <c r="S64" s="107" t="str">
        <f>IF(OR(T64="Preventivo",T64="Detectivo"),"Probabilidad",IF(T64="Correctivo","Impacto",""))</f>
        <v/>
      </c>
      <c r="T64" s="108"/>
      <c r="U64" s="108"/>
      <c r="V64" s="109" t="str">
        <f t="shared" ref="V64:V68" si="77">IF(AND(T64="Preventivo",U64="Automático"),"50%",IF(AND(T64="Preventivo",U64="Manual"),"40%",IF(AND(T64="Detectivo",U64="Automático"),"40%",IF(AND(T64="Detectivo",U64="Manual"),"30%",IF(AND(T64="Correctivo",U64="Automático"),"35%",IF(AND(T64="Correctivo",U64="Manual"),"25%",""))))))</f>
        <v/>
      </c>
      <c r="W64" s="108"/>
      <c r="X64" s="108"/>
      <c r="Y64" s="108"/>
      <c r="Z64" s="110" t="str">
        <f>IFERROR(IF(AND(S63="Probabilidad",S64="Probabilidad"),(AB63-(+AB63*V64)),IF(S64="Probabilidad",(K63-(+K63*V64)),IF(S64="Impacto",AB63,""))),"")</f>
        <v/>
      </c>
      <c r="AA64" s="111" t="str">
        <f t="shared" si="54"/>
        <v/>
      </c>
      <c r="AB64" s="112" t="str">
        <f t="shared" ref="AB64:AB68" si="78">+Z64</f>
        <v/>
      </c>
      <c r="AC64" s="111" t="str">
        <f t="shared" si="56"/>
        <v/>
      </c>
      <c r="AD64" s="112" t="str">
        <f>IFERROR(IF(AND(S63="Impacto",S64="Impacto"),(AD63-(+AD63*V64)),IF(S64="Impacto",(O63-(+O63*V64)),IF(S64="Probabilidad",AD63,""))),"")</f>
        <v/>
      </c>
      <c r="AE64" s="113" t="str">
        <f t="shared" ref="AE64:AE65" si="79">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4"/>
      <c r="AG64" s="115"/>
      <c r="AH64" s="116"/>
      <c r="AI64" s="117"/>
      <c r="AJ64" s="117"/>
      <c r="AK64" s="116"/>
    </row>
    <row r="65" spans="1:37" ht="19.5" customHeight="1" x14ac:dyDescent="0.3">
      <c r="A65" s="228"/>
      <c r="B65" s="248"/>
      <c r="C65" s="248"/>
      <c r="D65" s="248"/>
      <c r="E65" s="127"/>
      <c r="F65" s="314"/>
      <c r="G65" s="130"/>
      <c r="H65" s="248"/>
      <c r="I65" s="282"/>
      <c r="J65" s="259"/>
      <c r="K65" s="256"/>
      <c r="L65" s="285"/>
      <c r="M65" s="256">
        <f ca="1">IF(NOT(ISERROR(MATCH(L65,_xlfn.ANCHORARRAY(F76),0))),K78&amp;"Por favor no seleccionar los criterios de impacto",L65)</f>
        <v>0</v>
      </c>
      <c r="N65" s="259"/>
      <c r="O65" s="256"/>
      <c r="P65" s="262"/>
      <c r="Q65" s="105">
        <v>3</v>
      </c>
      <c r="R65" s="118"/>
      <c r="S65" s="107" t="str">
        <f>IF(OR(T65="Preventivo",T65="Detectivo"),"Probabilidad",IF(T65="Correctivo","Impacto",""))</f>
        <v/>
      </c>
      <c r="T65" s="108"/>
      <c r="U65" s="108"/>
      <c r="V65" s="109" t="str">
        <f t="shared" si="77"/>
        <v/>
      </c>
      <c r="W65" s="108"/>
      <c r="X65" s="108"/>
      <c r="Y65" s="108"/>
      <c r="Z65" s="110" t="str">
        <f>IFERROR(IF(AND(S64="Probabilidad",S65="Probabilidad"),(AB64-(+AB64*V65)),IF(AND(S64="Impacto",S65="Probabilidad"),(AB63-(+AB63*V65)),IF(S65="Impacto",AB64,""))),"")</f>
        <v/>
      </c>
      <c r="AA65" s="111" t="str">
        <f t="shared" si="54"/>
        <v/>
      </c>
      <c r="AB65" s="112" t="str">
        <f t="shared" si="78"/>
        <v/>
      </c>
      <c r="AC65" s="111" t="str">
        <f t="shared" si="56"/>
        <v/>
      </c>
      <c r="AD65" s="112" t="str">
        <f>IFERROR(IF(AND(S64="Impacto",S65="Impacto"),(AD64-(+AD64*V65)),IF(AND(S64="Probabilidad",S65="Impacto"),(AD63-(+AD63*V65)),IF(S65="Probabilidad",AD64,""))),"")</f>
        <v/>
      </c>
      <c r="AE65" s="113" t="str">
        <f t="shared" si="79"/>
        <v/>
      </c>
      <c r="AF65" s="114"/>
      <c r="AG65" s="115"/>
      <c r="AH65" s="116"/>
      <c r="AI65" s="117"/>
      <c r="AJ65" s="117"/>
      <c r="AK65" s="116"/>
    </row>
    <row r="66" spans="1:37" ht="19.5" customHeight="1" x14ac:dyDescent="0.3">
      <c r="A66" s="228"/>
      <c r="B66" s="248"/>
      <c r="C66" s="248"/>
      <c r="D66" s="248"/>
      <c r="E66" s="127"/>
      <c r="F66" s="314"/>
      <c r="G66" s="130"/>
      <c r="H66" s="248"/>
      <c r="I66" s="282"/>
      <c r="J66" s="259"/>
      <c r="K66" s="256"/>
      <c r="L66" s="285"/>
      <c r="M66" s="256">
        <f ca="1">IF(NOT(ISERROR(MATCH(L66,_xlfn.ANCHORARRAY(F77),0))),K79&amp;"Por favor no seleccionar los criterios de impacto",L66)</f>
        <v>0</v>
      </c>
      <c r="N66" s="259"/>
      <c r="O66" s="256"/>
      <c r="P66" s="262"/>
      <c r="Q66" s="105">
        <v>4</v>
      </c>
      <c r="R66" s="106"/>
      <c r="S66" s="107" t="str">
        <f t="shared" ref="S66:S68" si="80">IF(OR(T66="Preventivo",T66="Detectivo"),"Probabilidad",IF(T66="Correctivo","Impacto",""))</f>
        <v/>
      </c>
      <c r="T66" s="108"/>
      <c r="U66" s="108"/>
      <c r="V66" s="109" t="str">
        <f t="shared" si="77"/>
        <v/>
      </c>
      <c r="W66" s="108"/>
      <c r="X66" s="108"/>
      <c r="Y66" s="108"/>
      <c r="Z66" s="110" t="str">
        <f t="shared" ref="Z66:Z68" si="81">IFERROR(IF(AND(S65="Probabilidad",S66="Probabilidad"),(AB65-(+AB65*V66)),IF(AND(S65="Impacto",S66="Probabilidad"),(AB64-(+AB64*V66)),IF(S66="Impacto",AB65,""))),"")</f>
        <v/>
      </c>
      <c r="AA66" s="111" t="str">
        <f t="shared" si="54"/>
        <v/>
      </c>
      <c r="AB66" s="112" t="str">
        <f t="shared" si="78"/>
        <v/>
      </c>
      <c r="AC66" s="111" t="str">
        <f t="shared" si="56"/>
        <v/>
      </c>
      <c r="AD66" s="112" t="str">
        <f t="shared" ref="AD66:AD68" si="82">IFERROR(IF(AND(S65="Impacto",S66="Impacto"),(AD65-(+AD65*V66)),IF(AND(S65="Probabilidad",S66="Impacto"),(AD64-(+AD64*V66)),IF(S66="Probabilidad",AD65,""))),"")</f>
        <v/>
      </c>
      <c r="AE66" s="113" t="str">
        <f>IFERROR(IF(OR(AND(AA66="Muy Baja",AC66="Leve"),AND(AA66="Muy Baja",AC66="Menor"),AND(AA66="Baja",AC66="Leve")),"Bajo",IF(OR(AND(AA66="Muy baja",AC66="Moderado"),AND(AA66="Baja",AC66="Menor"),AND(AA66="Baja",AC66="Moderado"),AND(AA66="Media",AC66="Leve"),AND(AA66="Media",AC66="Menor"),AND(AA66="Media",AC66="Moderado"),AND(AA66="Alta",AC66="Leve"),AND(AA66="Alta",AC66="Menor")),"Moderado",IF(OR(AND(AA66="Muy Baja",AC66="Mayor"),AND(AA66="Baja",AC66="Mayor"),AND(AA66="Media",AC66="Mayor"),AND(AA66="Alta",AC66="Moderado"),AND(AA66="Alta",AC66="Mayor"),AND(AA66="Muy Alta",AC66="Leve"),AND(AA66="Muy Alta",AC66="Menor"),AND(AA66="Muy Alta",AC66="Moderado"),AND(AA66="Muy Alta",AC66="Mayor")),"Alto",IF(OR(AND(AA66="Muy Baja",AC66="Catastrófico"),AND(AA66="Baja",AC66="Catastrófico"),AND(AA66="Media",AC66="Catastrófico"),AND(AA66="Alta",AC66="Catastrófico"),AND(AA66="Muy Alta",AC66="Catastrófico")),"Extremo","")))),"")</f>
        <v/>
      </c>
      <c r="AF66" s="114"/>
      <c r="AG66" s="115"/>
      <c r="AH66" s="116"/>
      <c r="AI66" s="117"/>
      <c r="AJ66" s="117"/>
      <c r="AK66" s="116"/>
    </row>
    <row r="67" spans="1:37" ht="19.5" customHeight="1" x14ac:dyDescent="0.3">
      <c r="A67" s="228"/>
      <c r="B67" s="248"/>
      <c r="C67" s="248"/>
      <c r="D67" s="248"/>
      <c r="E67" s="127"/>
      <c r="F67" s="314"/>
      <c r="G67" s="130"/>
      <c r="H67" s="248"/>
      <c r="I67" s="282"/>
      <c r="J67" s="259"/>
      <c r="K67" s="256"/>
      <c r="L67" s="285"/>
      <c r="M67" s="256">
        <f ca="1">IF(NOT(ISERROR(MATCH(L67,_xlfn.ANCHORARRAY(F78),0))),K80&amp;"Por favor no seleccionar los criterios de impacto",L67)</f>
        <v>0</v>
      </c>
      <c r="N67" s="259"/>
      <c r="O67" s="256"/>
      <c r="P67" s="262"/>
      <c r="Q67" s="105">
        <v>5</v>
      </c>
      <c r="R67" s="106"/>
      <c r="S67" s="107" t="str">
        <f t="shared" si="80"/>
        <v/>
      </c>
      <c r="T67" s="108"/>
      <c r="U67" s="108"/>
      <c r="V67" s="109" t="str">
        <f t="shared" si="77"/>
        <v/>
      </c>
      <c r="W67" s="108"/>
      <c r="X67" s="108"/>
      <c r="Y67" s="108"/>
      <c r="Z67" s="110" t="str">
        <f t="shared" si="81"/>
        <v/>
      </c>
      <c r="AA67" s="111" t="str">
        <f t="shared" si="54"/>
        <v/>
      </c>
      <c r="AB67" s="112" t="str">
        <f t="shared" si="78"/>
        <v/>
      </c>
      <c r="AC67" s="111" t="str">
        <f t="shared" si="56"/>
        <v/>
      </c>
      <c r="AD67" s="112" t="str">
        <f t="shared" si="82"/>
        <v/>
      </c>
      <c r="AE67" s="113" t="str">
        <f t="shared" ref="AE67:AE68" si="83">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14"/>
      <c r="AG67" s="115"/>
      <c r="AH67" s="116"/>
      <c r="AI67" s="117"/>
      <c r="AJ67" s="117"/>
      <c r="AK67" s="116"/>
    </row>
    <row r="68" spans="1:37" ht="19.5" customHeight="1" x14ac:dyDescent="0.3">
      <c r="A68" s="246"/>
      <c r="B68" s="249"/>
      <c r="C68" s="249"/>
      <c r="D68" s="249"/>
      <c r="E68" s="128"/>
      <c r="F68" s="315"/>
      <c r="G68" s="131"/>
      <c r="H68" s="249"/>
      <c r="I68" s="283"/>
      <c r="J68" s="260"/>
      <c r="K68" s="257"/>
      <c r="L68" s="286"/>
      <c r="M68" s="257">
        <f ca="1">IF(NOT(ISERROR(MATCH(L68,_xlfn.ANCHORARRAY(F79),0))),K81&amp;"Por favor no seleccionar los criterios de impacto",L68)</f>
        <v>0</v>
      </c>
      <c r="N68" s="260"/>
      <c r="O68" s="257"/>
      <c r="P68" s="263"/>
      <c r="Q68" s="105">
        <v>6</v>
      </c>
      <c r="R68" s="106"/>
      <c r="S68" s="107" t="str">
        <f t="shared" si="80"/>
        <v/>
      </c>
      <c r="T68" s="108"/>
      <c r="U68" s="108"/>
      <c r="V68" s="109" t="str">
        <f t="shared" si="77"/>
        <v/>
      </c>
      <c r="W68" s="108"/>
      <c r="X68" s="108"/>
      <c r="Y68" s="108"/>
      <c r="Z68" s="110" t="str">
        <f t="shared" si="81"/>
        <v/>
      </c>
      <c r="AA68" s="111" t="str">
        <f t="shared" si="54"/>
        <v/>
      </c>
      <c r="AB68" s="112" t="str">
        <f t="shared" si="78"/>
        <v/>
      </c>
      <c r="AC68" s="111" t="str">
        <f t="shared" si="56"/>
        <v/>
      </c>
      <c r="AD68" s="112" t="str">
        <f t="shared" si="82"/>
        <v/>
      </c>
      <c r="AE68" s="113" t="str">
        <f t="shared" si="83"/>
        <v/>
      </c>
      <c r="AF68" s="114"/>
      <c r="AG68" s="115"/>
      <c r="AH68" s="116"/>
      <c r="AI68" s="117"/>
      <c r="AJ68" s="117"/>
      <c r="AK68" s="116"/>
    </row>
    <row r="69" spans="1:37" ht="49.5" customHeight="1" x14ac:dyDescent="0.3">
      <c r="A69" s="6"/>
      <c r="B69" s="320" t="s">
        <v>125</v>
      </c>
      <c r="C69" s="321"/>
      <c r="D69" s="321"/>
      <c r="E69" s="321"/>
      <c r="F69" s="321"/>
      <c r="G69" s="321"/>
      <c r="H69" s="321"/>
      <c r="I69" s="321"/>
      <c r="J69" s="321"/>
      <c r="K69" s="321"/>
      <c r="L69" s="321"/>
      <c r="M69" s="321"/>
      <c r="N69" s="321"/>
      <c r="O69" s="321"/>
      <c r="P69" s="321"/>
      <c r="Q69" s="321"/>
      <c r="R69" s="321"/>
      <c r="S69" s="321"/>
      <c r="T69" s="321"/>
      <c r="U69" s="321"/>
      <c r="V69" s="321"/>
      <c r="W69" s="321"/>
      <c r="X69" s="321"/>
      <c r="Y69" s="321"/>
      <c r="Z69" s="321"/>
      <c r="AA69" s="321"/>
      <c r="AB69" s="321"/>
      <c r="AC69" s="321"/>
      <c r="AD69" s="321"/>
      <c r="AE69" s="321"/>
      <c r="AF69" s="321"/>
      <c r="AG69" s="321"/>
      <c r="AH69" s="321"/>
      <c r="AI69" s="321"/>
      <c r="AJ69" s="321"/>
    </row>
    <row r="71" spans="1:37" x14ac:dyDescent="0.3">
      <c r="A71" s="1"/>
      <c r="B71" s="24" t="s">
        <v>137</v>
      </c>
      <c r="C71" s="1"/>
      <c r="D71" s="1"/>
      <c r="E71" s="1"/>
      <c r="H71" s="1"/>
    </row>
  </sheetData>
  <dataConsolidate/>
  <mergeCells count="205">
    <mergeCell ref="V11:V12"/>
    <mergeCell ref="U11:U12"/>
    <mergeCell ref="T11:T12"/>
    <mergeCell ref="S11:S12"/>
    <mergeCell ref="B69:AJ69"/>
    <mergeCell ref="O57:O62"/>
    <mergeCell ref="P57:P62"/>
    <mergeCell ref="L63:L68"/>
    <mergeCell ref="M63:M68"/>
    <mergeCell ref="N63:N68"/>
    <mergeCell ref="O63:O68"/>
    <mergeCell ref="P63:P68"/>
    <mergeCell ref="AA11:AA12"/>
    <mergeCell ref="Z11:Z12"/>
    <mergeCell ref="O21:O26"/>
    <mergeCell ref="P21:P26"/>
    <mergeCell ref="L27:L32"/>
    <mergeCell ref="M27:M32"/>
    <mergeCell ref="N27:N32"/>
    <mergeCell ref="J57:J62"/>
    <mergeCell ref="K57:K62"/>
    <mergeCell ref="H51:H56"/>
    <mergeCell ref="I51:I56"/>
    <mergeCell ref="J51:J56"/>
    <mergeCell ref="A63:A68"/>
    <mergeCell ref="B63:B68"/>
    <mergeCell ref="C63:C68"/>
    <mergeCell ref="D63:D68"/>
    <mergeCell ref="F63:F68"/>
    <mergeCell ref="H63:H68"/>
    <mergeCell ref="I63:I68"/>
    <mergeCell ref="J63:J68"/>
    <mergeCell ref="K63:K68"/>
    <mergeCell ref="A57:A62"/>
    <mergeCell ref="B57:B62"/>
    <mergeCell ref="C57:C62"/>
    <mergeCell ref="D57:D62"/>
    <mergeCell ref="F57:F62"/>
    <mergeCell ref="H57:H62"/>
    <mergeCell ref="I57:I62"/>
    <mergeCell ref="R11:R12"/>
    <mergeCell ref="Q11:Q12"/>
    <mergeCell ref="M51:M56"/>
    <mergeCell ref="N51:N56"/>
    <mergeCell ref="O51:O56"/>
    <mergeCell ref="P51:P56"/>
    <mergeCell ref="L57:L62"/>
    <mergeCell ref="M57:M62"/>
    <mergeCell ref="N57:N62"/>
    <mergeCell ref="O33:O38"/>
    <mergeCell ref="P33:P38"/>
    <mergeCell ref="O39:O44"/>
    <mergeCell ref="P39:P44"/>
    <mergeCell ref="M45:M50"/>
    <mergeCell ref="N45:N50"/>
    <mergeCell ref="O45:O50"/>
    <mergeCell ref="P45:P50"/>
    <mergeCell ref="K51:K56"/>
    <mergeCell ref="L51:L56"/>
    <mergeCell ref="H45:H50"/>
    <mergeCell ref="I45:I50"/>
    <mergeCell ref="J45:J50"/>
    <mergeCell ref="K45:K50"/>
    <mergeCell ref="L45:L50"/>
    <mergeCell ref="A51:A56"/>
    <mergeCell ref="B51:B56"/>
    <mergeCell ref="C51:C56"/>
    <mergeCell ref="D51:D56"/>
    <mergeCell ref="F51:F56"/>
    <mergeCell ref="A45:A50"/>
    <mergeCell ref="B45:B50"/>
    <mergeCell ref="C45:C50"/>
    <mergeCell ref="D45:D50"/>
    <mergeCell ref="F45:F50"/>
    <mergeCell ref="A33:A38"/>
    <mergeCell ref="B33:B38"/>
    <mergeCell ref="C33:C38"/>
    <mergeCell ref="A39:A44"/>
    <mergeCell ref="B39:B44"/>
    <mergeCell ref="C39:C44"/>
    <mergeCell ref="D39:D44"/>
    <mergeCell ref="F39:F44"/>
    <mergeCell ref="H39:H44"/>
    <mergeCell ref="D33:D38"/>
    <mergeCell ref="F33:F38"/>
    <mergeCell ref="H33:H38"/>
    <mergeCell ref="I33:I38"/>
    <mergeCell ref="J33:J38"/>
    <mergeCell ref="K33:K38"/>
    <mergeCell ref="L33:L38"/>
    <mergeCell ref="I39:I44"/>
    <mergeCell ref="J39:J44"/>
    <mergeCell ref="K39:K44"/>
    <mergeCell ref="M33:M38"/>
    <mergeCell ref="N33:N38"/>
    <mergeCell ref="L39:L44"/>
    <mergeCell ref="M39:M44"/>
    <mergeCell ref="N39:N44"/>
    <mergeCell ref="A27:A32"/>
    <mergeCell ref="B27:B32"/>
    <mergeCell ref="C27:C32"/>
    <mergeCell ref="D27:D32"/>
    <mergeCell ref="F27:F32"/>
    <mergeCell ref="H27:H32"/>
    <mergeCell ref="I27:I32"/>
    <mergeCell ref="J27:J32"/>
    <mergeCell ref="K27:K32"/>
    <mergeCell ref="O27:O32"/>
    <mergeCell ref="P27:P32"/>
    <mergeCell ref="K21:K26"/>
    <mergeCell ref="L21:L26"/>
    <mergeCell ref="M21:M26"/>
    <mergeCell ref="N21:N26"/>
    <mergeCell ref="G21:G26"/>
    <mergeCell ref="H21:H26"/>
    <mergeCell ref="I21:I26"/>
    <mergeCell ref="J21:J26"/>
    <mergeCell ref="T8:Y8"/>
    <mergeCell ref="AG8:AG9"/>
    <mergeCell ref="AJ8:AJ9"/>
    <mergeCell ref="AI8:AI9"/>
    <mergeCell ref="AH8:AH9"/>
    <mergeCell ref="AB8:AB9"/>
    <mergeCell ref="AG12:AG13"/>
    <mergeCell ref="AH12:AH13"/>
    <mergeCell ref="AI12:AI13"/>
    <mergeCell ref="AJ12:AJ13"/>
    <mergeCell ref="AF8:AF9"/>
    <mergeCell ref="AE8:AE9"/>
    <mergeCell ref="AD8:AD9"/>
    <mergeCell ref="Z8:Z9"/>
    <mergeCell ref="AC8:AC9"/>
    <mergeCell ref="AA8:AA9"/>
    <mergeCell ref="AF11:AF12"/>
    <mergeCell ref="AE11:AE12"/>
    <mergeCell ref="AD11:AD12"/>
    <mergeCell ref="AC11:AC12"/>
    <mergeCell ref="AB11:AB12"/>
    <mergeCell ref="Y11:Y12"/>
    <mergeCell ref="X11:X12"/>
    <mergeCell ref="W11:W12"/>
    <mergeCell ref="C8:C9"/>
    <mergeCell ref="B8:B9"/>
    <mergeCell ref="E8:E9"/>
    <mergeCell ref="P8:P9"/>
    <mergeCell ref="L8:L9"/>
    <mergeCell ref="M8:M9"/>
    <mergeCell ref="S8:S9"/>
    <mergeCell ref="Q8:Q9"/>
    <mergeCell ref="R8:R9"/>
    <mergeCell ref="N15:N20"/>
    <mergeCell ref="O15:O20"/>
    <mergeCell ref="P15:P20"/>
    <mergeCell ref="B15:B20"/>
    <mergeCell ref="C15:C20"/>
    <mergeCell ref="P10:P14"/>
    <mergeCell ref="K10:K14"/>
    <mergeCell ref="L10:L14"/>
    <mergeCell ref="M10:M14"/>
    <mergeCell ref="N10:N14"/>
    <mergeCell ref="O10:O14"/>
    <mergeCell ref="G10:G14"/>
    <mergeCell ref="G15:G20"/>
    <mergeCell ref="H10:H14"/>
    <mergeCell ref="I10:I14"/>
    <mergeCell ref="H15:H20"/>
    <mergeCell ref="I15:I20"/>
    <mergeCell ref="J15:J20"/>
    <mergeCell ref="K15:K20"/>
    <mergeCell ref="L15:L20"/>
    <mergeCell ref="J10:J14"/>
    <mergeCell ref="E11:E12"/>
    <mergeCell ref="A21:A26"/>
    <mergeCell ref="B21:B26"/>
    <mergeCell ref="C21:C26"/>
    <mergeCell ref="D21:D26"/>
    <mergeCell ref="F21:F26"/>
    <mergeCell ref="A15:A20"/>
    <mergeCell ref="D15:D20"/>
    <mergeCell ref="F15:F20"/>
    <mergeCell ref="M15:M20"/>
    <mergeCell ref="AL12:AL13"/>
    <mergeCell ref="AK8:AK9"/>
    <mergeCell ref="AK12:AK13"/>
    <mergeCell ref="C6:AK6"/>
    <mergeCell ref="C5:AK5"/>
    <mergeCell ref="C4:AK4"/>
    <mergeCell ref="A1:AK2"/>
    <mergeCell ref="A10:A14"/>
    <mergeCell ref="B10:B14"/>
    <mergeCell ref="C10:C14"/>
    <mergeCell ref="D10:D14"/>
    <mergeCell ref="F10:F14"/>
    <mergeCell ref="I8:I9"/>
    <mergeCell ref="J8:J9"/>
    <mergeCell ref="K8:K9"/>
    <mergeCell ref="N8:N9"/>
    <mergeCell ref="O8:O9"/>
    <mergeCell ref="A4:B4"/>
    <mergeCell ref="A5:B5"/>
    <mergeCell ref="A6:B6"/>
    <mergeCell ref="A8:A9"/>
    <mergeCell ref="H8:H9"/>
    <mergeCell ref="F8:F9"/>
    <mergeCell ref="D8:D9"/>
  </mergeCells>
  <conditionalFormatting sqref="J10:J11 J15 J21 J27 J33 J39 J45 J51 J57 J63 AA13:AA14 AA11">
    <cfRule type="cellIs" dxfId="188" priority="361" operator="equal">
      <formula>"Muy Alta"</formula>
    </cfRule>
    <cfRule type="cellIs" dxfId="187" priority="362" operator="equal">
      <formula>"Alta"</formula>
    </cfRule>
    <cfRule type="cellIs" dxfId="186" priority="363" operator="equal">
      <formula>"Media"</formula>
    </cfRule>
    <cfRule type="cellIs" dxfId="185" priority="364" operator="equal">
      <formula>"Baja"</formula>
    </cfRule>
    <cfRule type="cellIs" dxfId="184" priority="365" operator="equal">
      <formula>"Muy Baja"</formula>
    </cfRule>
  </conditionalFormatting>
  <conditionalFormatting sqref="N10:N11 N15 N21 N27 N33 N39 N45 N51 N57 N63 AC13:AC14 AC11">
    <cfRule type="cellIs" dxfId="183" priority="356" operator="equal">
      <formula>"Catastrófico"</formula>
    </cfRule>
    <cfRule type="cellIs" dxfId="182" priority="357" operator="equal">
      <formula>"Mayor"</formula>
    </cfRule>
    <cfRule type="cellIs" dxfId="181" priority="358" operator="equal">
      <formula>"Moderado"</formula>
    </cfRule>
    <cfRule type="cellIs" dxfId="180" priority="359" operator="equal">
      <formula>"Menor"</formula>
    </cfRule>
    <cfRule type="cellIs" dxfId="179" priority="360" operator="equal">
      <formula>"Leve"</formula>
    </cfRule>
  </conditionalFormatting>
  <conditionalFormatting sqref="P10:P11 AE13:AE14 AE11">
    <cfRule type="cellIs" dxfId="178" priority="352" operator="equal">
      <formula>"Extremo"</formula>
    </cfRule>
    <cfRule type="cellIs" dxfId="177" priority="353" operator="equal">
      <formula>"Alto"</formula>
    </cfRule>
    <cfRule type="cellIs" dxfId="176" priority="354" operator="equal">
      <formula>"Moderado"</formula>
    </cfRule>
    <cfRule type="cellIs" dxfId="175" priority="355" operator="equal">
      <formula>"Bajo"</formula>
    </cfRule>
  </conditionalFormatting>
  <conditionalFormatting sqref="AA10">
    <cfRule type="cellIs" dxfId="174" priority="347" operator="equal">
      <formula>"Muy Alta"</formula>
    </cfRule>
    <cfRule type="cellIs" dxfId="173" priority="348" operator="equal">
      <formula>"Alta"</formula>
    </cfRule>
    <cfRule type="cellIs" dxfId="172" priority="349" operator="equal">
      <formula>"Media"</formula>
    </cfRule>
    <cfRule type="cellIs" dxfId="171" priority="350" operator="equal">
      <formula>"Baja"</formula>
    </cfRule>
    <cfRule type="cellIs" dxfId="170" priority="351" operator="equal">
      <formula>"Muy Baja"</formula>
    </cfRule>
  </conditionalFormatting>
  <conditionalFormatting sqref="AC10">
    <cfRule type="cellIs" dxfId="169" priority="342" operator="equal">
      <formula>"Catastrófico"</formula>
    </cfRule>
    <cfRule type="cellIs" dxfId="168" priority="343" operator="equal">
      <formula>"Mayor"</formula>
    </cfRule>
    <cfRule type="cellIs" dxfId="167" priority="344" operator="equal">
      <formula>"Moderado"</formula>
    </cfRule>
    <cfRule type="cellIs" dxfId="166" priority="345" operator="equal">
      <formula>"Menor"</formula>
    </cfRule>
    <cfRule type="cellIs" dxfId="165" priority="346" operator="equal">
      <formula>"Leve"</formula>
    </cfRule>
  </conditionalFormatting>
  <conditionalFormatting sqref="AE10">
    <cfRule type="cellIs" dxfId="164" priority="338" operator="equal">
      <formula>"Extremo"</formula>
    </cfRule>
    <cfRule type="cellIs" dxfId="163" priority="339" operator="equal">
      <formula>"Alto"</formula>
    </cfRule>
    <cfRule type="cellIs" dxfId="162" priority="340" operator="equal">
      <formula>"Moderado"</formula>
    </cfRule>
    <cfRule type="cellIs" dxfId="161" priority="341" operator="equal">
      <formula>"Bajo"</formula>
    </cfRule>
  </conditionalFormatting>
  <conditionalFormatting sqref="P15 P21 P27 P33 P39 P45 P51 P57 P63">
    <cfRule type="cellIs" dxfId="160" priority="282" operator="equal">
      <formula>"Extremo"</formula>
    </cfRule>
    <cfRule type="cellIs" dxfId="159" priority="283" operator="equal">
      <formula>"Alto"</formula>
    </cfRule>
    <cfRule type="cellIs" dxfId="158" priority="284" operator="equal">
      <formula>"Moderado"</formula>
    </cfRule>
    <cfRule type="cellIs" dxfId="157" priority="285" operator="equal">
      <formula>"Bajo"</formula>
    </cfRule>
  </conditionalFormatting>
  <conditionalFormatting sqref="AA21:AA26">
    <cfRule type="cellIs" dxfId="156" priority="249" operator="equal">
      <formula>"Muy Alta"</formula>
    </cfRule>
    <cfRule type="cellIs" dxfId="155" priority="250" operator="equal">
      <formula>"Alta"</formula>
    </cfRule>
    <cfRule type="cellIs" dxfId="154" priority="251" operator="equal">
      <formula>"Media"</formula>
    </cfRule>
    <cfRule type="cellIs" dxfId="153" priority="252" operator="equal">
      <formula>"Baja"</formula>
    </cfRule>
    <cfRule type="cellIs" dxfId="152" priority="253" operator="equal">
      <formula>"Muy Baja"</formula>
    </cfRule>
  </conditionalFormatting>
  <conditionalFormatting sqref="AC21:AC26">
    <cfRule type="cellIs" dxfId="151" priority="244" operator="equal">
      <formula>"Catastrófico"</formula>
    </cfRule>
    <cfRule type="cellIs" dxfId="150" priority="245" operator="equal">
      <formula>"Mayor"</formula>
    </cfRule>
    <cfRule type="cellIs" dxfId="149" priority="246" operator="equal">
      <formula>"Moderado"</formula>
    </cfRule>
    <cfRule type="cellIs" dxfId="148" priority="247" operator="equal">
      <formula>"Menor"</formula>
    </cfRule>
    <cfRule type="cellIs" dxfId="147" priority="248" operator="equal">
      <formula>"Leve"</formula>
    </cfRule>
  </conditionalFormatting>
  <conditionalFormatting sqref="AE21:AE26">
    <cfRule type="cellIs" dxfId="146" priority="240" operator="equal">
      <formula>"Extremo"</formula>
    </cfRule>
    <cfRule type="cellIs" dxfId="145" priority="241" operator="equal">
      <formula>"Alto"</formula>
    </cfRule>
    <cfRule type="cellIs" dxfId="144" priority="242" operator="equal">
      <formula>"Moderado"</formula>
    </cfRule>
    <cfRule type="cellIs" dxfId="143" priority="243" operator="equal">
      <formula>"Bajo"</formula>
    </cfRule>
  </conditionalFormatting>
  <conditionalFormatting sqref="AA27:AA32">
    <cfRule type="cellIs" dxfId="142" priority="221" operator="equal">
      <formula>"Muy Alta"</formula>
    </cfRule>
    <cfRule type="cellIs" dxfId="141" priority="222" operator="equal">
      <formula>"Alta"</formula>
    </cfRule>
    <cfRule type="cellIs" dxfId="140" priority="223" operator="equal">
      <formula>"Media"</formula>
    </cfRule>
    <cfRule type="cellIs" dxfId="139" priority="224" operator="equal">
      <formula>"Baja"</formula>
    </cfRule>
    <cfRule type="cellIs" dxfId="138" priority="225" operator="equal">
      <formula>"Muy Baja"</formula>
    </cfRule>
  </conditionalFormatting>
  <conditionalFormatting sqref="AC27:AC32">
    <cfRule type="cellIs" dxfId="137" priority="216" operator="equal">
      <formula>"Catastrófico"</formula>
    </cfRule>
    <cfRule type="cellIs" dxfId="136" priority="217" operator="equal">
      <formula>"Mayor"</formula>
    </cfRule>
    <cfRule type="cellIs" dxfId="135" priority="218" operator="equal">
      <formula>"Moderado"</formula>
    </cfRule>
    <cfRule type="cellIs" dxfId="134" priority="219" operator="equal">
      <formula>"Menor"</formula>
    </cfRule>
    <cfRule type="cellIs" dxfId="133" priority="220" operator="equal">
      <formula>"Leve"</formula>
    </cfRule>
  </conditionalFormatting>
  <conditionalFormatting sqref="AE27:AE32">
    <cfRule type="cellIs" dxfId="132" priority="212" operator="equal">
      <formula>"Extremo"</formula>
    </cfRule>
    <cfRule type="cellIs" dxfId="131" priority="213" operator="equal">
      <formula>"Alto"</formula>
    </cfRule>
    <cfRule type="cellIs" dxfId="130" priority="214" operator="equal">
      <formula>"Moderado"</formula>
    </cfRule>
    <cfRule type="cellIs" dxfId="129" priority="215" operator="equal">
      <formula>"Bajo"</formula>
    </cfRule>
  </conditionalFormatting>
  <conditionalFormatting sqref="AA33:AA38">
    <cfRule type="cellIs" dxfId="128" priority="193" operator="equal">
      <formula>"Muy Alta"</formula>
    </cfRule>
    <cfRule type="cellIs" dxfId="127" priority="194" operator="equal">
      <formula>"Alta"</formula>
    </cfRule>
    <cfRule type="cellIs" dxfId="126" priority="195" operator="equal">
      <formula>"Media"</formula>
    </cfRule>
    <cfRule type="cellIs" dxfId="125" priority="196" operator="equal">
      <formula>"Baja"</formula>
    </cfRule>
    <cfRule type="cellIs" dxfId="124" priority="197" operator="equal">
      <formula>"Muy Baja"</formula>
    </cfRule>
  </conditionalFormatting>
  <conditionalFormatting sqref="AC33:AC38">
    <cfRule type="cellIs" dxfId="123" priority="188" operator="equal">
      <formula>"Catastrófico"</formula>
    </cfRule>
    <cfRule type="cellIs" dxfId="122" priority="189" operator="equal">
      <formula>"Mayor"</formula>
    </cfRule>
    <cfRule type="cellIs" dxfId="121" priority="190" operator="equal">
      <formula>"Moderado"</formula>
    </cfRule>
    <cfRule type="cellIs" dxfId="120" priority="191" operator="equal">
      <formula>"Menor"</formula>
    </cfRule>
    <cfRule type="cellIs" dxfId="119" priority="192" operator="equal">
      <formula>"Leve"</formula>
    </cfRule>
  </conditionalFormatting>
  <conditionalFormatting sqref="AE33:AE38">
    <cfRule type="cellIs" dxfId="118" priority="184" operator="equal">
      <formula>"Extremo"</formula>
    </cfRule>
    <cfRule type="cellIs" dxfId="117" priority="185" operator="equal">
      <formula>"Alto"</formula>
    </cfRule>
    <cfRule type="cellIs" dxfId="116" priority="186" operator="equal">
      <formula>"Moderado"</formula>
    </cfRule>
    <cfRule type="cellIs" dxfId="115" priority="187" operator="equal">
      <formula>"Bajo"</formula>
    </cfRule>
  </conditionalFormatting>
  <conditionalFormatting sqref="AA39:AA44">
    <cfRule type="cellIs" dxfId="114" priority="165" operator="equal">
      <formula>"Muy Alta"</formula>
    </cfRule>
    <cfRule type="cellIs" dxfId="113" priority="166" operator="equal">
      <formula>"Alta"</formula>
    </cfRule>
    <cfRule type="cellIs" dxfId="112" priority="167" operator="equal">
      <formula>"Media"</formula>
    </cfRule>
    <cfRule type="cellIs" dxfId="111" priority="168" operator="equal">
      <formula>"Baja"</formula>
    </cfRule>
    <cfRule type="cellIs" dxfId="110" priority="169" operator="equal">
      <formula>"Muy Baja"</formula>
    </cfRule>
  </conditionalFormatting>
  <conditionalFormatting sqref="AC39:AC44">
    <cfRule type="cellIs" dxfId="109" priority="160" operator="equal">
      <formula>"Catastrófico"</formula>
    </cfRule>
    <cfRule type="cellIs" dxfId="108" priority="161" operator="equal">
      <formula>"Mayor"</formula>
    </cfRule>
    <cfRule type="cellIs" dxfId="107" priority="162" operator="equal">
      <formula>"Moderado"</formula>
    </cfRule>
    <cfRule type="cellIs" dxfId="106" priority="163" operator="equal">
      <formula>"Menor"</formula>
    </cfRule>
    <cfRule type="cellIs" dxfId="105" priority="164" operator="equal">
      <formula>"Leve"</formula>
    </cfRule>
  </conditionalFormatting>
  <conditionalFormatting sqref="AE39:AE44">
    <cfRule type="cellIs" dxfId="104" priority="156" operator="equal">
      <formula>"Extremo"</formula>
    </cfRule>
    <cfRule type="cellIs" dxfId="103" priority="157" operator="equal">
      <formula>"Alto"</formula>
    </cfRule>
    <cfRule type="cellIs" dxfId="102" priority="158" operator="equal">
      <formula>"Moderado"</formula>
    </cfRule>
    <cfRule type="cellIs" dxfId="101" priority="159" operator="equal">
      <formula>"Bajo"</formula>
    </cfRule>
  </conditionalFormatting>
  <conditionalFormatting sqref="AA45:AA50">
    <cfRule type="cellIs" dxfId="100" priority="137" operator="equal">
      <formula>"Muy Alta"</formula>
    </cfRule>
    <cfRule type="cellIs" dxfId="99" priority="138" operator="equal">
      <formula>"Alta"</formula>
    </cfRule>
    <cfRule type="cellIs" dxfId="98" priority="139" operator="equal">
      <formula>"Media"</formula>
    </cfRule>
    <cfRule type="cellIs" dxfId="97" priority="140" operator="equal">
      <formula>"Baja"</formula>
    </cfRule>
    <cfRule type="cellIs" dxfId="96" priority="141" operator="equal">
      <formula>"Muy Baja"</formula>
    </cfRule>
  </conditionalFormatting>
  <conditionalFormatting sqref="AC45:AC50">
    <cfRule type="cellIs" dxfId="95" priority="132" operator="equal">
      <formula>"Catastrófico"</formula>
    </cfRule>
    <cfRule type="cellIs" dxfId="94" priority="133" operator="equal">
      <formula>"Mayor"</formula>
    </cfRule>
    <cfRule type="cellIs" dxfId="93" priority="134" operator="equal">
      <formula>"Moderado"</formula>
    </cfRule>
    <cfRule type="cellIs" dxfId="92" priority="135" operator="equal">
      <formula>"Menor"</formula>
    </cfRule>
    <cfRule type="cellIs" dxfId="91" priority="136" operator="equal">
      <formula>"Leve"</formula>
    </cfRule>
  </conditionalFormatting>
  <conditionalFormatting sqref="AE45:AE50">
    <cfRule type="cellIs" dxfId="90" priority="128" operator="equal">
      <formula>"Extremo"</formula>
    </cfRule>
    <cfRule type="cellIs" dxfId="89" priority="129" operator="equal">
      <formula>"Alto"</formula>
    </cfRule>
    <cfRule type="cellIs" dxfId="88" priority="130" operator="equal">
      <formula>"Moderado"</formula>
    </cfRule>
    <cfRule type="cellIs" dxfId="87" priority="131" operator="equal">
      <formula>"Bajo"</formula>
    </cfRule>
  </conditionalFormatting>
  <conditionalFormatting sqref="AA51:AA56">
    <cfRule type="cellIs" dxfId="86" priority="109" operator="equal">
      <formula>"Muy Alta"</formula>
    </cfRule>
    <cfRule type="cellIs" dxfId="85" priority="110" operator="equal">
      <formula>"Alta"</formula>
    </cfRule>
    <cfRule type="cellIs" dxfId="84" priority="111" operator="equal">
      <formula>"Media"</formula>
    </cfRule>
    <cfRule type="cellIs" dxfId="83" priority="112" operator="equal">
      <formula>"Baja"</formula>
    </cfRule>
    <cfRule type="cellIs" dxfId="82" priority="113" operator="equal">
      <formula>"Muy Baja"</formula>
    </cfRule>
  </conditionalFormatting>
  <conditionalFormatting sqref="AC51:AC56">
    <cfRule type="cellIs" dxfId="81" priority="104" operator="equal">
      <formula>"Catastrófico"</formula>
    </cfRule>
    <cfRule type="cellIs" dxfId="80" priority="105" operator="equal">
      <formula>"Mayor"</formula>
    </cfRule>
    <cfRule type="cellIs" dxfId="79" priority="106" operator="equal">
      <formula>"Moderado"</formula>
    </cfRule>
    <cfRule type="cellIs" dxfId="78" priority="107" operator="equal">
      <formula>"Menor"</formula>
    </cfRule>
    <cfRule type="cellIs" dxfId="77" priority="108" operator="equal">
      <formula>"Leve"</formula>
    </cfRule>
  </conditionalFormatting>
  <conditionalFormatting sqref="AE51:AE56">
    <cfRule type="cellIs" dxfId="76" priority="100" operator="equal">
      <formula>"Extremo"</formula>
    </cfRule>
    <cfRule type="cellIs" dxfId="75" priority="101" operator="equal">
      <formula>"Alto"</formula>
    </cfRule>
    <cfRule type="cellIs" dxfId="74" priority="102" operator="equal">
      <formula>"Moderado"</formula>
    </cfRule>
    <cfRule type="cellIs" dxfId="73" priority="103" operator="equal">
      <formula>"Bajo"</formula>
    </cfRule>
  </conditionalFormatting>
  <conditionalFormatting sqref="AA57:AA62">
    <cfRule type="cellIs" dxfId="72" priority="81" operator="equal">
      <formula>"Muy Alta"</formula>
    </cfRule>
    <cfRule type="cellIs" dxfId="71" priority="82" operator="equal">
      <formula>"Alta"</formula>
    </cfRule>
    <cfRule type="cellIs" dxfId="70" priority="83" operator="equal">
      <formula>"Media"</formula>
    </cfRule>
    <cfRule type="cellIs" dxfId="69" priority="84" operator="equal">
      <formula>"Baja"</formula>
    </cfRule>
    <cfRule type="cellIs" dxfId="68" priority="85" operator="equal">
      <formula>"Muy Baja"</formula>
    </cfRule>
  </conditionalFormatting>
  <conditionalFormatting sqref="AC57:AC62">
    <cfRule type="cellIs" dxfId="67" priority="76" operator="equal">
      <formula>"Catastrófico"</formula>
    </cfRule>
    <cfRule type="cellIs" dxfId="66" priority="77" operator="equal">
      <formula>"Mayor"</formula>
    </cfRule>
    <cfRule type="cellIs" dxfId="65" priority="78" operator="equal">
      <formula>"Moderado"</formula>
    </cfRule>
    <cfRule type="cellIs" dxfId="64" priority="79" operator="equal">
      <formula>"Menor"</formula>
    </cfRule>
    <cfRule type="cellIs" dxfId="63" priority="80" operator="equal">
      <formula>"Leve"</formula>
    </cfRule>
  </conditionalFormatting>
  <conditionalFormatting sqref="AE57:AE62">
    <cfRule type="cellIs" dxfId="62" priority="72" operator="equal">
      <formula>"Extremo"</formula>
    </cfRule>
    <cfRule type="cellIs" dxfId="61" priority="73" operator="equal">
      <formula>"Alto"</formula>
    </cfRule>
    <cfRule type="cellIs" dxfId="60" priority="74" operator="equal">
      <formula>"Moderado"</formula>
    </cfRule>
    <cfRule type="cellIs" dxfId="59" priority="75" operator="equal">
      <formula>"Bajo"</formula>
    </cfRule>
  </conditionalFormatting>
  <conditionalFormatting sqref="AA63:AA68">
    <cfRule type="cellIs" dxfId="58" priority="53" operator="equal">
      <formula>"Muy Alta"</formula>
    </cfRule>
    <cfRule type="cellIs" dxfId="57" priority="54" operator="equal">
      <formula>"Alta"</formula>
    </cfRule>
    <cfRule type="cellIs" dxfId="56" priority="55" operator="equal">
      <formula>"Media"</formula>
    </cfRule>
    <cfRule type="cellIs" dxfId="55" priority="56" operator="equal">
      <formula>"Baja"</formula>
    </cfRule>
    <cfRule type="cellIs" dxfId="54" priority="57" operator="equal">
      <formula>"Muy Baja"</formula>
    </cfRule>
  </conditionalFormatting>
  <conditionalFormatting sqref="AC63:AC68">
    <cfRule type="cellIs" dxfId="53" priority="48" operator="equal">
      <formula>"Catastrófico"</formula>
    </cfRule>
    <cfRule type="cellIs" dxfId="52" priority="49" operator="equal">
      <formula>"Mayor"</formula>
    </cfRule>
    <cfRule type="cellIs" dxfId="51" priority="50" operator="equal">
      <formula>"Moderado"</formula>
    </cfRule>
    <cfRule type="cellIs" dxfId="50" priority="51" operator="equal">
      <formula>"Menor"</formula>
    </cfRule>
    <cfRule type="cellIs" dxfId="49" priority="52" operator="equal">
      <formula>"Leve"</formula>
    </cfRule>
  </conditionalFormatting>
  <conditionalFormatting sqref="AE63:AE68">
    <cfRule type="cellIs" dxfId="48" priority="44" operator="equal">
      <formula>"Extremo"</formula>
    </cfRule>
    <cfRule type="cellIs" dxfId="47" priority="45" operator="equal">
      <formula>"Alto"</formula>
    </cfRule>
    <cfRule type="cellIs" dxfId="46" priority="46" operator="equal">
      <formula>"Moderado"</formula>
    </cfRule>
    <cfRule type="cellIs" dxfId="45" priority="47" operator="equal">
      <formula>"Bajo"</formula>
    </cfRule>
  </conditionalFormatting>
  <conditionalFormatting sqref="M10:M68">
    <cfRule type="containsText" dxfId="44" priority="43" operator="containsText" text="❌">
      <formula>NOT(ISERROR(SEARCH("❌",M10)))</formula>
    </cfRule>
  </conditionalFormatting>
  <conditionalFormatting sqref="AA15">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15">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15">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16:AA20">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16:AC20">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16:AE20">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 right="0.7" top="0.75" bottom="0.75" header="0.3" footer="0.3"/>
  <pageSetup scale="17" orientation="landscape" r:id="rId1"/>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'Opciones Tratamiento'!$B$9:$B$10</xm:f>
          </x14:formula1>
          <xm:sqref>AK10:AK12 AK14:AK16 AK18:AK19 AK21:AK22 AK24:AK25 AK27:AK28 AK30:AK31 AK33:AK34 AK36:AK37 AK39:AK40 AK42:AK43 AK45:AK46 AK48:AK49 AK51:AK52 AK54:AK55 AK57:AK58 AK60:AK61 AK63:AK64 AK66:AK67</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AG14:AG68 AG10:AG12</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AH14:AH68 AH10:AH12</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AI14:AI68 AI10:AI12</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AJ14:AJ68 AJ10:AJ12</xm:sqref>
        </x14:dataValidation>
        <x14:dataValidation type="list" allowBlank="1" showInputMessage="1" showErrorMessage="1">
          <x14:formula1>
            <xm:f>'Tabla Valoración controles'!$D$4:$D$6</xm:f>
          </x14:formula1>
          <xm:sqref>T10:T11 T13:T68</xm:sqref>
        </x14:dataValidation>
        <x14:dataValidation type="list" allowBlank="1" showInputMessage="1" showErrorMessage="1">
          <x14:formula1>
            <xm:f>'Tabla Valoración controles'!$D$7:$D$8</xm:f>
          </x14:formula1>
          <xm:sqref>U10:U11 U13:U68</xm:sqref>
        </x14:dataValidation>
        <x14:dataValidation type="list" allowBlank="1" showInputMessage="1" showErrorMessage="1">
          <x14:formula1>
            <xm:f>'Tabla Valoración controles'!$D$9:$D$10</xm:f>
          </x14:formula1>
          <xm:sqref>W10:W11 W13:W68</xm:sqref>
        </x14:dataValidation>
        <x14:dataValidation type="list" allowBlank="1" showInputMessage="1" showErrorMessage="1">
          <x14:formula1>
            <xm:f>'Tabla Valoración controles'!$D$11:$D$12</xm:f>
          </x14:formula1>
          <xm:sqref>X10:X11 X13:X68</xm:sqref>
        </x14:dataValidation>
        <x14:dataValidation type="list" allowBlank="1" showInputMessage="1" showErrorMessage="1">
          <x14:formula1>
            <xm:f>'Tabla Valoración controles'!$D$13:$D$14</xm:f>
          </x14:formula1>
          <xm:sqref>Y10:Y11 Y13:Y68</xm:sqref>
        </x14:dataValidation>
        <x14:dataValidation type="list" allowBlank="1" showInputMessage="1" showErrorMessage="1">
          <x14:formula1>
            <xm:f>'Opciones Tratamiento'!$B$13:$B$19</xm:f>
          </x14:formula1>
          <xm:sqref>H10:H68</xm:sqref>
        </x14:dataValidation>
        <x14:dataValidation type="list" allowBlank="1" showInputMessage="1" showErrorMessage="1">
          <x14:formula1>
            <xm:f>'Opciones Tratamiento'!$E$2:$E$4</xm:f>
          </x14:formula1>
          <xm:sqref>B10:B68</xm:sqref>
        </x14:dataValidation>
        <x14:dataValidation type="list" allowBlank="1" showInputMessage="1" showErrorMessage="1">
          <x14:formula1>
            <xm:f>'Opciones Tratamiento'!$B$2:$B$5</xm:f>
          </x14:formula1>
          <xm:sqref>AF10:AF11 AF13:AF68</xm:sqref>
        </x14:dataValidation>
        <x14:dataValidation type="list" allowBlank="1" showInputMessage="1" showErrorMessage="1">
          <x14:formula1>
            <xm:f>'Tabla Impacto'!$F$210:$F$221</xm:f>
          </x14:formula1>
          <xm:sqref>L10:L68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70" zoomScaleNormal="70" workbookViewId="0">
      <selection activeCell="R16" sqref="R16:S17"/>
    </sheetView>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324" t="s">
        <v>149</v>
      </c>
      <c r="C2" s="324"/>
      <c r="D2" s="324"/>
      <c r="E2" s="324"/>
      <c r="F2" s="324"/>
      <c r="G2" s="324"/>
      <c r="H2" s="324"/>
      <c r="I2" s="324"/>
      <c r="J2" s="361" t="s">
        <v>2</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324"/>
      <c r="C3" s="324"/>
      <c r="D3" s="324"/>
      <c r="E3" s="324"/>
      <c r="F3" s="324"/>
      <c r="G3" s="324"/>
      <c r="H3" s="324"/>
      <c r="I3" s="324"/>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324"/>
      <c r="C4" s="324"/>
      <c r="D4" s="324"/>
      <c r="E4" s="324"/>
      <c r="F4" s="324"/>
      <c r="G4" s="324"/>
      <c r="H4" s="324"/>
      <c r="I4" s="324"/>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372" t="s">
        <v>4</v>
      </c>
      <c r="C6" s="372"/>
      <c r="D6" s="373"/>
      <c r="E6" s="362" t="s">
        <v>110</v>
      </c>
      <c r="F6" s="363"/>
      <c r="G6" s="363"/>
      <c r="H6" s="363"/>
      <c r="I6" s="364"/>
      <c r="J6" s="358" t="str">
        <f ca="1">IF(AND('Mapa final'!$J$10="Muy Alta",'Mapa final'!$N$10="Leve"),CONCATENATE("R",'Mapa final'!$A$10),"")</f>
        <v/>
      </c>
      <c r="K6" s="359"/>
      <c r="L6" s="359" t="str">
        <f ca="1">IF(AND('Mapa final'!$J$15="Muy Alta",'Mapa final'!$N$15="Leve"),CONCATENATE("R",'Mapa final'!$A$15),"")</f>
        <v/>
      </c>
      <c r="M6" s="359"/>
      <c r="N6" s="359" t="str">
        <f ca="1">IF(AND('Mapa final'!$J$21="Muy Alta",'Mapa final'!$N$21="Leve"),CONCATENATE("R",'Mapa final'!$A$21),"")</f>
        <v/>
      </c>
      <c r="O6" s="360"/>
      <c r="P6" s="358" t="str">
        <f ca="1">IF(AND('Mapa final'!$J$10="Muy Alta",'Mapa final'!$N$10="Menor"),CONCATENATE("R",'Mapa final'!$A$10),"")</f>
        <v/>
      </c>
      <c r="Q6" s="359"/>
      <c r="R6" s="359" t="str">
        <f ca="1">IF(AND('Mapa final'!$J$15="Muy Alta",'Mapa final'!$N$15="Menor"),CONCATENATE("R",'Mapa final'!$A$15),"")</f>
        <v/>
      </c>
      <c r="S6" s="359"/>
      <c r="T6" s="359" t="str">
        <f ca="1">IF(AND('Mapa final'!$J$21="Muy Alta",'Mapa final'!$N$21="Menor"),CONCATENATE("R",'Mapa final'!$A$21),"")</f>
        <v/>
      </c>
      <c r="U6" s="360"/>
      <c r="V6" s="358" t="str">
        <f ca="1">IF(AND('Mapa final'!$J$10="Muy Alta",'Mapa final'!$N$10="Moderado"),CONCATENATE("R",'Mapa final'!$A$10),"")</f>
        <v/>
      </c>
      <c r="W6" s="359"/>
      <c r="X6" s="359" t="str">
        <f ca="1">IF(AND('Mapa final'!$J$15="Muy Alta",'Mapa final'!$N$15="Moderado"),CONCATENATE("R",'Mapa final'!$A$15),"")</f>
        <v/>
      </c>
      <c r="Y6" s="359"/>
      <c r="Z6" s="359" t="str">
        <f ca="1">IF(AND('Mapa final'!$J$21="Muy Alta",'Mapa final'!$N$21="Moderado"),CONCATENATE("R",'Mapa final'!$A$21),"")</f>
        <v/>
      </c>
      <c r="AA6" s="360"/>
      <c r="AB6" s="358" t="str">
        <f ca="1">IF(AND('Mapa final'!$J$10="Muy Alta",'Mapa final'!$N$10="Mayor"),CONCATENATE("R",'Mapa final'!$A$10),"")</f>
        <v/>
      </c>
      <c r="AC6" s="359"/>
      <c r="AD6" s="359" t="str">
        <f ca="1">IF(AND('Mapa final'!$J$15="Muy Alta",'Mapa final'!$N$15="Mayor"),CONCATENATE("R",'Mapa final'!$A$15),"")</f>
        <v/>
      </c>
      <c r="AE6" s="359"/>
      <c r="AF6" s="359" t="str">
        <f ca="1">IF(AND('Mapa final'!$J$21="Muy Alta",'Mapa final'!$N$21="Mayor"),CONCATENATE("R",'Mapa final'!$A$21),"")</f>
        <v/>
      </c>
      <c r="AG6" s="360"/>
      <c r="AH6" s="349" t="str">
        <f ca="1">IF(AND('Mapa final'!$J$10="Muy Alta",'Mapa final'!$N$10="Catastrófico"),CONCATENATE("R",'Mapa final'!$A$10),"")</f>
        <v/>
      </c>
      <c r="AI6" s="350"/>
      <c r="AJ6" s="350" t="str">
        <f ca="1">IF(AND('Mapa final'!$J$15="Muy Alta",'Mapa final'!$N$15="Catastrófico"),CONCATENATE("R",'Mapa final'!$A$15),"")</f>
        <v/>
      </c>
      <c r="AK6" s="350"/>
      <c r="AL6" s="350" t="str">
        <f ca="1">IF(AND('Mapa final'!$J$21="Muy Alta",'Mapa final'!$N$21="Catastrófico"),CONCATENATE("R",'Mapa final'!$A$21),"")</f>
        <v/>
      </c>
      <c r="AM6" s="351"/>
      <c r="AO6" s="374" t="s">
        <v>77</v>
      </c>
      <c r="AP6" s="375"/>
      <c r="AQ6" s="375"/>
      <c r="AR6" s="375"/>
      <c r="AS6" s="375"/>
      <c r="AT6" s="376"/>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372"/>
      <c r="C7" s="372"/>
      <c r="D7" s="373"/>
      <c r="E7" s="365"/>
      <c r="F7" s="366"/>
      <c r="G7" s="366"/>
      <c r="H7" s="366"/>
      <c r="I7" s="367"/>
      <c r="J7" s="352"/>
      <c r="K7" s="353"/>
      <c r="L7" s="353"/>
      <c r="M7" s="353"/>
      <c r="N7" s="353"/>
      <c r="O7" s="354"/>
      <c r="P7" s="352"/>
      <c r="Q7" s="353"/>
      <c r="R7" s="353"/>
      <c r="S7" s="353"/>
      <c r="T7" s="353"/>
      <c r="U7" s="354"/>
      <c r="V7" s="352"/>
      <c r="W7" s="353"/>
      <c r="X7" s="353"/>
      <c r="Y7" s="353"/>
      <c r="Z7" s="353"/>
      <c r="AA7" s="354"/>
      <c r="AB7" s="352"/>
      <c r="AC7" s="353"/>
      <c r="AD7" s="353"/>
      <c r="AE7" s="353"/>
      <c r="AF7" s="353"/>
      <c r="AG7" s="354"/>
      <c r="AH7" s="343"/>
      <c r="AI7" s="344"/>
      <c r="AJ7" s="344"/>
      <c r="AK7" s="344"/>
      <c r="AL7" s="344"/>
      <c r="AM7" s="345"/>
      <c r="AN7" s="67"/>
      <c r="AO7" s="377"/>
      <c r="AP7" s="378"/>
      <c r="AQ7" s="378"/>
      <c r="AR7" s="378"/>
      <c r="AS7" s="378"/>
      <c r="AT7" s="379"/>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372"/>
      <c r="C8" s="372"/>
      <c r="D8" s="373"/>
      <c r="E8" s="365"/>
      <c r="F8" s="366"/>
      <c r="G8" s="366"/>
      <c r="H8" s="366"/>
      <c r="I8" s="367"/>
      <c r="J8" s="352" t="str">
        <f ca="1">IF(AND('Mapa final'!$J$27="Muy Alta",'Mapa final'!$N$27="Leve"),CONCATENATE("R",'Mapa final'!$A$27),"")</f>
        <v/>
      </c>
      <c r="K8" s="353"/>
      <c r="L8" s="353" t="str">
        <f ca="1">IF(AND('Mapa final'!$J$33="Muy Alta",'Mapa final'!$N$33="Leve"),CONCATENATE("R",'Mapa final'!$A$33),"")</f>
        <v/>
      </c>
      <c r="M8" s="353"/>
      <c r="N8" s="353" t="str">
        <f ca="1">IF(AND('Mapa final'!$J$39="Muy Alta",'Mapa final'!$N$39="Leve"),CONCATENATE("R",'Mapa final'!$A$39),"")</f>
        <v/>
      </c>
      <c r="O8" s="354"/>
      <c r="P8" s="352" t="str">
        <f ca="1">IF(AND('Mapa final'!$J$27="Muy Alta",'Mapa final'!$N$27="Menor"),CONCATENATE("R",'Mapa final'!$A$27),"")</f>
        <v/>
      </c>
      <c r="Q8" s="353"/>
      <c r="R8" s="353" t="str">
        <f ca="1">IF(AND('Mapa final'!$J$33="Muy Alta",'Mapa final'!$N$33="Menor"),CONCATENATE("R",'Mapa final'!$A$33),"")</f>
        <v/>
      </c>
      <c r="S8" s="353"/>
      <c r="T8" s="353" t="str">
        <f ca="1">IF(AND('Mapa final'!$J$39="Muy Alta",'Mapa final'!$N$39="Menor"),CONCATENATE("R",'Mapa final'!$A$39),"")</f>
        <v/>
      </c>
      <c r="U8" s="354"/>
      <c r="V8" s="352" t="str">
        <f ca="1">IF(AND('Mapa final'!$J$27="Muy Alta",'Mapa final'!$N$27="Moderado"),CONCATENATE("R",'Mapa final'!$A$27),"")</f>
        <v/>
      </c>
      <c r="W8" s="353"/>
      <c r="X8" s="353" t="str">
        <f ca="1">IF(AND('Mapa final'!$J$33="Muy Alta",'Mapa final'!$N$33="Moderado"),CONCATENATE("R",'Mapa final'!$A$33),"")</f>
        <v/>
      </c>
      <c r="Y8" s="353"/>
      <c r="Z8" s="353" t="str">
        <f ca="1">IF(AND('Mapa final'!$J$39="Muy Alta",'Mapa final'!$N$39="Moderado"),CONCATENATE("R",'Mapa final'!$A$39),"")</f>
        <v/>
      </c>
      <c r="AA8" s="354"/>
      <c r="AB8" s="352" t="str">
        <f ca="1">IF(AND('Mapa final'!$J$27="Muy Alta",'Mapa final'!$N$27="Mayor"),CONCATENATE("R",'Mapa final'!$A$27),"")</f>
        <v/>
      </c>
      <c r="AC8" s="353"/>
      <c r="AD8" s="353" t="str">
        <f ca="1">IF(AND('Mapa final'!$J$33="Muy Alta",'Mapa final'!$N$33="Mayor"),CONCATENATE("R",'Mapa final'!$A$33),"")</f>
        <v/>
      </c>
      <c r="AE8" s="353"/>
      <c r="AF8" s="353" t="str">
        <f ca="1">IF(AND('Mapa final'!$J$39="Muy Alta",'Mapa final'!$N$39="Mayor"),CONCATENATE("R",'Mapa final'!$A$39),"")</f>
        <v/>
      </c>
      <c r="AG8" s="354"/>
      <c r="AH8" s="343" t="str">
        <f ca="1">IF(AND('Mapa final'!$J$27="Muy Alta",'Mapa final'!$N$27="Catastrófico"),CONCATENATE("R",'Mapa final'!$A$27),"")</f>
        <v/>
      </c>
      <c r="AI8" s="344"/>
      <c r="AJ8" s="344" t="str">
        <f ca="1">IF(AND('Mapa final'!$J$33="Muy Alta",'Mapa final'!$N$33="Catastrófico"),CONCATENATE("R",'Mapa final'!$A$33),"")</f>
        <v/>
      </c>
      <c r="AK8" s="344"/>
      <c r="AL8" s="344" t="str">
        <f ca="1">IF(AND('Mapa final'!$J$39="Muy Alta",'Mapa final'!$N$39="Catastrófico"),CONCATENATE("R",'Mapa final'!$A$39),"")</f>
        <v/>
      </c>
      <c r="AM8" s="345"/>
      <c r="AN8" s="67"/>
      <c r="AO8" s="377"/>
      <c r="AP8" s="378"/>
      <c r="AQ8" s="378"/>
      <c r="AR8" s="378"/>
      <c r="AS8" s="378"/>
      <c r="AT8" s="379"/>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372"/>
      <c r="C9" s="372"/>
      <c r="D9" s="373"/>
      <c r="E9" s="365"/>
      <c r="F9" s="366"/>
      <c r="G9" s="366"/>
      <c r="H9" s="366"/>
      <c r="I9" s="367"/>
      <c r="J9" s="352"/>
      <c r="K9" s="353"/>
      <c r="L9" s="353"/>
      <c r="M9" s="353"/>
      <c r="N9" s="353"/>
      <c r="O9" s="354"/>
      <c r="P9" s="352"/>
      <c r="Q9" s="353"/>
      <c r="R9" s="353"/>
      <c r="S9" s="353"/>
      <c r="T9" s="353"/>
      <c r="U9" s="354"/>
      <c r="V9" s="352"/>
      <c r="W9" s="353"/>
      <c r="X9" s="353"/>
      <c r="Y9" s="353"/>
      <c r="Z9" s="353"/>
      <c r="AA9" s="354"/>
      <c r="AB9" s="352"/>
      <c r="AC9" s="353"/>
      <c r="AD9" s="353"/>
      <c r="AE9" s="353"/>
      <c r="AF9" s="353"/>
      <c r="AG9" s="354"/>
      <c r="AH9" s="343"/>
      <c r="AI9" s="344"/>
      <c r="AJ9" s="344"/>
      <c r="AK9" s="344"/>
      <c r="AL9" s="344"/>
      <c r="AM9" s="345"/>
      <c r="AN9" s="67"/>
      <c r="AO9" s="377"/>
      <c r="AP9" s="378"/>
      <c r="AQ9" s="378"/>
      <c r="AR9" s="378"/>
      <c r="AS9" s="378"/>
      <c r="AT9" s="379"/>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372"/>
      <c r="C10" s="372"/>
      <c r="D10" s="373"/>
      <c r="E10" s="365"/>
      <c r="F10" s="366"/>
      <c r="G10" s="366"/>
      <c r="H10" s="366"/>
      <c r="I10" s="367"/>
      <c r="J10" s="352" t="str">
        <f ca="1">IF(AND('Mapa final'!$J$45="Muy Alta",'Mapa final'!$N$45="Leve"),CONCATENATE("R",'Mapa final'!$A$45),"")</f>
        <v/>
      </c>
      <c r="K10" s="353"/>
      <c r="L10" s="353" t="str">
        <f ca="1">IF(AND('Mapa final'!$J$51="Muy Alta",'Mapa final'!$N$51="Leve"),CONCATENATE("R",'Mapa final'!$A$51),"")</f>
        <v/>
      </c>
      <c r="M10" s="353"/>
      <c r="N10" s="353" t="str">
        <f ca="1">IF(AND('Mapa final'!$J$57="Muy Alta",'Mapa final'!$N$57="Leve"),CONCATENATE("R",'Mapa final'!$A$57),"")</f>
        <v/>
      </c>
      <c r="O10" s="354"/>
      <c r="P10" s="352" t="str">
        <f ca="1">IF(AND('Mapa final'!$J$45="Muy Alta",'Mapa final'!$N$45="Menor"),CONCATENATE("R",'Mapa final'!$A$45),"")</f>
        <v/>
      </c>
      <c r="Q10" s="353"/>
      <c r="R10" s="353" t="str">
        <f ca="1">IF(AND('Mapa final'!$J$51="Muy Alta",'Mapa final'!$N$51="Menor"),CONCATENATE("R",'Mapa final'!$A$51),"")</f>
        <v/>
      </c>
      <c r="S10" s="353"/>
      <c r="T10" s="353" t="str">
        <f ca="1">IF(AND('Mapa final'!$J$57="Muy Alta",'Mapa final'!$N$57="Menor"),CONCATENATE("R",'Mapa final'!$A$57),"")</f>
        <v/>
      </c>
      <c r="U10" s="354"/>
      <c r="V10" s="352" t="str">
        <f ca="1">IF(AND('Mapa final'!$J$45="Muy Alta",'Mapa final'!$N$45="Moderado"),CONCATENATE("R",'Mapa final'!$A$45),"")</f>
        <v/>
      </c>
      <c r="W10" s="353"/>
      <c r="X10" s="353" t="str">
        <f ca="1">IF(AND('Mapa final'!$J$51="Muy Alta",'Mapa final'!$N$51="Moderado"),CONCATENATE("R",'Mapa final'!$A$51),"")</f>
        <v/>
      </c>
      <c r="Y10" s="353"/>
      <c r="Z10" s="353" t="str">
        <f ca="1">IF(AND('Mapa final'!$J$57="Muy Alta",'Mapa final'!$N$57="Moderado"),CONCATENATE("R",'Mapa final'!$A$57),"")</f>
        <v/>
      </c>
      <c r="AA10" s="354"/>
      <c r="AB10" s="352" t="str">
        <f ca="1">IF(AND('Mapa final'!$J$45="Muy Alta",'Mapa final'!$N$45="Mayor"),CONCATENATE("R",'Mapa final'!$A$45),"")</f>
        <v/>
      </c>
      <c r="AC10" s="353"/>
      <c r="AD10" s="353" t="str">
        <f ca="1">IF(AND('Mapa final'!$J$51="Muy Alta",'Mapa final'!$N$51="Mayor"),CONCATENATE("R",'Mapa final'!$A$51),"")</f>
        <v/>
      </c>
      <c r="AE10" s="353"/>
      <c r="AF10" s="353" t="str">
        <f ca="1">IF(AND('Mapa final'!$J$57="Muy Alta",'Mapa final'!$N$57="Mayor"),CONCATENATE("R",'Mapa final'!$A$57),"")</f>
        <v/>
      </c>
      <c r="AG10" s="354"/>
      <c r="AH10" s="343" t="str">
        <f ca="1">IF(AND('Mapa final'!$J$45="Muy Alta",'Mapa final'!$N$45="Catastrófico"),CONCATENATE("R",'Mapa final'!$A$45),"")</f>
        <v/>
      </c>
      <c r="AI10" s="344"/>
      <c r="AJ10" s="344" t="str">
        <f ca="1">IF(AND('Mapa final'!$J$51="Muy Alta",'Mapa final'!$N$51="Catastrófico"),CONCATENATE("R",'Mapa final'!$A$51),"")</f>
        <v/>
      </c>
      <c r="AK10" s="344"/>
      <c r="AL10" s="344" t="str">
        <f ca="1">IF(AND('Mapa final'!$J$57="Muy Alta",'Mapa final'!$N$57="Catastrófico"),CONCATENATE("R",'Mapa final'!$A$57),"")</f>
        <v/>
      </c>
      <c r="AM10" s="345"/>
      <c r="AN10" s="67"/>
      <c r="AO10" s="377"/>
      <c r="AP10" s="378"/>
      <c r="AQ10" s="378"/>
      <c r="AR10" s="378"/>
      <c r="AS10" s="378"/>
      <c r="AT10" s="379"/>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372"/>
      <c r="C11" s="372"/>
      <c r="D11" s="373"/>
      <c r="E11" s="365"/>
      <c r="F11" s="366"/>
      <c r="G11" s="366"/>
      <c r="H11" s="366"/>
      <c r="I11" s="367"/>
      <c r="J11" s="352"/>
      <c r="K11" s="353"/>
      <c r="L11" s="353"/>
      <c r="M11" s="353"/>
      <c r="N11" s="353"/>
      <c r="O11" s="354"/>
      <c r="P11" s="352"/>
      <c r="Q11" s="353"/>
      <c r="R11" s="353"/>
      <c r="S11" s="353"/>
      <c r="T11" s="353"/>
      <c r="U11" s="354"/>
      <c r="V11" s="352"/>
      <c r="W11" s="353"/>
      <c r="X11" s="353"/>
      <c r="Y11" s="353"/>
      <c r="Z11" s="353"/>
      <c r="AA11" s="354"/>
      <c r="AB11" s="352"/>
      <c r="AC11" s="353"/>
      <c r="AD11" s="353"/>
      <c r="AE11" s="353"/>
      <c r="AF11" s="353"/>
      <c r="AG11" s="354"/>
      <c r="AH11" s="343"/>
      <c r="AI11" s="344"/>
      <c r="AJ11" s="344"/>
      <c r="AK11" s="344"/>
      <c r="AL11" s="344"/>
      <c r="AM11" s="345"/>
      <c r="AN11" s="67"/>
      <c r="AO11" s="377"/>
      <c r="AP11" s="378"/>
      <c r="AQ11" s="378"/>
      <c r="AR11" s="378"/>
      <c r="AS11" s="378"/>
      <c r="AT11" s="379"/>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372"/>
      <c r="C12" s="372"/>
      <c r="D12" s="373"/>
      <c r="E12" s="365"/>
      <c r="F12" s="366"/>
      <c r="G12" s="366"/>
      <c r="H12" s="366"/>
      <c r="I12" s="367"/>
      <c r="J12" s="352" t="str">
        <f ca="1">IF(AND('Mapa final'!$J$63="Muy Alta",'Mapa final'!$N$63="Leve"),CONCATENATE("R",'Mapa final'!$A$63),"")</f>
        <v/>
      </c>
      <c r="K12" s="353"/>
      <c r="L12" s="353" t="str">
        <f>IF(AND('Mapa final'!$J$69="Muy Alta",'Mapa final'!$N$69="Leve"),CONCATENATE("R",'Mapa final'!$A$69),"")</f>
        <v/>
      </c>
      <c r="M12" s="353"/>
      <c r="N12" s="353" t="str">
        <f>IF(AND('Mapa final'!$J$75="Muy Alta",'Mapa final'!$N$75="Leve"),CONCATENATE("R",'Mapa final'!$A$75),"")</f>
        <v/>
      </c>
      <c r="O12" s="354"/>
      <c r="P12" s="352" t="str">
        <f ca="1">IF(AND('Mapa final'!$J$63="Muy Alta",'Mapa final'!$N$63="Menor"),CONCATENATE("R",'Mapa final'!$A$63),"")</f>
        <v/>
      </c>
      <c r="Q12" s="353"/>
      <c r="R12" s="353" t="str">
        <f>IF(AND('Mapa final'!$J$69="Muy Alta",'Mapa final'!$N$69="Menor"),CONCATENATE("R",'Mapa final'!$A$69),"")</f>
        <v/>
      </c>
      <c r="S12" s="353"/>
      <c r="T12" s="353" t="str">
        <f>IF(AND('Mapa final'!$J$75="Muy Alta",'Mapa final'!$N$75="Menor"),CONCATENATE("R",'Mapa final'!$A$75),"")</f>
        <v/>
      </c>
      <c r="U12" s="354"/>
      <c r="V12" s="352" t="str">
        <f ca="1">IF(AND('Mapa final'!$J$63="Muy Alta",'Mapa final'!$N$63="Moderado"),CONCATENATE("R",'Mapa final'!$A$63),"")</f>
        <v/>
      </c>
      <c r="W12" s="353"/>
      <c r="X12" s="353" t="str">
        <f>IF(AND('Mapa final'!$J$69="Muy Alta",'Mapa final'!$N$69="Moderado"),CONCATENATE("R",'Mapa final'!$A$69),"")</f>
        <v/>
      </c>
      <c r="Y12" s="353"/>
      <c r="Z12" s="353" t="str">
        <f>IF(AND('Mapa final'!$J$75="Muy Alta",'Mapa final'!$N$75="Moderado"),CONCATENATE("R",'Mapa final'!$A$75),"")</f>
        <v/>
      </c>
      <c r="AA12" s="354"/>
      <c r="AB12" s="352" t="str">
        <f ca="1">IF(AND('Mapa final'!$J$63="Muy Alta",'Mapa final'!$N$63="Mayor"),CONCATENATE("R",'Mapa final'!$A$63),"")</f>
        <v/>
      </c>
      <c r="AC12" s="353"/>
      <c r="AD12" s="353" t="str">
        <f>IF(AND('Mapa final'!$J$69="Muy Alta",'Mapa final'!$N$69="Mayor"),CONCATENATE("R",'Mapa final'!$A$69),"")</f>
        <v/>
      </c>
      <c r="AE12" s="353"/>
      <c r="AF12" s="353" t="str">
        <f>IF(AND('Mapa final'!$J$75="Muy Alta",'Mapa final'!$N$75="Mayor"),CONCATENATE("R",'Mapa final'!$A$75),"")</f>
        <v/>
      </c>
      <c r="AG12" s="354"/>
      <c r="AH12" s="343" t="str">
        <f ca="1">IF(AND('Mapa final'!$J$63="Muy Alta",'Mapa final'!$N$63="Catastrófico"),CONCATENATE("R",'Mapa final'!$A$63),"")</f>
        <v/>
      </c>
      <c r="AI12" s="344"/>
      <c r="AJ12" s="344" t="str">
        <f>IF(AND('Mapa final'!$J$69="Muy Alta",'Mapa final'!$N$69="Catastrófico"),CONCATENATE("R",'Mapa final'!$A$69),"")</f>
        <v/>
      </c>
      <c r="AK12" s="344"/>
      <c r="AL12" s="344" t="str">
        <f>IF(AND('Mapa final'!$J$75="Muy Alta",'Mapa final'!$N$75="Catastrófico"),CONCATENATE("R",'Mapa final'!$A$75),"")</f>
        <v/>
      </c>
      <c r="AM12" s="345"/>
      <c r="AN12" s="67"/>
      <c r="AO12" s="377"/>
      <c r="AP12" s="378"/>
      <c r="AQ12" s="378"/>
      <c r="AR12" s="378"/>
      <c r="AS12" s="378"/>
      <c r="AT12" s="379"/>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372"/>
      <c r="C13" s="372"/>
      <c r="D13" s="373"/>
      <c r="E13" s="368"/>
      <c r="F13" s="369"/>
      <c r="G13" s="369"/>
      <c r="H13" s="369"/>
      <c r="I13" s="370"/>
      <c r="J13" s="352"/>
      <c r="K13" s="353"/>
      <c r="L13" s="353"/>
      <c r="M13" s="353"/>
      <c r="N13" s="353"/>
      <c r="O13" s="354"/>
      <c r="P13" s="352"/>
      <c r="Q13" s="353"/>
      <c r="R13" s="353"/>
      <c r="S13" s="353"/>
      <c r="T13" s="353"/>
      <c r="U13" s="354"/>
      <c r="V13" s="352"/>
      <c r="W13" s="353"/>
      <c r="X13" s="353"/>
      <c r="Y13" s="353"/>
      <c r="Z13" s="353"/>
      <c r="AA13" s="354"/>
      <c r="AB13" s="352"/>
      <c r="AC13" s="353"/>
      <c r="AD13" s="353"/>
      <c r="AE13" s="353"/>
      <c r="AF13" s="353"/>
      <c r="AG13" s="354"/>
      <c r="AH13" s="346"/>
      <c r="AI13" s="347"/>
      <c r="AJ13" s="347"/>
      <c r="AK13" s="347"/>
      <c r="AL13" s="347"/>
      <c r="AM13" s="348"/>
      <c r="AN13" s="67"/>
      <c r="AO13" s="380"/>
      <c r="AP13" s="381"/>
      <c r="AQ13" s="381"/>
      <c r="AR13" s="381"/>
      <c r="AS13" s="381"/>
      <c r="AT13" s="382"/>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372"/>
      <c r="C14" s="372"/>
      <c r="D14" s="373"/>
      <c r="E14" s="362" t="s">
        <v>109</v>
      </c>
      <c r="F14" s="363"/>
      <c r="G14" s="363"/>
      <c r="H14" s="363"/>
      <c r="I14" s="363"/>
      <c r="J14" s="340" t="str">
        <f ca="1">IF(AND('Mapa final'!$J$10="Alta",'Mapa final'!$N$10="Leve"),CONCATENATE("R",'Mapa final'!$A$10),"")</f>
        <v/>
      </c>
      <c r="K14" s="341"/>
      <c r="L14" s="341" t="str">
        <f ca="1">IF(AND('Mapa final'!$J$15="Alta",'Mapa final'!$N$15="Leve"),CONCATENATE("R",'Mapa final'!$A$15),"")</f>
        <v/>
      </c>
      <c r="M14" s="341"/>
      <c r="N14" s="341" t="str">
        <f ca="1">IF(AND('Mapa final'!$J$21="Alta",'Mapa final'!$N$21="Leve"),CONCATENATE("R",'Mapa final'!$A$21),"")</f>
        <v/>
      </c>
      <c r="O14" s="342"/>
      <c r="P14" s="340" t="str">
        <f ca="1">IF(AND('Mapa final'!$J$10="Alta",'Mapa final'!$N$10="Menor"),CONCATENATE("R",'Mapa final'!$A$10),"")</f>
        <v/>
      </c>
      <c r="Q14" s="341"/>
      <c r="R14" s="341" t="str">
        <f ca="1">IF(AND('Mapa final'!$J$15="Alta",'Mapa final'!$N$15="Menor"),CONCATENATE("R",'Mapa final'!$A$15),"")</f>
        <v>R2</v>
      </c>
      <c r="S14" s="341"/>
      <c r="T14" s="341" t="str">
        <f ca="1">IF(AND('Mapa final'!$J$21="Alta",'Mapa final'!$N$21="Menor"),CONCATENATE("R",'Mapa final'!$A$21),"")</f>
        <v/>
      </c>
      <c r="U14" s="342"/>
      <c r="V14" s="358" t="str">
        <f ca="1">IF(AND('Mapa final'!$J$10="Alta",'Mapa final'!$N$10="Moderado"),CONCATENATE("R",'Mapa final'!$A$10),"")</f>
        <v/>
      </c>
      <c r="W14" s="359"/>
      <c r="X14" s="359" t="str">
        <f ca="1">IF(AND('Mapa final'!$J$15="Alta",'Mapa final'!$N$15="Moderado"),CONCATENATE("R",'Mapa final'!$A$15),"")</f>
        <v/>
      </c>
      <c r="Y14" s="359"/>
      <c r="Z14" s="359" t="str">
        <f ca="1">IF(AND('Mapa final'!$J$21="Alta",'Mapa final'!$N$21="Moderado"),CONCATENATE("R",'Mapa final'!$A$21),"")</f>
        <v/>
      </c>
      <c r="AA14" s="360"/>
      <c r="AB14" s="358" t="str">
        <f ca="1">IF(AND('Mapa final'!$J$10="Alta",'Mapa final'!$N$10="Mayor"),CONCATENATE("R",'Mapa final'!$A$10),"")</f>
        <v>R1</v>
      </c>
      <c r="AC14" s="359"/>
      <c r="AD14" s="359" t="str">
        <f ca="1">IF(AND('Mapa final'!$J$15="Alta",'Mapa final'!$N$15="Mayor"),CONCATENATE("R",'Mapa final'!$A$15),"")</f>
        <v/>
      </c>
      <c r="AE14" s="359"/>
      <c r="AF14" s="359" t="str">
        <f ca="1">IF(AND('Mapa final'!$J$21="Alta",'Mapa final'!$N$21="Mayor"),CONCATENATE("R",'Mapa final'!$A$21),"")</f>
        <v/>
      </c>
      <c r="AG14" s="360"/>
      <c r="AH14" s="349" t="str">
        <f ca="1">IF(AND('Mapa final'!$J$10="Alta",'Mapa final'!$N$10="Catastrófico"),CONCATENATE("R",'Mapa final'!$A$10),"")</f>
        <v/>
      </c>
      <c r="AI14" s="350"/>
      <c r="AJ14" s="350" t="str">
        <f ca="1">IF(AND('Mapa final'!$J$15="Alta",'Mapa final'!$N$15="Catastrófico"),CONCATENATE("R",'Mapa final'!$A$15),"")</f>
        <v/>
      </c>
      <c r="AK14" s="350"/>
      <c r="AL14" s="350" t="str">
        <f ca="1">IF(AND('Mapa final'!$J$21="Alta",'Mapa final'!$N$21="Catastrófico"),CONCATENATE("R",'Mapa final'!$A$21),"")</f>
        <v/>
      </c>
      <c r="AM14" s="351"/>
      <c r="AN14" s="67"/>
      <c r="AO14" s="383" t="s">
        <v>78</v>
      </c>
      <c r="AP14" s="384"/>
      <c r="AQ14" s="384"/>
      <c r="AR14" s="384"/>
      <c r="AS14" s="384"/>
      <c r="AT14" s="385"/>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372"/>
      <c r="C15" s="372"/>
      <c r="D15" s="373"/>
      <c r="E15" s="365"/>
      <c r="F15" s="366"/>
      <c r="G15" s="366"/>
      <c r="H15" s="366"/>
      <c r="I15" s="366"/>
      <c r="J15" s="334"/>
      <c r="K15" s="335"/>
      <c r="L15" s="335"/>
      <c r="M15" s="335"/>
      <c r="N15" s="335"/>
      <c r="O15" s="336"/>
      <c r="P15" s="334"/>
      <c r="Q15" s="335"/>
      <c r="R15" s="335"/>
      <c r="S15" s="335"/>
      <c r="T15" s="335"/>
      <c r="U15" s="336"/>
      <c r="V15" s="352"/>
      <c r="W15" s="353"/>
      <c r="X15" s="353"/>
      <c r="Y15" s="353"/>
      <c r="Z15" s="353"/>
      <c r="AA15" s="354"/>
      <c r="AB15" s="352"/>
      <c r="AC15" s="353"/>
      <c r="AD15" s="353"/>
      <c r="AE15" s="353"/>
      <c r="AF15" s="353"/>
      <c r="AG15" s="354"/>
      <c r="AH15" s="343"/>
      <c r="AI15" s="344"/>
      <c r="AJ15" s="344"/>
      <c r="AK15" s="344"/>
      <c r="AL15" s="344"/>
      <c r="AM15" s="345"/>
      <c r="AN15" s="67"/>
      <c r="AO15" s="386"/>
      <c r="AP15" s="387"/>
      <c r="AQ15" s="387"/>
      <c r="AR15" s="387"/>
      <c r="AS15" s="387"/>
      <c r="AT15" s="388"/>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372"/>
      <c r="C16" s="372"/>
      <c r="D16" s="373"/>
      <c r="E16" s="365"/>
      <c r="F16" s="366"/>
      <c r="G16" s="366"/>
      <c r="H16" s="366"/>
      <c r="I16" s="366"/>
      <c r="J16" s="334" t="str">
        <f ca="1">IF(AND('Mapa final'!$J$27="Alta",'Mapa final'!$N$27="Leve"),CONCATENATE("R",'Mapa final'!$A$27),"")</f>
        <v/>
      </c>
      <c r="K16" s="335"/>
      <c r="L16" s="335" t="str">
        <f ca="1">IF(AND('Mapa final'!$J$33="Alta",'Mapa final'!$N$33="Leve"),CONCATENATE("R",'Mapa final'!$A$33),"")</f>
        <v/>
      </c>
      <c r="M16" s="335"/>
      <c r="N16" s="335" t="str">
        <f ca="1">IF(AND('Mapa final'!$J$39="Alta",'Mapa final'!$N$39="Leve"),CONCATENATE("R",'Mapa final'!$A$39),"")</f>
        <v/>
      </c>
      <c r="O16" s="336"/>
      <c r="P16" s="334" t="str">
        <f ca="1">IF(AND('Mapa final'!$J$27="Alta",'Mapa final'!$N$27="Menor"),CONCATENATE("R",'Mapa final'!$A$27),"")</f>
        <v/>
      </c>
      <c r="Q16" s="335"/>
      <c r="R16" s="335" t="str">
        <f ca="1">IF(AND('Mapa final'!$J$33="Alta",'Mapa final'!$N$33="Menor"),CONCATENATE("R",'Mapa final'!$A$33),"")</f>
        <v/>
      </c>
      <c r="S16" s="335"/>
      <c r="T16" s="335" t="str">
        <f ca="1">IF(AND('Mapa final'!$J$39="Alta",'Mapa final'!$N$39="Menor"),CONCATENATE("R",'Mapa final'!$A$39),"")</f>
        <v/>
      </c>
      <c r="U16" s="336"/>
      <c r="V16" s="352" t="str">
        <f ca="1">IF(AND('Mapa final'!$J$27="Alta",'Mapa final'!$N$27="Moderado"),CONCATENATE("R",'Mapa final'!$A$27),"")</f>
        <v/>
      </c>
      <c r="W16" s="353"/>
      <c r="X16" s="353" t="str">
        <f ca="1">IF(AND('Mapa final'!$J$33="Alta",'Mapa final'!$N$33="Moderado"),CONCATENATE("R",'Mapa final'!$A$33),"")</f>
        <v/>
      </c>
      <c r="Y16" s="353"/>
      <c r="Z16" s="353" t="str">
        <f ca="1">IF(AND('Mapa final'!$J$39="Alta",'Mapa final'!$N$39="Moderado"),CONCATENATE("R",'Mapa final'!$A$39),"")</f>
        <v/>
      </c>
      <c r="AA16" s="354"/>
      <c r="AB16" s="352" t="str">
        <f ca="1">IF(AND('Mapa final'!$J$27="Alta",'Mapa final'!$N$27="Mayor"),CONCATENATE("R",'Mapa final'!$A$27),"")</f>
        <v/>
      </c>
      <c r="AC16" s="353"/>
      <c r="AD16" s="353" t="str">
        <f ca="1">IF(AND('Mapa final'!$J$33="Alta",'Mapa final'!$N$33="Mayor"),CONCATENATE("R",'Mapa final'!$A$33),"")</f>
        <v/>
      </c>
      <c r="AE16" s="353"/>
      <c r="AF16" s="353" t="str">
        <f ca="1">IF(AND('Mapa final'!$J$39="Alta",'Mapa final'!$N$39="Mayor"),CONCATENATE("R",'Mapa final'!$A$39),"")</f>
        <v/>
      </c>
      <c r="AG16" s="354"/>
      <c r="AH16" s="343" t="str">
        <f ca="1">IF(AND('Mapa final'!$J$27="Alta",'Mapa final'!$N$27="Catastrófico"),CONCATENATE("R",'Mapa final'!$A$27),"")</f>
        <v/>
      </c>
      <c r="AI16" s="344"/>
      <c r="AJ16" s="344" t="str">
        <f ca="1">IF(AND('Mapa final'!$J$33="Alta",'Mapa final'!$N$33="Catastrófico"),CONCATENATE("R",'Mapa final'!$A$33),"")</f>
        <v/>
      </c>
      <c r="AK16" s="344"/>
      <c r="AL16" s="344" t="str">
        <f ca="1">IF(AND('Mapa final'!$J$39="Alta",'Mapa final'!$N$39="Catastrófico"),CONCATENATE("R",'Mapa final'!$A$39),"")</f>
        <v/>
      </c>
      <c r="AM16" s="345"/>
      <c r="AN16" s="67"/>
      <c r="AO16" s="386"/>
      <c r="AP16" s="387"/>
      <c r="AQ16" s="387"/>
      <c r="AR16" s="387"/>
      <c r="AS16" s="387"/>
      <c r="AT16" s="388"/>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372"/>
      <c r="C17" s="372"/>
      <c r="D17" s="373"/>
      <c r="E17" s="365"/>
      <c r="F17" s="366"/>
      <c r="G17" s="366"/>
      <c r="H17" s="366"/>
      <c r="I17" s="366"/>
      <c r="J17" s="334"/>
      <c r="K17" s="335"/>
      <c r="L17" s="335"/>
      <c r="M17" s="335"/>
      <c r="N17" s="335"/>
      <c r="O17" s="336"/>
      <c r="P17" s="334"/>
      <c r="Q17" s="335"/>
      <c r="R17" s="335"/>
      <c r="S17" s="335"/>
      <c r="T17" s="335"/>
      <c r="U17" s="336"/>
      <c r="V17" s="352"/>
      <c r="W17" s="353"/>
      <c r="X17" s="353"/>
      <c r="Y17" s="353"/>
      <c r="Z17" s="353"/>
      <c r="AA17" s="354"/>
      <c r="AB17" s="352"/>
      <c r="AC17" s="353"/>
      <c r="AD17" s="353"/>
      <c r="AE17" s="353"/>
      <c r="AF17" s="353"/>
      <c r="AG17" s="354"/>
      <c r="AH17" s="343"/>
      <c r="AI17" s="344"/>
      <c r="AJ17" s="344"/>
      <c r="AK17" s="344"/>
      <c r="AL17" s="344"/>
      <c r="AM17" s="345"/>
      <c r="AN17" s="67"/>
      <c r="AO17" s="386"/>
      <c r="AP17" s="387"/>
      <c r="AQ17" s="387"/>
      <c r="AR17" s="387"/>
      <c r="AS17" s="387"/>
      <c r="AT17" s="388"/>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372"/>
      <c r="C18" s="372"/>
      <c r="D18" s="373"/>
      <c r="E18" s="365"/>
      <c r="F18" s="366"/>
      <c r="G18" s="366"/>
      <c r="H18" s="366"/>
      <c r="I18" s="366"/>
      <c r="J18" s="334" t="str">
        <f ca="1">IF(AND('Mapa final'!$J$45="Alta",'Mapa final'!$N$45="Leve"),CONCATENATE("R",'Mapa final'!$A$45),"")</f>
        <v/>
      </c>
      <c r="K18" s="335"/>
      <c r="L18" s="335" t="str">
        <f ca="1">IF(AND('Mapa final'!$J$51="Alta",'Mapa final'!$N$51="Leve"),CONCATENATE("R",'Mapa final'!$A$51),"")</f>
        <v/>
      </c>
      <c r="M18" s="335"/>
      <c r="N18" s="335" t="str">
        <f ca="1">IF(AND('Mapa final'!$J$57="Alta",'Mapa final'!$N$57="Leve"),CONCATENATE("R",'Mapa final'!$A$57),"")</f>
        <v/>
      </c>
      <c r="O18" s="336"/>
      <c r="P18" s="334" t="str">
        <f ca="1">IF(AND('Mapa final'!$J$45="Alta",'Mapa final'!$N$45="Menor"),CONCATENATE("R",'Mapa final'!$A$45),"")</f>
        <v/>
      </c>
      <c r="Q18" s="335"/>
      <c r="R18" s="335" t="str">
        <f ca="1">IF(AND('Mapa final'!$J$51="Alta",'Mapa final'!$N$51="Menor"),CONCATENATE("R",'Mapa final'!$A$51),"")</f>
        <v/>
      </c>
      <c r="S18" s="335"/>
      <c r="T18" s="335" t="str">
        <f ca="1">IF(AND('Mapa final'!$J$57="Alta",'Mapa final'!$N$57="Menor"),CONCATENATE("R",'Mapa final'!$A$57),"")</f>
        <v/>
      </c>
      <c r="U18" s="336"/>
      <c r="V18" s="352" t="str">
        <f ca="1">IF(AND('Mapa final'!$J$45="Alta",'Mapa final'!$N$45="Moderado"),CONCATENATE("R",'Mapa final'!$A$45),"")</f>
        <v/>
      </c>
      <c r="W18" s="353"/>
      <c r="X18" s="353" t="str">
        <f ca="1">IF(AND('Mapa final'!$J$51="Alta",'Mapa final'!$N$51="Moderado"),CONCATENATE("R",'Mapa final'!$A$51),"")</f>
        <v/>
      </c>
      <c r="Y18" s="353"/>
      <c r="Z18" s="353" t="str">
        <f ca="1">IF(AND('Mapa final'!$J$57="Alta",'Mapa final'!$N$57="Moderado"),CONCATENATE("R",'Mapa final'!$A$57),"")</f>
        <v/>
      </c>
      <c r="AA18" s="354"/>
      <c r="AB18" s="352" t="str">
        <f ca="1">IF(AND('Mapa final'!$J$45="Alta",'Mapa final'!$N$45="Mayor"),CONCATENATE("R",'Mapa final'!$A$45),"")</f>
        <v/>
      </c>
      <c r="AC18" s="353"/>
      <c r="AD18" s="353" t="str">
        <f ca="1">IF(AND('Mapa final'!$J$51="Alta",'Mapa final'!$N$51="Mayor"),CONCATENATE("R",'Mapa final'!$A$51),"")</f>
        <v/>
      </c>
      <c r="AE18" s="353"/>
      <c r="AF18" s="353" t="str">
        <f ca="1">IF(AND('Mapa final'!$J$57="Alta",'Mapa final'!$N$57="Mayor"),CONCATENATE("R",'Mapa final'!$A$57),"")</f>
        <v/>
      </c>
      <c r="AG18" s="354"/>
      <c r="AH18" s="343" t="str">
        <f ca="1">IF(AND('Mapa final'!$J$45="Alta",'Mapa final'!$N$45="Catastrófico"),CONCATENATE("R",'Mapa final'!$A$45),"")</f>
        <v/>
      </c>
      <c r="AI18" s="344"/>
      <c r="AJ18" s="344" t="str">
        <f ca="1">IF(AND('Mapa final'!$J$51="Alta",'Mapa final'!$N$51="Catastrófico"),CONCATENATE("R",'Mapa final'!$A$51),"")</f>
        <v/>
      </c>
      <c r="AK18" s="344"/>
      <c r="AL18" s="344" t="str">
        <f ca="1">IF(AND('Mapa final'!$J$57="Alta",'Mapa final'!$N$57="Catastrófico"),CONCATENATE("R",'Mapa final'!$A$57),"")</f>
        <v/>
      </c>
      <c r="AM18" s="345"/>
      <c r="AN18" s="67"/>
      <c r="AO18" s="386"/>
      <c r="AP18" s="387"/>
      <c r="AQ18" s="387"/>
      <c r="AR18" s="387"/>
      <c r="AS18" s="387"/>
      <c r="AT18" s="388"/>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372"/>
      <c r="C19" s="372"/>
      <c r="D19" s="373"/>
      <c r="E19" s="365"/>
      <c r="F19" s="366"/>
      <c r="G19" s="366"/>
      <c r="H19" s="366"/>
      <c r="I19" s="366"/>
      <c r="J19" s="334"/>
      <c r="K19" s="335"/>
      <c r="L19" s="335"/>
      <c r="M19" s="335"/>
      <c r="N19" s="335"/>
      <c r="O19" s="336"/>
      <c r="P19" s="334"/>
      <c r="Q19" s="335"/>
      <c r="R19" s="335"/>
      <c r="S19" s="335"/>
      <c r="T19" s="335"/>
      <c r="U19" s="336"/>
      <c r="V19" s="352"/>
      <c r="W19" s="353"/>
      <c r="X19" s="353"/>
      <c r="Y19" s="353"/>
      <c r="Z19" s="353"/>
      <c r="AA19" s="354"/>
      <c r="AB19" s="352"/>
      <c r="AC19" s="353"/>
      <c r="AD19" s="353"/>
      <c r="AE19" s="353"/>
      <c r="AF19" s="353"/>
      <c r="AG19" s="354"/>
      <c r="AH19" s="343"/>
      <c r="AI19" s="344"/>
      <c r="AJ19" s="344"/>
      <c r="AK19" s="344"/>
      <c r="AL19" s="344"/>
      <c r="AM19" s="345"/>
      <c r="AN19" s="67"/>
      <c r="AO19" s="386"/>
      <c r="AP19" s="387"/>
      <c r="AQ19" s="387"/>
      <c r="AR19" s="387"/>
      <c r="AS19" s="387"/>
      <c r="AT19" s="388"/>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372"/>
      <c r="C20" s="372"/>
      <c r="D20" s="373"/>
      <c r="E20" s="365"/>
      <c r="F20" s="366"/>
      <c r="G20" s="366"/>
      <c r="H20" s="366"/>
      <c r="I20" s="366"/>
      <c r="J20" s="334" t="str">
        <f ca="1">IF(AND('Mapa final'!$J$63="Alta",'Mapa final'!$N$63="Leve"),CONCATENATE("R",'Mapa final'!$A$63),"")</f>
        <v/>
      </c>
      <c r="K20" s="335"/>
      <c r="L20" s="335" t="str">
        <f>IF(AND('Mapa final'!$J$69="Alta",'Mapa final'!$N$69="Leve"),CONCATENATE("R",'Mapa final'!$A$69),"")</f>
        <v/>
      </c>
      <c r="M20" s="335"/>
      <c r="N20" s="335" t="str">
        <f>IF(AND('Mapa final'!$J$75="Alta",'Mapa final'!$N$75="Leve"),CONCATENATE("R",'Mapa final'!$A$75),"")</f>
        <v/>
      </c>
      <c r="O20" s="336"/>
      <c r="P20" s="334" t="str">
        <f ca="1">IF(AND('Mapa final'!$J$63="Alta",'Mapa final'!$N$63="Menor"),CONCATENATE("R",'Mapa final'!$A$63),"")</f>
        <v/>
      </c>
      <c r="Q20" s="335"/>
      <c r="R20" s="335" t="str">
        <f>IF(AND('Mapa final'!$J$69="Alta",'Mapa final'!$N$69="Menor"),CONCATENATE("R",'Mapa final'!$A$69),"")</f>
        <v/>
      </c>
      <c r="S20" s="335"/>
      <c r="T20" s="335" t="str">
        <f>IF(AND('Mapa final'!$J$75="Alta",'Mapa final'!$N$75="Menor"),CONCATENATE("R",'Mapa final'!$A$75),"")</f>
        <v/>
      </c>
      <c r="U20" s="336"/>
      <c r="V20" s="352" t="str">
        <f ca="1">IF(AND('Mapa final'!$J$63="Alta",'Mapa final'!$N$63="Moderado"),CONCATENATE("R",'Mapa final'!$A$63),"")</f>
        <v/>
      </c>
      <c r="W20" s="353"/>
      <c r="X20" s="353" t="str">
        <f>IF(AND('Mapa final'!$J$69="Alta",'Mapa final'!$N$69="Moderado"),CONCATENATE("R",'Mapa final'!$A$69),"")</f>
        <v/>
      </c>
      <c r="Y20" s="353"/>
      <c r="Z20" s="353" t="str">
        <f>IF(AND('Mapa final'!$J$75="Alta",'Mapa final'!$N$75="Moderado"),CONCATENATE("R",'Mapa final'!$A$75),"")</f>
        <v/>
      </c>
      <c r="AA20" s="354"/>
      <c r="AB20" s="352" t="str">
        <f ca="1">IF(AND('Mapa final'!$J$63="Alta",'Mapa final'!$N$63="Mayor"),CONCATENATE("R",'Mapa final'!$A$63),"")</f>
        <v/>
      </c>
      <c r="AC20" s="353"/>
      <c r="AD20" s="353" t="str">
        <f>IF(AND('Mapa final'!$J$69="Alta",'Mapa final'!$N$69="Mayor"),CONCATENATE("R",'Mapa final'!$A$69),"")</f>
        <v/>
      </c>
      <c r="AE20" s="353"/>
      <c r="AF20" s="353" t="str">
        <f>IF(AND('Mapa final'!$J$75="Alta",'Mapa final'!$N$75="Mayor"),CONCATENATE("R",'Mapa final'!$A$75),"")</f>
        <v/>
      </c>
      <c r="AG20" s="354"/>
      <c r="AH20" s="343" t="str">
        <f ca="1">IF(AND('Mapa final'!$J$63="Alta",'Mapa final'!$N$63="Catastrófico"),CONCATENATE("R",'Mapa final'!$A$63),"")</f>
        <v/>
      </c>
      <c r="AI20" s="344"/>
      <c r="AJ20" s="344" t="str">
        <f>IF(AND('Mapa final'!$J$69="Alta",'Mapa final'!$N$69="Catastrófico"),CONCATENATE("R",'Mapa final'!$A$69),"")</f>
        <v/>
      </c>
      <c r="AK20" s="344"/>
      <c r="AL20" s="344" t="str">
        <f>IF(AND('Mapa final'!$J$75="Alta",'Mapa final'!$N$75="Catastrófico"),CONCATENATE("R",'Mapa final'!$A$75),"")</f>
        <v/>
      </c>
      <c r="AM20" s="345"/>
      <c r="AN20" s="67"/>
      <c r="AO20" s="386"/>
      <c r="AP20" s="387"/>
      <c r="AQ20" s="387"/>
      <c r="AR20" s="387"/>
      <c r="AS20" s="387"/>
      <c r="AT20" s="388"/>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372"/>
      <c r="C21" s="372"/>
      <c r="D21" s="373"/>
      <c r="E21" s="368"/>
      <c r="F21" s="369"/>
      <c r="G21" s="369"/>
      <c r="H21" s="369"/>
      <c r="I21" s="369"/>
      <c r="J21" s="337"/>
      <c r="K21" s="338"/>
      <c r="L21" s="338"/>
      <c r="M21" s="338"/>
      <c r="N21" s="338"/>
      <c r="O21" s="339"/>
      <c r="P21" s="337"/>
      <c r="Q21" s="338"/>
      <c r="R21" s="338"/>
      <c r="S21" s="338"/>
      <c r="T21" s="338"/>
      <c r="U21" s="339"/>
      <c r="V21" s="355"/>
      <c r="W21" s="356"/>
      <c r="X21" s="356"/>
      <c r="Y21" s="356"/>
      <c r="Z21" s="356"/>
      <c r="AA21" s="357"/>
      <c r="AB21" s="355"/>
      <c r="AC21" s="356"/>
      <c r="AD21" s="356"/>
      <c r="AE21" s="356"/>
      <c r="AF21" s="356"/>
      <c r="AG21" s="357"/>
      <c r="AH21" s="346"/>
      <c r="AI21" s="347"/>
      <c r="AJ21" s="347"/>
      <c r="AK21" s="347"/>
      <c r="AL21" s="347"/>
      <c r="AM21" s="348"/>
      <c r="AN21" s="67"/>
      <c r="AO21" s="389"/>
      <c r="AP21" s="390"/>
      <c r="AQ21" s="390"/>
      <c r="AR21" s="390"/>
      <c r="AS21" s="390"/>
      <c r="AT21" s="391"/>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372"/>
      <c r="C22" s="372"/>
      <c r="D22" s="373"/>
      <c r="E22" s="362" t="s">
        <v>111</v>
      </c>
      <c r="F22" s="363"/>
      <c r="G22" s="363"/>
      <c r="H22" s="363"/>
      <c r="I22" s="364"/>
      <c r="J22" s="340" t="str">
        <f ca="1">IF(AND('Mapa final'!$J$10="Media",'Mapa final'!$N$10="Leve"),CONCATENATE("R",'Mapa final'!$A$10),"")</f>
        <v/>
      </c>
      <c r="K22" s="341"/>
      <c r="L22" s="341" t="str">
        <f ca="1">IF(AND('Mapa final'!$J$15="Media",'Mapa final'!$N$15="Leve"),CONCATENATE("R",'Mapa final'!$A$15),"")</f>
        <v/>
      </c>
      <c r="M22" s="341"/>
      <c r="N22" s="341" t="str">
        <f ca="1">IF(AND('Mapa final'!$J$21="Media",'Mapa final'!$N$21="Leve"),CONCATENATE("R",'Mapa final'!$A$21),"")</f>
        <v/>
      </c>
      <c r="O22" s="342"/>
      <c r="P22" s="340" t="str">
        <f ca="1">IF(AND('Mapa final'!$J$10="Media",'Mapa final'!$N$10="Menor"),CONCATENATE("R",'Mapa final'!$A$10),"")</f>
        <v/>
      </c>
      <c r="Q22" s="341"/>
      <c r="R22" s="341" t="str">
        <f ca="1">IF(AND('Mapa final'!$J$15="Media",'Mapa final'!$N$15="Menor"),CONCATENATE("R",'Mapa final'!$A$15),"")</f>
        <v/>
      </c>
      <c r="S22" s="341"/>
      <c r="T22" s="341" t="str">
        <f ca="1">IF(AND('Mapa final'!$J$21="Media",'Mapa final'!$N$21="Menor"),CONCATENATE("R",'Mapa final'!$A$21),"")</f>
        <v/>
      </c>
      <c r="U22" s="342"/>
      <c r="V22" s="340" t="str">
        <f ca="1">IF(AND('Mapa final'!$J$10="Media",'Mapa final'!$N$10="Moderado"),CONCATENATE("R",'Mapa final'!$A$10),"")</f>
        <v/>
      </c>
      <c r="W22" s="341"/>
      <c r="X22" s="341" t="str">
        <f ca="1">IF(AND('Mapa final'!$J$15="Media",'Mapa final'!$N$15="Moderado"),CONCATENATE("R",'Mapa final'!$A$15),"")</f>
        <v/>
      </c>
      <c r="Y22" s="341"/>
      <c r="Z22" s="341" t="str">
        <f ca="1">IF(AND('Mapa final'!$J$21="Media",'Mapa final'!$N$21="Moderado"),CONCATENATE("R",'Mapa final'!$A$21),"")</f>
        <v/>
      </c>
      <c r="AA22" s="342"/>
      <c r="AB22" s="358" t="str">
        <f ca="1">IF(AND('Mapa final'!$J$10="Media",'Mapa final'!$N$10="Mayor"),CONCATENATE("R",'Mapa final'!$A$10),"")</f>
        <v/>
      </c>
      <c r="AC22" s="359"/>
      <c r="AD22" s="359" t="str">
        <f ca="1">IF(AND('Mapa final'!$J$15="Media",'Mapa final'!$N$15="Mayor"),CONCATENATE("R",'Mapa final'!$A$15),"")</f>
        <v/>
      </c>
      <c r="AE22" s="359"/>
      <c r="AF22" s="359" t="str">
        <f ca="1">IF(AND('Mapa final'!$J$21="Media",'Mapa final'!$N$21="Mayor"),CONCATENATE("R",'Mapa final'!$A$21),"")</f>
        <v/>
      </c>
      <c r="AG22" s="360"/>
      <c r="AH22" s="349" t="str">
        <f ca="1">IF(AND('Mapa final'!$J$10="Media",'Mapa final'!$N$10="Catastrófico"),CONCATENATE("R",'Mapa final'!$A$10),"")</f>
        <v/>
      </c>
      <c r="AI22" s="350"/>
      <c r="AJ22" s="350" t="str">
        <f ca="1">IF(AND('Mapa final'!$J$15="Media",'Mapa final'!$N$15="Catastrófico"),CONCATENATE("R",'Mapa final'!$A$15),"")</f>
        <v/>
      </c>
      <c r="AK22" s="350"/>
      <c r="AL22" s="350" t="str">
        <f ca="1">IF(AND('Mapa final'!$J$21="Media",'Mapa final'!$N$21="Catastrófico"),CONCATENATE("R",'Mapa final'!$A$21),"")</f>
        <v/>
      </c>
      <c r="AM22" s="351"/>
      <c r="AN22" s="67"/>
      <c r="AO22" s="392" t="s">
        <v>79</v>
      </c>
      <c r="AP22" s="393"/>
      <c r="AQ22" s="393"/>
      <c r="AR22" s="393"/>
      <c r="AS22" s="393"/>
      <c r="AT22" s="394"/>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372"/>
      <c r="C23" s="372"/>
      <c r="D23" s="373"/>
      <c r="E23" s="365"/>
      <c r="F23" s="366"/>
      <c r="G23" s="366"/>
      <c r="H23" s="366"/>
      <c r="I23" s="367"/>
      <c r="J23" s="334"/>
      <c r="K23" s="335"/>
      <c r="L23" s="335"/>
      <c r="M23" s="335"/>
      <c r="N23" s="335"/>
      <c r="O23" s="336"/>
      <c r="P23" s="334"/>
      <c r="Q23" s="335"/>
      <c r="R23" s="335"/>
      <c r="S23" s="335"/>
      <c r="T23" s="335"/>
      <c r="U23" s="336"/>
      <c r="V23" s="334"/>
      <c r="W23" s="335"/>
      <c r="X23" s="335"/>
      <c r="Y23" s="335"/>
      <c r="Z23" s="335"/>
      <c r="AA23" s="336"/>
      <c r="AB23" s="352"/>
      <c r="AC23" s="353"/>
      <c r="AD23" s="353"/>
      <c r="AE23" s="353"/>
      <c r="AF23" s="353"/>
      <c r="AG23" s="354"/>
      <c r="AH23" s="343"/>
      <c r="AI23" s="344"/>
      <c r="AJ23" s="344"/>
      <c r="AK23" s="344"/>
      <c r="AL23" s="344"/>
      <c r="AM23" s="345"/>
      <c r="AN23" s="67"/>
      <c r="AO23" s="395"/>
      <c r="AP23" s="396"/>
      <c r="AQ23" s="396"/>
      <c r="AR23" s="396"/>
      <c r="AS23" s="396"/>
      <c r="AT23" s="39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372"/>
      <c r="C24" s="372"/>
      <c r="D24" s="373"/>
      <c r="E24" s="365"/>
      <c r="F24" s="366"/>
      <c r="G24" s="366"/>
      <c r="H24" s="366"/>
      <c r="I24" s="367"/>
      <c r="J24" s="334" t="str">
        <f ca="1">IF(AND('Mapa final'!$J$27="Media",'Mapa final'!$N$27="Leve"),CONCATENATE("R",'Mapa final'!$A$27),"")</f>
        <v/>
      </c>
      <c r="K24" s="335"/>
      <c r="L24" s="335" t="str">
        <f ca="1">IF(AND('Mapa final'!$J$33="Media",'Mapa final'!$N$33="Leve"),CONCATENATE("R",'Mapa final'!$A$33),"")</f>
        <v/>
      </c>
      <c r="M24" s="335"/>
      <c r="N24" s="335" t="str">
        <f ca="1">IF(AND('Mapa final'!$J$39="Media",'Mapa final'!$N$39="Leve"),CONCATENATE("R",'Mapa final'!$A$39),"")</f>
        <v/>
      </c>
      <c r="O24" s="336"/>
      <c r="P24" s="334" t="str">
        <f ca="1">IF(AND('Mapa final'!$J$27="Media",'Mapa final'!$N$27="Menor"),CONCATENATE("R",'Mapa final'!$A$27),"")</f>
        <v/>
      </c>
      <c r="Q24" s="335"/>
      <c r="R24" s="335" t="str">
        <f ca="1">IF(AND('Mapa final'!$J$33="Media",'Mapa final'!$N$33="Menor"),CONCATENATE("R",'Mapa final'!$A$33),"")</f>
        <v/>
      </c>
      <c r="S24" s="335"/>
      <c r="T24" s="335" t="str">
        <f ca="1">IF(AND('Mapa final'!$J$39="Media",'Mapa final'!$N$39="Menor"),CONCATENATE("R",'Mapa final'!$A$39),"")</f>
        <v/>
      </c>
      <c r="U24" s="336"/>
      <c r="V24" s="334" t="str">
        <f ca="1">IF(AND('Mapa final'!$J$27="Media",'Mapa final'!$N$27="Moderado"),CONCATENATE("R",'Mapa final'!$A$27),"")</f>
        <v/>
      </c>
      <c r="W24" s="335"/>
      <c r="X24" s="335" t="str">
        <f ca="1">IF(AND('Mapa final'!$J$33="Media",'Mapa final'!$N$33="Moderado"),CONCATENATE("R",'Mapa final'!$A$33),"")</f>
        <v/>
      </c>
      <c r="Y24" s="335"/>
      <c r="Z24" s="335" t="str">
        <f ca="1">IF(AND('Mapa final'!$J$39="Media",'Mapa final'!$N$39="Moderado"),CONCATENATE("R",'Mapa final'!$A$39),"")</f>
        <v/>
      </c>
      <c r="AA24" s="336"/>
      <c r="AB24" s="352" t="str">
        <f ca="1">IF(AND('Mapa final'!$J$27="Media",'Mapa final'!$N$27="Mayor"),CONCATENATE("R",'Mapa final'!$A$27),"")</f>
        <v/>
      </c>
      <c r="AC24" s="353"/>
      <c r="AD24" s="353" t="str">
        <f ca="1">IF(AND('Mapa final'!$J$33="Media",'Mapa final'!$N$33="Mayor"),CONCATENATE("R",'Mapa final'!$A$33),"")</f>
        <v/>
      </c>
      <c r="AE24" s="353"/>
      <c r="AF24" s="353" t="str">
        <f ca="1">IF(AND('Mapa final'!$J$39="Media",'Mapa final'!$N$39="Mayor"),CONCATENATE("R",'Mapa final'!$A$39),"")</f>
        <v/>
      </c>
      <c r="AG24" s="354"/>
      <c r="AH24" s="343" t="str">
        <f ca="1">IF(AND('Mapa final'!$J$27="Media",'Mapa final'!$N$27="Catastrófico"),CONCATENATE("R",'Mapa final'!$A$27),"")</f>
        <v/>
      </c>
      <c r="AI24" s="344"/>
      <c r="AJ24" s="344" t="str">
        <f ca="1">IF(AND('Mapa final'!$J$33="Media",'Mapa final'!$N$33="Catastrófico"),CONCATENATE("R",'Mapa final'!$A$33),"")</f>
        <v/>
      </c>
      <c r="AK24" s="344"/>
      <c r="AL24" s="344" t="str">
        <f ca="1">IF(AND('Mapa final'!$J$39="Media",'Mapa final'!$N$39="Catastrófico"),CONCATENATE("R",'Mapa final'!$A$39),"")</f>
        <v/>
      </c>
      <c r="AM24" s="345"/>
      <c r="AN24" s="67"/>
      <c r="AO24" s="395"/>
      <c r="AP24" s="396"/>
      <c r="AQ24" s="396"/>
      <c r="AR24" s="396"/>
      <c r="AS24" s="396"/>
      <c r="AT24" s="39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372"/>
      <c r="C25" s="372"/>
      <c r="D25" s="373"/>
      <c r="E25" s="365"/>
      <c r="F25" s="366"/>
      <c r="G25" s="366"/>
      <c r="H25" s="366"/>
      <c r="I25" s="367"/>
      <c r="J25" s="334"/>
      <c r="K25" s="335"/>
      <c r="L25" s="335"/>
      <c r="M25" s="335"/>
      <c r="N25" s="335"/>
      <c r="O25" s="336"/>
      <c r="P25" s="334"/>
      <c r="Q25" s="335"/>
      <c r="R25" s="335"/>
      <c r="S25" s="335"/>
      <c r="T25" s="335"/>
      <c r="U25" s="336"/>
      <c r="V25" s="334"/>
      <c r="W25" s="335"/>
      <c r="X25" s="335"/>
      <c r="Y25" s="335"/>
      <c r="Z25" s="335"/>
      <c r="AA25" s="336"/>
      <c r="AB25" s="352"/>
      <c r="AC25" s="353"/>
      <c r="AD25" s="353"/>
      <c r="AE25" s="353"/>
      <c r="AF25" s="353"/>
      <c r="AG25" s="354"/>
      <c r="AH25" s="343"/>
      <c r="AI25" s="344"/>
      <c r="AJ25" s="344"/>
      <c r="AK25" s="344"/>
      <c r="AL25" s="344"/>
      <c r="AM25" s="345"/>
      <c r="AN25" s="67"/>
      <c r="AO25" s="395"/>
      <c r="AP25" s="396"/>
      <c r="AQ25" s="396"/>
      <c r="AR25" s="396"/>
      <c r="AS25" s="396"/>
      <c r="AT25" s="39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372"/>
      <c r="C26" s="372"/>
      <c r="D26" s="373"/>
      <c r="E26" s="365"/>
      <c r="F26" s="366"/>
      <c r="G26" s="366"/>
      <c r="H26" s="366"/>
      <c r="I26" s="367"/>
      <c r="J26" s="334" t="str">
        <f ca="1">IF(AND('Mapa final'!$J$45="Media",'Mapa final'!$N$45="Leve"),CONCATENATE("R",'Mapa final'!$A$45),"")</f>
        <v/>
      </c>
      <c r="K26" s="335"/>
      <c r="L26" s="335" t="str">
        <f ca="1">IF(AND('Mapa final'!$J$51="Media",'Mapa final'!$N$51="Leve"),CONCATENATE("R",'Mapa final'!$A$51),"")</f>
        <v/>
      </c>
      <c r="M26" s="335"/>
      <c r="N26" s="335" t="str">
        <f ca="1">IF(AND('Mapa final'!$J$57="Media",'Mapa final'!$N$57="Leve"),CONCATENATE("R",'Mapa final'!$A$57),"")</f>
        <v/>
      </c>
      <c r="O26" s="336"/>
      <c r="P26" s="334" t="str">
        <f ca="1">IF(AND('Mapa final'!$J$45="Media",'Mapa final'!$N$45="Menor"),CONCATENATE("R",'Mapa final'!$A$45),"")</f>
        <v/>
      </c>
      <c r="Q26" s="335"/>
      <c r="R26" s="335" t="str">
        <f ca="1">IF(AND('Mapa final'!$J$51="Media",'Mapa final'!$N$51="Menor"),CONCATENATE("R",'Mapa final'!$A$51),"")</f>
        <v/>
      </c>
      <c r="S26" s="335"/>
      <c r="T26" s="335" t="str">
        <f ca="1">IF(AND('Mapa final'!$J$57="Media",'Mapa final'!$N$57="Menor"),CONCATENATE("R",'Mapa final'!$A$57),"")</f>
        <v/>
      </c>
      <c r="U26" s="336"/>
      <c r="V26" s="334" t="str">
        <f ca="1">IF(AND('Mapa final'!$J$45="Media",'Mapa final'!$N$45="Moderado"),CONCATENATE("R",'Mapa final'!$A$45),"")</f>
        <v/>
      </c>
      <c r="W26" s="335"/>
      <c r="X26" s="335" t="str">
        <f ca="1">IF(AND('Mapa final'!$J$51="Media",'Mapa final'!$N$51="Moderado"),CONCATENATE("R",'Mapa final'!$A$51),"")</f>
        <v/>
      </c>
      <c r="Y26" s="335"/>
      <c r="Z26" s="335" t="str">
        <f ca="1">IF(AND('Mapa final'!$J$57="Media",'Mapa final'!$N$57="Moderado"),CONCATENATE("R",'Mapa final'!$A$57),"")</f>
        <v/>
      </c>
      <c r="AA26" s="336"/>
      <c r="AB26" s="352" t="str">
        <f ca="1">IF(AND('Mapa final'!$J$45="Media",'Mapa final'!$N$45="Mayor"),CONCATENATE("R",'Mapa final'!$A$45),"")</f>
        <v/>
      </c>
      <c r="AC26" s="353"/>
      <c r="AD26" s="353" t="str">
        <f ca="1">IF(AND('Mapa final'!$J$51="Media",'Mapa final'!$N$51="Mayor"),CONCATENATE("R",'Mapa final'!$A$51),"")</f>
        <v/>
      </c>
      <c r="AE26" s="353"/>
      <c r="AF26" s="353" t="str">
        <f ca="1">IF(AND('Mapa final'!$J$57="Media",'Mapa final'!$N$57="Mayor"),CONCATENATE("R",'Mapa final'!$A$57),"")</f>
        <v/>
      </c>
      <c r="AG26" s="354"/>
      <c r="AH26" s="343" t="str">
        <f ca="1">IF(AND('Mapa final'!$J$45="Media",'Mapa final'!$N$45="Catastrófico"),CONCATENATE("R",'Mapa final'!$A$45),"")</f>
        <v/>
      </c>
      <c r="AI26" s="344"/>
      <c r="AJ26" s="344" t="str">
        <f ca="1">IF(AND('Mapa final'!$J$51="Media",'Mapa final'!$N$51="Catastrófico"),CONCATENATE("R",'Mapa final'!$A$51),"")</f>
        <v/>
      </c>
      <c r="AK26" s="344"/>
      <c r="AL26" s="344" t="str">
        <f ca="1">IF(AND('Mapa final'!$J$57="Media",'Mapa final'!$N$57="Catastrófico"),CONCATENATE("R",'Mapa final'!$A$57),"")</f>
        <v/>
      </c>
      <c r="AM26" s="345"/>
      <c r="AN26" s="67"/>
      <c r="AO26" s="395"/>
      <c r="AP26" s="396"/>
      <c r="AQ26" s="396"/>
      <c r="AR26" s="396"/>
      <c r="AS26" s="396"/>
      <c r="AT26" s="39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372"/>
      <c r="C27" s="372"/>
      <c r="D27" s="373"/>
      <c r="E27" s="365"/>
      <c r="F27" s="366"/>
      <c r="G27" s="366"/>
      <c r="H27" s="366"/>
      <c r="I27" s="367"/>
      <c r="J27" s="334"/>
      <c r="K27" s="335"/>
      <c r="L27" s="335"/>
      <c r="M27" s="335"/>
      <c r="N27" s="335"/>
      <c r="O27" s="336"/>
      <c r="P27" s="334"/>
      <c r="Q27" s="335"/>
      <c r="R27" s="335"/>
      <c r="S27" s="335"/>
      <c r="T27" s="335"/>
      <c r="U27" s="336"/>
      <c r="V27" s="334"/>
      <c r="W27" s="335"/>
      <c r="X27" s="335"/>
      <c r="Y27" s="335"/>
      <c r="Z27" s="335"/>
      <c r="AA27" s="336"/>
      <c r="AB27" s="352"/>
      <c r="AC27" s="353"/>
      <c r="AD27" s="353"/>
      <c r="AE27" s="353"/>
      <c r="AF27" s="353"/>
      <c r="AG27" s="354"/>
      <c r="AH27" s="343"/>
      <c r="AI27" s="344"/>
      <c r="AJ27" s="344"/>
      <c r="AK27" s="344"/>
      <c r="AL27" s="344"/>
      <c r="AM27" s="345"/>
      <c r="AN27" s="67"/>
      <c r="AO27" s="395"/>
      <c r="AP27" s="396"/>
      <c r="AQ27" s="396"/>
      <c r="AR27" s="396"/>
      <c r="AS27" s="396"/>
      <c r="AT27" s="39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372"/>
      <c r="C28" s="372"/>
      <c r="D28" s="373"/>
      <c r="E28" s="365"/>
      <c r="F28" s="366"/>
      <c r="G28" s="366"/>
      <c r="H28" s="366"/>
      <c r="I28" s="367"/>
      <c r="J28" s="334" t="str">
        <f ca="1">IF(AND('Mapa final'!$J$63="Media",'Mapa final'!$N$63="Leve"),CONCATENATE("R",'Mapa final'!$A$63),"")</f>
        <v/>
      </c>
      <c r="K28" s="335"/>
      <c r="L28" s="335" t="str">
        <f>IF(AND('Mapa final'!$J$69="Media",'Mapa final'!$N$69="Leve"),CONCATENATE("R",'Mapa final'!$A$69),"")</f>
        <v/>
      </c>
      <c r="M28" s="335"/>
      <c r="N28" s="335" t="str">
        <f>IF(AND('Mapa final'!$J$75="Media",'Mapa final'!$N$75="Leve"),CONCATENATE("R",'Mapa final'!$A$75),"")</f>
        <v/>
      </c>
      <c r="O28" s="336"/>
      <c r="P28" s="334" t="str">
        <f ca="1">IF(AND('Mapa final'!$J$63="Media",'Mapa final'!$N$63="Menor"),CONCATENATE("R",'Mapa final'!$A$63),"")</f>
        <v/>
      </c>
      <c r="Q28" s="335"/>
      <c r="R28" s="335" t="str">
        <f>IF(AND('Mapa final'!$J$69="Media",'Mapa final'!$N$69="Menor"),CONCATENATE("R",'Mapa final'!$A$69),"")</f>
        <v/>
      </c>
      <c r="S28" s="335"/>
      <c r="T28" s="335" t="str">
        <f>IF(AND('Mapa final'!$J$75="Media",'Mapa final'!$N$75="Menor"),CONCATENATE("R",'Mapa final'!$A$75),"")</f>
        <v/>
      </c>
      <c r="U28" s="336"/>
      <c r="V28" s="334" t="str">
        <f ca="1">IF(AND('Mapa final'!$J$63="Media",'Mapa final'!$N$63="Moderado"),CONCATENATE("R",'Mapa final'!$A$63),"")</f>
        <v/>
      </c>
      <c r="W28" s="335"/>
      <c r="X28" s="335" t="str">
        <f>IF(AND('Mapa final'!$J$69="Media",'Mapa final'!$N$69="Moderado"),CONCATENATE("R",'Mapa final'!$A$69),"")</f>
        <v/>
      </c>
      <c r="Y28" s="335"/>
      <c r="Z28" s="335" t="str">
        <f>IF(AND('Mapa final'!$J$75="Media",'Mapa final'!$N$75="Moderado"),CONCATENATE("R",'Mapa final'!$A$75),"")</f>
        <v/>
      </c>
      <c r="AA28" s="336"/>
      <c r="AB28" s="352" t="str">
        <f ca="1">IF(AND('Mapa final'!$J$63="Media",'Mapa final'!$N$63="Mayor"),CONCATENATE("R",'Mapa final'!$A$63),"")</f>
        <v/>
      </c>
      <c r="AC28" s="353"/>
      <c r="AD28" s="353" t="str">
        <f>IF(AND('Mapa final'!$J$69="Media",'Mapa final'!$N$69="Mayor"),CONCATENATE("R",'Mapa final'!$A$69),"")</f>
        <v/>
      </c>
      <c r="AE28" s="353"/>
      <c r="AF28" s="353" t="str">
        <f>IF(AND('Mapa final'!$J$75="Media",'Mapa final'!$N$75="Mayor"),CONCATENATE("R",'Mapa final'!$A$75),"")</f>
        <v/>
      </c>
      <c r="AG28" s="354"/>
      <c r="AH28" s="343" t="str">
        <f ca="1">IF(AND('Mapa final'!$J$63="Media",'Mapa final'!$N$63="Catastrófico"),CONCATENATE("R",'Mapa final'!$A$63),"")</f>
        <v/>
      </c>
      <c r="AI28" s="344"/>
      <c r="AJ28" s="344" t="str">
        <f>IF(AND('Mapa final'!$J$69="Media",'Mapa final'!$N$69="Catastrófico"),CONCATENATE("R",'Mapa final'!$A$69),"")</f>
        <v/>
      </c>
      <c r="AK28" s="344"/>
      <c r="AL28" s="344" t="str">
        <f>IF(AND('Mapa final'!$J$75="Media",'Mapa final'!$N$75="Catastrófico"),CONCATENATE("R",'Mapa final'!$A$75),"")</f>
        <v/>
      </c>
      <c r="AM28" s="345"/>
      <c r="AN28" s="67"/>
      <c r="AO28" s="395"/>
      <c r="AP28" s="396"/>
      <c r="AQ28" s="396"/>
      <c r="AR28" s="396"/>
      <c r="AS28" s="396"/>
      <c r="AT28" s="39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372"/>
      <c r="C29" s="372"/>
      <c r="D29" s="373"/>
      <c r="E29" s="368"/>
      <c r="F29" s="369"/>
      <c r="G29" s="369"/>
      <c r="H29" s="369"/>
      <c r="I29" s="370"/>
      <c r="J29" s="334"/>
      <c r="K29" s="335"/>
      <c r="L29" s="335"/>
      <c r="M29" s="335"/>
      <c r="N29" s="335"/>
      <c r="O29" s="336"/>
      <c r="P29" s="337"/>
      <c r="Q29" s="338"/>
      <c r="R29" s="338"/>
      <c r="S29" s="338"/>
      <c r="T29" s="338"/>
      <c r="U29" s="339"/>
      <c r="V29" s="337"/>
      <c r="W29" s="338"/>
      <c r="X29" s="338"/>
      <c r="Y29" s="338"/>
      <c r="Z29" s="338"/>
      <c r="AA29" s="339"/>
      <c r="AB29" s="355"/>
      <c r="AC29" s="356"/>
      <c r="AD29" s="356"/>
      <c r="AE29" s="356"/>
      <c r="AF29" s="356"/>
      <c r="AG29" s="357"/>
      <c r="AH29" s="346"/>
      <c r="AI29" s="347"/>
      <c r="AJ29" s="347"/>
      <c r="AK29" s="347"/>
      <c r="AL29" s="347"/>
      <c r="AM29" s="348"/>
      <c r="AN29" s="67"/>
      <c r="AO29" s="398"/>
      <c r="AP29" s="399"/>
      <c r="AQ29" s="399"/>
      <c r="AR29" s="399"/>
      <c r="AS29" s="399"/>
      <c r="AT29" s="40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372"/>
      <c r="C30" s="372"/>
      <c r="D30" s="373"/>
      <c r="E30" s="362" t="s">
        <v>108</v>
      </c>
      <c r="F30" s="363"/>
      <c r="G30" s="363"/>
      <c r="H30" s="363"/>
      <c r="I30" s="363"/>
      <c r="J30" s="331" t="str">
        <f ca="1">IF(AND('Mapa final'!$J$10="Baja",'Mapa final'!$N$10="Leve"),CONCATENATE("R",'Mapa final'!$A$10),"")</f>
        <v/>
      </c>
      <c r="K30" s="332"/>
      <c r="L30" s="332" t="str">
        <f ca="1">IF(AND('Mapa final'!$J$15="Baja",'Mapa final'!$N$15="Leve"),CONCATENATE("R",'Mapa final'!$A$15),"")</f>
        <v/>
      </c>
      <c r="M30" s="332"/>
      <c r="N30" s="332" t="str">
        <f ca="1">IF(AND('Mapa final'!$J$21="Baja",'Mapa final'!$N$21="Leve"),CONCATENATE("R",'Mapa final'!$A$21),"")</f>
        <v/>
      </c>
      <c r="O30" s="333"/>
      <c r="P30" s="341" t="str">
        <f ca="1">IF(AND('Mapa final'!$J$10="Baja",'Mapa final'!$N$10="Menor"),CONCATENATE("R",'Mapa final'!$A$10),"")</f>
        <v/>
      </c>
      <c r="Q30" s="341"/>
      <c r="R30" s="341" t="str">
        <f ca="1">IF(AND('Mapa final'!$J$15="Baja",'Mapa final'!$N$15="Menor"),CONCATENATE("R",'Mapa final'!$A$15),"")</f>
        <v/>
      </c>
      <c r="S30" s="341"/>
      <c r="T30" s="341" t="str">
        <f ca="1">IF(AND('Mapa final'!$J$21="Baja",'Mapa final'!$N$21="Menor"),CONCATENATE("R",'Mapa final'!$A$21),"")</f>
        <v/>
      </c>
      <c r="U30" s="342"/>
      <c r="V30" s="340" t="str">
        <f ca="1">IF(AND('Mapa final'!$J$10="Baja",'Mapa final'!$N$10="Moderado"),CONCATENATE("R",'Mapa final'!$A$10),"")</f>
        <v/>
      </c>
      <c r="W30" s="341"/>
      <c r="X30" s="341" t="str">
        <f ca="1">IF(AND('Mapa final'!$J$15="Baja",'Mapa final'!$N$15="Moderado"),CONCATENATE("R",'Mapa final'!$A$15),"")</f>
        <v/>
      </c>
      <c r="Y30" s="341"/>
      <c r="Z30" s="341" t="str">
        <f ca="1">IF(AND('Mapa final'!$J$21="Baja",'Mapa final'!$N$21="Moderado"),CONCATENATE("R",'Mapa final'!$A$21),"")</f>
        <v/>
      </c>
      <c r="AA30" s="342"/>
      <c r="AB30" s="358" t="str">
        <f ca="1">IF(AND('Mapa final'!$J$10="Baja",'Mapa final'!$N$10="Mayor"),CONCATENATE("R",'Mapa final'!$A$10),"")</f>
        <v/>
      </c>
      <c r="AC30" s="359"/>
      <c r="AD30" s="359" t="str">
        <f ca="1">IF(AND('Mapa final'!$J$15="Baja",'Mapa final'!$N$15="Mayor"),CONCATENATE("R",'Mapa final'!$A$15),"")</f>
        <v/>
      </c>
      <c r="AE30" s="359"/>
      <c r="AF30" s="359" t="str">
        <f ca="1">IF(AND('Mapa final'!$J$21="Baja",'Mapa final'!$N$21="Mayor"),CONCATENATE("R",'Mapa final'!$A$21),"")</f>
        <v/>
      </c>
      <c r="AG30" s="360"/>
      <c r="AH30" s="349" t="str">
        <f ca="1">IF(AND('Mapa final'!$J$10="Baja",'Mapa final'!$N$10="Catastrófico"),CONCATENATE("R",'Mapa final'!$A$10),"")</f>
        <v/>
      </c>
      <c r="AI30" s="350"/>
      <c r="AJ30" s="350" t="str">
        <f ca="1">IF(AND('Mapa final'!$J$15="Baja",'Mapa final'!$N$15="Catastrófico"),CONCATENATE("R",'Mapa final'!$A$15),"")</f>
        <v/>
      </c>
      <c r="AK30" s="350"/>
      <c r="AL30" s="350" t="str">
        <f ca="1">IF(AND('Mapa final'!$J$21="Baja",'Mapa final'!$N$21="Catastrófico"),CONCATENATE("R",'Mapa final'!$A$21),"")</f>
        <v/>
      </c>
      <c r="AM30" s="351"/>
      <c r="AN30" s="67"/>
      <c r="AO30" s="401" t="s">
        <v>80</v>
      </c>
      <c r="AP30" s="402"/>
      <c r="AQ30" s="402"/>
      <c r="AR30" s="402"/>
      <c r="AS30" s="402"/>
      <c r="AT30" s="403"/>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372"/>
      <c r="C31" s="372"/>
      <c r="D31" s="373"/>
      <c r="E31" s="365"/>
      <c r="F31" s="366"/>
      <c r="G31" s="366"/>
      <c r="H31" s="366"/>
      <c r="I31" s="366"/>
      <c r="J31" s="325"/>
      <c r="K31" s="326"/>
      <c r="L31" s="326"/>
      <c r="M31" s="326"/>
      <c r="N31" s="326"/>
      <c r="O31" s="327"/>
      <c r="P31" s="335"/>
      <c r="Q31" s="335"/>
      <c r="R31" s="335"/>
      <c r="S31" s="335"/>
      <c r="T31" s="335"/>
      <c r="U31" s="336"/>
      <c r="V31" s="334"/>
      <c r="W31" s="335"/>
      <c r="X31" s="335"/>
      <c r="Y31" s="335"/>
      <c r="Z31" s="335"/>
      <c r="AA31" s="336"/>
      <c r="AB31" s="352"/>
      <c r="AC31" s="353"/>
      <c r="AD31" s="353"/>
      <c r="AE31" s="353"/>
      <c r="AF31" s="353"/>
      <c r="AG31" s="354"/>
      <c r="AH31" s="343"/>
      <c r="AI31" s="344"/>
      <c r="AJ31" s="344"/>
      <c r="AK31" s="344"/>
      <c r="AL31" s="344"/>
      <c r="AM31" s="345"/>
      <c r="AN31" s="67"/>
      <c r="AO31" s="404"/>
      <c r="AP31" s="405"/>
      <c r="AQ31" s="405"/>
      <c r="AR31" s="405"/>
      <c r="AS31" s="405"/>
      <c r="AT31" s="406"/>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372"/>
      <c r="C32" s="372"/>
      <c r="D32" s="373"/>
      <c r="E32" s="365"/>
      <c r="F32" s="366"/>
      <c r="G32" s="366"/>
      <c r="H32" s="366"/>
      <c r="I32" s="366"/>
      <c r="J32" s="325" t="str">
        <f ca="1">IF(AND('Mapa final'!$J$27="Baja",'Mapa final'!$N$27="Leve"),CONCATENATE("R",'Mapa final'!$A$27),"")</f>
        <v/>
      </c>
      <c r="K32" s="326"/>
      <c r="L32" s="326" t="str">
        <f ca="1">IF(AND('Mapa final'!$J$33="Baja",'Mapa final'!$N$33="Leve"),CONCATENATE("R",'Mapa final'!$A$33),"")</f>
        <v/>
      </c>
      <c r="M32" s="326"/>
      <c r="N32" s="326" t="str">
        <f ca="1">IF(AND('Mapa final'!$J$39="Baja",'Mapa final'!$N$39="Leve"),CONCATENATE("R",'Mapa final'!$A$39),"")</f>
        <v/>
      </c>
      <c r="O32" s="327"/>
      <c r="P32" s="335" t="str">
        <f ca="1">IF(AND('Mapa final'!$J$27="Baja",'Mapa final'!$N$27="Menor"),CONCATENATE("R",'Mapa final'!$A$27),"")</f>
        <v/>
      </c>
      <c r="Q32" s="335"/>
      <c r="R32" s="335" t="str">
        <f ca="1">IF(AND('Mapa final'!$J$33="Baja",'Mapa final'!$N$33="Menor"),CONCATENATE("R",'Mapa final'!$A$33),"")</f>
        <v/>
      </c>
      <c r="S32" s="335"/>
      <c r="T32" s="335" t="str">
        <f ca="1">IF(AND('Mapa final'!$J$39="Baja",'Mapa final'!$N$39="Menor"),CONCATENATE("R",'Mapa final'!$A$39),"")</f>
        <v/>
      </c>
      <c r="U32" s="336"/>
      <c r="V32" s="334" t="str">
        <f ca="1">IF(AND('Mapa final'!$J$27="Baja",'Mapa final'!$N$27="Moderado"),CONCATENATE("R",'Mapa final'!$A$27),"")</f>
        <v/>
      </c>
      <c r="W32" s="335"/>
      <c r="X32" s="335" t="str">
        <f ca="1">IF(AND('Mapa final'!$J$33="Baja",'Mapa final'!$N$33="Moderado"),CONCATENATE("R",'Mapa final'!$A$33),"")</f>
        <v/>
      </c>
      <c r="Y32" s="335"/>
      <c r="Z32" s="335" t="str">
        <f ca="1">IF(AND('Mapa final'!$J$39="Baja",'Mapa final'!$N$39="Moderado"),CONCATENATE("R",'Mapa final'!$A$39),"")</f>
        <v/>
      </c>
      <c r="AA32" s="336"/>
      <c r="AB32" s="352" t="str">
        <f ca="1">IF(AND('Mapa final'!$J$27="Baja",'Mapa final'!$N$27="Mayor"),CONCATENATE("R",'Mapa final'!$A$27),"")</f>
        <v/>
      </c>
      <c r="AC32" s="353"/>
      <c r="AD32" s="353" t="str">
        <f ca="1">IF(AND('Mapa final'!$J$33="Baja",'Mapa final'!$N$33="Mayor"),CONCATENATE("R",'Mapa final'!$A$33),"")</f>
        <v/>
      </c>
      <c r="AE32" s="353"/>
      <c r="AF32" s="353" t="str">
        <f ca="1">IF(AND('Mapa final'!$J$39="Baja",'Mapa final'!$N$39="Mayor"),CONCATENATE("R",'Mapa final'!$A$39),"")</f>
        <v/>
      </c>
      <c r="AG32" s="354"/>
      <c r="AH32" s="343" t="str">
        <f ca="1">IF(AND('Mapa final'!$J$27="Baja",'Mapa final'!$N$27="Catastrófico"),CONCATENATE("R",'Mapa final'!$A$27),"")</f>
        <v/>
      </c>
      <c r="AI32" s="344"/>
      <c r="AJ32" s="344" t="str">
        <f ca="1">IF(AND('Mapa final'!$J$33="Baja",'Mapa final'!$N$33="Catastrófico"),CONCATENATE("R",'Mapa final'!$A$33),"")</f>
        <v/>
      </c>
      <c r="AK32" s="344"/>
      <c r="AL32" s="344" t="str">
        <f ca="1">IF(AND('Mapa final'!$J$39="Baja",'Mapa final'!$N$39="Catastrófico"),CONCATENATE("R",'Mapa final'!$A$39),"")</f>
        <v/>
      </c>
      <c r="AM32" s="345"/>
      <c r="AN32" s="67"/>
      <c r="AO32" s="404"/>
      <c r="AP32" s="405"/>
      <c r="AQ32" s="405"/>
      <c r="AR32" s="405"/>
      <c r="AS32" s="405"/>
      <c r="AT32" s="406"/>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372"/>
      <c r="C33" s="372"/>
      <c r="D33" s="373"/>
      <c r="E33" s="365"/>
      <c r="F33" s="366"/>
      <c r="G33" s="366"/>
      <c r="H33" s="366"/>
      <c r="I33" s="366"/>
      <c r="J33" s="325"/>
      <c r="K33" s="326"/>
      <c r="L33" s="326"/>
      <c r="M33" s="326"/>
      <c r="N33" s="326"/>
      <c r="O33" s="327"/>
      <c r="P33" s="335"/>
      <c r="Q33" s="335"/>
      <c r="R33" s="335"/>
      <c r="S33" s="335"/>
      <c r="T33" s="335"/>
      <c r="U33" s="336"/>
      <c r="V33" s="334"/>
      <c r="W33" s="335"/>
      <c r="X33" s="335"/>
      <c r="Y33" s="335"/>
      <c r="Z33" s="335"/>
      <c r="AA33" s="336"/>
      <c r="AB33" s="352"/>
      <c r="AC33" s="353"/>
      <c r="AD33" s="353"/>
      <c r="AE33" s="353"/>
      <c r="AF33" s="353"/>
      <c r="AG33" s="354"/>
      <c r="AH33" s="343"/>
      <c r="AI33" s="344"/>
      <c r="AJ33" s="344"/>
      <c r="AK33" s="344"/>
      <c r="AL33" s="344"/>
      <c r="AM33" s="345"/>
      <c r="AN33" s="67"/>
      <c r="AO33" s="404"/>
      <c r="AP33" s="405"/>
      <c r="AQ33" s="405"/>
      <c r="AR33" s="405"/>
      <c r="AS33" s="405"/>
      <c r="AT33" s="406"/>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372"/>
      <c r="C34" s="372"/>
      <c r="D34" s="373"/>
      <c r="E34" s="365"/>
      <c r="F34" s="366"/>
      <c r="G34" s="366"/>
      <c r="H34" s="366"/>
      <c r="I34" s="366"/>
      <c r="J34" s="325" t="str">
        <f ca="1">IF(AND('Mapa final'!$J$45="Baja",'Mapa final'!$N$45="Leve"),CONCATENATE("R",'Mapa final'!$A$45),"")</f>
        <v/>
      </c>
      <c r="K34" s="326"/>
      <c r="L34" s="326" t="str">
        <f ca="1">IF(AND('Mapa final'!$J$51="Baja",'Mapa final'!$N$51="Leve"),CONCATENATE("R",'Mapa final'!$A$51),"")</f>
        <v/>
      </c>
      <c r="M34" s="326"/>
      <c r="N34" s="326" t="str">
        <f ca="1">IF(AND('Mapa final'!$J$57="Baja",'Mapa final'!$N$57="Leve"),CONCATENATE("R",'Mapa final'!$A$57),"")</f>
        <v/>
      </c>
      <c r="O34" s="327"/>
      <c r="P34" s="335" t="str">
        <f ca="1">IF(AND('Mapa final'!$J$45="Baja",'Mapa final'!$N$45="Menor"),CONCATENATE("R",'Mapa final'!$A$45),"")</f>
        <v/>
      </c>
      <c r="Q34" s="335"/>
      <c r="R34" s="335" t="str">
        <f ca="1">IF(AND('Mapa final'!$J$51="Baja",'Mapa final'!$N$51="Menor"),CONCATENATE("R",'Mapa final'!$A$51),"")</f>
        <v/>
      </c>
      <c r="S34" s="335"/>
      <c r="T34" s="335" t="str">
        <f ca="1">IF(AND('Mapa final'!$J$57="Baja",'Mapa final'!$N$57="Menor"),CONCATENATE("R",'Mapa final'!$A$57),"")</f>
        <v/>
      </c>
      <c r="U34" s="336"/>
      <c r="V34" s="334" t="str">
        <f ca="1">IF(AND('Mapa final'!$J$45="Baja",'Mapa final'!$N$45="Moderado"),CONCATENATE("R",'Mapa final'!$A$45),"")</f>
        <v/>
      </c>
      <c r="W34" s="335"/>
      <c r="X34" s="335" t="str">
        <f ca="1">IF(AND('Mapa final'!$J$51="Baja",'Mapa final'!$N$51="Moderado"),CONCATENATE("R",'Mapa final'!$A$51),"")</f>
        <v/>
      </c>
      <c r="Y34" s="335"/>
      <c r="Z34" s="335" t="str">
        <f ca="1">IF(AND('Mapa final'!$J$57="Baja",'Mapa final'!$N$57="Moderado"),CONCATENATE("R",'Mapa final'!$A$57),"")</f>
        <v/>
      </c>
      <c r="AA34" s="336"/>
      <c r="AB34" s="352" t="str">
        <f ca="1">IF(AND('Mapa final'!$J$45="Baja",'Mapa final'!$N$45="Mayor"),CONCATENATE("R",'Mapa final'!$A$45),"")</f>
        <v/>
      </c>
      <c r="AC34" s="353"/>
      <c r="AD34" s="353" t="str">
        <f ca="1">IF(AND('Mapa final'!$J$51="Baja",'Mapa final'!$N$51="Mayor"),CONCATENATE("R",'Mapa final'!$A$51),"")</f>
        <v/>
      </c>
      <c r="AE34" s="353"/>
      <c r="AF34" s="353" t="str">
        <f ca="1">IF(AND('Mapa final'!$J$57="Baja",'Mapa final'!$N$57="Mayor"),CONCATENATE("R",'Mapa final'!$A$57),"")</f>
        <v/>
      </c>
      <c r="AG34" s="354"/>
      <c r="AH34" s="343" t="str">
        <f ca="1">IF(AND('Mapa final'!$J$45="Baja",'Mapa final'!$N$45="Catastrófico"),CONCATENATE("R",'Mapa final'!$A$45),"")</f>
        <v/>
      </c>
      <c r="AI34" s="344"/>
      <c r="AJ34" s="344" t="str">
        <f ca="1">IF(AND('Mapa final'!$J$51="Baja",'Mapa final'!$N$51="Catastrófico"),CONCATENATE("R",'Mapa final'!$A$51),"")</f>
        <v/>
      </c>
      <c r="AK34" s="344"/>
      <c r="AL34" s="344" t="str">
        <f ca="1">IF(AND('Mapa final'!$J$57="Baja",'Mapa final'!$N$57="Catastrófico"),CONCATENATE("R",'Mapa final'!$A$57),"")</f>
        <v/>
      </c>
      <c r="AM34" s="345"/>
      <c r="AN34" s="67"/>
      <c r="AO34" s="404"/>
      <c r="AP34" s="405"/>
      <c r="AQ34" s="405"/>
      <c r="AR34" s="405"/>
      <c r="AS34" s="405"/>
      <c r="AT34" s="406"/>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372"/>
      <c r="C35" s="372"/>
      <c r="D35" s="373"/>
      <c r="E35" s="365"/>
      <c r="F35" s="366"/>
      <c r="G35" s="366"/>
      <c r="H35" s="366"/>
      <c r="I35" s="366"/>
      <c r="J35" s="325"/>
      <c r="K35" s="326"/>
      <c r="L35" s="326"/>
      <c r="M35" s="326"/>
      <c r="N35" s="326"/>
      <c r="O35" s="327"/>
      <c r="P35" s="335"/>
      <c r="Q35" s="335"/>
      <c r="R35" s="335"/>
      <c r="S35" s="335"/>
      <c r="T35" s="335"/>
      <c r="U35" s="336"/>
      <c r="V35" s="334"/>
      <c r="W35" s="335"/>
      <c r="X35" s="335"/>
      <c r="Y35" s="335"/>
      <c r="Z35" s="335"/>
      <c r="AA35" s="336"/>
      <c r="AB35" s="352"/>
      <c r="AC35" s="353"/>
      <c r="AD35" s="353"/>
      <c r="AE35" s="353"/>
      <c r="AF35" s="353"/>
      <c r="AG35" s="354"/>
      <c r="AH35" s="343"/>
      <c r="AI35" s="344"/>
      <c r="AJ35" s="344"/>
      <c r="AK35" s="344"/>
      <c r="AL35" s="344"/>
      <c r="AM35" s="345"/>
      <c r="AN35" s="67"/>
      <c r="AO35" s="404"/>
      <c r="AP35" s="405"/>
      <c r="AQ35" s="405"/>
      <c r="AR35" s="405"/>
      <c r="AS35" s="405"/>
      <c r="AT35" s="406"/>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372"/>
      <c r="C36" s="372"/>
      <c r="D36" s="373"/>
      <c r="E36" s="365"/>
      <c r="F36" s="366"/>
      <c r="G36" s="366"/>
      <c r="H36" s="366"/>
      <c r="I36" s="366"/>
      <c r="J36" s="325" t="str">
        <f ca="1">IF(AND('Mapa final'!$J$63="Baja",'Mapa final'!$N$63="Leve"),CONCATENATE("R",'Mapa final'!$A$63),"")</f>
        <v/>
      </c>
      <c r="K36" s="326"/>
      <c r="L36" s="326" t="str">
        <f>IF(AND('Mapa final'!$J$69="Baja",'Mapa final'!$N$69="Leve"),CONCATENATE("R",'Mapa final'!$A$69),"")</f>
        <v/>
      </c>
      <c r="M36" s="326"/>
      <c r="N36" s="326" t="str">
        <f>IF(AND('Mapa final'!$J$75="Baja",'Mapa final'!$N$75="Leve"),CONCATENATE("R",'Mapa final'!$A$75),"")</f>
        <v/>
      </c>
      <c r="O36" s="327"/>
      <c r="P36" s="335" t="str">
        <f ca="1">IF(AND('Mapa final'!$J$63="Baja",'Mapa final'!$N$63="Menor"),CONCATENATE("R",'Mapa final'!$A$63),"")</f>
        <v/>
      </c>
      <c r="Q36" s="335"/>
      <c r="R36" s="335" t="str">
        <f>IF(AND('Mapa final'!$J$69="Baja",'Mapa final'!$N$69="Menor"),CONCATENATE("R",'Mapa final'!$A$69),"")</f>
        <v/>
      </c>
      <c r="S36" s="335"/>
      <c r="T36" s="335" t="str">
        <f>IF(AND('Mapa final'!$J$75="Baja",'Mapa final'!$N$75="Menor"),CONCATENATE("R",'Mapa final'!$A$75),"")</f>
        <v/>
      </c>
      <c r="U36" s="336"/>
      <c r="V36" s="334" t="str">
        <f ca="1">IF(AND('Mapa final'!$J$63="Baja",'Mapa final'!$N$63="Moderado"),CONCATENATE("R",'Mapa final'!$A$63),"")</f>
        <v/>
      </c>
      <c r="W36" s="335"/>
      <c r="X36" s="335" t="str">
        <f>IF(AND('Mapa final'!$J$69="Baja",'Mapa final'!$N$69="Moderado"),CONCATENATE("R",'Mapa final'!$A$69),"")</f>
        <v/>
      </c>
      <c r="Y36" s="335"/>
      <c r="Z36" s="335" t="str">
        <f>IF(AND('Mapa final'!$J$75="Baja",'Mapa final'!$N$75="Moderado"),CONCATENATE("R",'Mapa final'!$A$75),"")</f>
        <v/>
      </c>
      <c r="AA36" s="336"/>
      <c r="AB36" s="352" t="str">
        <f ca="1">IF(AND('Mapa final'!$J$63="Baja",'Mapa final'!$N$63="Mayor"),CONCATENATE("R",'Mapa final'!$A$63),"")</f>
        <v/>
      </c>
      <c r="AC36" s="353"/>
      <c r="AD36" s="353" t="str">
        <f>IF(AND('Mapa final'!$J$69="Baja",'Mapa final'!$N$69="Mayor"),CONCATENATE("R",'Mapa final'!$A$69),"")</f>
        <v/>
      </c>
      <c r="AE36" s="353"/>
      <c r="AF36" s="353" t="str">
        <f>IF(AND('Mapa final'!$J$75="Baja",'Mapa final'!$N$75="Mayor"),CONCATENATE("R",'Mapa final'!$A$75),"")</f>
        <v/>
      </c>
      <c r="AG36" s="354"/>
      <c r="AH36" s="343" t="str">
        <f ca="1">IF(AND('Mapa final'!$J$63="Baja",'Mapa final'!$N$63="Catastrófico"),CONCATENATE("R",'Mapa final'!$A$63),"")</f>
        <v/>
      </c>
      <c r="AI36" s="344"/>
      <c r="AJ36" s="344" t="str">
        <f>IF(AND('Mapa final'!$J$69="Baja",'Mapa final'!$N$69="Catastrófico"),CONCATENATE("R",'Mapa final'!$A$69),"")</f>
        <v/>
      </c>
      <c r="AK36" s="344"/>
      <c r="AL36" s="344" t="str">
        <f>IF(AND('Mapa final'!$J$75="Baja",'Mapa final'!$N$75="Catastrófico"),CONCATENATE("R",'Mapa final'!$A$75),"")</f>
        <v/>
      </c>
      <c r="AM36" s="345"/>
      <c r="AN36" s="67"/>
      <c r="AO36" s="404"/>
      <c r="AP36" s="405"/>
      <c r="AQ36" s="405"/>
      <c r="AR36" s="405"/>
      <c r="AS36" s="405"/>
      <c r="AT36" s="406"/>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372"/>
      <c r="C37" s="372"/>
      <c r="D37" s="373"/>
      <c r="E37" s="368"/>
      <c r="F37" s="369"/>
      <c r="G37" s="369"/>
      <c r="H37" s="369"/>
      <c r="I37" s="369"/>
      <c r="J37" s="328"/>
      <c r="K37" s="329"/>
      <c r="L37" s="329"/>
      <c r="M37" s="329"/>
      <c r="N37" s="329"/>
      <c r="O37" s="330"/>
      <c r="P37" s="338"/>
      <c r="Q37" s="338"/>
      <c r="R37" s="338"/>
      <c r="S37" s="338"/>
      <c r="T37" s="338"/>
      <c r="U37" s="339"/>
      <c r="V37" s="337"/>
      <c r="W37" s="338"/>
      <c r="X37" s="338"/>
      <c r="Y37" s="338"/>
      <c r="Z37" s="338"/>
      <c r="AA37" s="339"/>
      <c r="AB37" s="355"/>
      <c r="AC37" s="356"/>
      <c r="AD37" s="356"/>
      <c r="AE37" s="356"/>
      <c r="AF37" s="356"/>
      <c r="AG37" s="357"/>
      <c r="AH37" s="346"/>
      <c r="AI37" s="347"/>
      <c r="AJ37" s="347"/>
      <c r="AK37" s="347"/>
      <c r="AL37" s="347"/>
      <c r="AM37" s="348"/>
      <c r="AN37" s="67"/>
      <c r="AO37" s="407"/>
      <c r="AP37" s="408"/>
      <c r="AQ37" s="408"/>
      <c r="AR37" s="408"/>
      <c r="AS37" s="408"/>
      <c r="AT37" s="409"/>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372"/>
      <c r="C38" s="372"/>
      <c r="D38" s="373"/>
      <c r="E38" s="362" t="s">
        <v>107</v>
      </c>
      <c r="F38" s="363"/>
      <c r="G38" s="363"/>
      <c r="H38" s="363"/>
      <c r="I38" s="364"/>
      <c r="J38" s="331" t="str">
        <f ca="1">IF(AND('Mapa final'!$J$10="Muy Baja",'Mapa final'!$N$10="Leve"),CONCATENATE("R",'Mapa final'!$A$10),"")</f>
        <v/>
      </c>
      <c r="K38" s="332"/>
      <c r="L38" s="332" t="str">
        <f ca="1">IF(AND('Mapa final'!$J$15="Muy Baja",'Mapa final'!$N$15="Leve"),CONCATENATE("R",'Mapa final'!$A$15),"")</f>
        <v/>
      </c>
      <c r="M38" s="332"/>
      <c r="N38" s="332" t="str">
        <f ca="1">IF(AND('Mapa final'!$J$21="Muy Baja",'Mapa final'!$N$21="Leve"),CONCATENATE("R",'Mapa final'!$A$21),"")</f>
        <v/>
      </c>
      <c r="O38" s="333"/>
      <c r="P38" s="331" t="str">
        <f ca="1">IF(AND('Mapa final'!$J$10="Muy Baja",'Mapa final'!$N$10="Menor"),CONCATENATE("R",'Mapa final'!$A$10),"")</f>
        <v/>
      </c>
      <c r="Q38" s="332"/>
      <c r="R38" s="332" t="str">
        <f ca="1">IF(AND('Mapa final'!$J$15="Muy Baja",'Mapa final'!$N$15="Menor"),CONCATENATE("R",'Mapa final'!$A$15),"")</f>
        <v/>
      </c>
      <c r="S38" s="332"/>
      <c r="T38" s="332" t="str">
        <f ca="1">IF(AND('Mapa final'!$J$21="Muy Baja",'Mapa final'!$N$21="Menor"),CONCATENATE("R",'Mapa final'!$A$21),"")</f>
        <v/>
      </c>
      <c r="U38" s="333"/>
      <c r="V38" s="340" t="str">
        <f ca="1">IF(AND('Mapa final'!$J$10="Muy Baja",'Mapa final'!$N$10="Moderado"),CONCATENATE("R",'Mapa final'!$A$10),"")</f>
        <v/>
      </c>
      <c r="W38" s="341"/>
      <c r="X38" s="341" t="str">
        <f ca="1">IF(AND('Mapa final'!$J$15="Muy Baja",'Mapa final'!$N$15="Moderado"),CONCATENATE("R",'Mapa final'!$A$15),"")</f>
        <v/>
      </c>
      <c r="Y38" s="341"/>
      <c r="Z38" s="341" t="str">
        <f ca="1">IF(AND('Mapa final'!$J$21="Muy Baja",'Mapa final'!$N$21="Moderado"),CONCATENATE("R",'Mapa final'!$A$21),"")</f>
        <v/>
      </c>
      <c r="AA38" s="342"/>
      <c r="AB38" s="358" t="str">
        <f ca="1">IF(AND('Mapa final'!$J$10="Muy Baja",'Mapa final'!$N$10="Mayor"),CONCATENATE("R",'Mapa final'!$A$10),"")</f>
        <v/>
      </c>
      <c r="AC38" s="359"/>
      <c r="AD38" s="359" t="str">
        <f ca="1">IF(AND('Mapa final'!$J$15="Muy Baja",'Mapa final'!$N$15="Mayor"),CONCATENATE("R",'Mapa final'!$A$15),"")</f>
        <v/>
      </c>
      <c r="AE38" s="359"/>
      <c r="AF38" s="359" t="str">
        <f ca="1">IF(AND('Mapa final'!$J$21="Muy Baja",'Mapa final'!$N$21="Mayor"),CONCATENATE("R",'Mapa final'!$A$21),"")</f>
        <v/>
      </c>
      <c r="AG38" s="360"/>
      <c r="AH38" s="349" t="str">
        <f ca="1">IF(AND('Mapa final'!$J$10="Muy Baja",'Mapa final'!$N$10="Catastrófico"),CONCATENATE("R",'Mapa final'!$A$10),"")</f>
        <v/>
      </c>
      <c r="AI38" s="350"/>
      <c r="AJ38" s="350" t="str">
        <f ca="1">IF(AND('Mapa final'!$J$15="Muy Baja",'Mapa final'!$N$15="Catastrófico"),CONCATENATE("R",'Mapa final'!$A$15),"")</f>
        <v/>
      </c>
      <c r="AK38" s="350"/>
      <c r="AL38" s="350" t="str">
        <f ca="1">IF(AND('Mapa final'!$J$21="Muy Baja",'Mapa final'!$N$21="Catastrófico"),CONCATENATE("R",'Mapa final'!$A$21),"")</f>
        <v/>
      </c>
      <c r="AM38" s="351"/>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372"/>
      <c r="C39" s="372"/>
      <c r="D39" s="373"/>
      <c r="E39" s="365"/>
      <c r="F39" s="366"/>
      <c r="G39" s="366"/>
      <c r="H39" s="366"/>
      <c r="I39" s="367"/>
      <c r="J39" s="325"/>
      <c r="K39" s="326"/>
      <c r="L39" s="326"/>
      <c r="M39" s="326"/>
      <c r="N39" s="326"/>
      <c r="O39" s="327"/>
      <c r="P39" s="325"/>
      <c r="Q39" s="326"/>
      <c r="R39" s="326"/>
      <c r="S39" s="326"/>
      <c r="T39" s="326"/>
      <c r="U39" s="327"/>
      <c r="V39" s="334"/>
      <c r="W39" s="335"/>
      <c r="X39" s="335"/>
      <c r="Y39" s="335"/>
      <c r="Z39" s="335"/>
      <c r="AA39" s="336"/>
      <c r="AB39" s="352"/>
      <c r="AC39" s="353"/>
      <c r="AD39" s="353"/>
      <c r="AE39" s="353"/>
      <c r="AF39" s="353"/>
      <c r="AG39" s="354"/>
      <c r="AH39" s="343"/>
      <c r="AI39" s="344"/>
      <c r="AJ39" s="344"/>
      <c r="AK39" s="344"/>
      <c r="AL39" s="344"/>
      <c r="AM39" s="345"/>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372"/>
      <c r="C40" s="372"/>
      <c r="D40" s="373"/>
      <c r="E40" s="365"/>
      <c r="F40" s="366"/>
      <c r="G40" s="366"/>
      <c r="H40" s="366"/>
      <c r="I40" s="367"/>
      <c r="J40" s="325" t="str">
        <f ca="1">IF(AND('Mapa final'!$J$27="Muy Baja",'Mapa final'!$N$27="Leve"),CONCATENATE("R",'Mapa final'!$A$27),"")</f>
        <v/>
      </c>
      <c r="K40" s="326"/>
      <c r="L40" s="326" t="str">
        <f ca="1">IF(AND('Mapa final'!$J$33="Muy Baja",'Mapa final'!$N$33="Leve"),CONCATENATE("R",'Mapa final'!$A$33),"")</f>
        <v/>
      </c>
      <c r="M40" s="326"/>
      <c r="N40" s="326" t="str">
        <f ca="1">IF(AND('Mapa final'!$J$39="Muy Baja",'Mapa final'!$N$39="Leve"),CONCATENATE("R",'Mapa final'!$A$39),"")</f>
        <v/>
      </c>
      <c r="O40" s="327"/>
      <c r="P40" s="325" t="str">
        <f ca="1">IF(AND('Mapa final'!$J$27="Muy Baja",'Mapa final'!$N$27="Menor"),CONCATENATE("R",'Mapa final'!$A$27),"")</f>
        <v/>
      </c>
      <c r="Q40" s="326"/>
      <c r="R40" s="326" t="str">
        <f ca="1">IF(AND('Mapa final'!$J$33="Muy Baja",'Mapa final'!$N$33="Menor"),CONCATENATE("R",'Mapa final'!$A$33),"")</f>
        <v/>
      </c>
      <c r="S40" s="326"/>
      <c r="T40" s="326" t="str">
        <f ca="1">IF(AND('Mapa final'!$J$39="Muy Baja",'Mapa final'!$N$39="Menor"),CONCATENATE("R",'Mapa final'!$A$39),"")</f>
        <v/>
      </c>
      <c r="U40" s="327"/>
      <c r="V40" s="334" t="str">
        <f ca="1">IF(AND('Mapa final'!$J$27="Muy Baja",'Mapa final'!$N$27="Moderado"),CONCATENATE("R",'Mapa final'!$A$27),"")</f>
        <v/>
      </c>
      <c r="W40" s="335"/>
      <c r="X40" s="335" t="str">
        <f ca="1">IF(AND('Mapa final'!$J$33="Muy Baja",'Mapa final'!$N$33="Moderado"),CONCATENATE("R",'Mapa final'!$A$33),"")</f>
        <v/>
      </c>
      <c r="Y40" s="335"/>
      <c r="Z40" s="335" t="str">
        <f ca="1">IF(AND('Mapa final'!$J$39="Muy Baja",'Mapa final'!$N$39="Moderado"),CONCATENATE("R",'Mapa final'!$A$39),"")</f>
        <v/>
      </c>
      <c r="AA40" s="336"/>
      <c r="AB40" s="352" t="str">
        <f ca="1">IF(AND('Mapa final'!$J$27="Muy Baja",'Mapa final'!$N$27="Mayor"),CONCATENATE("R",'Mapa final'!$A$27),"")</f>
        <v/>
      </c>
      <c r="AC40" s="353"/>
      <c r="AD40" s="353" t="str">
        <f ca="1">IF(AND('Mapa final'!$J$33="Muy Baja",'Mapa final'!$N$33="Mayor"),CONCATENATE("R",'Mapa final'!$A$33),"")</f>
        <v/>
      </c>
      <c r="AE40" s="353"/>
      <c r="AF40" s="353" t="str">
        <f ca="1">IF(AND('Mapa final'!$J$39="Muy Baja",'Mapa final'!$N$39="Mayor"),CONCATENATE("R",'Mapa final'!$A$39),"")</f>
        <v/>
      </c>
      <c r="AG40" s="354"/>
      <c r="AH40" s="343" t="str">
        <f ca="1">IF(AND('Mapa final'!$J$27="Muy Baja",'Mapa final'!$N$27="Catastrófico"),CONCATENATE("R",'Mapa final'!$A$27),"")</f>
        <v/>
      </c>
      <c r="AI40" s="344"/>
      <c r="AJ40" s="344" t="str">
        <f ca="1">IF(AND('Mapa final'!$J$33="Muy Baja",'Mapa final'!$N$33="Catastrófico"),CONCATENATE("R",'Mapa final'!$A$33),"")</f>
        <v/>
      </c>
      <c r="AK40" s="344"/>
      <c r="AL40" s="344" t="str">
        <f ca="1">IF(AND('Mapa final'!$J$39="Muy Baja",'Mapa final'!$N$39="Catastrófico"),CONCATENATE("R",'Mapa final'!$A$39),"")</f>
        <v/>
      </c>
      <c r="AM40" s="345"/>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372"/>
      <c r="C41" s="372"/>
      <c r="D41" s="373"/>
      <c r="E41" s="365"/>
      <c r="F41" s="366"/>
      <c r="G41" s="366"/>
      <c r="H41" s="366"/>
      <c r="I41" s="367"/>
      <c r="J41" s="325"/>
      <c r="K41" s="326"/>
      <c r="L41" s="326"/>
      <c r="M41" s="326"/>
      <c r="N41" s="326"/>
      <c r="O41" s="327"/>
      <c r="P41" s="325"/>
      <c r="Q41" s="326"/>
      <c r="R41" s="326"/>
      <c r="S41" s="326"/>
      <c r="T41" s="326"/>
      <c r="U41" s="327"/>
      <c r="V41" s="334"/>
      <c r="W41" s="335"/>
      <c r="X41" s="335"/>
      <c r="Y41" s="335"/>
      <c r="Z41" s="335"/>
      <c r="AA41" s="336"/>
      <c r="AB41" s="352"/>
      <c r="AC41" s="353"/>
      <c r="AD41" s="353"/>
      <c r="AE41" s="353"/>
      <c r="AF41" s="353"/>
      <c r="AG41" s="354"/>
      <c r="AH41" s="343"/>
      <c r="AI41" s="344"/>
      <c r="AJ41" s="344"/>
      <c r="AK41" s="344"/>
      <c r="AL41" s="344"/>
      <c r="AM41" s="345"/>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372"/>
      <c r="C42" s="372"/>
      <c r="D42" s="373"/>
      <c r="E42" s="365"/>
      <c r="F42" s="366"/>
      <c r="G42" s="366"/>
      <c r="H42" s="366"/>
      <c r="I42" s="367"/>
      <c r="J42" s="325" t="str">
        <f ca="1">IF(AND('Mapa final'!$J$45="Muy Baja",'Mapa final'!$N$45="Leve"),CONCATENATE("R",'Mapa final'!$A$45),"")</f>
        <v/>
      </c>
      <c r="K42" s="326"/>
      <c r="L42" s="326" t="str">
        <f ca="1">IF(AND('Mapa final'!$J$51="Muy Baja",'Mapa final'!$N$51="Leve"),CONCATENATE("R",'Mapa final'!$A$51),"")</f>
        <v/>
      </c>
      <c r="M42" s="326"/>
      <c r="N42" s="326" t="str">
        <f ca="1">IF(AND('Mapa final'!$J$57="Muy Baja",'Mapa final'!$N$57="Leve"),CONCATENATE("R",'Mapa final'!$A$57),"")</f>
        <v/>
      </c>
      <c r="O42" s="327"/>
      <c r="P42" s="325" t="str">
        <f ca="1">IF(AND('Mapa final'!$J$45="Muy Baja",'Mapa final'!$N$45="Menor"),CONCATENATE("R",'Mapa final'!$A$45),"")</f>
        <v/>
      </c>
      <c r="Q42" s="326"/>
      <c r="R42" s="326" t="str">
        <f ca="1">IF(AND('Mapa final'!$J$51="Muy Baja",'Mapa final'!$N$51="Menor"),CONCATENATE("R",'Mapa final'!$A$51),"")</f>
        <v/>
      </c>
      <c r="S42" s="326"/>
      <c r="T42" s="326" t="str">
        <f ca="1">IF(AND('Mapa final'!$J$57="Muy Baja",'Mapa final'!$N$57="Menor"),CONCATENATE("R",'Mapa final'!$A$57),"")</f>
        <v/>
      </c>
      <c r="U42" s="327"/>
      <c r="V42" s="334" t="str">
        <f ca="1">IF(AND('Mapa final'!$J$45="Muy Baja",'Mapa final'!$N$45="Moderado"),CONCATENATE("R",'Mapa final'!$A$45),"")</f>
        <v/>
      </c>
      <c r="W42" s="335"/>
      <c r="X42" s="335" t="str">
        <f ca="1">IF(AND('Mapa final'!$J$51="Muy Baja",'Mapa final'!$N$51="Moderado"),CONCATENATE("R",'Mapa final'!$A$51),"")</f>
        <v/>
      </c>
      <c r="Y42" s="335"/>
      <c r="Z42" s="335" t="str">
        <f ca="1">IF(AND('Mapa final'!$J$57="Muy Baja",'Mapa final'!$N$57="Moderado"),CONCATENATE("R",'Mapa final'!$A$57),"")</f>
        <v/>
      </c>
      <c r="AA42" s="336"/>
      <c r="AB42" s="352" t="str">
        <f ca="1">IF(AND('Mapa final'!$J$45="Muy Baja",'Mapa final'!$N$45="Mayor"),CONCATENATE("R",'Mapa final'!$A$45),"")</f>
        <v/>
      </c>
      <c r="AC42" s="353"/>
      <c r="AD42" s="353" t="str">
        <f ca="1">IF(AND('Mapa final'!$J$51="Muy Baja",'Mapa final'!$N$51="Mayor"),CONCATENATE("R",'Mapa final'!$A$51),"")</f>
        <v/>
      </c>
      <c r="AE42" s="353"/>
      <c r="AF42" s="353" t="str">
        <f ca="1">IF(AND('Mapa final'!$J$57="Muy Baja",'Mapa final'!$N$57="Mayor"),CONCATENATE("R",'Mapa final'!$A$57),"")</f>
        <v/>
      </c>
      <c r="AG42" s="354"/>
      <c r="AH42" s="343" t="str">
        <f ca="1">IF(AND('Mapa final'!$J$45="Muy Baja",'Mapa final'!$N$45="Catastrófico"),CONCATENATE("R",'Mapa final'!$A$45),"")</f>
        <v/>
      </c>
      <c r="AI42" s="344"/>
      <c r="AJ42" s="344" t="str">
        <f ca="1">IF(AND('Mapa final'!$J$51="Muy Baja",'Mapa final'!$N$51="Catastrófico"),CONCATENATE("R",'Mapa final'!$A$51),"")</f>
        <v/>
      </c>
      <c r="AK42" s="344"/>
      <c r="AL42" s="344" t="str">
        <f ca="1">IF(AND('Mapa final'!$J$57="Muy Baja",'Mapa final'!$N$57="Catastrófico"),CONCATENATE("R",'Mapa final'!$A$57),"")</f>
        <v/>
      </c>
      <c r="AM42" s="345"/>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372"/>
      <c r="C43" s="372"/>
      <c r="D43" s="373"/>
      <c r="E43" s="365"/>
      <c r="F43" s="366"/>
      <c r="G43" s="366"/>
      <c r="H43" s="366"/>
      <c r="I43" s="367"/>
      <c r="J43" s="325"/>
      <c r="K43" s="326"/>
      <c r="L43" s="326"/>
      <c r="M43" s="326"/>
      <c r="N43" s="326"/>
      <c r="O43" s="327"/>
      <c r="P43" s="325"/>
      <c r="Q43" s="326"/>
      <c r="R43" s="326"/>
      <c r="S43" s="326"/>
      <c r="T43" s="326"/>
      <c r="U43" s="327"/>
      <c r="V43" s="334"/>
      <c r="W43" s="335"/>
      <c r="X43" s="335"/>
      <c r="Y43" s="335"/>
      <c r="Z43" s="335"/>
      <c r="AA43" s="336"/>
      <c r="AB43" s="352"/>
      <c r="AC43" s="353"/>
      <c r="AD43" s="353"/>
      <c r="AE43" s="353"/>
      <c r="AF43" s="353"/>
      <c r="AG43" s="354"/>
      <c r="AH43" s="343"/>
      <c r="AI43" s="344"/>
      <c r="AJ43" s="344"/>
      <c r="AK43" s="344"/>
      <c r="AL43" s="344"/>
      <c r="AM43" s="345"/>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372"/>
      <c r="C44" s="372"/>
      <c r="D44" s="373"/>
      <c r="E44" s="365"/>
      <c r="F44" s="366"/>
      <c r="G44" s="366"/>
      <c r="H44" s="366"/>
      <c r="I44" s="367"/>
      <c r="J44" s="325" t="str">
        <f ca="1">IF(AND('Mapa final'!$J$63="Muy Baja",'Mapa final'!$N$63="Leve"),CONCATENATE("R",'Mapa final'!$A$63),"")</f>
        <v/>
      </c>
      <c r="K44" s="326"/>
      <c r="L44" s="326" t="str">
        <f>IF(AND('Mapa final'!$J$69="Muy Baja",'Mapa final'!$N$69="Leve"),CONCATENATE("R",'Mapa final'!$A$69),"")</f>
        <v/>
      </c>
      <c r="M44" s="326"/>
      <c r="N44" s="326" t="str">
        <f>IF(AND('Mapa final'!$J$75="Muy Baja",'Mapa final'!$N$75="Leve"),CONCATENATE("R",'Mapa final'!$A$75),"")</f>
        <v/>
      </c>
      <c r="O44" s="327"/>
      <c r="P44" s="325" t="str">
        <f ca="1">IF(AND('Mapa final'!$J$63="Muy Baja",'Mapa final'!$N$63="Menor"),CONCATENATE("R",'Mapa final'!$A$63),"")</f>
        <v/>
      </c>
      <c r="Q44" s="326"/>
      <c r="R44" s="326" t="str">
        <f>IF(AND('Mapa final'!$J$69="Muy Baja",'Mapa final'!$N$69="Menor"),CONCATENATE("R",'Mapa final'!$A$69),"")</f>
        <v/>
      </c>
      <c r="S44" s="326"/>
      <c r="T44" s="326" t="str">
        <f>IF(AND('Mapa final'!$J$75="Muy Baja",'Mapa final'!$N$75="Menor"),CONCATENATE("R",'Mapa final'!$A$75),"")</f>
        <v/>
      </c>
      <c r="U44" s="327"/>
      <c r="V44" s="334" t="str">
        <f ca="1">IF(AND('Mapa final'!$J$63="Muy Baja",'Mapa final'!$N$63="Moderado"),CONCATENATE("R",'Mapa final'!$A$63),"")</f>
        <v/>
      </c>
      <c r="W44" s="335"/>
      <c r="X44" s="335" t="str">
        <f>IF(AND('Mapa final'!$J$69="Muy Baja",'Mapa final'!$N$69="Moderado"),CONCATENATE("R",'Mapa final'!$A$69),"")</f>
        <v/>
      </c>
      <c r="Y44" s="335"/>
      <c r="Z44" s="335" t="str">
        <f>IF(AND('Mapa final'!$J$75="Muy Baja",'Mapa final'!$N$75="Moderado"),CONCATENATE("R",'Mapa final'!$A$75),"")</f>
        <v/>
      </c>
      <c r="AA44" s="336"/>
      <c r="AB44" s="352" t="str">
        <f ca="1">IF(AND('Mapa final'!$J$63="Muy Baja",'Mapa final'!$N$63="Mayor"),CONCATENATE("R",'Mapa final'!$A$63),"")</f>
        <v/>
      </c>
      <c r="AC44" s="353"/>
      <c r="AD44" s="353" t="str">
        <f>IF(AND('Mapa final'!$J$69="Muy Baja",'Mapa final'!$N$69="Mayor"),CONCATENATE("R",'Mapa final'!$A$69),"")</f>
        <v/>
      </c>
      <c r="AE44" s="353"/>
      <c r="AF44" s="353" t="str">
        <f>IF(AND('Mapa final'!$J$75="Muy Baja",'Mapa final'!$N$75="Mayor"),CONCATENATE("R",'Mapa final'!$A$75),"")</f>
        <v/>
      </c>
      <c r="AG44" s="354"/>
      <c r="AH44" s="343" t="str">
        <f ca="1">IF(AND('Mapa final'!$J$63="Muy Baja",'Mapa final'!$N$63="Catastrófico"),CONCATENATE("R",'Mapa final'!$A$63),"")</f>
        <v/>
      </c>
      <c r="AI44" s="344"/>
      <c r="AJ44" s="344" t="str">
        <f>IF(AND('Mapa final'!$J$69="Muy Baja",'Mapa final'!$N$69="Catastrófico"),CONCATENATE("R",'Mapa final'!$A$69),"")</f>
        <v/>
      </c>
      <c r="AK44" s="344"/>
      <c r="AL44" s="344" t="str">
        <f>IF(AND('Mapa final'!$J$75="Muy Baja",'Mapa final'!$N$75="Catastrófico"),CONCATENATE("R",'Mapa final'!$A$75),"")</f>
        <v/>
      </c>
      <c r="AM44" s="345"/>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372"/>
      <c r="C45" s="372"/>
      <c r="D45" s="373"/>
      <c r="E45" s="368"/>
      <c r="F45" s="369"/>
      <c r="G45" s="369"/>
      <c r="H45" s="369"/>
      <c r="I45" s="370"/>
      <c r="J45" s="328"/>
      <c r="K45" s="329"/>
      <c r="L45" s="329"/>
      <c r="M45" s="329"/>
      <c r="N45" s="329"/>
      <c r="O45" s="330"/>
      <c r="P45" s="328"/>
      <c r="Q45" s="329"/>
      <c r="R45" s="329"/>
      <c r="S45" s="329"/>
      <c r="T45" s="329"/>
      <c r="U45" s="330"/>
      <c r="V45" s="337"/>
      <c r="W45" s="338"/>
      <c r="X45" s="338"/>
      <c r="Y45" s="338"/>
      <c r="Z45" s="338"/>
      <c r="AA45" s="339"/>
      <c r="AB45" s="355"/>
      <c r="AC45" s="356"/>
      <c r="AD45" s="356"/>
      <c r="AE45" s="356"/>
      <c r="AF45" s="356"/>
      <c r="AG45" s="357"/>
      <c r="AH45" s="346"/>
      <c r="AI45" s="347"/>
      <c r="AJ45" s="347"/>
      <c r="AK45" s="347"/>
      <c r="AL45" s="347"/>
      <c r="AM45" s="348"/>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362" t="s">
        <v>106</v>
      </c>
      <c r="K46" s="363"/>
      <c r="L46" s="363"/>
      <c r="M46" s="363"/>
      <c r="N46" s="363"/>
      <c r="O46" s="364"/>
      <c r="P46" s="362" t="s">
        <v>105</v>
      </c>
      <c r="Q46" s="363"/>
      <c r="R46" s="363"/>
      <c r="S46" s="363"/>
      <c r="T46" s="363"/>
      <c r="U46" s="364"/>
      <c r="V46" s="362" t="s">
        <v>104</v>
      </c>
      <c r="W46" s="363"/>
      <c r="X46" s="363"/>
      <c r="Y46" s="363"/>
      <c r="Z46" s="363"/>
      <c r="AA46" s="364"/>
      <c r="AB46" s="362" t="s">
        <v>103</v>
      </c>
      <c r="AC46" s="371"/>
      <c r="AD46" s="363"/>
      <c r="AE46" s="363"/>
      <c r="AF46" s="363"/>
      <c r="AG46" s="364"/>
      <c r="AH46" s="362" t="s">
        <v>102</v>
      </c>
      <c r="AI46" s="363"/>
      <c r="AJ46" s="363"/>
      <c r="AK46" s="363"/>
      <c r="AL46" s="363"/>
      <c r="AM46" s="364"/>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365"/>
      <c r="K47" s="366"/>
      <c r="L47" s="366"/>
      <c r="M47" s="366"/>
      <c r="N47" s="366"/>
      <c r="O47" s="367"/>
      <c r="P47" s="365"/>
      <c r="Q47" s="366"/>
      <c r="R47" s="366"/>
      <c r="S47" s="366"/>
      <c r="T47" s="366"/>
      <c r="U47" s="367"/>
      <c r="V47" s="365"/>
      <c r="W47" s="366"/>
      <c r="X47" s="366"/>
      <c r="Y47" s="366"/>
      <c r="Z47" s="366"/>
      <c r="AA47" s="367"/>
      <c r="AB47" s="365"/>
      <c r="AC47" s="366"/>
      <c r="AD47" s="366"/>
      <c r="AE47" s="366"/>
      <c r="AF47" s="366"/>
      <c r="AG47" s="367"/>
      <c r="AH47" s="365"/>
      <c r="AI47" s="366"/>
      <c r="AJ47" s="366"/>
      <c r="AK47" s="366"/>
      <c r="AL47" s="366"/>
      <c r="AM47" s="3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365"/>
      <c r="K48" s="366"/>
      <c r="L48" s="366"/>
      <c r="M48" s="366"/>
      <c r="N48" s="366"/>
      <c r="O48" s="367"/>
      <c r="P48" s="365"/>
      <c r="Q48" s="366"/>
      <c r="R48" s="366"/>
      <c r="S48" s="366"/>
      <c r="T48" s="366"/>
      <c r="U48" s="367"/>
      <c r="V48" s="365"/>
      <c r="W48" s="366"/>
      <c r="X48" s="366"/>
      <c r="Y48" s="366"/>
      <c r="Z48" s="366"/>
      <c r="AA48" s="367"/>
      <c r="AB48" s="365"/>
      <c r="AC48" s="366"/>
      <c r="AD48" s="366"/>
      <c r="AE48" s="366"/>
      <c r="AF48" s="366"/>
      <c r="AG48" s="367"/>
      <c r="AH48" s="365"/>
      <c r="AI48" s="366"/>
      <c r="AJ48" s="366"/>
      <c r="AK48" s="366"/>
      <c r="AL48" s="366"/>
      <c r="AM48" s="3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365"/>
      <c r="K49" s="366"/>
      <c r="L49" s="366"/>
      <c r="M49" s="366"/>
      <c r="N49" s="366"/>
      <c r="O49" s="367"/>
      <c r="P49" s="365"/>
      <c r="Q49" s="366"/>
      <c r="R49" s="366"/>
      <c r="S49" s="366"/>
      <c r="T49" s="366"/>
      <c r="U49" s="367"/>
      <c r="V49" s="365"/>
      <c r="W49" s="366"/>
      <c r="X49" s="366"/>
      <c r="Y49" s="366"/>
      <c r="Z49" s="366"/>
      <c r="AA49" s="367"/>
      <c r="AB49" s="365"/>
      <c r="AC49" s="366"/>
      <c r="AD49" s="366"/>
      <c r="AE49" s="366"/>
      <c r="AF49" s="366"/>
      <c r="AG49" s="367"/>
      <c r="AH49" s="365"/>
      <c r="AI49" s="366"/>
      <c r="AJ49" s="366"/>
      <c r="AK49" s="366"/>
      <c r="AL49" s="366"/>
      <c r="AM49" s="3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365"/>
      <c r="K50" s="366"/>
      <c r="L50" s="366"/>
      <c r="M50" s="366"/>
      <c r="N50" s="366"/>
      <c r="O50" s="367"/>
      <c r="P50" s="365"/>
      <c r="Q50" s="366"/>
      <c r="R50" s="366"/>
      <c r="S50" s="366"/>
      <c r="T50" s="366"/>
      <c r="U50" s="367"/>
      <c r="V50" s="365"/>
      <c r="W50" s="366"/>
      <c r="X50" s="366"/>
      <c r="Y50" s="366"/>
      <c r="Z50" s="366"/>
      <c r="AA50" s="367"/>
      <c r="AB50" s="365"/>
      <c r="AC50" s="366"/>
      <c r="AD50" s="366"/>
      <c r="AE50" s="366"/>
      <c r="AF50" s="366"/>
      <c r="AG50" s="367"/>
      <c r="AH50" s="365"/>
      <c r="AI50" s="366"/>
      <c r="AJ50" s="366"/>
      <c r="AK50" s="366"/>
      <c r="AL50" s="366"/>
      <c r="AM50" s="3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368"/>
      <c r="K51" s="369"/>
      <c r="L51" s="369"/>
      <c r="M51" s="369"/>
      <c r="N51" s="369"/>
      <c r="O51" s="370"/>
      <c r="P51" s="368"/>
      <c r="Q51" s="369"/>
      <c r="R51" s="369"/>
      <c r="S51" s="369"/>
      <c r="T51" s="369"/>
      <c r="U51" s="370"/>
      <c r="V51" s="368"/>
      <c r="W51" s="369"/>
      <c r="X51" s="369"/>
      <c r="Y51" s="369"/>
      <c r="Z51" s="369"/>
      <c r="AA51" s="370"/>
      <c r="AB51" s="368"/>
      <c r="AC51" s="369"/>
      <c r="AD51" s="369"/>
      <c r="AE51" s="369"/>
      <c r="AF51" s="369"/>
      <c r="AG51" s="370"/>
      <c r="AH51" s="368"/>
      <c r="AI51" s="369"/>
      <c r="AJ51" s="369"/>
      <c r="AK51" s="369"/>
      <c r="AL51" s="369"/>
      <c r="AM51" s="370"/>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19" zoomScale="70" zoomScaleNormal="70" workbookViewId="0">
      <selection activeCell="Q17" sqref="Q17"/>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439" t="s">
        <v>148</v>
      </c>
      <c r="C2" s="440"/>
      <c r="D2" s="440"/>
      <c r="E2" s="440"/>
      <c r="F2" s="440"/>
      <c r="G2" s="440"/>
      <c r="H2" s="440"/>
      <c r="I2" s="440"/>
      <c r="J2" s="361" t="s">
        <v>2</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440"/>
      <c r="C3" s="440"/>
      <c r="D3" s="440"/>
      <c r="E3" s="440"/>
      <c r="F3" s="440"/>
      <c r="G3" s="440"/>
      <c r="H3" s="440"/>
      <c r="I3" s="440"/>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440"/>
      <c r="C4" s="440"/>
      <c r="D4" s="440"/>
      <c r="E4" s="440"/>
      <c r="F4" s="440"/>
      <c r="G4" s="440"/>
      <c r="H4" s="440"/>
      <c r="I4" s="440"/>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372" t="s">
        <v>4</v>
      </c>
      <c r="C6" s="372"/>
      <c r="D6" s="373"/>
      <c r="E6" s="410" t="s">
        <v>110</v>
      </c>
      <c r="F6" s="411"/>
      <c r="G6" s="411"/>
      <c r="H6" s="411"/>
      <c r="I6" s="412"/>
      <c r="J6" s="30" t="str">
        <f ca="1">IF(AND('Mapa final'!$AA$10="Muy Alta",'Mapa final'!$AC$10="Leve"),CONCATENATE("R1C",'Mapa final'!$Q$10),"")</f>
        <v/>
      </c>
      <c r="K6" s="31" t="str">
        <f ca="1">IF(AND('Mapa final'!$AA$11="Muy Alta",'Mapa final'!$AC$11="Leve"),CONCATENATE("R1C",'Mapa final'!$Q$11),"")</f>
        <v/>
      </c>
      <c r="L6" s="31" t="str">
        <f ca="1">IF(AND('Mapa final'!$AA$13="Muy Alta",'Mapa final'!$AC$13="Leve"),CONCATENATE("R1C",'Mapa final'!$Q$13),"")</f>
        <v/>
      </c>
      <c r="M6" s="31" t="str">
        <f ca="1">IF(AND('Mapa final'!$AA$14="Muy Alta",'Mapa final'!$AC$14="Leve"),CONCATENATE("R1C",'Mapa final'!$Q$14),"")</f>
        <v/>
      </c>
      <c r="N6" s="31" t="e">
        <f>IF(AND('Mapa final'!#REF!="Muy Alta",'Mapa final'!#REF!="Leve"),CONCATENATE("R1C",'Mapa final'!#REF!),"")</f>
        <v>#REF!</v>
      </c>
      <c r="O6" s="32" t="e">
        <f>IF(AND('Mapa final'!#REF!="Muy Alta",'Mapa final'!#REF!="Leve"),CONCATENATE("R1C",'Mapa final'!#REF!),"")</f>
        <v>#REF!</v>
      </c>
      <c r="P6" s="30" t="str">
        <f ca="1">IF(AND('Mapa final'!$AA$10="Muy Alta",'Mapa final'!$AC$10="Menor"),CONCATENATE("R1C",'Mapa final'!$Q$10),"")</f>
        <v/>
      </c>
      <c r="Q6" s="31" t="str">
        <f ca="1">IF(AND('Mapa final'!$AA$11="Muy Alta",'Mapa final'!$AC$11="Menor"),CONCATENATE("R1C",'Mapa final'!$Q$11),"")</f>
        <v/>
      </c>
      <c r="R6" s="31" t="str">
        <f ca="1">IF(AND('Mapa final'!$AA$13="Muy Alta",'Mapa final'!$AC$13="Menor"),CONCATENATE("R1C",'Mapa final'!$Q$13),"")</f>
        <v/>
      </c>
      <c r="S6" s="31" t="str">
        <f ca="1">IF(AND('Mapa final'!$AA$14="Muy Alta",'Mapa final'!$AC$14="Menor"),CONCATENATE("R1C",'Mapa final'!$Q$14),"")</f>
        <v/>
      </c>
      <c r="T6" s="31" t="e">
        <f>IF(AND('Mapa final'!#REF!="Muy Alta",'Mapa final'!#REF!="Menor"),CONCATENATE("R1C",'Mapa final'!#REF!),"")</f>
        <v>#REF!</v>
      </c>
      <c r="U6" s="32" t="e">
        <f>IF(AND('Mapa final'!#REF!="Muy Alta",'Mapa final'!#REF!="Menor"),CONCATENATE("R1C",'Mapa final'!#REF!),"")</f>
        <v>#REF!</v>
      </c>
      <c r="V6" s="30" t="str">
        <f ca="1">IF(AND('Mapa final'!$AA$10="Muy Alta",'Mapa final'!$AC$10="Moderado"),CONCATENATE("R1C",'Mapa final'!$Q$10),"")</f>
        <v/>
      </c>
      <c r="W6" s="31" t="str">
        <f ca="1">IF(AND('Mapa final'!$AA$11="Muy Alta",'Mapa final'!$AC$11="Moderado"),CONCATENATE("R1C",'Mapa final'!$Q$11),"")</f>
        <v/>
      </c>
      <c r="X6" s="31" t="str">
        <f ca="1">IF(AND('Mapa final'!$AA$13="Muy Alta",'Mapa final'!$AC$13="Moderado"),CONCATENATE("R1C",'Mapa final'!$Q$13),"")</f>
        <v/>
      </c>
      <c r="Y6" s="31" t="str">
        <f ca="1">IF(AND('Mapa final'!$AA$14="Muy Alta",'Mapa final'!$AC$14="Moderado"),CONCATENATE("R1C",'Mapa final'!$Q$14),"")</f>
        <v/>
      </c>
      <c r="Z6" s="31" t="e">
        <f>IF(AND('Mapa final'!#REF!="Muy Alta",'Mapa final'!#REF!="Moderado"),CONCATENATE("R1C",'Mapa final'!#REF!),"")</f>
        <v>#REF!</v>
      </c>
      <c r="AA6" s="32" t="e">
        <f>IF(AND('Mapa final'!#REF!="Muy Alta",'Mapa final'!#REF!="Moderado"),CONCATENATE("R1C",'Mapa final'!#REF!),"")</f>
        <v>#REF!</v>
      </c>
      <c r="AB6" s="30" t="str">
        <f ca="1">IF(AND('Mapa final'!$AA$10="Muy Alta",'Mapa final'!$AC$10="Mayor"),CONCATENATE("R1C",'Mapa final'!$Q$10),"")</f>
        <v/>
      </c>
      <c r="AC6" s="31" t="str">
        <f ca="1">IF(AND('Mapa final'!$AA$11="Muy Alta",'Mapa final'!$AC$11="Mayor"),CONCATENATE("R1C",'Mapa final'!$Q$11),"")</f>
        <v/>
      </c>
      <c r="AD6" s="31" t="str">
        <f ca="1">IF(AND('Mapa final'!$AA$13="Muy Alta",'Mapa final'!$AC$13="Mayor"),CONCATENATE("R1C",'Mapa final'!$Q$13),"")</f>
        <v/>
      </c>
      <c r="AE6" s="31" t="str">
        <f ca="1">IF(AND('Mapa final'!$AA$14="Muy Alta",'Mapa final'!$AC$14="Mayor"),CONCATENATE("R1C",'Mapa final'!$Q$14),"")</f>
        <v/>
      </c>
      <c r="AF6" s="31" t="e">
        <f>IF(AND('Mapa final'!#REF!="Muy Alta",'Mapa final'!#REF!="Mayor"),CONCATENATE("R1C",'Mapa final'!#REF!),"")</f>
        <v>#REF!</v>
      </c>
      <c r="AG6" s="32" t="e">
        <f>IF(AND('Mapa final'!#REF!="Muy Alta",'Mapa final'!#REF!="Mayor"),CONCATENATE("R1C",'Mapa final'!#REF!),"")</f>
        <v>#REF!</v>
      </c>
      <c r="AH6" s="33" t="str">
        <f ca="1">IF(AND('Mapa final'!$AA$10="Muy Alta",'Mapa final'!$AC$10="Catastrófico"),CONCATENATE("R1C",'Mapa final'!$Q$10),"")</f>
        <v/>
      </c>
      <c r="AI6" s="34" t="str">
        <f ca="1">IF(AND('Mapa final'!$AA$11="Muy Alta",'Mapa final'!$AC$11="Catastrófico"),CONCATENATE("R1C",'Mapa final'!$Q$11),"")</f>
        <v/>
      </c>
      <c r="AJ6" s="34" t="str">
        <f ca="1">IF(AND('Mapa final'!$AA$13="Muy Alta",'Mapa final'!$AC$13="Catastrófico"),CONCATENATE("R1C",'Mapa final'!$Q$13),"")</f>
        <v/>
      </c>
      <c r="AK6" s="34" t="str">
        <f ca="1">IF(AND('Mapa final'!$AA$14="Muy Alta",'Mapa final'!$AC$14="Catastrófico"),CONCATENATE("R1C",'Mapa final'!$Q$14),"")</f>
        <v/>
      </c>
      <c r="AL6" s="34" t="e">
        <f>IF(AND('Mapa final'!#REF!="Muy Alta",'Mapa final'!#REF!="Catastrófico"),CONCATENATE("R1C",'Mapa final'!#REF!),"")</f>
        <v>#REF!</v>
      </c>
      <c r="AM6" s="35" t="e">
        <f>IF(AND('Mapa final'!#REF!="Muy Alta",'Mapa final'!#REF!="Catastrófico"),CONCATENATE("R1C",'Mapa final'!#REF!),"")</f>
        <v>#REF!</v>
      </c>
      <c r="AN6" s="67"/>
      <c r="AO6" s="430" t="s">
        <v>77</v>
      </c>
      <c r="AP6" s="431"/>
      <c r="AQ6" s="431"/>
      <c r="AR6" s="431"/>
      <c r="AS6" s="431"/>
      <c r="AT6" s="432"/>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372"/>
      <c r="C7" s="372"/>
      <c r="D7" s="373"/>
      <c r="E7" s="413"/>
      <c r="F7" s="414"/>
      <c r="G7" s="414"/>
      <c r="H7" s="414"/>
      <c r="I7" s="415"/>
      <c r="J7" s="36" t="str">
        <f ca="1">IF(AND('Mapa final'!$AA$15="Muy Alta",'Mapa final'!$AC$15="Leve"),CONCATENATE("R2C",'Mapa final'!$Q$15),"")</f>
        <v/>
      </c>
      <c r="K7" s="37" t="str">
        <f ca="1">IF(AND('Mapa final'!$AA$16="Muy Alta",'Mapa final'!$AC$16="Leve"),CONCATENATE("R2C",'Mapa final'!$Q$16),"")</f>
        <v/>
      </c>
      <c r="L7" s="37" t="str">
        <f>IF(AND('Mapa final'!$AA$17="Muy Alta",'Mapa final'!$AC$17="Leve"),CONCATENATE("R2C",'Mapa final'!$Q$17),"")</f>
        <v/>
      </c>
      <c r="M7" s="37" t="str">
        <f>IF(AND('Mapa final'!$AA$18="Muy Alta",'Mapa final'!$AC$18="Leve"),CONCATENATE("R2C",'Mapa final'!$Q$18),"")</f>
        <v/>
      </c>
      <c r="N7" s="37" t="str">
        <f>IF(AND('Mapa final'!$AA$19="Muy Alta",'Mapa final'!$AC$19="Leve"),CONCATENATE("R2C",'Mapa final'!$Q$19),"")</f>
        <v/>
      </c>
      <c r="O7" s="38" t="str">
        <f>IF(AND('Mapa final'!$AA$20="Muy Alta",'Mapa final'!$AC$20="Leve"),CONCATENATE("R2C",'Mapa final'!$Q$20),"")</f>
        <v/>
      </c>
      <c r="P7" s="36" t="str">
        <f ca="1">IF(AND('Mapa final'!$AA$15="Muy Alta",'Mapa final'!$AC$15="Menor"),CONCATENATE("R2C",'Mapa final'!$Q$15),"")</f>
        <v/>
      </c>
      <c r="Q7" s="37" t="str">
        <f ca="1">IF(AND('Mapa final'!$AA$16="Muy Alta",'Mapa final'!$AC$16="Menor"),CONCATENATE("R2C",'Mapa final'!$Q$16),"")</f>
        <v/>
      </c>
      <c r="R7" s="37" t="str">
        <f>IF(AND('Mapa final'!$AA$17="Muy Alta",'Mapa final'!$AC$17="Menor"),CONCATENATE("R2C",'Mapa final'!$Q$17),"")</f>
        <v/>
      </c>
      <c r="S7" s="37" t="str">
        <f>IF(AND('Mapa final'!$AA$18="Muy Alta",'Mapa final'!$AC$18="Menor"),CONCATENATE("R2C",'Mapa final'!$Q$18),"")</f>
        <v/>
      </c>
      <c r="T7" s="37" t="str">
        <f>IF(AND('Mapa final'!$AA$19="Muy Alta",'Mapa final'!$AC$19="Menor"),CONCATENATE("R2C",'Mapa final'!$Q$19),"")</f>
        <v/>
      </c>
      <c r="U7" s="38" t="str">
        <f>IF(AND('Mapa final'!$AA$20="Muy Alta",'Mapa final'!$AC$20="Menor"),CONCATENATE("R2C",'Mapa final'!$Q$20),"")</f>
        <v/>
      </c>
      <c r="V7" s="36" t="str">
        <f ca="1">IF(AND('Mapa final'!$AA$15="Muy Alta",'Mapa final'!$AC$15="Moderado"),CONCATENATE("R2C",'Mapa final'!$Q$15),"")</f>
        <v/>
      </c>
      <c r="W7" s="37" t="str">
        <f ca="1">IF(AND('Mapa final'!$AA$16="Muy Alta",'Mapa final'!$AC$16="Moderado"),CONCATENATE("R2C",'Mapa final'!$Q$16),"")</f>
        <v/>
      </c>
      <c r="X7" s="37" t="str">
        <f>IF(AND('Mapa final'!$AA$17="Muy Alta",'Mapa final'!$AC$17="Moderado"),CONCATENATE("R2C",'Mapa final'!$Q$17),"")</f>
        <v/>
      </c>
      <c r="Y7" s="37" t="str">
        <f>IF(AND('Mapa final'!$AA$18="Muy Alta",'Mapa final'!$AC$18="Moderado"),CONCATENATE("R2C",'Mapa final'!$Q$18),"")</f>
        <v/>
      </c>
      <c r="Z7" s="37" t="str">
        <f>IF(AND('Mapa final'!$AA$19="Muy Alta",'Mapa final'!$AC$19="Moderado"),CONCATENATE("R2C",'Mapa final'!$Q$19),"")</f>
        <v/>
      </c>
      <c r="AA7" s="38" t="str">
        <f>IF(AND('Mapa final'!$AA$20="Muy Alta",'Mapa final'!$AC$20="Moderado"),CONCATENATE("R2C",'Mapa final'!$Q$20),"")</f>
        <v/>
      </c>
      <c r="AB7" s="36" t="str">
        <f ca="1">IF(AND('Mapa final'!$AA$15="Muy Alta",'Mapa final'!$AC$15="Mayor"),CONCATENATE("R2C",'Mapa final'!$Q$15),"")</f>
        <v/>
      </c>
      <c r="AC7" s="37" t="str">
        <f ca="1">IF(AND('Mapa final'!$AA$16="Muy Alta",'Mapa final'!$AC$16="Mayor"),CONCATENATE("R2C",'Mapa final'!$Q$16),"")</f>
        <v/>
      </c>
      <c r="AD7" s="37" t="str">
        <f>IF(AND('Mapa final'!$AA$17="Muy Alta",'Mapa final'!$AC$17="Mayor"),CONCATENATE("R2C",'Mapa final'!$Q$17),"")</f>
        <v/>
      </c>
      <c r="AE7" s="37" t="str">
        <f>IF(AND('Mapa final'!$AA$18="Muy Alta",'Mapa final'!$AC$18="Mayor"),CONCATENATE("R2C",'Mapa final'!$Q$18),"")</f>
        <v/>
      </c>
      <c r="AF7" s="37" t="str">
        <f>IF(AND('Mapa final'!$AA$19="Muy Alta",'Mapa final'!$AC$19="Mayor"),CONCATENATE("R2C",'Mapa final'!$Q$19),"")</f>
        <v/>
      </c>
      <c r="AG7" s="38" t="str">
        <f>IF(AND('Mapa final'!$AA$20="Muy Alta",'Mapa final'!$AC$20="Mayor"),CONCATENATE("R2C",'Mapa final'!$Q$20),"")</f>
        <v/>
      </c>
      <c r="AH7" s="39" t="str">
        <f ca="1">IF(AND('Mapa final'!$AA$15="Muy Alta",'Mapa final'!$AC$15="Catastrófico"),CONCATENATE("R2C",'Mapa final'!$Q$15),"")</f>
        <v/>
      </c>
      <c r="AI7" s="40" t="str">
        <f ca="1">IF(AND('Mapa final'!$AA$16="Muy Alta",'Mapa final'!$AC$16="Catastrófico"),CONCATENATE("R2C",'Mapa final'!$Q$16),"")</f>
        <v/>
      </c>
      <c r="AJ7" s="40" t="str">
        <f>IF(AND('Mapa final'!$AA$17="Muy Alta",'Mapa final'!$AC$17="Catastrófico"),CONCATENATE("R2C",'Mapa final'!$Q$17),"")</f>
        <v/>
      </c>
      <c r="AK7" s="40" t="str">
        <f>IF(AND('Mapa final'!$AA$18="Muy Alta",'Mapa final'!$AC$18="Catastrófico"),CONCATENATE("R2C",'Mapa final'!$Q$18),"")</f>
        <v/>
      </c>
      <c r="AL7" s="40" t="str">
        <f>IF(AND('Mapa final'!$AA$19="Muy Alta",'Mapa final'!$AC$19="Catastrófico"),CONCATENATE("R2C",'Mapa final'!$Q$19),"")</f>
        <v/>
      </c>
      <c r="AM7" s="41" t="str">
        <f>IF(AND('Mapa final'!$AA$20="Muy Alta",'Mapa final'!$AC$20="Catastrófico"),CONCATENATE("R2C",'Mapa final'!$Q$20),"")</f>
        <v/>
      </c>
      <c r="AN7" s="67"/>
      <c r="AO7" s="433"/>
      <c r="AP7" s="434"/>
      <c r="AQ7" s="434"/>
      <c r="AR7" s="434"/>
      <c r="AS7" s="434"/>
      <c r="AT7" s="435"/>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372"/>
      <c r="C8" s="372"/>
      <c r="D8" s="373"/>
      <c r="E8" s="413"/>
      <c r="F8" s="414"/>
      <c r="G8" s="414"/>
      <c r="H8" s="414"/>
      <c r="I8" s="415"/>
      <c r="J8" s="36" t="str">
        <f>IF(AND('Mapa final'!$AA$21="Muy Alta",'Mapa final'!$AC$21="Leve"),CONCATENATE("R3C",'Mapa final'!$Q$21),"")</f>
        <v/>
      </c>
      <c r="K8" s="37" t="str">
        <f>IF(AND('Mapa final'!$AA$22="Muy Alta",'Mapa final'!$AC$22="Leve"),CONCATENATE("R3C",'Mapa final'!$Q$22),"")</f>
        <v/>
      </c>
      <c r="L8" s="37" t="str">
        <f>IF(AND('Mapa final'!$AA$23="Muy Alta",'Mapa final'!$AC$23="Leve"),CONCATENATE("R3C",'Mapa final'!$Q$23),"")</f>
        <v/>
      </c>
      <c r="M8" s="37" t="str">
        <f>IF(AND('Mapa final'!$AA$24="Muy Alta",'Mapa final'!$AC$24="Leve"),CONCATENATE("R3C",'Mapa final'!$Q$24),"")</f>
        <v/>
      </c>
      <c r="N8" s="37" t="str">
        <f>IF(AND('Mapa final'!$AA$25="Muy Alta",'Mapa final'!$AC$25="Leve"),CONCATENATE("R3C",'Mapa final'!$Q$25),"")</f>
        <v/>
      </c>
      <c r="O8" s="38" t="str">
        <f>IF(AND('Mapa final'!$AA$26="Muy Alta",'Mapa final'!$AC$26="Leve"),CONCATENATE("R3C",'Mapa final'!$Q$26),"")</f>
        <v/>
      </c>
      <c r="P8" s="36" t="str">
        <f>IF(AND('Mapa final'!$AA$21="Muy Alta",'Mapa final'!$AC$21="Menor"),CONCATENATE("R3C",'Mapa final'!$Q$21),"")</f>
        <v/>
      </c>
      <c r="Q8" s="37" t="str">
        <f>IF(AND('Mapa final'!$AA$22="Muy Alta",'Mapa final'!$AC$22="Menor"),CONCATENATE("R3C",'Mapa final'!$Q$22),"")</f>
        <v/>
      </c>
      <c r="R8" s="37" t="str">
        <f>IF(AND('Mapa final'!$AA$23="Muy Alta",'Mapa final'!$AC$23="Menor"),CONCATENATE("R3C",'Mapa final'!$Q$23),"")</f>
        <v/>
      </c>
      <c r="S8" s="37" t="str">
        <f>IF(AND('Mapa final'!$AA$24="Muy Alta",'Mapa final'!$AC$24="Menor"),CONCATENATE("R3C",'Mapa final'!$Q$24),"")</f>
        <v/>
      </c>
      <c r="T8" s="37" t="str">
        <f>IF(AND('Mapa final'!$AA$25="Muy Alta",'Mapa final'!$AC$25="Menor"),CONCATENATE("R3C",'Mapa final'!$Q$25),"")</f>
        <v/>
      </c>
      <c r="U8" s="38" t="str">
        <f>IF(AND('Mapa final'!$AA$26="Muy Alta",'Mapa final'!$AC$26="Menor"),CONCATENATE("R3C",'Mapa final'!$Q$26),"")</f>
        <v/>
      </c>
      <c r="V8" s="36" t="str">
        <f>IF(AND('Mapa final'!$AA$21="Muy Alta",'Mapa final'!$AC$21="Moderado"),CONCATENATE("R3C",'Mapa final'!$Q$21),"")</f>
        <v/>
      </c>
      <c r="W8" s="37" t="str">
        <f>IF(AND('Mapa final'!$AA$22="Muy Alta",'Mapa final'!$AC$22="Moderado"),CONCATENATE("R3C",'Mapa final'!$Q$22),"")</f>
        <v/>
      </c>
      <c r="X8" s="37" t="str">
        <f>IF(AND('Mapa final'!$AA$23="Muy Alta",'Mapa final'!$AC$23="Moderado"),CONCATENATE("R3C",'Mapa final'!$Q$23),"")</f>
        <v/>
      </c>
      <c r="Y8" s="37" t="str">
        <f>IF(AND('Mapa final'!$AA$24="Muy Alta",'Mapa final'!$AC$24="Moderado"),CONCATENATE("R3C",'Mapa final'!$Q$24),"")</f>
        <v/>
      </c>
      <c r="Z8" s="37" t="str">
        <f>IF(AND('Mapa final'!$AA$25="Muy Alta",'Mapa final'!$AC$25="Moderado"),CONCATENATE("R3C",'Mapa final'!$Q$25),"")</f>
        <v/>
      </c>
      <c r="AA8" s="38" t="str">
        <f>IF(AND('Mapa final'!$AA$26="Muy Alta",'Mapa final'!$AC$26="Moderado"),CONCATENATE("R3C",'Mapa final'!$Q$26),"")</f>
        <v/>
      </c>
      <c r="AB8" s="36" t="str">
        <f>IF(AND('Mapa final'!$AA$21="Muy Alta",'Mapa final'!$AC$21="Mayor"),CONCATENATE("R3C",'Mapa final'!$Q$21),"")</f>
        <v/>
      </c>
      <c r="AC8" s="37" t="str">
        <f>IF(AND('Mapa final'!$AA$22="Muy Alta",'Mapa final'!$AC$22="Mayor"),CONCATENATE("R3C",'Mapa final'!$Q$22),"")</f>
        <v/>
      </c>
      <c r="AD8" s="37" t="str">
        <f>IF(AND('Mapa final'!$AA$23="Muy Alta",'Mapa final'!$AC$23="Mayor"),CONCATENATE("R3C",'Mapa final'!$Q$23),"")</f>
        <v/>
      </c>
      <c r="AE8" s="37" t="str">
        <f>IF(AND('Mapa final'!$AA$24="Muy Alta",'Mapa final'!$AC$24="Mayor"),CONCATENATE("R3C",'Mapa final'!$Q$24),"")</f>
        <v/>
      </c>
      <c r="AF8" s="37" t="str">
        <f>IF(AND('Mapa final'!$AA$25="Muy Alta",'Mapa final'!$AC$25="Mayor"),CONCATENATE("R3C",'Mapa final'!$Q$25),"")</f>
        <v/>
      </c>
      <c r="AG8" s="38" t="str">
        <f>IF(AND('Mapa final'!$AA$26="Muy Alta",'Mapa final'!$AC$26="Mayor"),CONCATENATE("R3C",'Mapa final'!$Q$26),"")</f>
        <v/>
      </c>
      <c r="AH8" s="39" t="str">
        <f>IF(AND('Mapa final'!$AA$21="Muy Alta",'Mapa final'!$AC$21="Catastrófico"),CONCATENATE("R3C",'Mapa final'!$Q$21),"")</f>
        <v/>
      </c>
      <c r="AI8" s="40" t="str">
        <f>IF(AND('Mapa final'!$AA$22="Muy Alta",'Mapa final'!$AC$22="Catastrófico"),CONCATENATE("R3C",'Mapa final'!$Q$22),"")</f>
        <v/>
      </c>
      <c r="AJ8" s="40" t="str">
        <f>IF(AND('Mapa final'!$AA$23="Muy Alta",'Mapa final'!$AC$23="Catastrófico"),CONCATENATE("R3C",'Mapa final'!$Q$23),"")</f>
        <v/>
      </c>
      <c r="AK8" s="40" t="str">
        <f>IF(AND('Mapa final'!$AA$24="Muy Alta",'Mapa final'!$AC$24="Catastrófico"),CONCATENATE("R3C",'Mapa final'!$Q$24),"")</f>
        <v/>
      </c>
      <c r="AL8" s="40" t="str">
        <f>IF(AND('Mapa final'!$AA$25="Muy Alta",'Mapa final'!$AC$25="Catastrófico"),CONCATENATE("R3C",'Mapa final'!$Q$25),"")</f>
        <v/>
      </c>
      <c r="AM8" s="41" t="str">
        <f>IF(AND('Mapa final'!$AA$26="Muy Alta",'Mapa final'!$AC$26="Catastrófico"),CONCATENATE("R3C",'Mapa final'!$Q$26),"")</f>
        <v/>
      </c>
      <c r="AN8" s="67"/>
      <c r="AO8" s="433"/>
      <c r="AP8" s="434"/>
      <c r="AQ8" s="434"/>
      <c r="AR8" s="434"/>
      <c r="AS8" s="434"/>
      <c r="AT8" s="435"/>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372"/>
      <c r="C9" s="372"/>
      <c r="D9" s="373"/>
      <c r="E9" s="413"/>
      <c r="F9" s="414"/>
      <c r="G9" s="414"/>
      <c r="H9" s="414"/>
      <c r="I9" s="415"/>
      <c r="J9" s="36" t="str">
        <f>IF(AND('Mapa final'!$AA$27="Muy Alta",'Mapa final'!$AC$27="Leve"),CONCATENATE("R4C",'Mapa final'!$Q$27),"")</f>
        <v/>
      </c>
      <c r="K9" s="37" t="str">
        <f>IF(AND('Mapa final'!$AA$28="Muy Alta",'Mapa final'!$AC$28="Leve"),CONCATENATE("R4C",'Mapa final'!$Q$28),"")</f>
        <v/>
      </c>
      <c r="L9" s="37" t="str">
        <f>IF(AND('Mapa final'!$AA$29="Muy Alta",'Mapa final'!$AC$29="Leve"),CONCATENATE("R4C",'Mapa final'!$Q$29),"")</f>
        <v/>
      </c>
      <c r="M9" s="37" t="str">
        <f>IF(AND('Mapa final'!$AA$30="Muy Alta",'Mapa final'!$AC$30="Leve"),CONCATENATE("R4C",'Mapa final'!$Q$30),"")</f>
        <v/>
      </c>
      <c r="N9" s="37" t="str">
        <f>IF(AND('Mapa final'!$AA$31="Muy Alta",'Mapa final'!$AC$31="Leve"),CONCATENATE("R4C",'Mapa final'!$Q$31),"")</f>
        <v/>
      </c>
      <c r="O9" s="38" t="str">
        <f>IF(AND('Mapa final'!$AA$32="Muy Alta",'Mapa final'!$AC$32="Leve"),CONCATENATE("R4C",'Mapa final'!$Q$32),"")</f>
        <v/>
      </c>
      <c r="P9" s="36" t="str">
        <f>IF(AND('Mapa final'!$AA$27="Muy Alta",'Mapa final'!$AC$27="Menor"),CONCATENATE("R4C",'Mapa final'!$Q$27),"")</f>
        <v/>
      </c>
      <c r="Q9" s="37" t="str">
        <f>IF(AND('Mapa final'!$AA$28="Muy Alta",'Mapa final'!$AC$28="Menor"),CONCATENATE("R4C",'Mapa final'!$Q$28),"")</f>
        <v/>
      </c>
      <c r="R9" s="37" t="str">
        <f>IF(AND('Mapa final'!$AA$29="Muy Alta",'Mapa final'!$AC$29="Menor"),CONCATENATE("R4C",'Mapa final'!$Q$29),"")</f>
        <v/>
      </c>
      <c r="S9" s="37" t="str">
        <f>IF(AND('Mapa final'!$AA$30="Muy Alta",'Mapa final'!$AC$30="Menor"),CONCATENATE("R4C",'Mapa final'!$Q$30),"")</f>
        <v/>
      </c>
      <c r="T9" s="37" t="str">
        <f>IF(AND('Mapa final'!$AA$31="Muy Alta",'Mapa final'!$AC$31="Menor"),CONCATENATE("R4C",'Mapa final'!$Q$31),"")</f>
        <v/>
      </c>
      <c r="U9" s="38" t="str">
        <f>IF(AND('Mapa final'!$AA$32="Muy Alta",'Mapa final'!$AC$32="Menor"),CONCATENATE("R4C",'Mapa final'!$Q$32),"")</f>
        <v/>
      </c>
      <c r="V9" s="36" t="str">
        <f>IF(AND('Mapa final'!$AA$27="Muy Alta",'Mapa final'!$AC$27="Moderado"),CONCATENATE("R4C",'Mapa final'!$Q$27),"")</f>
        <v/>
      </c>
      <c r="W9" s="37" t="str">
        <f>IF(AND('Mapa final'!$AA$28="Muy Alta",'Mapa final'!$AC$28="Moderado"),CONCATENATE("R4C",'Mapa final'!$Q$28),"")</f>
        <v/>
      </c>
      <c r="X9" s="37" t="str">
        <f>IF(AND('Mapa final'!$AA$29="Muy Alta",'Mapa final'!$AC$29="Moderado"),CONCATENATE("R4C",'Mapa final'!$Q$29),"")</f>
        <v/>
      </c>
      <c r="Y9" s="37" t="str">
        <f>IF(AND('Mapa final'!$AA$30="Muy Alta",'Mapa final'!$AC$30="Moderado"),CONCATENATE("R4C",'Mapa final'!$Q$30),"")</f>
        <v/>
      </c>
      <c r="Z9" s="37" t="str">
        <f>IF(AND('Mapa final'!$AA$31="Muy Alta",'Mapa final'!$AC$31="Moderado"),CONCATENATE("R4C",'Mapa final'!$Q$31),"")</f>
        <v/>
      </c>
      <c r="AA9" s="38" t="str">
        <f>IF(AND('Mapa final'!$AA$32="Muy Alta",'Mapa final'!$AC$32="Moderado"),CONCATENATE("R4C",'Mapa final'!$Q$32),"")</f>
        <v/>
      </c>
      <c r="AB9" s="36" t="str">
        <f>IF(AND('Mapa final'!$AA$27="Muy Alta",'Mapa final'!$AC$27="Mayor"),CONCATENATE("R4C",'Mapa final'!$Q$27),"")</f>
        <v/>
      </c>
      <c r="AC9" s="37" t="str">
        <f>IF(AND('Mapa final'!$AA$28="Muy Alta",'Mapa final'!$AC$28="Mayor"),CONCATENATE("R4C",'Mapa final'!$Q$28),"")</f>
        <v/>
      </c>
      <c r="AD9" s="37" t="str">
        <f>IF(AND('Mapa final'!$AA$29="Muy Alta",'Mapa final'!$AC$29="Mayor"),CONCATENATE("R4C",'Mapa final'!$Q$29),"")</f>
        <v/>
      </c>
      <c r="AE9" s="37" t="str">
        <f>IF(AND('Mapa final'!$AA$30="Muy Alta",'Mapa final'!$AC$30="Mayor"),CONCATENATE("R4C",'Mapa final'!$Q$30),"")</f>
        <v/>
      </c>
      <c r="AF9" s="37" t="str">
        <f>IF(AND('Mapa final'!$AA$31="Muy Alta",'Mapa final'!$AC$31="Mayor"),CONCATENATE("R4C",'Mapa final'!$Q$31),"")</f>
        <v/>
      </c>
      <c r="AG9" s="38" t="str">
        <f>IF(AND('Mapa final'!$AA$32="Muy Alta",'Mapa final'!$AC$32="Mayor"),CONCATENATE("R4C",'Mapa final'!$Q$32),"")</f>
        <v/>
      </c>
      <c r="AH9" s="39" t="str">
        <f>IF(AND('Mapa final'!$AA$27="Muy Alta",'Mapa final'!$AC$27="Catastrófico"),CONCATENATE("R4C",'Mapa final'!$Q$27),"")</f>
        <v/>
      </c>
      <c r="AI9" s="40" t="str">
        <f>IF(AND('Mapa final'!$AA$28="Muy Alta",'Mapa final'!$AC$28="Catastrófico"),CONCATENATE("R4C",'Mapa final'!$Q$28),"")</f>
        <v/>
      </c>
      <c r="AJ9" s="40" t="str">
        <f>IF(AND('Mapa final'!$AA$29="Muy Alta",'Mapa final'!$AC$29="Catastrófico"),CONCATENATE("R4C",'Mapa final'!$Q$29),"")</f>
        <v/>
      </c>
      <c r="AK9" s="40" t="str">
        <f>IF(AND('Mapa final'!$AA$30="Muy Alta",'Mapa final'!$AC$30="Catastrófico"),CONCATENATE("R4C",'Mapa final'!$Q$30),"")</f>
        <v/>
      </c>
      <c r="AL9" s="40" t="str">
        <f>IF(AND('Mapa final'!$AA$31="Muy Alta",'Mapa final'!$AC$31="Catastrófico"),CONCATENATE("R4C",'Mapa final'!$Q$31),"")</f>
        <v/>
      </c>
      <c r="AM9" s="41" t="str">
        <f>IF(AND('Mapa final'!$AA$32="Muy Alta",'Mapa final'!$AC$32="Catastrófico"),CONCATENATE("R4C",'Mapa final'!$Q$32),"")</f>
        <v/>
      </c>
      <c r="AN9" s="67"/>
      <c r="AO9" s="433"/>
      <c r="AP9" s="434"/>
      <c r="AQ9" s="434"/>
      <c r="AR9" s="434"/>
      <c r="AS9" s="434"/>
      <c r="AT9" s="435"/>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372"/>
      <c r="C10" s="372"/>
      <c r="D10" s="373"/>
      <c r="E10" s="413"/>
      <c r="F10" s="414"/>
      <c r="G10" s="414"/>
      <c r="H10" s="414"/>
      <c r="I10" s="415"/>
      <c r="J10" s="36" t="str">
        <f>IF(AND('Mapa final'!$AA$33="Muy Alta",'Mapa final'!$AC$33="Leve"),CONCATENATE("R5C",'Mapa final'!$Q$33),"")</f>
        <v/>
      </c>
      <c r="K10" s="37" t="str">
        <f>IF(AND('Mapa final'!$AA$34="Muy Alta",'Mapa final'!$AC$34="Leve"),CONCATENATE("R5C",'Mapa final'!$Q$34),"")</f>
        <v/>
      </c>
      <c r="L10" s="37" t="str">
        <f>IF(AND('Mapa final'!$AA$35="Muy Alta",'Mapa final'!$AC$35="Leve"),CONCATENATE("R5C",'Mapa final'!$Q$35),"")</f>
        <v/>
      </c>
      <c r="M10" s="37" t="str">
        <f>IF(AND('Mapa final'!$AA$36="Muy Alta",'Mapa final'!$AC$36="Leve"),CONCATENATE("R5C",'Mapa final'!$Q$36),"")</f>
        <v/>
      </c>
      <c r="N10" s="37" t="str">
        <f>IF(AND('Mapa final'!$AA$37="Muy Alta",'Mapa final'!$AC$37="Leve"),CONCATENATE("R5C",'Mapa final'!$Q$37),"")</f>
        <v/>
      </c>
      <c r="O10" s="38" t="str">
        <f>IF(AND('Mapa final'!$AA$38="Muy Alta",'Mapa final'!$AC$38="Leve"),CONCATENATE("R5C",'Mapa final'!$Q$38),"")</f>
        <v/>
      </c>
      <c r="P10" s="36" t="str">
        <f>IF(AND('Mapa final'!$AA$33="Muy Alta",'Mapa final'!$AC$33="Menor"),CONCATENATE("R5C",'Mapa final'!$Q$33),"")</f>
        <v/>
      </c>
      <c r="Q10" s="37" t="str">
        <f>IF(AND('Mapa final'!$AA$34="Muy Alta",'Mapa final'!$AC$34="Menor"),CONCATENATE("R5C",'Mapa final'!$Q$34),"")</f>
        <v/>
      </c>
      <c r="R10" s="37" t="str">
        <f>IF(AND('Mapa final'!$AA$35="Muy Alta",'Mapa final'!$AC$35="Menor"),CONCATENATE("R5C",'Mapa final'!$Q$35),"")</f>
        <v/>
      </c>
      <c r="S10" s="37" t="str">
        <f>IF(AND('Mapa final'!$AA$36="Muy Alta",'Mapa final'!$AC$36="Menor"),CONCATENATE("R5C",'Mapa final'!$Q$36),"")</f>
        <v/>
      </c>
      <c r="T10" s="37" t="str">
        <f>IF(AND('Mapa final'!$AA$37="Muy Alta",'Mapa final'!$AC$37="Menor"),CONCATENATE("R5C",'Mapa final'!$Q$37),"")</f>
        <v/>
      </c>
      <c r="U10" s="38" t="str">
        <f>IF(AND('Mapa final'!$AA$38="Muy Alta",'Mapa final'!$AC$38="Menor"),CONCATENATE("R5C",'Mapa final'!$Q$38),"")</f>
        <v/>
      </c>
      <c r="V10" s="36" t="str">
        <f>IF(AND('Mapa final'!$AA$33="Muy Alta",'Mapa final'!$AC$33="Moderado"),CONCATENATE("R5C",'Mapa final'!$Q$33),"")</f>
        <v/>
      </c>
      <c r="W10" s="37" t="str">
        <f>IF(AND('Mapa final'!$AA$34="Muy Alta",'Mapa final'!$AC$34="Moderado"),CONCATENATE("R5C",'Mapa final'!$Q$34),"")</f>
        <v/>
      </c>
      <c r="X10" s="37" t="str">
        <f>IF(AND('Mapa final'!$AA$35="Muy Alta",'Mapa final'!$AC$35="Moderado"),CONCATENATE("R5C",'Mapa final'!$Q$35),"")</f>
        <v/>
      </c>
      <c r="Y10" s="37" t="str">
        <f>IF(AND('Mapa final'!$AA$36="Muy Alta",'Mapa final'!$AC$36="Moderado"),CONCATENATE("R5C",'Mapa final'!$Q$36),"")</f>
        <v/>
      </c>
      <c r="Z10" s="37" t="str">
        <f>IF(AND('Mapa final'!$AA$37="Muy Alta",'Mapa final'!$AC$37="Moderado"),CONCATENATE("R5C",'Mapa final'!$Q$37),"")</f>
        <v/>
      </c>
      <c r="AA10" s="38" t="str">
        <f>IF(AND('Mapa final'!$AA$38="Muy Alta",'Mapa final'!$AC$38="Moderado"),CONCATENATE("R5C",'Mapa final'!$Q$38),"")</f>
        <v/>
      </c>
      <c r="AB10" s="36" t="str">
        <f>IF(AND('Mapa final'!$AA$33="Muy Alta",'Mapa final'!$AC$33="Mayor"),CONCATENATE("R5C",'Mapa final'!$Q$33),"")</f>
        <v/>
      </c>
      <c r="AC10" s="37" t="str">
        <f>IF(AND('Mapa final'!$AA$34="Muy Alta",'Mapa final'!$AC$34="Mayor"),CONCATENATE("R5C",'Mapa final'!$Q$34),"")</f>
        <v/>
      </c>
      <c r="AD10" s="37" t="str">
        <f>IF(AND('Mapa final'!$AA$35="Muy Alta",'Mapa final'!$AC$35="Mayor"),CONCATENATE("R5C",'Mapa final'!$Q$35),"")</f>
        <v/>
      </c>
      <c r="AE10" s="37" t="str">
        <f>IF(AND('Mapa final'!$AA$36="Muy Alta",'Mapa final'!$AC$36="Mayor"),CONCATENATE("R5C",'Mapa final'!$Q$36),"")</f>
        <v/>
      </c>
      <c r="AF10" s="37" t="str">
        <f>IF(AND('Mapa final'!$AA$37="Muy Alta",'Mapa final'!$AC$37="Mayor"),CONCATENATE("R5C",'Mapa final'!$Q$37),"")</f>
        <v/>
      </c>
      <c r="AG10" s="38" t="str">
        <f>IF(AND('Mapa final'!$AA$38="Muy Alta",'Mapa final'!$AC$38="Mayor"),CONCATENATE("R5C",'Mapa final'!$Q$38),"")</f>
        <v/>
      </c>
      <c r="AH10" s="39" t="str">
        <f>IF(AND('Mapa final'!$AA$33="Muy Alta",'Mapa final'!$AC$33="Catastrófico"),CONCATENATE("R5C",'Mapa final'!$Q$33),"")</f>
        <v/>
      </c>
      <c r="AI10" s="40" t="str">
        <f>IF(AND('Mapa final'!$AA$34="Muy Alta",'Mapa final'!$AC$34="Catastrófico"),CONCATENATE("R5C",'Mapa final'!$Q$34),"")</f>
        <v/>
      </c>
      <c r="AJ10" s="40" t="str">
        <f>IF(AND('Mapa final'!$AA$35="Muy Alta",'Mapa final'!$AC$35="Catastrófico"),CONCATENATE("R5C",'Mapa final'!$Q$35),"")</f>
        <v/>
      </c>
      <c r="AK10" s="40" t="str">
        <f>IF(AND('Mapa final'!$AA$36="Muy Alta",'Mapa final'!$AC$36="Catastrófico"),CONCATENATE("R5C",'Mapa final'!$Q$36),"")</f>
        <v/>
      </c>
      <c r="AL10" s="40" t="str">
        <f>IF(AND('Mapa final'!$AA$37="Muy Alta",'Mapa final'!$AC$37="Catastrófico"),CONCATENATE("R5C",'Mapa final'!$Q$37),"")</f>
        <v/>
      </c>
      <c r="AM10" s="41" t="str">
        <f>IF(AND('Mapa final'!$AA$38="Muy Alta",'Mapa final'!$AC$38="Catastrófico"),CONCATENATE("R5C",'Mapa final'!$Q$38),"")</f>
        <v/>
      </c>
      <c r="AN10" s="67"/>
      <c r="AO10" s="433"/>
      <c r="AP10" s="434"/>
      <c r="AQ10" s="434"/>
      <c r="AR10" s="434"/>
      <c r="AS10" s="434"/>
      <c r="AT10" s="435"/>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372"/>
      <c r="C11" s="372"/>
      <c r="D11" s="373"/>
      <c r="E11" s="413"/>
      <c r="F11" s="414"/>
      <c r="G11" s="414"/>
      <c r="H11" s="414"/>
      <c r="I11" s="415"/>
      <c r="J11" s="36" t="str">
        <f>IF(AND('Mapa final'!$AA$39="Muy Alta",'Mapa final'!$AC$39="Leve"),CONCATENATE("R6C",'Mapa final'!$Q$39),"")</f>
        <v/>
      </c>
      <c r="K11" s="37" t="str">
        <f>IF(AND('Mapa final'!$AA$40="Muy Alta",'Mapa final'!$AC$40="Leve"),CONCATENATE("R6C",'Mapa final'!$Q$40),"")</f>
        <v/>
      </c>
      <c r="L11" s="37" t="str">
        <f>IF(AND('Mapa final'!$AA$41="Muy Alta",'Mapa final'!$AC$41="Leve"),CONCATENATE("R6C",'Mapa final'!$Q$41),"")</f>
        <v/>
      </c>
      <c r="M11" s="37" t="str">
        <f>IF(AND('Mapa final'!$AA$42="Muy Alta",'Mapa final'!$AC$42="Leve"),CONCATENATE("R6C",'Mapa final'!$Q$42),"")</f>
        <v/>
      </c>
      <c r="N11" s="37" t="str">
        <f>IF(AND('Mapa final'!$AA$43="Muy Alta",'Mapa final'!$AC$43="Leve"),CONCATENATE("R6C",'Mapa final'!$Q$43),"")</f>
        <v/>
      </c>
      <c r="O11" s="38" t="str">
        <f>IF(AND('Mapa final'!$AA$44="Muy Alta",'Mapa final'!$AC$44="Leve"),CONCATENATE("R6C",'Mapa final'!$Q$44),"")</f>
        <v/>
      </c>
      <c r="P11" s="36" t="str">
        <f>IF(AND('Mapa final'!$AA$39="Muy Alta",'Mapa final'!$AC$39="Menor"),CONCATENATE("R6C",'Mapa final'!$Q$39),"")</f>
        <v/>
      </c>
      <c r="Q11" s="37" t="str">
        <f>IF(AND('Mapa final'!$AA$40="Muy Alta",'Mapa final'!$AC$40="Menor"),CONCATENATE("R6C",'Mapa final'!$Q$40),"")</f>
        <v/>
      </c>
      <c r="R11" s="37" t="str">
        <f>IF(AND('Mapa final'!$AA$41="Muy Alta",'Mapa final'!$AC$41="Menor"),CONCATENATE("R6C",'Mapa final'!$Q$41),"")</f>
        <v/>
      </c>
      <c r="S11" s="37" t="str">
        <f>IF(AND('Mapa final'!$AA$42="Muy Alta",'Mapa final'!$AC$42="Menor"),CONCATENATE("R6C",'Mapa final'!$Q$42),"")</f>
        <v/>
      </c>
      <c r="T11" s="37" t="str">
        <f>IF(AND('Mapa final'!$AA$43="Muy Alta",'Mapa final'!$AC$43="Menor"),CONCATENATE("R6C",'Mapa final'!$Q$43),"")</f>
        <v/>
      </c>
      <c r="U11" s="38" t="str">
        <f>IF(AND('Mapa final'!$AA$44="Muy Alta",'Mapa final'!$AC$44="Menor"),CONCATENATE("R6C",'Mapa final'!$Q$44),"")</f>
        <v/>
      </c>
      <c r="V11" s="36" t="str">
        <f>IF(AND('Mapa final'!$AA$39="Muy Alta",'Mapa final'!$AC$39="Moderado"),CONCATENATE("R6C",'Mapa final'!$Q$39),"")</f>
        <v/>
      </c>
      <c r="W11" s="37" t="str">
        <f>IF(AND('Mapa final'!$AA$40="Muy Alta",'Mapa final'!$AC$40="Moderado"),CONCATENATE("R6C",'Mapa final'!$Q$40),"")</f>
        <v/>
      </c>
      <c r="X11" s="37" t="str">
        <f>IF(AND('Mapa final'!$AA$41="Muy Alta",'Mapa final'!$AC$41="Moderado"),CONCATENATE("R6C",'Mapa final'!$Q$41),"")</f>
        <v/>
      </c>
      <c r="Y11" s="37" t="str">
        <f>IF(AND('Mapa final'!$AA$42="Muy Alta",'Mapa final'!$AC$42="Moderado"),CONCATENATE("R6C",'Mapa final'!$Q$42),"")</f>
        <v/>
      </c>
      <c r="Z11" s="37" t="str">
        <f>IF(AND('Mapa final'!$AA$43="Muy Alta",'Mapa final'!$AC$43="Moderado"),CONCATENATE("R6C",'Mapa final'!$Q$43),"")</f>
        <v/>
      </c>
      <c r="AA11" s="38" t="str">
        <f>IF(AND('Mapa final'!$AA$44="Muy Alta",'Mapa final'!$AC$44="Moderado"),CONCATENATE("R6C",'Mapa final'!$Q$44),"")</f>
        <v/>
      </c>
      <c r="AB11" s="36" t="str">
        <f>IF(AND('Mapa final'!$AA$39="Muy Alta",'Mapa final'!$AC$39="Mayor"),CONCATENATE("R6C",'Mapa final'!$Q$39),"")</f>
        <v/>
      </c>
      <c r="AC11" s="37" t="str">
        <f>IF(AND('Mapa final'!$AA$40="Muy Alta",'Mapa final'!$AC$40="Mayor"),CONCATENATE("R6C",'Mapa final'!$Q$40),"")</f>
        <v/>
      </c>
      <c r="AD11" s="37" t="str">
        <f>IF(AND('Mapa final'!$AA$41="Muy Alta",'Mapa final'!$AC$41="Mayor"),CONCATENATE("R6C",'Mapa final'!$Q$41),"")</f>
        <v/>
      </c>
      <c r="AE11" s="37" t="str">
        <f>IF(AND('Mapa final'!$AA$42="Muy Alta",'Mapa final'!$AC$42="Mayor"),CONCATENATE("R6C",'Mapa final'!$Q$42),"")</f>
        <v/>
      </c>
      <c r="AF11" s="37" t="str">
        <f>IF(AND('Mapa final'!$AA$43="Muy Alta",'Mapa final'!$AC$43="Mayor"),CONCATENATE("R6C",'Mapa final'!$Q$43),"")</f>
        <v/>
      </c>
      <c r="AG11" s="38" t="str">
        <f>IF(AND('Mapa final'!$AA$44="Muy Alta",'Mapa final'!$AC$44="Mayor"),CONCATENATE("R6C",'Mapa final'!$Q$44),"")</f>
        <v/>
      </c>
      <c r="AH11" s="39" t="str">
        <f>IF(AND('Mapa final'!$AA$39="Muy Alta",'Mapa final'!$AC$39="Catastrófico"),CONCATENATE("R6C",'Mapa final'!$Q$39),"")</f>
        <v/>
      </c>
      <c r="AI11" s="40" t="str">
        <f>IF(AND('Mapa final'!$AA$40="Muy Alta",'Mapa final'!$AC$40="Catastrófico"),CONCATENATE("R6C",'Mapa final'!$Q$40),"")</f>
        <v/>
      </c>
      <c r="AJ11" s="40" t="str">
        <f>IF(AND('Mapa final'!$AA$41="Muy Alta",'Mapa final'!$AC$41="Catastrófico"),CONCATENATE("R6C",'Mapa final'!$Q$41),"")</f>
        <v/>
      </c>
      <c r="AK11" s="40" t="str">
        <f>IF(AND('Mapa final'!$AA$42="Muy Alta",'Mapa final'!$AC$42="Catastrófico"),CONCATENATE("R6C",'Mapa final'!$Q$42),"")</f>
        <v/>
      </c>
      <c r="AL11" s="40" t="str">
        <f>IF(AND('Mapa final'!$AA$43="Muy Alta",'Mapa final'!$AC$43="Catastrófico"),CONCATENATE("R6C",'Mapa final'!$Q$43),"")</f>
        <v/>
      </c>
      <c r="AM11" s="41" t="str">
        <f>IF(AND('Mapa final'!$AA$44="Muy Alta",'Mapa final'!$AC$44="Catastrófico"),CONCATENATE("R6C",'Mapa final'!$Q$44),"")</f>
        <v/>
      </c>
      <c r="AN11" s="67"/>
      <c r="AO11" s="433"/>
      <c r="AP11" s="434"/>
      <c r="AQ11" s="434"/>
      <c r="AR11" s="434"/>
      <c r="AS11" s="434"/>
      <c r="AT11" s="435"/>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372"/>
      <c r="C12" s="372"/>
      <c r="D12" s="373"/>
      <c r="E12" s="413"/>
      <c r="F12" s="414"/>
      <c r="G12" s="414"/>
      <c r="H12" s="414"/>
      <c r="I12" s="415"/>
      <c r="J12" s="36" t="str">
        <f>IF(AND('Mapa final'!$AA$45="Muy Alta",'Mapa final'!$AC$45="Leve"),CONCATENATE("R7C",'Mapa final'!$Q$45),"")</f>
        <v/>
      </c>
      <c r="K12" s="37" t="str">
        <f>IF(AND('Mapa final'!$AA$46="Muy Alta",'Mapa final'!$AC$46="Leve"),CONCATENATE("R7C",'Mapa final'!$Q$46),"")</f>
        <v/>
      </c>
      <c r="L12" s="37" t="str">
        <f>IF(AND('Mapa final'!$AA$47="Muy Alta",'Mapa final'!$AC$47="Leve"),CONCATENATE("R7C",'Mapa final'!$Q$47),"")</f>
        <v/>
      </c>
      <c r="M12" s="37" t="str">
        <f>IF(AND('Mapa final'!$AA$48="Muy Alta",'Mapa final'!$AC$48="Leve"),CONCATENATE("R7C",'Mapa final'!$Q$48),"")</f>
        <v/>
      </c>
      <c r="N12" s="37" t="str">
        <f>IF(AND('Mapa final'!$AA$49="Muy Alta",'Mapa final'!$AC$49="Leve"),CONCATENATE("R7C",'Mapa final'!$Q$49),"")</f>
        <v/>
      </c>
      <c r="O12" s="38" t="str">
        <f>IF(AND('Mapa final'!$AA$50="Muy Alta",'Mapa final'!$AC$50="Leve"),CONCATENATE("R7C",'Mapa final'!$Q$50),"")</f>
        <v/>
      </c>
      <c r="P12" s="36" t="str">
        <f>IF(AND('Mapa final'!$AA$45="Muy Alta",'Mapa final'!$AC$45="Menor"),CONCATENATE("R7C",'Mapa final'!$Q$45),"")</f>
        <v/>
      </c>
      <c r="Q12" s="37" t="str">
        <f>IF(AND('Mapa final'!$AA$46="Muy Alta",'Mapa final'!$AC$46="Menor"),CONCATENATE("R7C",'Mapa final'!$Q$46),"")</f>
        <v/>
      </c>
      <c r="R12" s="37" t="str">
        <f>IF(AND('Mapa final'!$AA$47="Muy Alta",'Mapa final'!$AC$47="Menor"),CONCATENATE("R7C",'Mapa final'!$Q$47),"")</f>
        <v/>
      </c>
      <c r="S12" s="37" t="str">
        <f>IF(AND('Mapa final'!$AA$48="Muy Alta",'Mapa final'!$AC$48="Menor"),CONCATENATE("R7C",'Mapa final'!$Q$48),"")</f>
        <v/>
      </c>
      <c r="T12" s="37" t="str">
        <f>IF(AND('Mapa final'!$AA$49="Muy Alta",'Mapa final'!$AC$49="Menor"),CONCATENATE("R7C",'Mapa final'!$Q$49),"")</f>
        <v/>
      </c>
      <c r="U12" s="38" t="str">
        <f>IF(AND('Mapa final'!$AA$50="Muy Alta",'Mapa final'!$AC$50="Menor"),CONCATENATE("R7C",'Mapa final'!$Q$50),"")</f>
        <v/>
      </c>
      <c r="V12" s="36" t="str">
        <f>IF(AND('Mapa final'!$AA$45="Muy Alta",'Mapa final'!$AC$45="Moderado"),CONCATENATE("R7C",'Mapa final'!$Q$45),"")</f>
        <v/>
      </c>
      <c r="W12" s="37" t="str">
        <f>IF(AND('Mapa final'!$AA$46="Muy Alta",'Mapa final'!$AC$46="Moderado"),CONCATENATE("R7C",'Mapa final'!$Q$46),"")</f>
        <v/>
      </c>
      <c r="X12" s="37" t="str">
        <f>IF(AND('Mapa final'!$AA$47="Muy Alta",'Mapa final'!$AC$47="Moderado"),CONCATENATE("R7C",'Mapa final'!$Q$47),"")</f>
        <v/>
      </c>
      <c r="Y12" s="37" t="str">
        <f>IF(AND('Mapa final'!$AA$48="Muy Alta",'Mapa final'!$AC$48="Moderado"),CONCATENATE("R7C",'Mapa final'!$Q$48),"")</f>
        <v/>
      </c>
      <c r="Z12" s="37" t="str">
        <f>IF(AND('Mapa final'!$AA$49="Muy Alta",'Mapa final'!$AC$49="Moderado"),CONCATENATE("R7C",'Mapa final'!$Q$49),"")</f>
        <v/>
      </c>
      <c r="AA12" s="38" t="str">
        <f>IF(AND('Mapa final'!$AA$50="Muy Alta",'Mapa final'!$AC$50="Moderado"),CONCATENATE("R7C",'Mapa final'!$Q$50),"")</f>
        <v/>
      </c>
      <c r="AB12" s="36" t="str">
        <f>IF(AND('Mapa final'!$AA$45="Muy Alta",'Mapa final'!$AC$45="Mayor"),CONCATENATE("R7C",'Mapa final'!$Q$45),"")</f>
        <v/>
      </c>
      <c r="AC12" s="37" t="str">
        <f>IF(AND('Mapa final'!$AA$46="Muy Alta",'Mapa final'!$AC$46="Mayor"),CONCATENATE("R7C",'Mapa final'!$Q$46),"")</f>
        <v/>
      </c>
      <c r="AD12" s="37" t="str">
        <f>IF(AND('Mapa final'!$AA$47="Muy Alta",'Mapa final'!$AC$47="Mayor"),CONCATENATE("R7C",'Mapa final'!$Q$47),"")</f>
        <v/>
      </c>
      <c r="AE12" s="37" t="str">
        <f>IF(AND('Mapa final'!$AA$48="Muy Alta",'Mapa final'!$AC$48="Mayor"),CONCATENATE("R7C",'Mapa final'!$Q$48),"")</f>
        <v/>
      </c>
      <c r="AF12" s="37" t="str">
        <f>IF(AND('Mapa final'!$AA$49="Muy Alta",'Mapa final'!$AC$49="Mayor"),CONCATENATE("R7C",'Mapa final'!$Q$49),"")</f>
        <v/>
      </c>
      <c r="AG12" s="38" t="str">
        <f>IF(AND('Mapa final'!$AA$50="Muy Alta",'Mapa final'!$AC$50="Mayor"),CONCATENATE("R7C",'Mapa final'!$Q$50),"")</f>
        <v/>
      </c>
      <c r="AH12" s="39" t="str">
        <f>IF(AND('Mapa final'!$AA$45="Muy Alta",'Mapa final'!$AC$45="Catastrófico"),CONCATENATE("R7C",'Mapa final'!$Q$45),"")</f>
        <v/>
      </c>
      <c r="AI12" s="40" t="str">
        <f>IF(AND('Mapa final'!$AA$46="Muy Alta",'Mapa final'!$AC$46="Catastrófico"),CONCATENATE("R7C",'Mapa final'!$Q$46),"")</f>
        <v/>
      </c>
      <c r="AJ12" s="40" t="str">
        <f>IF(AND('Mapa final'!$AA$47="Muy Alta",'Mapa final'!$AC$47="Catastrófico"),CONCATENATE("R7C",'Mapa final'!$Q$47),"")</f>
        <v/>
      </c>
      <c r="AK12" s="40" t="str">
        <f>IF(AND('Mapa final'!$AA$48="Muy Alta",'Mapa final'!$AC$48="Catastrófico"),CONCATENATE("R7C",'Mapa final'!$Q$48),"")</f>
        <v/>
      </c>
      <c r="AL12" s="40" t="str">
        <f>IF(AND('Mapa final'!$AA$49="Muy Alta",'Mapa final'!$AC$49="Catastrófico"),CONCATENATE("R7C",'Mapa final'!$Q$49),"")</f>
        <v/>
      </c>
      <c r="AM12" s="41" t="str">
        <f>IF(AND('Mapa final'!$AA$50="Muy Alta",'Mapa final'!$AC$50="Catastrófico"),CONCATENATE("R7C",'Mapa final'!$Q$50),"")</f>
        <v/>
      </c>
      <c r="AN12" s="67"/>
      <c r="AO12" s="433"/>
      <c r="AP12" s="434"/>
      <c r="AQ12" s="434"/>
      <c r="AR12" s="434"/>
      <c r="AS12" s="434"/>
      <c r="AT12" s="435"/>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372"/>
      <c r="C13" s="372"/>
      <c r="D13" s="373"/>
      <c r="E13" s="413"/>
      <c r="F13" s="414"/>
      <c r="G13" s="414"/>
      <c r="H13" s="414"/>
      <c r="I13" s="415"/>
      <c r="J13" s="36" t="str">
        <f>IF(AND('Mapa final'!$AA$51="Muy Alta",'Mapa final'!$AC$51="Leve"),CONCATENATE("R8C",'Mapa final'!$Q$51),"")</f>
        <v/>
      </c>
      <c r="K13" s="37" t="str">
        <f>IF(AND('Mapa final'!$AA$52="Muy Alta",'Mapa final'!$AC$52="Leve"),CONCATENATE("R8C",'Mapa final'!$Q$52),"")</f>
        <v/>
      </c>
      <c r="L13" s="37" t="str">
        <f>IF(AND('Mapa final'!$AA$53="Muy Alta",'Mapa final'!$AC$53="Leve"),CONCATENATE("R8C",'Mapa final'!$Q$53),"")</f>
        <v/>
      </c>
      <c r="M13" s="37" t="str">
        <f>IF(AND('Mapa final'!$AA$54="Muy Alta",'Mapa final'!$AC$54="Leve"),CONCATENATE("R8C",'Mapa final'!$Q$54),"")</f>
        <v/>
      </c>
      <c r="N13" s="37" t="str">
        <f>IF(AND('Mapa final'!$AA$55="Muy Alta",'Mapa final'!$AC$55="Leve"),CONCATENATE("R8C",'Mapa final'!$Q$55),"")</f>
        <v/>
      </c>
      <c r="O13" s="38" t="str">
        <f>IF(AND('Mapa final'!$AA$56="Muy Alta",'Mapa final'!$AC$56="Leve"),CONCATENATE("R8C",'Mapa final'!$Q$56),"")</f>
        <v/>
      </c>
      <c r="P13" s="36" t="str">
        <f>IF(AND('Mapa final'!$AA$51="Muy Alta",'Mapa final'!$AC$51="Menor"),CONCATENATE("R8C",'Mapa final'!$Q$51),"")</f>
        <v/>
      </c>
      <c r="Q13" s="37" t="str">
        <f>IF(AND('Mapa final'!$AA$52="Muy Alta",'Mapa final'!$AC$52="Menor"),CONCATENATE("R8C",'Mapa final'!$Q$52),"")</f>
        <v/>
      </c>
      <c r="R13" s="37" t="str">
        <f>IF(AND('Mapa final'!$AA$53="Muy Alta",'Mapa final'!$AC$53="Menor"),CONCATENATE("R8C",'Mapa final'!$Q$53),"")</f>
        <v/>
      </c>
      <c r="S13" s="37" t="str">
        <f>IF(AND('Mapa final'!$AA$54="Muy Alta",'Mapa final'!$AC$54="Menor"),CONCATENATE("R8C",'Mapa final'!$Q$54),"")</f>
        <v/>
      </c>
      <c r="T13" s="37" t="str">
        <f>IF(AND('Mapa final'!$AA$55="Muy Alta",'Mapa final'!$AC$55="Menor"),CONCATENATE("R8C",'Mapa final'!$Q$55),"")</f>
        <v/>
      </c>
      <c r="U13" s="38" t="str">
        <f>IF(AND('Mapa final'!$AA$56="Muy Alta",'Mapa final'!$AC$56="Menor"),CONCATENATE("R8C",'Mapa final'!$Q$56),"")</f>
        <v/>
      </c>
      <c r="V13" s="36" t="str">
        <f>IF(AND('Mapa final'!$AA$51="Muy Alta",'Mapa final'!$AC$51="Moderado"),CONCATENATE("R8C",'Mapa final'!$Q$51),"")</f>
        <v/>
      </c>
      <c r="W13" s="37" t="str">
        <f>IF(AND('Mapa final'!$AA$52="Muy Alta",'Mapa final'!$AC$52="Moderado"),CONCATENATE("R8C",'Mapa final'!$Q$52),"")</f>
        <v/>
      </c>
      <c r="X13" s="37" t="str">
        <f>IF(AND('Mapa final'!$AA$53="Muy Alta",'Mapa final'!$AC$53="Moderado"),CONCATENATE("R8C",'Mapa final'!$Q$53),"")</f>
        <v/>
      </c>
      <c r="Y13" s="37" t="str">
        <f>IF(AND('Mapa final'!$AA$54="Muy Alta",'Mapa final'!$AC$54="Moderado"),CONCATENATE("R8C",'Mapa final'!$Q$54),"")</f>
        <v/>
      </c>
      <c r="Z13" s="37" t="str">
        <f>IF(AND('Mapa final'!$AA$55="Muy Alta",'Mapa final'!$AC$55="Moderado"),CONCATENATE("R8C",'Mapa final'!$Q$55),"")</f>
        <v/>
      </c>
      <c r="AA13" s="38" t="str">
        <f>IF(AND('Mapa final'!$AA$56="Muy Alta",'Mapa final'!$AC$56="Moderado"),CONCATENATE("R8C",'Mapa final'!$Q$56),"")</f>
        <v/>
      </c>
      <c r="AB13" s="36" t="str">
        <f>IF(AND('Mapa final'!$AA$51="Muy Alta",'Mapa final'!$AC$51="Mayor"),CONCATENATE("R8C",'Mapa final'!$Q$51),"")</f>
        <v/>
      </c>
      <c r="AC13" s="37" t="str">
        <f>IF(AND('Mapa final'!$AA$52="Muy Alta",'Mapa final'!$AC$52="Mayor"),CONCATENATE("R8C",'Mapa final'!$Q$52),"")</f>
        <v/>
      </c>
      <c r="AD13" s="37" t="str">
        <f>IF(AND('Mapa final'!$AA$53="Muy Alta",'Mapa final'!$AC$53="Mayor"),CONCATENATE("R8C",'Mapa final'!$Q$53),"")</f>
        <v/>
      </c>
      <c r="AE13" s="37" t="str">
        <f>IF(AND('Mapa final'!$AA$54="Muy Alta",'Mapa final'!$AC$54="Mayor"),CONCATENATE("R8C",'Mapa final'!$Q$54),"")</f>
        <v/>
      </c>
      <c r="AF13" s="37" t="str">
        <f>IF(AND('Mapa final'!$AA$55="Muy Alta",'Mapa final'!$AC$55="Mayor"),CONCATENATE("R8C",'Mapa final'!$Q$55),"")</f>
        <v/>
      </c>
      <c r="AG13" s="38" t="str">
        <f>IF(AND('Mapa final'!$AA$56="Muy Alta",'Mapa final'!$AC$56="Mayor"),CONCATENATE("R8C",'Mapa final'!$Q$56),"")</f>
        <v/>
      </c>
      <c r="AH13" s="39" t="str">
        <f>IF(AND('Mapa final'!$AA$51="Muy Alta",'Mapa final'!$AC$51="Catastrófico"),CONCATENATE("R8C",'Mapa final'!$Q$51),"")</f>
        <v/>
      </c>
      <c r="AI13" s="40" t="str">
        <f>IF(AND('Mapa final'!$AA$52="Muy Alta",'Mapa final'!$AC$52="Catastrófico"),CONCATENATE("R8C",'Mapa final'!$Q$52),"")</f>
        <v/>
      </c>
      <c r="AJ13" s="40" t="str">
        <f>IF(AND('Mapa final'!$AA$53="Muy Alta",'Mapa final'!$AC$53="Catastrófico"),CONCATENATE("R8C",'Mapa final'!$Q$53),"")</f>
        <v/>
      </c>
      <c r="AK13" s="40" t="str">
        <f>IF(AND('Mapa final'!$AA$54="Muy Alta",'Mapa final'!$AC$54="Catastrófico"),CONCATENATE("R8C",'Mapa final'!$Q$54),"")</f>
        <v/>
      </c>
      <c r="AL13" s="40" t="str">
        <f>IF(AND('Mapa final'!$AA$55="Muy Alta",'Mapa final'!$AC$55="Catastrófico"),CONCATENATE("R8C",'Mapa final'!$Q$55),"")</f>
        <v/>
      </c>
      <c r="AM13" s="41" t="str">
        <f>IF(AND('Mapa final'!$AA$56="Muy Alta",'Mapa final'!$AC$56="Catastrófico"),CONCATENATE("R8C",'Mapa final'!$Q$56),"")</f>
        <v/>
      </c>
      <c r="AN13" s="67"/>
      <c r="AO13" s="433"/>
      <c r="AP13" s="434"/>
      <c r="AQ13" s="434"/>
      <c r="AR13" s="434"/>
      <c r="AS13" s="434"/>
      <c r="AT13" s="435"/>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372"/>
      <c r="C14" s="372"/>
      <c r="D14" s="373"/>
      <c r="E14" s="413"/>
      <c r="F14" s="414"/>
      <c r="G14" s="414"/>
      <c r="H14" s="414"/>
      <c r="I14" s="415"/>
      <c r="J14" s="36" t="str">
        <f>IF(AND('Mapa final'!$AA$57="Muy Alta",'Mapa final'!$AC$57="Leve"),CONCATENATE("R9C",'Mapa final'!$Q$57),"")</f>
        <v/>
      </c>
      <c r="K14" s="37" t="str">
        <f>IF(AND('Mapa final'!$AA$58="Muy Alta",'Mapa final'!$AC$58="Leve"),CONCATENATE("R9C",'Mapa final'!$Q$58),"")</f>
        <v/>
      </c>
      <c r="L14" s="37" t="str">
        <f>IF(AND('Mapa final'!$AA$59="Muy Alta",'Mapa final'!$AC$59="Leve"),CONCATENATE("R9C",'Mapa final'!$Q$59),"")</f>
        <v/>
      </c>
      <c r="M14" s="37" t="str">
        <f>IF(AND('Mapa final'!$AA$60="Muy Alta",'Mapa final'!$AC$60="Leve"),CONCATENATE("R9C",'Mapa final'!$Q$60),"")</f>
        <v/>
      </c>
      <c r="N14" s="37" t="str">
        <f>IF(AND('Mapa final'!$AA$61="Muy Alta",'Mapa final'!$AC$61="Leve"),CONCATENATE("R9C",'Mapa final'!$Q$61),"")</f>
        <v/>
      </c>
      <c r="O14" s="38" t="str">
        <f>IF(AND('Mapa final'!$AA$62="Muy Alta",'Mapa final'!$AC$62="Leve"),CONCATENATE("R9C",'Mapa final'!$Q$62),"")</f>
        <v/>
      </c>
      <c r="P14" s="36" t="str">
        <f>IF(AND('Mapa final'!$AA$57="Muy Alta",'Mapa final'!$AC$57="Menor"),CONCATENATE("R9C",'Mapa final'!$Q$57),"")</f>
        <v/>
      </c>
      <c r="Q14" s="37" t="str">
        <f>IF(AND('Mapa final'!$AA$58="Muy Alta",'Mapa final'!$AC$58="Menor"),CONCATENATE("R9C",'Mapa final'!$Q$58),"")</f>
        <v/>
      </c>
      <c r="R14" s="37" t="str">
        <f>IF(AND('Mapa final'!$AA$59="Muy Alta",'Mapa final'!$AC$59="Menor"),CONCATENATE("R9C",'Mapa final'!$Q$59),"")</f>
        <v/>
      </c>
      <c r="S14" s="37" t="str">
        <f>IF(AND('Mapa final'!$AA$60="Muy Alta",'Mapa final'!$AC$60="Menor"),CONCATENATE("R9C",'Mapa final'!$Q$60),"")</f>
        <v/>
      </c>
      <c r="T14" s="37" t="str">
        <f>IF(AND('Mapa final'!$AA$61="Muy Alta",'Mapa final'!$AC$61="Menor"),CONCATENATE("R9C",'Mapa final'!$Q$61),"")</f>
        <v/>
      </c>
      <c r="U14" s="38" t="str">
        <f>IF(AND('Mapa final'!$AA$62="Muy Alta",'Mapa final'!$AC$62="Menor"),CONCATENATE("R9C",'Mapa final'!$Q$62),"")</f>
        <v/>
      </c>
      <c r="V14" s="36" t="str">
        <f>IF(AND('Mapa final'!$AA$57="Muy Alta",'Mapa final'!$AC$57="Moderado"),CONCATENATE("R9C",'Mapa final'!$Q$57),"")</f>
        <v/>
      </c>
      <c r="W14" s="37" t="str">
        <f>IF(AND('Mapa final'!$AA$58="Muy Alta",'Mapa final'!$AC$58="Moderado"),CONCATENATE("R9C",'Mapa final'!$Q$58),"")</f>
        <v/>
      </c>
      <c r="X14" s="37" t="str">
        <f>IF(AND('Mapa final'!$AA$59="Muy Alta",'Mapa final'!$AC$59="Moderado"),CONCATENATE("R9C",'Mapa final'!$Q$59),"")</f>
        <v/>
      </c>
      <c r="Y14" s="37" t="str">
        <f>IF(AND('Mapa final'!$AA$60="Muy Alta",'Mapa final'!$AC$60="Moderado"),CONCATENATE("R9C",'Mapa final'!$Q$60),"")</f>
        <v/>
      </c>
      <c r="Z14" s="37" t="str">
        <f>IF(AND('Mapa final'!$AA$61="Muy Alta",'Mapa final'!$AC$61="Moderado"),CONCATENATE("R9C",'Mapa final'!$Q$61),"")</f>
        <v/>
      </c>
      <c r="AA14" s="38" t="str">
        <f>IF(AND('Mapa final'!$AA$62="Muy Alta",'Mapa final'!$AC$62="Moderado"),CONCATENATE("R9C",'Mapa final'!$Q$62),"")</f>
        <v/>
      </c>
      <c r="AB14" s="36" t="str">
        <f>IF(AND('Mapa final'!$AA$57="Muy Alta",'Mapa final'!$AC$57="Mayor"),CONCATENATE("R9C",'Mapa final'!$Q$57),"")</f>
        <v/>
      </c>
      <c r="AC14" s="37" t="str">
        <f>IF(AND('Mapa final'!$AA$58="Muy Alta",'Mapa final'!$AC$58="Mayor"),CONCATENATE("R9C",'Mapa final'!$Q$58),"")</f>
        <v/>
      </c>
      <c r="AD14" s="37" t="str">
        <f>IF(AND('Mapa final'!$AA$59="Muy Alta",'Mapa final'!$AC$59="Mayor"),CONCATENATE("R9C",'Mapa final'!$Q$59),"")</f>
        <v/>
      </c>
      <c r="AE14" s="37" t="str">
        <f>IF(AND('Mapa final'!$AA$60="Muy Alta",'Mapa final'!$AC$60="Mayor"),CONCATENATE("R9C",'Mapa final'!$Q$60),"")</f>
        <v/>
      </c>
      <c r="AF14" s="37" t="str">
        <f>IF(AND('Mapa final'!$AA$61="Muy Alta",'Mapa final'!$AC$61="Mayor"),CONCATENATE("R9C",'Mapa final'!$Q$61),"")</f>
        <v/>
      </c>
      <c r="AG14" s="38" t="str">
        <f>IF(AND('Mapa final'!$AA$62="Muy Alta",'Mapa final'!$AC$62="Mayor"),CONCATENATE("R9C",'Mapa final'!$Q$62),"")</f>
        <v/>
      </c>
      <c r="AH14" s="39" t="str">
        <f>IF(AND('Mapa final'!$AA$57="Muy Alta",'Mapa final'!$AC$57="Catastrófico"),CONCATENATE("R9C",'Mapa final'!$Q$57),"")</f>
        <v/>
      </c>
      <c r="AI14" s="40" t="str">
        <f>IF(AND('Mapa final'!$AA$58="Muy Alta",'Mapa final'!$AC$58="Catastrófico"),CONCATENATE("R9C",'Mapa final'!$Q$58),"")</f>
        <v/>
      </c>
      <c r="AJ14" s="40" t="str">
        <f>IF(AND('Mapa final'!$AA$59="Muy Alta",'Mapa final'!$AC$59="Catastrófico"),CONCATENATE("R9C",'Mapa final'!$Q$59),"")</f>
        <v/>
      </c>
      <c r="AK14" s="40" t="str">
        <f>IF(AND('Mapa final'!$AA$60="Muy Alta",'Mapa final'!$AC$60="Catastrófico"),CONCATENATE("R9C",'Mapa final'!$Q$60),"")</f>
        <v/>
      </c>
      <c r="AL14" s="40" t="str">
        <f>IF(AND('Mapa final'!$AA$61="Muy Alta",'Mapa final'!$AC$61="Catastrófico"),CONCATENATE("R9C",'Mapa final'!$Q$61),"")</f>
        <v/>
      </c>
      <c r="AM14" s="41" t="str">
        <f>IF(AND('Mapa final'!$AA$62="Muy Alta",'Mapa final'!$AC$62="Catastrófico"),CONCATENATE("R9C",'Mapa final'!$Q$62),"")</f>
        <v/>
      </c>
      <c r="AN14" s="67"/>
      <c r="AO14" s="433"/>
      <c r="AP14" s="434"/>
      <c r="AQ14" s="434"/>
      <c r="AR14" s="434"/>
      <c r="AS14" s="434"/>
      <c r="AT14" s="435"/>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372"/>
      <c r="C15" s="372"/>
      <c r="D15" s="373"/>
      <c r="E15" s="416"/>
      <c r="F15" s="417"/>
      <c r="G15" s="417"/>
      <c r="H15" s="417"/>
      <c r="I15" s="418"/>
      <c r="J15" s="42" t="str">
        <f>IF(AND('Mapa final'!$AA$63="Muy Alta",'Mapa final'!$AC$63="Leve"),CONCATENATE("R10C",'Mapa final'!$Q$63),"")</f>
        <v/>
      </c>
      <c r="K15" s="43" t="str">
        <f>IF(AND('Mapa final'!$AA$64="Muy Alta",'Mapa final'!$AC$64="Leve"),CONCATENATE("R10C",'Mapa final'!$Q$64),"")</f>
        <v/>
      </c>
      <c r="L15" s="43" t="str">
        <f>IF(AND('Mapa final'!$AA$65="Muy Alta",'Mapa final'!$AC$65="Leve"),CONCATENATE("R10C",'Mapa final'!$Q$65),"")</f>
        <v/>
      </c>
      <c r="M15" s="43" t="str">
        <f>IF(AND('Mapa final'!$AA$66="Muy Alta",'Mapa final'!$AC$66="Leve"),CONCATENATE("R10C",'Mapa final'!$Q$66),"")</f>
        <v/>
      </c>
      <c r="N15" s="43" t="str">
        <f>IF(AND('Mapa final'!$AA$67="Muy Alta",'Mapa final'!$AC$67="Leve"),CONCATENATE("R10C",'Mapa final'!$Q$67),"")</f>
        <v/>
      </c>
      <c r="O15" s="44" t="str">
        <f>IF(AND('Mapa final'!$AA$68="Muy Alta",'Mapa final'!$AC$68="Leve"),CONCATENATE("R10C",'Mapa final'!$Q$68),"")</f>
        <v/>
      </c>
      <c r="P15" s="36" t="str">
        <f>IF(AND('Mapa final'!$AA$63="Muy Alta",'Mapa final'!$AC$63="Menor"),CONCATENATE("R10C",'Mapa final'!$Q$63),"")</f>
        <v/>
      </c>
      <c r="Q15" s="37" t="str">
        <f>IF(AND('Mapa final'!$AA$64="Muy Alta",'Mapa final'!$AC$64="Menor"),CONCATENATE("R10C",'Mapa final'!$Q$64),"")</f>
        <v/>
      </c>
      <c r="R15" s="37" t="str">
        <f>IF(AND('Mapa final'!$AA$65="Muy Alta",'Mapa final'!$AC$65="Menor"),CONCATENATE("R10C",'Mapa final'!$Q$65),"")</f>
        <v/>
      </c>
      <c r="S15" s="37" t="str">
        <f>IF(AND('Mapa final'!$AA$66="Muy Alta",'Mapa final'!$AC$66="Menor"),CONCATENATE("R10C",'Mapa final'!$Q$66),"")</f>
        <v/>
      </c>
      <c r="T15" s="37" t="str">
        <f>IF(AND('Mapa final'!$AA$67="Muy Alta",'Mapa final'!$AC$67="Menor"),CONCATENATE("R10C",'Mapa final'!$Q$67),"")</f>
        <v/>
      </c>
      <c r="U15" s="38" t="str">
        <f>IF(AND('Mapa final'!$AA$68="Muy Alta",'Mapa final'!$AC$68="Menor"),CONCATENATE("R10C",'Mapa final'!$Q$68),"")</f>
        <v/>
      </c>
      <c r="V15" s="42" t="str">
        <f>IF(AND('Mapa final'!$AA$63="Muy Alta",'Mapa final'!$AC$63="Moderado"),CONCATENATE("R10C",'Mapa final'!$Q$63),"")</f>
        <v/>
      </c>
      <c r="W15" s="43" t="str">
        <f>IF(AND('Mapa final'!$AA$64="Muy Alta",'Mapa final'!$AC$64="Moderado"),CONCATENATE("R10C",'Mapa final'!$Q$64),"")</f>
        <v/>
      </c>
      <c r="X15" s="43" t="str">
        <f>IF(AND('Mapa final'!$AA$65="Muy Alta",'Mapa final'!$AC$65="Moderado"),CONCATENATE("R10C",'Mapa final'!$Q$65),"")</f>
        <v/>
      </c>
      <c r="Y15" s="43" t="str">
        <f>IF(AND('Mapa final'!$AA$66="Muy Alta",'Mapa final'!$AC$66="Moderado"),CONCATENATE("R10C",'Mapa final'!$Q$66),"")</f>
        <v/>
      </c>
      <c r="Z15" s="43" t="str">
        <f>IF(AND('Mapa final'!$AA$67="Muy Alta",'Mapa final'!$AC$67="Moderado"),CONCATENATE("R10C",'Mapa final'!$Q$67),"")</f>
        <v/>
      </c>
      <c r="AA15" s="44" t="str">
        <f>IF(AND('Mapa final'!$AA$68="Muy Alta",'Mapa final'!$AC$68="Moderado"),CONCATENATE("R10C",'Mapa final'!$Q$68),"")</f>
        <v/>
      </c>
      <c r="AB15" s="36" t="str">
        <f>IF(AND('Mapa final'!$AA$63="Muy Alta",'Mapa final'!$AC$63="Mayor"),CONCATENATE("R10C",'Mapa final'!$Q$63),"")</f>
        <v/>
      </c>
      <c r="AC15" s="37" t="str">
        <f>IF(AND('Mapa final'!$AA$64="Muy Alta",'Mapa final'!$AC$64="Mayor"),CONCATENATE("R10C",'Mapa final'!$Q$64),"")</f>
        <v/>
      </c>
      <c r="AD15" s="37" t="str">
        <f>IF(AND('Mapa final'!$AA$65="Muy Alta",'Mapa final'!$AC$65="Mayor"),CONCATENATE("R10C",'Mapa final'!$Q$65),"")</f>
        <v/>
      </c>
      <c r="AE15" s="37" t="str">
        <f>IF(AND('Mapa final'!$AA$66="Muy Alta",'Mapa final'!$AC$66="Mayor"),CONCATENATE("R10C",'Mapa final'!$Q$66),"")</f>
        <v/>
      </c>
      <c r="AF15" s="37" t="str">
        <f>IF(AND('Mapa final'!$AA$67="Muy Alta",'Mapa final'!$AC$67="Mayor"),CONCATENATE("R10C",'Mapa final'!$Q$67),"")</f>
        <v/>
      </c>
      <c r="AG15" s="38" t="str">
        <f>IF(AND('Mapa final'!$AA$68="Muy Alta",'Mapa final'!$AC$68="Mayor"),CONCATENATE("R10C",'Mapa final'!$Q$68),"")</f>
        <v/>
      </c>
      <c r="AH15" s="45" t="str">
        <f>IF(AND('Mapa final'!$AA$63="Muy Alta",'Mapa final'!$AC$63="Catastrófico"),CONCATENATE("R10C",'Mapa final'!$Q$63),"")</f>
        <v/>
      </c>
      <c r="AI15" s="46" t="str">
        <f>IF(AND('Mapa final'!$AA$64="Muy Alta",'Mapa final'!$AC$64="Catastrófico"),CONCATENATE("R10C",'Mapa final'!$Q$64),"")</f>
        <v/>
      </c>
      <c r="AJ15" s="46" t="str">
        <f>IF(AND('Mapa final'!$AA$65="Muy Alta",'Mapa final'!$AC$65="Catastrófico"),CONCATENATE("R10C",'Mapa final'!$Q$65),"")</f>
        <v/>
      </c>
      <c r="AK15" s="46" t="str">
        <f>IF(AND('Mapa final'!$AA$66="Muy Alta",'Mapa final'!$AC$66="Catastrófico"),CONCATENATE("R10C",'Mapa final'!$Q$66),"")</f>
        <v/>
      </c>
      <c r="AL15" s="46" t="str">
        <f>IF(AND('Mapa final'!$AA$67="Muy Alta",'Mapa final'!$AC$67="Catastrófico"),CONCATENATE("R10C",'Mapa final'!$Q$67),"")</f>
        <v/>
      </c>
      <c r="AM15" s="47" t="str">
        <f>IF(AND('Mapa final'!$AA$68="Muy Alta",'Mapa final'!$AC$68="Catastrófico"),CONCATENATE("R10C",'Mapa final'!$Q$68),"")</f>
        <v/>
      </c>
      <c r="AN15" s="67"/>
      <c r="AO15" s="436"/>
      <c r="AP15" s="437"/>
      <c r="AQ15" s="437"/>
      <c r="AR15" s="437"/>
      <c r="AS15" s="437"/>
      <c r="AT15" s="438"/>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372"/>
      <c r="C16" s="372"/>
      <c r="D16" s="373"/>
      <c r="E16" s="410" t="s">
        <v>109</v>
      </c>
      <c r="F16" s="411"/>
      <c r="G16" s="411"/>
      <c r="H16" s="411"/>
      <c r="I16" s="411"/>
      <c r="J16" s="48" t="str">
        <f ca="1">IF(AND('Mapa final'!$AA$10="Alta",'Mapa final'!$AC$10="Leve"),CONCATENATE("R1C",'Mapa final'!$Q$10),"")</f>
        <v/>
      </c>
      <c r="K16" s="49" t="str">
        <f ca="1">IF(AND('Mapa final'!$AA$11="Alta",'Mapa final'!$AC$11="Leve"),CONCATENATE("R1C",'Mapa final'!$Q$11),"")</f>
        <v/>
      </c>
      <c r="L16" s="49" t="str">
        <f ca="1">IF(AND('Mapa final'!$AA$13="Alta",'Mapa final'!$AC$13="Leve"),CONCATENATE("R1C",'Mapa final'!$Q$13),"")</f>
        <v/>
      </c>
      <c r="M16" s="49" t="str">
        <f ca="1">IF(AND('Mapa final'!$AA$14="Alta",'Mapa final'!$AC$14="Leve"),CONCATENATE("R1C",'Mapa final'!$Q$14),"")</f>
        <v/>
      </c>
      <c r="N16" s="49" t="e">
        <f>IF(AND('Mapa final'!#REF!="Alta",'Mapa final'!#REF!="Leve"),CONCATENATE("R1C",'Mapa final'!#REF!),"")</f>
        <v>#REF!</v>
      </c>
      <c r="O16" s="50" t="e">
        <f>IF(AND('Mapa final'!#REF!="Alta",'Mapa final'!#REF!="Leve"),CONCATENATE("R1C",'Mapa final'!#REF!),"")</f>
        <v>#REF!</v>
      </c>
      <c r="P16" s="48" t="str">
        <f ca="1">IF(AND('Mapa final'!$AA$10="Alta",'Mapa final'!$AC$10="Menor"),CONCATENATE("R1C",'Mapa final'!$Q$10),"")</f>
        <v/>
      </c>
      <c r="Q16" s="49" t="str">
        <f ca="1">IF(AND('Mapa final'!$AA$11="Alta",'Mapa final'!$AC$11="Menor"),CONCATENATE("R1C",'Mapa final'!$Q$11),"")</f>
        <v/>
      </c>
      <c r="R16" s="49" t="str">
        <f ca="1">IF(AND('Mapa final'!$AA$13="Alta",'Mapa final'!$AC$13="Menor"),CONCATENATE("R1C",'Mapa final'!$Q$13),"")</f>
        <v>R1C3</v>
      </c>
      <c r="S16" s="49" t="str">
        <f ca="1">IF(AND('Mapa final'!$AA$14="Alta",'Mapa final'!$AC$14="Menor"),CONCATENATE("R1C",'Mapa final'!$Q$14),"")</f>
        <v>R1C4</v>
      </c>
      <c r="T16" s="49" t="e">
        <f>IF(AND('Mapa final'!#REF!="Alta",'Mapa final'!#REF!="Menor"),CONCATENATE("R1C",'Mapa final'!#REF!),"")</f>
        <v>#REF!</v>
      </c>
      <c r="U16" s="50" t="e">
        <f>IF(AND('Mapa final'!#REF!="Alta",'Mapa final'!#REF!="Menor"),CONCATENATE("R1C",'Mapa final'!#REF!),"")</f>
        <v>#REF!</v>
      </c>
      <c r="V16" s="30" t="str">
        <f ca="1">IF(AND('Mapa final'!$AA$10="Alta",'Mapa final'!$AC$10="Moderado"),CONCATENATE("R1C",'Mapa final'!$Q$10),"")</f>
        <v>R1C1</v>
      </c>
      <c r="W16" s="31" t="str">
        <f ca="1">IF(AND('Mapa final'!$AA$11="Alta",'Mapa final'!$AC$11="Moderado"),CONCATENATE("R1C",'Mapa final'!$Q$11),"")</f>
        <v>R1C2</v>
      </c>
      <c r="X16" s="31" t="str">
        <f ca="1">IF(AND('Mapa final'!$AA$13="Alta",'Mapa final'!$AC$13="Moderado"),CONCATENATE("R1C",'Mapa final'!$Q$13),"")</f>
        <v/>
      </c>
      <c r="Y16" s="31" t="str">
        <f ca="1">IF(AND('Mapa final'!$AA$14="Alta",'Mapa final'!$AC$14="Moderado"),CONCATENATE("R1C",'Mapa final'!$Q$14),"")</f>
        <v/>
      </c>
      <c r="Z16" s="31" t="e">
        <f>IF(AND('Mapa final'!#REF!="Alta",'Mapa final'!#REF!="Moderado"),CONCATENATE("R1C",'Mapa final'!#REF!),"")</f>
        <v>#REF!</v>
      </c>
      <c r="AA16" s="32" t="e">
        <f>IF(AND('Mapa final'!#REF!="Alta",'Mapa final'!#REF!="Moderado"),CONCATENATE("R1C",'Mapa final'!#REF!),"")</f>
        <v>#REF!</v>
      </c>
      <c r="AB16" s="30" t="str">
        <f ca="1">IF(AND('Mapa final'!$AA$10="Alta",'Mapa final'!$AC$10="Mayor"),CONCATENATE("R1C",'Mapa final'!$Q$10),"")</f>
        <v/>
      </c>
      <c r="AC16" s="31" t="str">
        <f ca="1">IF(AND('Mapa final'!$AA$11="Alta",'Mapa final'!$AC$11="Mayor"),CONCATENATE("R1C",'Mapa final'!$Q$11),"")</f>
        <v/>
      </c>
      <c r="AD16" s="31" t="str">
        <f ca="1">IF(AND('Mapa final'!$AA$13="Alta",'Mapa final'!$AC$13="Mayor"),CONCATENATE("R1C",'Mapa final'!$Q$13),"")</f>
        <v/>
      </c>
      <c r="AE16" s="31" t="str">
        <f ca="1">IF(AND('Mapa final'!$AA$14="Alta",'Mapa final'!$AC$14="Mayor"),CONCATENATE("R1C",'Mapa final'!$Q$14),"")</f>
        <v/>
      </c>
      <c r="AF16" s="31" t="e">
        <f>IF(AND('Mapa final'!#REF!="Alta",'Mapa final'!#REF!="Mayor"),CONCATENATE("R1C",'Mapa final'!#REF!),"")</f>
        <v>#REF!</v>
      </c>
      <c r="AG16" s="32" t="e">
        <f>IF(AND('Mapa final'!#REF!="Alta",'Mapa final'!#REF!="Mayor"),CONCATENATE("R1C",'Mapa final'!#REF!),"")</f>
        <v>#REF!</v>
      </c>
      <c r="AH16" s="33" t="str">
        <f ca="1">IF(AND('Mapa final'!$AA$10="Alta",'Mapa final'!$AC$10="Catastrófico"),CONCATENATE("R1C",'Mapa final'!$Q$10),"")</f>
        <v/>
      </c>
      <c r="AI16" s="34" t="str">
        <f ca="1">IF(AND('Mapa final'!$AA$11="Alta",'Mapa final'!$AC$11="Catastrófico"),CONCATENATE("R1C",'Mapa final'!$Q$11),"")</f>
        <v/>
      </c>
      <c r="AJ16" s="34" t="str">
        <f ca="1">IF(AND('Mapa final'!$AA$13="Alta",'Mapa final'!$AC$13="Catastrófico"),CONCATENATE("R1C",'Mapa final'!$Q$13),"")</f>
        <v/>
      </c>
      <c r="AK16" s="34" t="str">
        <f ca="1">IF(AND('Mapa final'!$AA$14="Alta",'Mapa final'!$AC$14="Catastrófico"),CONCATENATE("R1C",'Mapa final'!$Q$14),"")</f>
        <v/>
      </c>
      <c r="AL16" s="34" t="e">
        <f>IF(AND('Mapa final'!#REF!="Alta",'Mapa final'!#REF!="Catastrófico"),CONCATENATE("R1C",'Mapa final'!#REF!),"")</f>
        <v>#REF!</v>
      </c>
      <c r="AM16" s="35" t="e">
        <f>IF(AND('Mapa final'!#REF!="Alta",'Mapa final'!#REF!="Catastrófico"),CONCATENATE("R1C",'Mapa final'!#REF!),"")</f>
        <v>#REF!</v>
      </c>
      <c r="AN16" s="67"/>
      <c r="AO16" s="420" t="s">
        <v>78</v>
      </c>
      <c r="AP16" s="421"/>
      <c r="AQ16" s="421"/>
      <c r="AR16" s="421"/>
      <c r="AS16" s="421"/>
      <c r="AT16" s="422"/>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372"/>
      <c r="C17" s="372"/>
      <c r="D17" s="373"/>
      <c r="E17" s="429"/>
      <c r="F17" s="414"/>
      <c r="G17" s="414"/>
      <c r="H17" s="414"/>
      <c r="I17" s="414"/>
      <c r="J17" s="51" t="str">
        <f ca="1">IF(AND('Mapa final'!$AA$15="Alta",'Mapa final'!$AC$15="Leve"),CONCATENATE("R2C",'Mapa final'!$Q$15),"")</f>
        <v/>
      </c>
      <c r="K17" s="52" t="str">
        <f ca="1">IF(AND('Mapa final'!$AA$16="Alta",'Mapa final'!$AC$16="Leve"),CONCATENATE("R2C",'Mapa final'!$Q$16),"")</f>
        <v/>
      </c>
      <c r="L17" s="52" t="str">
        <f>IF(AND('Mapa final'!$AA$17="Alta",'Mapa final'!$AC$17="Leve"),CONCATENATE("R2C",'Mapa final'!$Q$17),"")</f>
        <v/>
      </c>
      <c r="M17" s="52" t="str">
        <f>IF(AND('Mapa final'!$AA$18="Alta",'Mapa final'!$AC$18="Leve"),CONCATENATE("R2C",'Mapa final'!$Q$18),"")</f>
        <v/>
      </c>
      <c r="N17" s="52" t="str">
        <f>IF(AND('Mapa final'!$AA$19="Alta",'Mapa final'!$AC$19="Leve"),CONCATENATE("R2C",'Mapa final'!$Q$19),"")</f>
        <v/>
      </c>
      <c r="O17" s="53" t="str">
        <f>IF(AND('Mapa final'!$AA$20="Alta",'Mapa final'!$AC$20="Leve"),CONCATENATE("R2C",'Mapa final'!$Q$20),"")</f>
        <v/>
      </c>
      <c r="P17" s="51" t="str">
        <f ca="1">IF(AND('Mapa final'!$AA$15="Alta",'Mapa final'!$AC$15="Menor"),CONCATENATE("R2C",'Mapa final'!$Q$15),"")</f>
        <v>R2C1</v>
      </c>
      <c r="Q17" s="52" t="str">
        <f ca="1">IF(AND('Mapa final'!$AA$16="Alta",'Mapa final'!$AC$16="Menor"),CONCATENATE("R2C",'Mapa final'!$Q$16),"")</f>
        <v>R2C2</v>
      </c>
      <c r="R17" s="52" t="str">
        <f>IF(AND('Mapa final'!$AA$17="Alta",'Mapa final'!$AC$17="Menor"),CONCATENATE("R2C",'Mapa final'!$Q$17),"")</f>
        <v/>
      </c>
      <c r="S17" s="52" t="str">
        <f>IF(AND('Mapa final'!$AA$18="Alta",'Mapa final'!$AC$18="Menor"),CONCATENATE("R2C",'Mapa final'!$Q$18),"")</f>
        <v/>
      </c>
      <c r="T17" s="52" t="str">
        <f>IF(AND('Mapa final'!$AA$19="Alta",'Mapa final'!$AC$19="Menor"),CONCATENATE("R2C",'Mapa final'!$Q$19),"")</f>
        <v/>
      </c>
      <c r="U17" s="53" t="str">
        <f>IF(AND('Mapa final'!$AA$20="Alta",'Mapa final'!$AC$20="Menor"),CONCATENATE("R2C",'Mapa final'!$Q$20),"")</f>
        <v/>
      </c>
      <c r="V17" s="36" t="str">
        <f ca="1">IF(AND('Mapa final'!$AA$15="Alta",'Mapa final'!$AC$15="Moderado"),CONCATENATE("R2C",'Mapa final'!$Q$15),"")</f>
        <v/>
      </c>
      <c r="W17" s="37" t="str">
        <f ca="1">IF(AND('Mapa final'!$AA$16="Alta",'Mapa final'!$AC$16="Moderado"),CONCATENATE("R2C",'Mapa final'!$Q$16),"")</f>
        <v/>
      </c>
      <c r="X17" s="37" t="str">
        <f>IF(AND('Mapa final'!$AA$17="Alta",'Mapa final'!$AC$17="Moderado"),CONCATENATE("R2C",'Mapa final'!$Q$17),"")</f>
        <v/>
      </c>
      <c r="Y17" s="37" t="str">
        <f>IF(AND('Mapa final'!$AA$18="Alta",'Mapa final'!$AC$18="Moderado"),CONCATENATE("R2C",'Mapa final'!$Q$18),"")</f>
        <v/>
      </c>
      <c r="Z17" s="37" t="str">
        <f>IF(AND('Mapa final'!$AA$19="Alta",'Mapa final'!$AC$19="Moderado"),CONCATENATE("R2C",'Mapa final'!$Q$19),"")</f>
        <v/>
      </c>
      <c r="AA17" s="38" t="str">
        <f>IF(AND('Mapa final'!$AA$20="Alta",'Mapa final'!$AC$20="Moderado"),CONCATENATE("R2C",'Mapa final'!$Q$20),"")</f>
        <v/>
      </c>
      <c r="AB17" s="36" t="str">
        <f ca="1">IF(AND('Mapa final'!$AA$15="Alta",'Mapa final'!$AC$15="Mayor"),CONCATENATE("R2C",'Mapa final'!$Q$15),"")</f>
        <v/>
      </c>
      <c r="AC17" s="37" t="str">
        <f ca="1">IF(AND('Mapa final'!$AA$16="Alta",'Mapa final'!$AC$16="Mayor"),CONCATENATE("R2C",'Mapa final'!$Q$16),"")</f>
        <v/>
      </c>
      <c r="AD17" s="37" t="str">
        <f>IF(AND('Mapa final'!$AA$17="Alta",'Mapa final'!$AC$17="Mayor"),CONCATENATE("R2C",'Mapa final'!$Q$17),"")</f>
        <v/>
      </c>
      <c r="AE17" s="37" t="str">
        <f>IF(AND('Mapa final'!$AA$18="Alta",'Mapa final'!$AC$18="Mayor"),CONCATENATE("R2C",'Mapa final'!$Q$18),"")</f>
        <v/>
      </c>
      <c r="AF17" s="37" t="str">
        <f>IF(AND('Mapa final'!$AA$19="Alta",'Mapa final'!$AC$19="Mayor"),CONCATENATE("R2C",'Mapa final'!$Q$19),"")</f>
        <v/>
      </c>
      <c r="AG17" s="38" t="str">
        <f>IF(AND('Mapa final'!$AA$20="Alta",'Mapa final'!$AC$20="Mayor"),CONCATENATE("R2C",'Mapa final'!$Q$20),"")</f>
        <v/>
      </c>
      <c r="AH17" s="39" t="str">
        <f ca="1">IF(AND('Mapa final'!$AA$15="Alta",'Mapa final'!$AC$15="Catastrófico"),CONCATENATE("R2C",'Mapa final'!$Q$15),"")</f>
        <v/>
      </c>
      <c r="AI17" s="40" t="str">
        <f ca="1">IF(AND('Mapa final'!$AA$16="Alta",'Mapa final'!$AC$16="Catastrófico"),CONCATENATE("R2C",'Mapa final'!$Q$16),"")</f>
        <v/>
      </c>
      <c r="AJ17" s="40" t="str">
        <f>IF(AND('Mapa final'!$AA$17="Alta",'Mapa final'!$AC$17="Catastrófico"),CONCATENATE("R2C",'Mapa final'!$Q$17),"")</f>
        <v/>
      </c>
      <c r="AK17" s="40" t="str">
        <f>IF(AND('Mapa final'!$AA$18="Alta",'Mapa final'!$AC$18="Catastrófico"),CONCATENATE("R2C",'Mapa final'!$Q$18),"")</f>
        <v/>
      </c>
      <c r="AL17" s="40" t="str">
        <f>IF(AND('Mapa final'!$AA$19="Alta",'Mapa final'!$AC$19="Catastrófico"),CONCATENATE("R2C",'Mapa final'!$Q$19),"")</f>
        <v/>
      </c>
      <c r="AM17" s="41" t="str">
        <f>IF(AND('Mapa final'!$AA$20="Alta",'Mapa final'!$AC$20="Catastrófico"),CONCATENATE("R2C",'Mapa final'!$Q$20),"")</f>
        <v/>
      </c>
      <c r="AN17" s="67"/>
      <c r="AO17" s="423"/>
      <c r="AP17" s="424"/>
      <c r="AQ17" s="424"/>
      <c r="AR17" s="424"/>
      <c r="AS17" s="424"/>
      <c r="AT17" s="425"/>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372"/>
      <c r="C18" s="372"/>
      <c r="D18" s="373"/>
      <c r="E18" s="413"/>
      <c r="F18" s="414"/>
      <c r="G18" s="414"/>
      <c r="H18" s="414"/>
      <c r="I18" s="414"/>
      <c r="J18" s="51" t="str">
        <f>IF(AND('Mapa final'!$AA$21="Alta",'Mapa final'!$AC$21="Leve"),CONCATENATE("R3C",'Mapa final'!$Q$21),"")</f>
        <v/>
      </c>
      <c r="K18" s="52" t="str">
        <f>IF(AND('Mapa final'!$AA$22="Alta",'Mapa final'!$AC$22="Leve"),CONCATENATE("R3C",'Mapa final'!$Q$22),"")</f>
        <v/>
      </c>
      <c r="L18" s="52" t="str">
        <f>IF(AND('Mapa final'!$AA$23="Alta",'Mapa final'!$AC$23="Leve"),CONCATENATE("R3C",'Mapa final'!$Q$23),"")</f>
        <v/>
      </c>
      <c r="M18" s="52" t="str">
        <f>IF(AND('Mapa final'!$AA$24="Alta",'Mapa final'!$AC$24="Leve"),CONCATENATE("R3C",'Mapa final'!$Q$24),"")</f>
        <v/>
      </c>
      <c r="N18" s="52" t="str">
        <f>IF(AND('Mapa final'!$AA$25="Alta",'Mapa final'!$AC$25="Leve"),CONCATENATE("R3C",'Mapa final'!$Q$25),"")</f>
        <v/>
      </c>
      <c r="O18" s="53" t="str">
        <f>IF(AND('Mapa final'!$AA$26="Alta",'Mapa final'!$AC$26="Leve"),CONCATENATE("R3C",'Mapa final'!$Q$26),"")</f>
        <v/>
      </c>
      <c r="P18" s="51" t="str">
        <f>IF(AND('Mapa final'!$AA$21="Alta",'Mapa final'!$AC$21="Menor"),CONCATENATE("R3C",'Mapa final'!$Q$21),"")</f>
        <v/>
      </c>
      <c r="Q18" s="52" t="str">
        <f>IF(AND('Mapa final'!$AA$22="Alta",'Mapa final'!$AC$22="Menor"),CONCATENATE("R3C",'Mapa final'!$Q$22),"")</f>
        <v/>
      </c>
      <c r="R18" s="52" t="str">
        <f>IF(AND('Mapa final'!$AA$23="Alta",'Mapa final'!$AC$23="Menor"),CONCATENATE("R3C",'Mapa final'!$Q$23),"")</f>
        <v/>
      </c>
      <c r="S18" s="52" t="str">
        <f>IF(AND('Mapa final'!$AA$24="Alta",'Mapa final'!$AC$24="Menor"),CONCATENATE("R3C",'Mapa final'!$Q$24),"")</f>
        <v/>
      </c>
      <c r="T18" s="52" t="str">
        <f>IF(AND('Mapa final'!$AA$25="Alta",'Mapa final'!$AC$25="Menor"),CONCATENATE("R3C",'Mapa final'!$Q$25),"")</f>
        <v/>
      </c>
      <c r="U18" s="53" t="str">
        <f>IF(AND('Mapa final'!$AA$26="Alta",'Mapa final'!$AC$26="Menor"),CONCATENATE("R3C",'Mapa final'!$Q$26),"")</f>
        <v/>
      </c>
      <c r="V18" s="36" t="str">
        <f>IF(AND('Mapa final'!$AA$21="Alta",'Mapa final'!$AC$21="Moderado"),CONCATENATE("R3C",'Mapa final'!$Q$21),"")</f>
        <v/>
      </c>
      <c r="W18" s="37" t="str">
        <f>IF(AND('Mapa final'!$AA$22="Alta",'Mapa final'!$AC$22="Moderado"),CONCATENATE("R3C",'Mapa final'!$Q$22),"")</f>
        <v/>
      </c>
      <c r="X18" s="37" t="str">
        <f>IF(AND('Mapa final'!$AA$23="Alta",'Mapa final'!$AC$23="Moderado"),CONCATENATE("R3C",'Mapa final'!$Q$23),"")</f>
        <v/>
      </c>
      <c r="Y18" s="37" t="str">
        <f>IF(AND('Mapa final'!$AA$24="Alta",'Mapa final'!$AC$24="Moderado"),CONCATENATE("R3C",'Mapa final'!$Q$24),"")</f>
        <v/>
      </c>
      <c r="Z18" s="37" t="str">
        <f>IF(AND('Mapa final'!$AA$25="Alta",'Mapa final'!$AC$25="Moderado"),CONCATENATE("R3C",'Mapa final'!$Q$25),"")</f>
        <v/>
      </c>
      <c r="AA18" s="38" t="str">
        <f>IF(AND('Mapa final'!$AA$26="Alta",'Mapa final'!$AC$26="Moderado"),CONCATENATE("R3C",'Mapa final'!$Q$26),"")</f>
        <v/>
      </c>
      <c r="AB18" s="36" t="str">
        <f>IF(AND('Mapa final'!$AA$21="Alta",'Mapa final'!$AC$21="Mayor"),CONCATENATE("R3C",'Mapa final'!$Q$21),"")</f>
        <v/>
      </c>
      <c r="AC18" s="37" t="str">
        <f>IF(AND('Mapa final'!$AA$22="Alta",'Mapa final'!$AC$22="Mayor"),CONCATENATE("R3C",'Mapa final'!$Q$22),"")</f>
        <v/>
      </c>
      <c r="AD18" s="37" t="str">
        <f>IF(AND('Mapa final'!$AA$23="Alta",'Mapa final'!$AC$23="Mayor"),CONCATENATE("R3C",'Mapa final'!$Q$23),"")</f>
        <v/>
      </c>
      <c r="AE18" s="37" t="str">
        <f>IF(AND('Mapa final'!$AA$24="Alta",'Mapa final'!$AC$24="Mayor"),CONCATENATE("R3C",'Mapa final'!$Q$24),"")</f>
        <v/>
      </c>
      <c r="AF18" s="37" t="str">
        <f>IF(AND('Mapa final'!$AA$25="Alta",'Mapa final'!$AC$25="Mayor"),CONCATENATE("R3C",'Mapa final'!$Q$25),"")</f>
        <v/>
      </c>
      <c r="AG18" s="38" t="str">
        <f>IF(AND('Mapa final'!$AA$26="Alta",'Mapa final'!$AC$26="Mayor"),CONCATENATE("R3C",'Mapa final'!$Q$26),"")</f>
        <v/>
      </c>
      <c r="AH18" s="39" t="str">
        <f>IF(AND('Mapa final'!$AA$21="Alta",'Mapa final'!$AC$21="Catastrófico"),CONCATENATE("R3C",'Mapa final'!$Q$21),"")</f>
        <v/>
      </c>
      <c r="AI18" s="40" t="str">
        <f>IF(AND('Mapa final'!$AA$22="Alta",'Mapa final'!$AC$22="Catastrófico"),CONCATENATE("R3C",'Mapa final'!$Q$22),"")</f>
        <v/>
      </c>
      <c r="AJ18" s="40" t="str">
        <f>IF(AND('Mapa final'!$AA$23="Alta",'Mapa final'!$AC$23="Catastrófico"),CONCATENATE("R3C",'Mapa final'!$Q$23),"")</f>
        <v/>
      </c>
      <c r="AK18" s="40" t="str">
        <f>IF(AND('Mapa final'!$AA$24="Alta",'Mapa final'!$AC$24="Catastrófico"),CONCATENATE("R3C",'Mapa final'!$Q$24),"")</f>
        <v/>
      </c>
      <c r="AL18" s="40" t="str">
        <f>IF(AND('Mapa final'!$AA$25="Alta",'Mapa final'!$AC$25="Catastrófico"),CONCATENATE("R3C",'Mapa final'!$Q$25),"")</f>
        <v/>
      </c>
      <c r="AM18" s="41" t="str">
        <f>IF(AND('Mapa final'!$AA$26="Alta",'Mapa final'!$AC$26="Catastrófico"),CONCATENATE("R3C",'Mapa final'!$Q$26),"")</f>
        <v/>
      </c>
      <c r="AN18" s="67"/>
      <c r="AO18" s="423"/>
      <c r="AP18" s="424"/>
      <c r="AQ18" s="424"/>
      <c r="AR18" s="424"/>
      <c r="AS18" s="424"/>
      <c r="AT18" s="425"/>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372"/>
      <c r="C19" s="372"/>
      <c r="D19" s="373"/>
      <c r="E19" s="413"/>
      <c r="F19" s="414"/>
      <c r="G19" s="414"/>
      <c r="H19" s="414"/>
      <c r="I19" s="414"/>
      <c r="J19" s="51" t="str">
        <f>IF(AND('Mapa final'!$AA$27="Alta",'Mapa final'!$AC$27="Leve"),CONCATENATE("R4C",'Mapa final'!$Q$27),"")</f>
        <v/>
      </c>
      <c r="K19" s="52" t="str">
        <f>IF(AND('Mapa final'!$AA$28="Alta",'Mapa final'!$AC$28="Leve"),CONCATENATE("R4C",'Mapa final'!$Q$28),"")</f>
        <v/>
      </c>
      <c r="L19" s="52" t="str">
        <f>IF(AND('Mapa final'!$AA$29="Alta",'Mapa final'!$AC$29="Leve"),CONCATENATE("R4C",'Mapa final'!$Q$29),"")</f>
        <v/>
      </c>
      <c r="M19" s="52" t="str">
        <f>IF(AND('Mapa final'!$AA$30="Alta",'Mapa final'!$AC$30="Leve"),CONCATENATE("R4C",'Mapa final'!$Q$30),"")</f>
        <v/>
      </c>
      <c r="N19" s="52" t="str">
        <f>IF(AND('Mapa final'!$AA$31="Alta",'Mapa final'!$AC$31="Leve"),CONCATENATE("R4C",'Mapa final'!$Q$31),"")</f>
        <v/>
      </c>
      <c r="O19" s="53" t="str">
        <f>IF(AND('Mapa final'!$AA$32="Alta",'Mapa final'!$AC$32="Leve"),CONCATENATE("R4C",'Mapa final'!$Q$32),"")</f>
        <v/>
      </c>
      <c r="P19" s="51" t="str">
        <f>IF(AND('Mapa final'!$AA$27="Alta",'Mapa final'!$AC$27="Menor"),CONCATENATE("R4C",'Mapa final'!$Q$27),"")</f>
        <v/>
      </c>
      <c r="Q19" s="52" t="str">
        <f>IF(AND('Mapa final'!$AA$28="Alta",'Mapa final'!$AC$28="Menor"),CONCATENATE("R4C",'Mapa final'!$Q$28),"")</f>
        <v/>
      </c>
      <c r="R19" s="52" t="str">
        <f>IF(AND('Mapa final'!$AA$29="Alta",'Mapa final'!$AC$29="Menor"),CONCATENATE("R4C",'Mapa final'!$Q$29),"")</f>
        <v/>
      </c>
      <c r="S19" s="52" t="str">
        <f>IF(AND('Mapa final'!$AA$30="Alta",'Mapa final'!$AC$30="Menor"),CONCATENATE("R4C",'Mapa final'!$Q$30),"")</f>
        <v/>
      </c>
      <c r="T19" s="52" t="str">
        <f>IF(AND('Mapa final'!$AA$31="Alta",'Mapa final'!$AC$31="Menor"),CONCATENATE("R4C",'Mapa final'!$Q$31),"")</f>
        <v/>
      </c>
      <c r="U19" s="53" t="str">
        <f>IF(AND('Mapa final'!$AA$32="Alta",'Mapa final'!$AC$32="Menor"),CONCATENATE("R4C",'Mapa final'!$Q$32),"")</f>
        <v/>
      </c>
      <c r="V19" s="36" t="str">
        <f>IF(AND('Mapa final'!$AA$27="Alta",'Mapa final'!$AC$27="Moderado"),CONCATENATE("R4C",'Mapa final'!$Q$27),"")</f>
        <v/>
      </c>
      <c r="W19" s="37" t="str">
        <f>IF(AND('Mapa final'!$AA$28="Alta",'Mapa final'!$AC$28="Moderado"),CONCATENATE("R4C",'Mapa final'!$Q$28),"")</f>
        <v/>
      </c>
      <c r="X19" s="37" t="str">
        <f>IF(AND('Mapa final'!$AA$29="Alta",'Mapa final'!$AC$29="Moderado"),CONCATENATE("R4C",'Mapa final'!$Q$29),"")</f>
        <v/>
      </c>
      <c r="Y19" s="37" t="str">
        <f>IF(AND('Mapa final'!$AA$30="Alta",'Mapa final'!$AC$30="Moderado"),CONCATENATE("R4C",'Mapa final'!$Q$30),"")</f>
        <v/>
      </c>
      <c r="Z19" s="37" t="str">
        <f>IF(AND('Mapa final'!$AA$31="Alta",'Mapa final'!$AC$31="Moderado"),CONCATENATE("R4C",'Mapa final'!$Q$31),"")</f>
        <v/>
      </c>
      <c r="AA19" s="38" t="str">
        <f>IF(AND('Mapa final'!$AA$32="Alta",'Mapa final'!$AC$32="Moderado"),CONCATENATE("R4C",'Mapa final'!$Q$32),"")</f>
        <v/>
      </c>
      <c r="AB19" s="36" t="str">
        <f>IF(AND('Mapa final'!$AA$27="Alta",'Mapa final'!$AC$27="Mayor"),CONCATENATE("R4C",'Mapa final'!$Q$27),"")</f>
        <v/>
      </c>
      <c r="AC19" s="37" t="str">
        <f>IF(AND('Mapa final'!$AA$28="Alta",'Mapa final'!$AC$28="Mayor"),CONCATENATE("R4C",'Mapa final'!$Q$28),"")</f>
        <v/>
      </c>
      <c r="AD19" s="37" t="str">
        <f>IF(AND('Mapa final'!$AA$29="Alta",'Mapa final'!$AC$29="Mayor"),CONCATENATE("R4C",'Mapa final'!$Q$29),"")</f>
        <v/>
      </c>
      <c r="AE19" s="37" t="str">
        <f>IF(AND('Mapa final'!$AA$30="Alta",'Mapa final'!$AC$30="Mayor"),CONCATENATE("R4C",'Mapa final'!$Q$30),"")</f>
        <v/>
      </c>
      <c r="AF19" s="37" t="str">
        <f>IF(AND('Mapa final'!$AA$31="Alta",'Mapa final'!$AC$31="Mayor"),CONCATENATE("R4C",'Mapa final'!$Q$31),"")</f>
        <v/>
      </c>
      <c r="AG19" s="38" t="str">
        <f>IF(AND('Mapa final'!$AA$32="Alta",'Mapa final'!$AC$32="Mayor"),CONCATENATE("R4C",'Mapa final'!$Q$32),"")</f>
        <v/>
      </c>
      <c r="AH19" s="39" t="str">
        <f>IF(AND('Mapa final'!$AA$27="Alta",'Mapa final'!$AC$27="Catastrófico"),CONCATENATE("R4C",'Mapa final'!$Q$27),"")</f>
        <v/>
      </c>
      <c r="AI19" s="40" t="str">
        <f>IF(AND('Mapa final'!$AA$28="Alta",'Mapa final'!$AC$28="Catastrófico"),CONCATENATE("R4C",'Mapa final'!$Q$28),"")</f>
        <v/>
      </c>
      <c r="AJ19" s="40" t="str">
        <f>IF(AND('Mapa final'!$AA$29="Alta",'Mapa final'!$AC$29="Catastrófico"),CONCATENATE("R4C",'Mapa final'!$Q$29),"")</f>
        <v/>
      </c>
      <c r="AK19" s="40" t="str">
        <f>IF(AND('Mapa final'!$AA$30="Alta",'Mapa final'!$AC$30="Catastrófico"),CONCATENATE("R4C",'Mapa final'!$Q$30),"")</f>
        <v/>
      </c>
      <c r="AL19" s="40" t="str">
        <f>IF(AND('Mapa final'!$AA$31="Alta",'Mapa final'!$AC$31="Catastrófico"),CONCATENATE("R4C",'Mapa final'!$Q$31),"")</f>
        <v/>
      </c>
      <c r="AM19" s="41" t="str">
        <f>IF(AND('Mapa final'!$AA$32="Alta",'Mapa final'!$AC$32="Catastrófico"),CONCATENATE("R4C",'Mapa final'!$Q$32),"")</f>
        <v/>
      </c>
      <c r="AN19" s="67"/>
      <c r="AO19" s="423"/>
      <c r="AP19" s="424"/>
      <c r="AQ19" s="424"/>
      <c r="AR19" s="424"/>
      <c r="AS19" s="424"/>
      <c r="AT19" s="425"/>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372"/>
      <c r="C20" s="372"/>
      <c r="D20" s="373"/>
      <c r="E20" s="413"/>
      <c r="F20" s="414"/>
      <c r="G20" s="414"/>
      <c r="H20" s="414"/>
      <c r="I20" s="414"/>
      <c r="J20" s="51" t="str">
        <f>IF(AND('Mapa final'!$AA$33="Alta",'Mapa final'!$AC$33="Leve"),CONCATENATE("R5C",'Mapa final'!$Q$33),"")</f>
        <v/>
      </c>
      <c r="K20" s="52" t="str">
        <f>IF(AND('Mapa final'!$AA$34="Alta",'Mapa final'!$AC$34="Leve"),CONCATENATE("R5C",'Mapa final'!$Q$34),"")</f>
        <v/>
      </c>
      <c r="L20" s="52" t="str">
        <f>IF(AND('Mapa final'!$AA$35="Alta",'Mapa final'!$AC$35="Leve"),CONCATENATE("R5C",'Mapa final'!$Q$35),"")</f>
        <v/>
      </c>
      <c r="M20" s="52" t="str">
        <f>IF(AND('Mapa final'!$AA$36="Alta",'Mapa final'!$AC$36="Leve"),CONCATENATE("R5C",'Mapa final'!$Q$36),"")</f>
        <v/>
      </c>
      <c r="N20" s="52" t="str">
        <f>IF(AND('Mapa final'!$AA$37="Alta",'Mapa final'!$AC$37="Leve"),CONCATENATE("R5C",'Mapa final'!$Q$37),"")</f>
        <v/>
      </c>
      <c r="O20" s="53" t="str">
        <f>IF(AND('Mapa final'!$AA$38="Alta",'Mapa final'!$AC$38="Leve"),CONCATENATE("R5C",'Mapa final'!$Q$38),"")</f>
        <v/>
      </c>
      <c r="P20" s="51" t="str">
        <f>IF(AND('Mapa final'!$AA$33="Alta",'Mapa final'!$AC$33="Menor"),CONCATENATE("R5C",'Mapa final'!$Q$33),"")</f>
        <v/>
      </c>
      <c r="Q20" s="52" t="str">
        <f>IF(AND('Mapa final'!$AA$34="Alta",'Mapa final'!$AC$34="Menor"),CONCATENATE("R5C",'Mapa final'!$Q$34),"")</f>
        <v/>
      </c>
      <c r="R20" s="52" t="str">
        <f>IF(AND('Mapa final'!$AA$35="Alta",'Mapa final'!$AC$35="Menor"),CONCATENATE("R5C",'Mapa final'!$Q$35),"")</f>
        <v/>
      </c>
      <c r="S20" s="52" t="str">
        <f>IF(AND('Mapa final'!$AA$36="Alta",'Mapa final'!$AC$36="Menor"),CONCATENATE("R5C",'Mapa final'!$Q$36),"")</f>
        <v/>
      </c>
      <c r="T20" s="52" t="str">
        <f>IF(AND('Mapa final'!$AA$37="Alta",'Mapa final'!$AC$37="Menor"),CONCATENATE("R5C",'Mapa final'!$Q$37),"")</f>
        <v/>
      </c>
      <c r="U20" s="53" t="str">
        <f>IF(AND('Mapa final'!$AA$38="Alta",'Mapa final'!$AC$38="Menor"),CONCATENATE("R5C",'Mapa final'!$Q$38),"")</f>
        <v/>
      </c>
      <c r="V20" s="36" t="str">
        <f>IF(AND('Mapa final'!$AA$33="Alta",'Mapa final'!$AC$33="Moderado"),CONCATENATE("R5C",'Mapa final'!$Q$33),"")</f>
        <v/>
      </c>
      <c r="W20" s="37" t="str">
        <f>IF(AND('Mapa final'!$AA$34="Alta",'Mapa final'!$AC$34="Moderado"),CONCATENATE("R5C",'Mapa final'!$Q$34),"")</f>
        <v/>
      </c>
      <c r="X20" s="37" t="str">
        <f>IF(AND('Mapa final'!$AA$35="Alta",'Mapa final'!$AC$35="Moderado"),CONCATENATE("R5C",'Mapa final'!$Q$35),"")</f>
        <v/>
      </c>
      <c r="Y20" s="37" t="str">
        <f>IF(AND('Mapa final'!$AA$36="Alta",'Mapa final'!$AC$36="Moderado"),CONCATENATE("R5C",'Mapa final'!$Q$36),"")</f>
        <v/>
      </c>
      <c r="Z20" s="37" t="str">
        <f>IF(AND('Mapa final'!$AA$37="Alta",'Mapa final'!$AC$37="Moderado"),CONCATENATE("R5C",'Mapa final'!$Q$37),"")</f>
        <v/>
      </c>
      <c r="AA20" s="38" t="str">
        <f>IF(AND('Mapa final'!$AA$38="Alta",'Mapa final'!$AC$38="Moderado"),CONCATENATE("R5C",'Mapa final'!$Q$38),"")</f>
        <v/>
      </c>
      <c r="AB20" s="36" t="str">
        <f>IF(AND('Mapa final'!$AA$33="Alta",'Mapa final'!$AC$33="Mayor"),CONCATENATE("R5C",'Mapa final'!$Q$33),"")</f>
        <v/>
      </c>
      <c r="AC20" s="37" t="str">
        <f>IF(AND('Mapa final'!$AA$34="Alta",'Mapa final'!$AC$34="Mayor"),CONCATENATE("R5C",'Mapa final'!$Q$34),"")</f>
        <v/>
      </c>
      <c r="AD20" s="37" t="str">
        <f>IF(AND('Mapa final'!$AA$35="Alta",'Mapa final'!$AC$35="Mayor"),CONCATENATE("R5C",'Mapa final'!$Q$35),"")</f>
        <v/>
      </c>
      <c r="AE20" s="37" t="str">
        <f>IF(AND('Mapa final'!$AA$36="Alta",'Mapa final'!$AC$36="Mayor"),CONCATENATE("R5C",'Mapa final'!$Q$36),"")</f>
        <v/>
      </c>
      <c r="AF20" s="37" t="str">
        <f>IF(AND('Mapa final'!$AA$37="Alta",'Mapa final'!$AC$37="Mayor"),CONCATENATE("R5C",'Mapa final'!$Q$37),"")</f>
        <v/>
      </c>
      <c r="AG20" s="38" t="str">
        <f>IF(AND('Mapa final'!$AA$38="Alta",'Mapa final'!$AC$38="Mayor"),CONCATENATE("R5C",'Mapa final'!$Q$38),"")</f>
        <v/>
      </c>
      <c r="AH20" s="39" t="str">
        <f>IF(AND('Mapa final'!$AA$33="Alta",'Mapa final'!$AC$33="Catastrófico"),CONCATENATE("R5C",'Mapa final'!$Q$33),"")</f>
        <v/>
      </c>
      <c r="AI20" s="40" t="str">
        <f>IF(AND('Mapa final'!$AA$34="Alta",'Mapa final'!$AC$34="Catastrófico"),CONCATENATE("R5C",'Mapa final'!$Q$34),"")</f>
        <v/>
      </c>
      <c r="AJ20" s="40" t="str">
        <f>IF(AND('Mapa final'!$AA$35="Alta",'Mapa final'!$AC$35="Catastrófico"),CONCATENATE("R5C",'Mapa final'!$Q$35),"")</f>
        <v/>
      </c>
      <c r="AK20" s="40" t="str">
        <f>IF(AND('Mapa final'!$AA$36="Alta",'Mapa final'!$AC$36="Catastrófico"),CONCATENATE("R5C",'Mapa final'!$Q$36),"")</f>
        <v/>
      </c>
      <c r="AL20" s="40" t="str">
        <f>IF(AND('Mapa final'!$AA$37="Alta",'Mapa final'!$AC$37="Catastrófico"),CONCATENATE("R5C",'Mapa final'!$Q$37),"")</f>
        <v/>
      </c>
      <c r="AM20" s="41" t="str">
        <f>IF(AND('Mapa final'!$AA$38="Alta",'Mapa final'!$AC$38="Catastrófico"),CONCATENATE("R5C",'Mapa final'!$Q$38),"")</f>
        <v/>
      </c>
      <c r="AN20" s="67"/>
      <c r="AO20" s="423"/>
      <c r="AP20" s="424"/>
      <c r="AQ20" s="424"/>
      <c r="AR20" s="424"/>
      <c r="AS20" s="424"/>
      <c r="AT20" s="425"/>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372"/>
      <c r="C21" s="372"/>
      <c r="D21" s="373"/>
      <c r="E21" s="413"/>
      <c r="F21" s="414"/>
      <c r="G21" s="414"/>
      <c r="H21" s="414"/>
      <c r="I21" s="414"/>
      <c r="J21" s="51" t="str">
        <f>IF(AND('Mapa final'!$AA$39="Alta",'Mapa final'!$AC$39="Leve"),CONCATENATE("R6C",'Mapa final'!$Q$39),"")</f>
        <v/>
      </c>
      <c r="K21" s="52" t="str">
        <f>IF(AND('Mapa final'!$AA$40="Alta",'Mapa final'!$AC$40="Leve"),CONCATENATE("R6C",'Mapa final'!$Q$40),"")</f>
        <v/>
      </c>
      <c r="L21" s="52" t="str">
        <f>IF(AND('Mapa final'!$AA$41="Alta",'Mapa final'!$AC$41="Leve"),CONCATENATE("R6C",'Mapa final'!$Q$41),"")</f>
        <v/>
      </c>
      <c r="M21" s="52" t="str">
        <f>IF(AND('Mapa final'!$AA$42="Alta",'Mapa final'!$AC$42="Leve"),CONCATENATE("R6C",'Mapa final'!$Q$42),"")</f>
        <v/>
      </c>
      <c r="N21" s="52" t="str">
        <f>IF(AND('Mapa final'!$AA$43="Alta",'Mapa final'!$AC$43="Leve"),CONCATENATE("R6C",'Mapa final'!$Q$43),"")</f>
        <v/>
      </c>
      <c r="O21" s="53" t="str">
        <f>IF(AND('Mapa final'!$AA$44="Alta",'Mapa final'!$AC$44="Leve"),CONCATENATE("R6C",'Mapa final'!$Q$44),"")</f>
        <v/>
      </c>
      <c r="P21" s="51" t="str">
        <f>IF(AND('Mapa final'!$AA$39="Alta",'Mapa final'!$AC$39="Menor"),CONCATENATE("R6C",'Mapa final'!$Q$39),"")</f>
        <v/>
      </c>
      <c r="Q21" s="52" t="str">
        <f>IF(AND('Mapa final'!$AA$40="Alta",'Mapa final'!$AC$40="Menor"),CONCATENATE("R6C",'Mapa final'!$Q$40),"")</f>
        <v/>
      </c>
      <c r="R21" s="52" t="str">
        <f>IF(AND('Mapa final'!$AA$41="Alta",'Mapa final'!$AC$41="Menor"),CONCATENATE("R6C",'Mapa final'!$Q$41),"")</f>
        <v/>
      </c>
      <c r="S21" s="52" t="str">
        <f>IF(AND('Mapa final'!$AA$42="Alta",'Mapa final'!$AC$42="Menor"),CONCATENATE("R6C",'Mapa final'!$Q$42),"")</f>
        <v/>
      </c>
      <c r="T21" s="52" t="str">
        <f>IF(AND('Mapa final'!$AA$43="Alta",'Mapa final'!$AC$43="Menor"),CONCATENATE("R6C",'Mapa final'!$Q$43),"")</f>
        <v/>
      </c>
      <c r="U21" s="53" t="str">
        <f>IF(AND('Mapa final'!$AA$44="Alta",'Mapa final'!$AC$44="Menor"),CONCATENATE("R6C",'Mapa final'!$Q$44),"")</f>
        <v/>
      </c>
      <c r="V21" s="36" t="str">
        <f>IF(AND('Mapa final'!$AA$39="Alta",'Mapa final'!$AC$39="Moderado"),CONCATENATE("R6C",'Mapa final'!$Q$39),"")</f>
        <v/>
      </c>
      <c r="W21" s="37" t="str">
        <f>IF(AND('Mapa final'!$AA$40="Alta",'Mapa final'!$AC$40="Moderado"),CONCATENATE("R6C",'Mapa final'!$Q$40),"")</f>
        <v/>
      </c>
      <c r="X21" s="37" t="str">
        <f>IF(AND('Mapa final'!$AA$41="Alta",'Mapa final'!$AC$41="Moderado"),CONCATENATE("R6C",'Mapa final'!$Q$41),"")</f>
        <v/>
      </c>
      <c r="Y21" s="37" t="str">
        <f>IF(AND('Mapa final'!$AA$42="Alta",'Mapa final'!$AC$42="Moderado"),CONCATENATE("R6C",'Mapa final'!$Q$42),"")</f>
        <v/>
      </c>
      <c r="Z21" s="37" t="str">
        <f>IF(AND('Mapa final'!$AA$43="Alta",'Mapa final'!$AC$43="Moderado"),CONCATENATE("R6C",'Mapa final'!$Q$43),"")</f>
        <v/>
      </c>
      <c r="AA21" s="38" t="str">
        <f>IF(AND('Mapa final'!$AA$44="Alta",'Mapa final'!$AC$44="Moderado"),CONCATENATE("R6C",'Mapa final'!$Q$44),"")</f>
        <v/>
      </c>
      <c r="AB21" s="36" t="str">
        <f>IF(AND('Mapa final'!$AA$39="Alta",'Mapa final'!$AC$39="Mayor"),CONCATENATE("R6C",'Mapa final'!$Q$39),"")</f>
        <v/>
      </c>
      <c r="AC21" s="37" t="str">
        <f>IF(AND('Mapa final'!$AA$40="Alta",'Mapa final'!$AC$40="Mayor"),CONCATENATE("R6C",'Mapa final'!$Q$40),"")</f>
        <v/>
      </c>
      <c r="AD21" s="37" t="str">
        <f>IF(AND('Mapa final'!$AA$41="Alta",'Mapa final'!$AC$41="Mayor"),CONCATENATE("R6C",'Mapa final'!$Q$41),"")</f>
        <v/>
      </c>
      <c r="AE21" s="37" t="str">
        <f>IF(AND('Mapa final'!$AA$42="Alta",'Mapa final'!$AC$42="Mayor"),CONCATENATE("R6C",'Mapa final'!$Q$42),"")</f>
        <v/>
      </c>
      <c r="AF21" s="37" t="str">
        <f>IF(AND('Mapa final'!$AA$43="Alta",'Mapa final'!$AC$43="Mayor"),CONCATENATE("R6C",'Mapa final'!$Q$43),"")</f>
        <v/>
      </c>
      <c r="AG21" s="38" t="str">
        <f>IF(AND('Mapa final'!$AA$44="Alta",'Mapa final'!$AC$44="Mayor"),CONCATENATE("R6C",'Mapa final'!$Q$44),"")</f>
        <v/>
      </c>
      <c r="AH21" s="39" t="str">
        <f>IF(AND('Mapa final'!$AA$39="Alta",'Mapa final'!$AC$39="Catastrófico"),CONCATENATE("R6C",'Mapa final'!$Q$39),"")</f>
        <v/>
      </c>
      <c r="AI21" s="40" t="str">
        <f>IF(AND('Mapa final'!$AA$40="Alta",'Mapa final'!$AC$40="Catastrófico"),CONCATENATE("R6C",'Mapa final'!$Q$40),"")</f>
        <v/>
      </c>
      <c r="AJ21" s="40" t="str">
        <f>IF(AND('Mapa final'!$AA$41="Alta",'Mapa final'!$AC$41="Catastrófico"),CONCATENATE("R6C",'Mapa final'!$Q$41),"")</f>
        <v/>
      </c>
      <c r="AK21" s="40" t="str">
        <f>IF(AND('Mapa final'!$AA$42="Alta",'Mapa final'!$AC$42="Catastrófico"),CONCATENATE("R6C",'Mapa final'!$Q$42),"")</f>
        <v/>
      </c>
      <c r="AL21" s="40" t="str">
        <f>IF(AND('Mapa final'!$AA$43="Alta",'Mapa final'!$AC$43="Catastrófico"),CONCATENATE("R6C",'Mapa final'!$Q$43),"")</f>
        <v/>
      </c>
      <c r="AM21" s="41" t="str">
        <f>IF(AND('Mapa final'!$AA$44="Alta",'Mapa final'!$AC$44="Catastrófico"),CONCATENATE("R6C",'Mapa final'!$Q$44),"")</f>
        <v/>
      </c>
      <c r="AN21" s="67"/>
      <c r="AO21" s="423"/>
      <c r="AP21" s="424"/>
      <c r="AQ21" s="424"/>
      <c r="AR21" s="424"/>
      <c r="AS21" s="424"/>
      <c r="AT21" s="425"/>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372"/>
      <c r="C22" s="372"/>
      <c r="D22" s="373"/>
      <c r="E22" s="413"/>
      <c r="F22" s="414"/>
      <c r="G22" s="414"/>
      <c r="H22" s="414"/>
      <c r="I22" s="414"/>
      <c r="J22" s="51" t="str">
        <f>IF(AND('Mapa final'!$AA$45="Alta",'Mapa final'!$AC$45="Leve"),CONCATENATE("R7C",'Mapa final'!$Q$45),"")</f>
        <v/>
      </c>
      <c r="K22" s="52" t="str">
        <f>IF(AND('Mapa final'!$AA$46="Alta",'Mapa final'!$AC$46="Leve"),CONCATENATE("R7C",'Mapa final'!$Q$46),"")</f>
        <v/>
      </c>
      <c r="L22" s="52" t="str">
        <f>IF(AND('Mapa final'!$AA$47="Alta",'Mapa final'!$AC$47="Leve"),CONCATENATE("R7C",'Mapa final'!$Q$47),"")</f>
        <v/>
      </c>
      <c r="M22" s="52" t="str">
        <f>IF(AND('Mapa final'!$AA$48="Alta",'Mapa final'!$AC$48="Leve"),CONCATENATE("R7C",'Mapa final'!$Q$48),"")</f>
        <v/>
      </c>
      <c r="N22" s="52" t="str">
        <f>IF(AND('Mapa final'!$AA$49="Alta",'Mapa final'!$AC$49="Leve"),CONCATENATE("R7C",'Mapa final'!$Q$49),"")</f>
        <v/>
      </c>
      <c r="O22" s="53" t="str">
        <f>IF(AND('Mapa final'!$AA$50="Alta",'Mapa final'!$AC$50="Leve"),CONCATENATE("R7C",'Mapa final'!$Q$50),"")</f>
        <v/>
      </c>
      <c r="P22" s="51" t="str">
        <f>IF(AND('Mapa final'!$AA$45="Alta",'Mapa final'!$AC$45="Menor"),CONCATENATE("R7C",'Mapa final'!$Q$45),"")</f>
        <v/>
      </c>
      <c r="Q22" s="52" t="str">
        <f>IF(AND('Mapa final'!$AA$46="Alta",'Mapa final'!$AC$46="Menor"),CONCATENATE("R7C",'Mapa final'!$Q$46),"")</f>
        <v/>
      </c>
      <c r="R22" s="52" t="str">
        <f>IF(AND('Mapa final'!$AA$47="Alta",'Mapa final'!$AC$47="Menor"),CONCATENATE("R7C",'Mapa final'!$Q$47),"")</f>
        <v/>
      </c>
      <c r="S22" s="52" t="str">
        <f>IF(AND('Mapa final'!$AA$48="Alta",'Mapa final'!$AC$48="Menor"),CONCATENATE("R7C",'Mapa final'!$Q$48),"")</f>
        <v/>
      </c>
      <c r="T22" s="52" t="str">
        <f>IF(AND('Mapa final'!$AA$49="Alta",'Mapa final'!$AC$49="Menor"),CONCATENATE("R7C",'Mapa final'!$Q$49),"")</f>
        <v/>
      </c>
      <c r="U22" s="53" t="str">
        <f>IF(AND('Mapa final'!$AA$50="Alta",'Mapa final'!$AC$50="Menor"),CONCATENATE("R7C",'Mapa final'!$Q$50),"")</f>
        <v/>
      </c>
      <c r="V22" s="36" t="str">
        <f>IF(AND('Mapa final'!$AA$45="Alta",'Mapa final'!$AC$45="Moderado"),CONCATENATE("R7C",'Mapa final'!$Q$45),"")</f>
        <v/>
      </c>
      <c r="W22" s="37" t="str">
        <f>IF(AND('Mapa final'!$AA$46="Alta",'Mapa final'!$AC$46="Moderado"),CONCATENATE("R7C",'Mapa final'!$Q$46),"")</f>
        <v/>
      </c>
      <c r="X22" s="37" t="str">
        <f>IF(AND('Mapa final'!$AA$47="Alta",'Mapa final'!$AC$47="Moderado"),CONCATENATE("R7C",'Mapa final'!$Q$47),"")</f>
        <v/>
      </c>
      <c r="Y22" s="37" t="str">
        <f>IF(AND('Mapa final'!$AA$48="Alta",'Mapa final'!$AC$48="Moderado"),CONCATENATE("R7C",'Mapa final'!$Q$48),"")</f>
        <v/>
      </c>
      <c r="Z22" s="37" t="str">
        <f>IF(AND('Mapa final'!$AA$49="Alta",'Mapa final'!$AC$49="Moderado"),CONCATENATE("R7C",'Mapa final'!$Q$49),"")</f>
        <v/>
      </c>
      <c r="AA22" s="38" t="str">
        <f>IF(AND('Mapa final'!$AA$50="Alta",'Mapa final'!$AC$50="Moderado"),CONCATENATE("R7C",'Mapa final'!$Q$50),"")</f>
        <v/>
      </c>
      <c r="AB22" s="36" t="str">
        <f>IF(AND('Mapa final'!$AA$45="Alta",'Mapa final'!$AC$45="Mayor"),CONCATENATE("R7C",'Mapa final'!$Q$45),"")</f>
        <v/>
      </c>
      <c r="AC22" s="37" t="str">
        <f>IF(AND('Mapa final'!$AA$46="Alta",'Mapa final'!$AC$46="Mayor"),CONCATENATE("R7C",'Mapa final'!$Q$46),"")</f>
        <v/>
      </c>
      <c r="AD22" s="37" t="str">
        <f>IF(AND('Mapa final'!$AA$47="Alta",'Mapa final'!$AC$47="Mayor"),CONCATENATE("R7C",'Mapa final'!$Q$47),"")</f>
        <v/>
      </c>
      <c r="AE22" s="37" t="str">
        <f>IF(AND('Mapa final'!$AA$48="Alta",'Mapa final'!$AC$48="Mayor"),CONCATENATE("R7C",'Mapa final'!$Q$48),"")</f>
        <v/>
      </c>
      <c r="AF22" s="37" t="str">
        <f>IF(AND('Mapa final'!$AA$49="Alta",'Mapa final'!$AC$49="Mayor"),CONCATENATE("R7C",'Mapa final'!$Q$49),"")</f>
        <v/>
      </c>
      <c r="AG22" s="38" t="str">
        <f>IF(AND('Mapa final'!$AA$50="Alta",'Mapa final'!$AC$50="Mayor"),CONCATENATE("R7C",'Mapa final'!$Q$50),"")</f>
        <v/>
      </c>
      <c r="AH22" s="39" t="str">
        <f>IF(AND('Mapa final'!$AA$45="Alta",'Mapa final'!$AC$45="Catastrófico"),CONCATENATE("R7C",'Mapa final'!$Q$45),"")</f>
        <v/>
      </c>
      <c r="AI22" s="40" t="str">
        <f>IF(AND('Mapa final'!$AA$46="Alta",'Mapa final'!$AC$46="Catastrófico"),CONCATENATE("R7C",'Mapa final'!$Q$46),"")</f>
        <v/>
      </c>
      <c r="AJ22" s="40" t="str">
        <f>IF(AND('Mapa final'!$AA$47="Alta",'Mapa final'!$AC$47="Catastrófico"),CONCATENATE("R7C",'Mapa final'!$Q$47),"")</f>
        <v/>
      </c>
      <c r="AK22" s="40" t="str">
        <f>IF(AND('Mapa final'!$AA$48="Alta",'Mapa final'!$AC$48="Catastrófico"),CONCATENATE("R7C",'Mapa final'!$Q$48),"")</f>
        <v/>
      </c>
      <c r="AL22" s="40" t="str">
        <f>IF(AND('Mapa final'!$AA$49="Alta",'Mapa final'!$AC$49="Catastrófico"),CONCATENATE("R7C",'Mapa final'!$Q$49),"")</f>
        <v/>
      </c>
      <c r="AM22" s="41" t="str">
        <f>IF(AND('Mapa final'!$AA$50="Alta",'Mapa final'!$AC$50="Catastrófico"),CONCATENATE("R7C",'Mapa final'!$Q$50),"")</f>
        <v/>
      </c>
      <c r="AN22" s="67"/>
      <c r="AO22" s="423"/>
      <c r="AP22" s="424"/>
      <c r="AQ22" s="424"/>
      <c r="AR22" s="424"/>
      <c r="AS22" s="424"/>
      <c r="AT22" s="425"/>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372"/>
      <c r="C23" s="372"/>
      <c r="D23" s="373"/>
      <c r="E23" s="413"/>
      <c r="F23" s="414"/>
      <c r="G23" s="414"/>
      <c r="H23" s="414"/>
      <c r="I23" s="414"/>
      <c r="J23" s="51" t="str">
        <f>IF(AND('Mapa final'!$AA$51="Alta",'Mapa final'!$AC$51="Leve"),CONCATENATE("R8C",'Mapa final'!$Q$51),"")</f>
        <v/>
      </c>
      <c r="K23" s="52" t="str">
        <f>IF(AND('Mapa final'!$AA$52="Alta",'Mapa final'!$AC$52="Leve"),CONCATENATE("R8C",'Mapa final'!$Q$52),"")</f>
        <v/>
      </c>
      <c r="L23" s="52" t="str">
        <f>IF(AND('Mapa final'!$AA$53="Alta",'Mapa final'!$AC$53="Leve"),CONCATENATE("R8C",'Mapa final'!$Q$53),"")</f>
        <v/>
      </c>
      <c r="M23" s="52" t="str">
        <f>IF(AND('Mapa final'!$AA$54="Alta",'Mapa final'!$AC$54="Leve"),CONCATENATE("R8C",'Mapa final'!$Q$54),"")</f>
        <v/>
      </c>
      <c r="N23" s="52" t="str">
        <f>IF(AND('Mapa final'!$AA$55="Alta",'Mapa final'!$AC$55="Leve"),CONCATENATE("R8C",'Mapa final'!$Q$55),"")</f>
        <v/>
      </c>
      <c r="O23" s="53" t="str">
        <f>IF(AND('Mapa final'!$AA$56="Alta",'Mapa final'!$AC$56="Leve"),CONCATENATE("R8C",'Mapa final'!$Q$56),"")</f>
        <v/>
      </c>
      <c r="P23" s="51" t="str">
        <f>IF(AND('Mapa final'!$AA$51="Alta",'Mapa final'!$AC$51="Menor"),CONCATENATE("R8C",'Mapa final'!$Q$51),"")</f>
        <v/>
      </c>
      <c r="Q23" s="52" t="str">
        <f>IF(AND('Mapa final'!$AA$52="Alta",'Mapa final'!$AC$52="Menor"),CONCATENATE("R8C",'Mapa final'!$Q$52),"")</f>
        <v/>
      </c>
      <c r="R23" s="52" t="str">
        <f>IF(AND('Mapa final'!$AA$53="Alta",'Mapa final'!$AC$53="Menor"),CONCATENATE("R8C",'Mapa final'!$Q$53),"")</f>
        <v/>
      </c>
      <c r="S23" s="52" t="str">
        <f>IF(AND('Mapa final'!$AA$54="Alta",'Mapa final'!$AC$54="Menor"),CONCATENATE("R8C",'Mapa final'!$Q$54),"")</f>
        <v/>
      </c>
      <c r="T23" s="52" t="str">
        <f>IF(AND('Mapa final'!$AA$55="Alta",'Mapa final'!$AC$55="Menor"),CONCATENATE("R8C",'Mapa final'!$Q$55),"")</f>
        <v/>
      </c>
      <c r="U23" s="53" t="str">
        <f>IF(AND('Mapa final'!$AA$56="Alta",'Mapa final'!$AC$56="Menor"),CONCATENATE("R8C",'Mapa final'!$Q$56),"")</f>
        <v/>
      </c>
      <c r="V23" s="36" t="str">
        <f>IF(AND('Mapa final'!$AA$51="Alta",'Mapa final'!$AC$51="Moderado"),CONCATENATE("R8C",'Mapa final'!$Q$51),"")</f>
        <v/>
      </c>
      <c r="W23" s="37" t="str">
        <f>IF(AND('Mapa final'!$AA$52="Alta",'Mapa final'!$AC$52="Moderado"),CONCATENATE("R8C",'Mapa final'!$Q$52),"")</f>
        <v/>
      </c>
      <c r="X23" s="37" t="str">
        <f>IF(AND('Mapa final'!$AA$53="Alta",'Mapa final'!$AC$53="Moderado"),CONCATENATE("R8C",'Mapa final'!$Q$53),"")</f>
        <v/>
      </c>
      <c r="Y23" s="37" t="str">
        <f>IF(AND('Mapa final'!$AA$54="Alta",'Mapa final'!$AC$54="Moderado"),CONCATENATE("R8C",'Mapa final'!$Q$54),"")</f>
        <v/>
      </c>
      <c r="Z23" s="37" t="str">
        <f>IF(AND('Mapa final'!$AA$55="Alta",'Mapa final'!$AC$55="Moderado"),CONCATENATE("R8C",'Mapa final'!$Q$55),"")</f>
        <v/>
      </c>
      <c r="AA23" s="38" t="str">
        <f>IF(AND('Mapa final'!$AA$56="Alta",'Mapa final'!$AC$56="Moderado"),CONCATENATE("R8C",'Mapa final'!$Q$56),"")</f>
        <v/>
      </c>
      <c r="AB23" s="36" t="str">
        <f>IF(AND('Mapa final'!$AA$51="Alta",'Mapa final'!$AC$51="Mayor"),CONCATENATE("R8C",'Mapa final'!$Q$51),"")</f>
        <v/>
      </c>
      <c r="AC23" s="37" t="str">
        <f>IF(AND('Mapa final'!$AA$52="Alta",'Mapa final'!$AC$52="Mayor"),CONCATENATE("R8C",'Mapa final'!$Q$52),"")</f>
        <v/>
      </c>
      <c r="AD23" s="37" t="str">
        <f>IF(AND('Mapa final'!$AA$53="Alta",'Mapa final'!$AC$53="Mayor"),CONCATENATE("R8C",'Mapa final'!$Q$53),"")</f>
        <v/>
      </c>
      <c r="AE23" s="37" t="str">
        <f>IF(AND('Mapa final'!$AA$54="Alta",'Mapa final'!$AC$54="Mayor"),CONCATENATE("R8C",'Mapa final'!$Q$54),"")</f>
        <v/>
      </c>
      <c r="AF23" s="37" t="str">
        <f>IF(AND('Mapa final'!$AA$55="Alta",'Mapa final'!$AC$55="Mayor"),CONCATENATE("R8C",'Mapa final'!$Q$55),"")</f>
        <v/>
      </c>
      <c r="AG23" s="38" t="str">
        <f>IF(AND('Mapa final'!$AA$56="Alta",'Mapa final'!$AC$56="Mayor"),CONCATENATE("R8C",'Mapa final'!$Q$56),"")</f>
        <v/>
      </c>
      <c r="AH23" s="39" t="str">
        <f>IF(AND('Mapa final'!$AA$51="Alta",'Mapa final'!$AC$51="Catastrófico"),CONCATENATE("R8C",'Mapa final'!$Q$51),"")</f>
        <v/>
      </c>
      <c r="AI23" s="40" t="str">
        <f>IF(AND('Mapa final'!$AA$52="Alta",'Mapa final'!$AC$52="Catastrófico"),CONCATENATE("R8C",'Mapa final'!$Q$52),"")</f>
        <v/>
      </c>
      <c r="AJ23" s="40" t="str">
        <f>IF(AND('Mapa final'!$AA$53="Alta",'Mapa final'!$AC$53="Catastrófico"),CONCATENATE("R8C",'Mapa final'!$Q$53),"")</f>
        <v/>
      </c>
      <c r="AK23" s="40" t="str">
        <f>IF(AND('Mapa final'!$AA$54="Alta",'Mapa final'!$AC$54="Catastrófico"),CONCATENATE("R8C",'Mapa final'!$Q$54),"")</f>
        <v/>
      </c>
      <c r="AL23" s="40" t="str">
        <f>IF(AND('Mapa final'!$AA$55="Alta",'Mapa final'!$AC$55="Catastrófico"),CONCATENATE("R8C",'Mapa final'!$Q$55),"")</f>
        <v/>
      </c>
      <c r="AM23" s="41" t="str">
        <f>IF(AND('Mapa final'!$AA$56="Alta",'Mapa final'!$AC$56="Catastrófico"),CONCATENATE("R8C",'Mapa final'!$Q$56),"")</f>
        <v/>
      </c>
      <c r="AN23" s="67"/>
      <c r="AO23" s="423"/>
      <c r="AP23" s="424"/>
      <c r="AQ23" s="424"/>
      <c r="AR23" s="424"/>
      <c r="AS23" s="424"/>
      <c r="AT23" s="42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372"/>
      <c r="C24" s="372"/>
      <c r="D24" s="373"/>
      <c r="E24" s="413"/>
      <c r="F24" s="414"/>
      <c r="G24" s="414"/>
      <c r="H24" s="414"/>
      <c r="I24" s="414"/>
      <c r="J24" s="51" t="str">
        <f>IF(AND('Mapa final'!$AA$57="Alta",'Mapa final'!$AC$57="Leve"),CONCATENATE("R9C",'Mapa final'!$Q$57),"")</f>
        <v/>
      </c>
      <c r="K24" s="52" t="str">
        <f>IF(AND('Mapa final'!$AA$58="Alta",'Mapa final'!$AC$58="Leve"),CONCATENATE("R9C",'Mapa final'!$Q$58),"")</f>
        <v/>
      </c>
      <c r="L24" s="52" t="str">
        <f>IF(AND('Mapa final'!$AA$59="Alta",'Mapa final'!$AC$59="Leve"),CONCATENATE("R9C",'Mapa final'!$Q$59),"")</f>
        <v/>
      </c>
      <c r="M24" s="52" t="str">
        <f>IF(AND('Mapa final'!$AA$60="Alta",'Mapa final'!$AC$60="Leve"),CONCATENATE("R9C",'Mapa final'!$Q$60),"")</f>
        <v/>
      </c>
      <c r="N24" s="52" t="str">
        <f>IF(AND('Mapa final'!$AA$61="Alta",'Mapa final'!$AC$61="Leve"),CONCATENATE("R9C",'Mapa final'!$Q$61),"")</f>
        <v/>
      </c>
      <c r="O24" s="53" t="str">
        <f>IF(AND('Mapa final'!$AA$62="Alta",'Mapa final'!$AC$62="Leve"),CONCATENATE("R9C",'Mapa final'!$Q$62),"")</f>
        <v/>
      </c>
      <c r="P24" s="51" t="str">
        <f>IF(AND('Mapa final'!$AA$57="Alta",'Mapa final'!$AC$57="Menor"),CONCATENATE("R9C",'Mapa final'!$Q$57),"")</f>
        <v/>
      </c>
      <c r="Q24" s="52" t="str">
        <f>IF(AND('Mapa final'!$AA$58="Alta",'Mapa final'!$AC$58="Menor"),CONCATENATE("R9C",'Mapa final'!$Q$58),"")</f>
        <v/>
      </c>
      <c r="R24" s="52" t="str">
        <f>IF(AND('Mapa final'!$AA$59="Alta",'Mapa final'!$AC$59="Menor"),CONCATENATE("R9C",'Mapa final'!$Q$59),"")</f>
        <v/>
      </c>
      <c r="S24" s="52" t="str">
        <f>IF(AND('Mapa final'!$AA$60="Alta",'Mapa final'!$AC$60="Menor"),CONCATENATE("R9C",'Mapa final'!$Q$60),"")</f>
        <v/>
      </c>
      <c r="T24" s="52" t="str">
        <f>IF(AND('Mapa final'!$AA$61="Alta",'Mapa final'!$AC$61="Menor"),CONCATENATE("R9C",'Mapa final'!$Q$61),"")</f>
        <v/>
      </c>
      <c r="U24" s="53" t="str">
        <f>IF(AND('Mapa final'!$AA$62="Alta",'Mapa final'!$AC$62="Menor"),CONCATENATE("R9C",'Mapa final'!$Q$62),"")</f>
        <v/>
      </c>
      <c r="V24" s="36" t="str">
        <f>IF(AND('Mapa final'!$AA$57="Alta",'Mapa final'!$AC$57="Moderado"),CONCATENATE("R9C",'Mapa final'!$Q$57),"")</f>
        <v/>
      </c>
      <c r="W24" s="37" t="str">
        <f>IF(AND('Mapa final'!$AA$58="Alta",'Mapa final'!$AC$58="Moderado"),CONCATENATE("R9C",'Mapa final'!$Q$58),"")</f>
        <v/>
      </c>
      <c r="X24" s="37" t="str">
        <f>IF(AND('Mapa final'!$AA$59="Alta",'Mapa final'!$AC$59="Moderado"),CONCATENATE("R9C",'Mapa final'!$Q$59),"")</f>
        <v/>
      </c>
      <c r="Y24" s="37" t="str">
        <f>IF(AND('Mapa final'!$AA$60="Alta",'Mapa final'!$AC$60="Moderado"),CONCATENATE("R9C",'Mapa final'!$Q$60),"")</f>
        <v/>
      </c>
      <c r="Z24" s="37" t="str">
        <f>IF(AND('Mapa final'!$AA$61="Alta",'Mapa final'!$AC$61="Moderado"),CONCATENATE("R9C",'Mapa final'!$Q$61),"")</f>
        <v/>
      </c>
      <c r="AA24" s="38" t="str">
        <f>IF(AND('Mapa final'!$AA$62="Alta",'Mapa final'!$AC$62="Moderado"),CONCATENATE("R9C",'Mapa final'!$Q$62),"")</f>
        <v/>
      </c>
      <c r="AB24" s="36" t="str">
        <f>IF(AND('Mapa final'!$AA$57="Alta",'Mapa final'!$AC$57="Mayor"),CONCATENATE("R9C",'Mapa final'!$Q$57),"")</f>
        <v/>
      </c>
      <c r="AC24" s="37" t="str">
        <f>IF(AND('Mapa final'!$AA$58="Alta",'Mapa final'!$AC$58="Mayor"),CONCATENATE("R9C",'Mapa final'!$Q$58),"")</f>
        <v/>
      </c>
      <c r="AD24" s="37" t="str">
        <f>IF(AND('Mapa final'!$AA$59="Alta",'Mapa final'!$AC$59="Mayor"),CONCATENATE("R9C",'Mapa final'!$Q$59),"")</f>
        <v/>
      </c>
      <c r="AE24" s="37" t="str">
        <f>IF(AND('Mapa final'!$AA$60="Alta",'Mapa final'!$AC$60="Mayor"),CONCATENATE("R9C",'Mapa final'!$Q$60),"")</f>
        <v/>
      </c>
      <c r="AF24" s="37" t="str">
        <f>IF(AND('Mapa final'!$AA$61="Alta",'Mapa final'!$AC$61="Mayor"),CONCATENATE("R9C",'Mapa final'!$Q$61),"")</f>
        <v/>
      </c>
      <c r="AG24" s="38" t="str">
        <f>IF(AND('Mapa final'!$AA$62="Alta",'Mapa final'!$AC$62="Mayor"),CONCATENATE("R9C",'Mapa final'!$Q$62),"")</f>
        <v/>
      </c>
      <c r="AH24" s="39" t="str">
        <f>IF(AND('Mapa final'!$AA$57="Alta",'Mapa final'!$AC$57="Catastrófico"),CONCATENATE("R9C",'Mapa final'!$Q$57),"")</f>
        <v/>
      </c>
      <c r="AI24" s="40" t="str">
        <f>IF(AND('Mapa final'!$AA$58="Alta",'Mapa final'!$AC$58="Catastrófico"),CONCATENATE("R9C",'Mapa final'!$Q$58),"")</f>
        <v/>
      </c>
      <c r="AJ24" s="40" t="str">
        <f>IF(AND('Mapa final'!$AA$59="Alta",'Mapa final'!$AC$59="Catastrófico"),CONCATENATE("R9C",'Mapa final'!$Q$59),"")</f>
        <v/>
      </c>
      <c r="AK24" s="40" t="str">
        <f>IF(AND('Mapa final'!$AA$60="Alta",'Mapa final'!$AC$60="Catastrófico"),CONCATENATE("R9C",'Mapa final'!$Q$60),"")</f>
        <v/>
      </c>
      <c r="AL24" s="40" t="str">
        <f>IF(AND('Mapa final'!$AA$61="Alta",'Mapa final'!$AC$61="Catastrófico"),CONCATENATE("R9C",'Mapa final'!$Q$61),"")</f>
        <v/>
      </c>
      <c r="AM24" s="41" t="str">
        <f>IF(AND('Mapa final'!$AA$62="Alta",'Mapa final'!$AC$62="Catastrófico"),CONCATENATE("R9C",'Mapa final'!$Q$62),"")</f>
        <v/>
      </c>
      <c r="AN24" s="67"/>
      <c r="AO24" s="423"/>
      <c r="AP24" s="424"/>
      <c r="AQ24" s="424"/>
      <c r="AR24" s="424"/>
      <c r="AS24" s="424"/>
      <c r="AT24" s="42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372"/>
      <c r="C25" s="372"/>
      <c r="D25" s="373"/>
      <c r="E25" s="416"/>
      <c r="F25" s="417"/>
      <c r="G25" s="417"/>
      <c r="H25" s="417"/>
      <c r="I25" s="417"/>
      <c r="J25" s="54" t="str">
        <f>IF(AND('Mapa final'!$AA$63="Alta",'Mapa final'!$AC$63="Leve"),CONCATENATE("R10C",'Mapa final'!$Q$63),"")</f>
        <v/>
      </c>
      <c r="K25" s="55" t="str">
        <f>IF(AND('Mapa final'!$AA$64="Alta",'Mapa final'!$AC$64="Leve"),CONCATENATE("R10C",'Mapa final'!$Q$64),"")</f>
        <v/>
      </c>
      <c r="L25" s="55" t="str">
        <f>IF(AND('Mapa final'!$AA$65="Alta",'Mapa final'!$AC$65="Leve"),CONCATENATE("R10C",'Mapa final'!$Q$65),"")</f>
        <v/>
      </c>
      <c r="M25" s="55" t="str">
        <f>IF(AND('Mapa final'!$AA$66="Alta",'Mapa final'!$AC$66="Leve"),CONCATENATE("R10C",'Mapa final'!$Q$66),"")</f>
        <v/>
      </c>
      <c r="N25" s="55" t="str">
        <f>IF(AND('Mapa final'!$AA$67="Alta",'Mapa final'!$AC$67="Leve"),CONCATENATE("R10C",'Mapa final'!$Q$67),"")</f>
        <v/>
      </c>
      <c r="O25" s="56" t="str">
        <f>IF(AND('Mapa final'!$AA$68="Alta",'Mapa final'!$AC$68="Leve"),CONCATENATE("R10C",'Mapa final'!$Q$68),"")</f>
        <v/>
      </c>
      <c r="P25" s="54" t="str">
        <f>IF(AND('Mapa final'!$AA$63="Alta",'Mapa final'!$AC$63="Menor"),CONCATENATE("R10C",'Mapa final'!$Q$63),"")</f>
        <v/>
      </c>
      <c r="Q25" s="55" t="str">
        <f>IF(AND('Mapa final'!$AA$64="Alta",'Mapa final'!$AC$64="Menor"),CONCATENATE("R10C",'Mapa final'!$Q$64),"")</f>
        <v/>
      </c>
      <c r="R25" s="55" t="str">
        <f>IF(AND('Mapa final'!$AA$65="Alta",'Mapa final'!$AC$65="Menor"),CONCATENATE("R10C",'Mapa final'!$Q$65),"")</f>
        <v/>
      </c>
      <c r="S25" s="55" t="str">
        <f>IF(AND('Mapa final'!$AA$66="Alta",'Mapa final'!$AC$66="Menor"),CONCATENATE("R10C",'Mapa final'!$Q$66),"")</f>
        <v/>
      </c>
      <c r="T25" s="55" t="str">
        <f>IF(AND('Mapa final'!$AA$67="Alta",'Mapa final'!$AC$67="Menor"),CONCATENATE("R10C",'Mapa final'!$Q$67),"")</f>
        <v/>
      </c>
      <c r="U25" s="56" t="str">
        <f>IF(AND('Mapa final'!$AA$68="Alta",'Mapa final'!$AC$68="Menor"),CONCATENATE("R10C",'Mapa final'!$Q$68),"")</f>
        <v/>
      </c>
      <c r="V25" s="42" t="str">
        <f>IF(AND('Mapa final'!$AA$63="Alta",'Mapa final'!$AC$63="Moderado"),CONCATENATE("R10C",'Mapa final'!$Q$63),"")</f>
        <v/>
      </c>
      <c r="W25" s="43" t="str">
        <f>IF(AND('Mapa final'!$AA$64="Alta",'Mapa final'!$AC$64="Moderado"),CONCATENATE("R10C",'Mapa final'!$Q$64),"")</f>
        <v/>
      </c>
      <c r="X25" s="43" t="str">
        <f>IF(AND('Mapa final'!$AA$65="Alta",'Mapa final'!$AC$65="Moderado"),CONCATENATE("R10C",'Mapa final'!$Q$65),"")</f>
        <v/>
      </c>
      <c r="Y25" s="43" t="str">
        <f>IF(AND('Mapa final'!$AA$66="Alta",'Mapa final'!$AC$66="Moderado"),CONCATENATE("R10C",'Mapa final'!$Q$66),"")</f>
        <v/>
      </c>
      <c r="Z25" s="43" t="str">
        <f>IF(AND('Mapa final'!$AA$67="Alta",'Mapa final'!$AC$67="Moderado"),CONCATENATE("R10C",'Mapa final'!$Q$67),"")</f>
        <v/>
      </c>
      <c r="AA25" s="44" t="str">
        <f>IF(AND('Mapa final'!$AA$68="Alta",'Mapa final'!$AC$68="Moderado"),CONCATENATE("R10C",'Mapa final'!$Q$68),"")</f>
        <v/>
      </c>
      <c r="AB25" s="42" t="str">
        <f>IF(AND('Mapa final'!$AA$63="Alta",'Mapa final'!$AC$63="Mayor"),CONCATENATE("R10C",'Mapa final'!$Q$63),"")</f>
        <v/>
      </c>
      <c r="AC25" s="43" t="str">
        <f>IF(AND('Mapa final'!$AA$64="Alta",'Mapa final'!$AC$64="Mayor"),CONCATENATE("R10C",'Mapa final'!$Q$64),"")</f>
        <v/>
      </c>
      <c r="AD25" s="43" t="str">
        <f>IF(AND('Mapa final'!$AA$65="Alta",'Mapa final'!$AC$65="Mayor"),CONCATENATE("R10C",'Mapa final'!$Q$65),"")</f>
        <v/>
      </c>
      <c r="AE25" s="43" t="str">
        <f>IF(AND('Mapa final'!$AA$66="Alta",'Mapa final'!$AC$66="Mayor"),CONCATENATE("R10C",'Mapa final'!$Q$66),"")</f>
        <v/>
      </c>
      <c r="AF25" s="43" t="str">
        <f>IF(AND('Mapa final'!$AA$67="Alta",'Mapa final'!$AC$67="Mayor"),CONCATENATE("R10C",'Mapa final'!$Q$67),"")</f>
        <v/>
      </c>
      <c r="AG25" s="44" t="str">
        <f>IF(AND('Mapa final'!$AA$68="Alta",'Mapa final'!$AC$68="Mayor"),CONCATENATE("R10C",'Mapa final'!$Q$68),"")</f>
        <v/>
      </c>
      <c r="AH25" s="45" t="str">
        <f>IF(AND('Mapa final'!$AA$63="Alta",'Mapa final'!$AC$63="Catastrófico"),CONCATENATE("R10C",'Mapa final'!$Q$63),"")</f>
        <v/>
      </c>
      <c r="AI25" s="46" t="str">
        <f>IF(AND('Mapa final'!$AA$64="Alta",'Mapa final'!$AC$64="Catastrófico"),CONCATENATE("R10C",'Mapa final'!$Q$64),"")</f>
        <v/>
      </c>
      <c r="AJ25" s="46" t="str">
        <f>IF(AND('Mapa final'!$AA$65="Alta",'Mapa final'!$AC$65="Catastrófico"),CONCATENATE("R10C",'Mapa final'!$Q$65),"")</f>
        <v/>
      </c>
      <c r="AK25" s="46" t="str">
        <f>IF(AND('Mapa final'!$AA$66="Alta",'Mapa final'!$AC$66="Catastrófico"),CONCATENATE("R10C",'Mapa final'!$Q$66),"")</f>
        <v/>
      </c>
      <c r="AL25" s="46" t="str">
        <f>IF(AND('Mapa final'!$AA$67="Alta",'Mapa final'!$AC$67="Catastrófico"),CONCATENATE("R10C",'Mapa final'!$Q$67),"")</f>
        <v/>
      </c>
      <c r="AM25" s="47" t="str">
        <f>IF(AND('Mapa final'!$AA$68="Alta",'Mapa final'!$AC$68="Catastrófico"),CONCATENATE("R10C",'Mapa final'!$Q$68),"")</f>
        <v/>
      </c>
      <c r="AN25" s="67"/>
      <c r="AO25" s="426"/>
      <c r="AP25" s="427"/>
      <c r="AQ25" s="427"/>
      <c r="AR25" s="427"/>
      <c r="AS25" s="427"/>
      <c r="AT25" s="428"/>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372"/>
      <c r="C26" s="372"/>
      <c r="D26" s="373"/>
      <c r="E26" s="410" t="s">
        <v>111</v>
      </c>
      <c r="F26" s="411"/>
      <c r="G26" s="411"/>
      <c r="H26" s="411"/>
      <c r="I26" s="412"/>
      <c r="J26" s="48" t="str">
        <f ca="1">IF(AND('Mapa final'!$AA$10="Media",'Mapa final'!$AC$10="Leve"),CONCATENATE("R1C",'Mapa final'!$Q$10),"")</f>
        <v/>
      </c>
      <c r="K26" s="49" t="str">
        <f ca="1">IF(AND('Mapa final'!$AA$11="Media",'Mapa final'!$AC$11="Leve"),CONCATENATE("R1C",'Mapa final'!$Q$11),"")</f>
        <v/>
      </c>
      <c r="L26" s="49" t="str">
        <f ca="1">IF(AND('Mapa final'!$AA$13="Media",'Mapa final'!$AC$13="Leve"),CONCATENATE("R1C",'Mapa final'!$Q$13),"")</f>
        <v/>
      </c>
      <c r="M26" s="49" t="str">
        <f ca="1">IF(AND('Mapa final'!$AA$14="Media",'Mapa final'!$AC$14="Leve"),CONCATENATE("R1C",'Mapa final'!$Q$14),"")</f>
        <v/>
      </c>
      <c r="N26" s="49" t="e">
        <f>IF(AND('Mapa final'!#REF!="Media",'Mapa final'!#REF!="Leve"),CONCATENATE("R1C",'Mapa final'!#REF!),"")</f>
        <v>#REF!</v>
      </c>
      <c r="O26" s="50" t="e">
        <f>IF(AND('Mapa final'!#REF!="Media",'Mapa final'!#REF!="Leve"),CONCATENATE("R1C",'Mapa final'!#REF!),"")</f>
        <v>#REF!</v>
      </c>
      <c r="P26" s="48" t="str">
        <f ca="1">IF(AND('Mapa final'!$AA$10="Media",'Mapa final'!$AC$10="Menor"),CONCATENATE("R1C",'Mapa final'!$Q$10),"")</f>
        <v/>
      </c>
      <c r="Q26" s="49" t="str">
        <f ca="1">IF(AND('Mapa final'!$AA$11="Media",'Mapa final'!$AC$11="Menor"),CONCATENATE("R1C",'Mapa final'!$Q$11),"")</f>
        <v/>
      </c>
      <c r="R26" s="49" t="str">
        <f ca="1">IF(AND('Mapa final'!$AA$13="Media",'Mapa final'!$AC$13="Menor"),CONCATENATE("R1C",'Mapa final'!$Q$13),"")</f>
        <v/>
      </c>
      <c r="S26" s="49" t="str">
        <f ca="1">IF(AND('Mapa final'!$AA$14="Media",'Mapa final'!$AC$14="Menor"),CONCATENATE("R1C",'Mapa final'!$Q$14),"")</f>
        <v/>
      </c>
      <c r="T26" s="49" t="e">
        <f>IF(AND('Mapa final'!#REF!="Media",'Mapa final'!#REF!="Menor"),CONCATENATE("R1C",'Mapa final'!#REF!),"")</f>
        <v>#REF!</v>
      </c>
      <c r="U26" s="50" t="e">
        <f>IF(AND('Mapa final'!#REF!="Media",'Mapa final'!#REF!="Menor"),CONCATENATE("R1C",'Mapa final'!#REF!),"")</f>
        <v>#REF!</v>
      </c>
      <c r="V26" s="48" t="str">
        <f ca="1">IF(AND('Mapa final'!$AA$10="Media",'Mapa final'!$AC$10="Moderado"),CONCATENATE("R1C",'Mapa final'!$Q$10),"")</f>
        <v/>
      </c>
      <c r="W26" s="49" t="str">
        <f ca="1">IF(AND('Mapa final'!$AA$11="Media",'Mapa final'!$AC$11="Moderado"),CONCATENATE("R1C",'Mapa final'!$Q$11),"")</f>
        <v/>
      </c>
      <c r="X26" s="49" t="str">
        <f ca="1">IF(AND('Mapa final'!$AA$13="Media",'Mapa final'!$AC$13="Moderado"),CONCATENATE("R1C",'Mapa final'!$Q$13),"")</f>
        <v/>
      </c>
      <c r="Y26" s="49" t="str">
        <f ca="1">IF(AND('Mapa final'!$AA$14="Media",'Mapa final'!$AC$14="Moderado"),CONCATENATE("R1C",'Mapa final'!$Q$14),"")</f>
        <v/>
      </c>
      <c r="Z26" s="49" t="e">
        <f>IF(AND('Mapa final'!#REF!="Media",'Mapa final'!#REF!="Moderado"),CONCATENATE("R1C",'Mapa final'!#REF!),"")</f>
        <v>#REF!</v>
      </c>
      <c r="AA26" s="50" t="e">
        <f>IF(AND('Mapa final'!#REF!="Media",'Mapa final'!#REF!="Moderado"),CONCATENATE("R1C",'Mapa final'!#REF!),"")</f>
        <v>#REF!</v>
      </c>
      <c r="AB26" s="30" t="str">
        <f ca="1">IF(AND('Mapa final'!$AA$10="Media",'Mapa final'!$AC$10="Mayor"),CONCATENATE("R1C",'Mapa final'!$Q$10),"")</f>
        <v/>
      </c>
      <c r="AC26" s="31" t="str">
        <f ca="1">IF(AND('Mapa final'!$AA$11="Media",'Mapa final'!$AC$11="Mayor"),CONCATENATE("R1C",'Mapa final'!$Q$11),"")</f>
        <v/>
      </c>
      <c r="AD26" s="31" t="str">
        <f ca="1">IF(AND('Mapa final'!$AA$13="Media",'Mapa final'!$AC$13="Mayor"),CONCATENATE("R1C",'Mapa final'!$Q$13),"")</f>
        <v/>
      </c>
      <c r="AE26" s="31" t="str">
        <f ca="1">IF(AND('Mapa final'!$AA$14="Media",'Mapa final'!$AC$14="Mayor"),CONCATENATE("R1C",'Mapa final'!$Q$14),"")</f>
        <v/>
      </c>
      <c r="AF26" s="31" t="e">
        <f>IF(AND('Mapa final'!#REF!="Media",'Mapa final'!#REF!="Mayor"),CONCATENATE("R1C",'Mapa final'!#REF!),"")</f>
        <v>#REF!</v>
      </c>
      <c r="AG26" s="32" t="e">
        <f>IF(AND('Mapa final'!#REF!="Media",'Mapa final'!#REF!="Mayor"),CONCATENATE("R1C",'Mapa final'!#REF!),"")</f>
        <v>#REF!</v>
      </c>
      <c r="AH26" s="33" t="str">
        <f ca="1">IF(AND('Mapa final'!$AA$10="Media",'Mapa final'!$AC$10="Catastrófico"),CONCATENATE("R1C",'Mapa final'!$Q$10),"")</f>
        <v/>
      </c>
      <c r="AI26" s="34" t="str">
        <f ca="1">IF(AND('Mapa final'!$AA$11="Media",'Mapa final'!$AC$11="Catastrófico"),CONCATENATE("R1C",'Mapa final'!$Q$11),"")</f>
        <v/>
      </c>
      <c r="AJ26" s="34" t="str">
        <f ca="1">IF(AND('Mapa final'!$AA$13="Media",'Mapa final'!$AC$13="Catastrófico"),CONCATENATE("R1C",'Mapa final'!$Q$13),"")</f>
        <v/>
      </c>
      <c r="AK26" s="34" t="str">
        <f ca="1">IF(AND('Mapa final'!$AA$14="Media",'Mapa final'!$AC$14="Catastrófico"),CONCATENATE("R1C",'Mapa final'!$Q$14),"")</f>
        <v/>
      </c>
      <c r="AL26" s="34" t="e">
        <f>IF(AND('Mapa final'!#REF!="Media",'Mapa final'!#REF!="Catastrófico"),CONCATENATE("R1C",'Mapa final'!#REF!),"")</f>
        <v>#REF!</v>
      </c>
      <c r="AM26" s="35" t="e">
        <f>IF(AND('Mapa final'!#REF!="Media",'Mapa final'!#REF!="Catastrófico"),CONCATENATE("R1C",'Mapa final'!#REF!),"")</f>
        <v>#REF!</v>
      </c>
      <c r="AN26" s="67"/>
      <c r="AO26" s="450" t="s">
        <v>79</v>
      </c>
      <c r="AP26" s="451"/>
      <c r="AQ26" s="451"/>
      <c r="AR26" s="451"/>
      <c r="AS26" s="451"/>
      <c r="AT26" s="452"/>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372"/>
      <c r="C27" s="372"/>
      <c r="D27" s="373"/>
      <c r="E27" s="429"/>
      <c r="F27" s="414"/>
      <c r="G27" s="414"/>
      <c r="H27" s="414"/>
      <c r="I27" s="415"/>
      <c r="J27" s="51" t="str">
        <f ca="1">IF(AND('Mapa final'!$AA$15="Media",'Mapa final'!$AC$15="Leve"),CONCATENATE("R2C",'Mapa final'!$Q$15),"")</f>
        <v/>
      </c>
      <c r="K27" s="52" t="str">
        <f ca="1">IF(AND('Mapa final'!$AA$16="Media",'Mapa final'!$AC$16="Leve"),CONCATENATE("R2C",'Mapa final'!$Q$16),"")</f>
        <v/>
      </c>
      <c r="L27" s="52" t="str">
        <f>IF(AND('Mapa final'!$AA$17="Media",'Mapa final'!$AC$17="Leve"),CONCATENATE("R2C",'Mapa final'!$Q$17),"")</f>
        <v/>
      </c>
      <c r="M27" s="52" t="str">
        <f>IF(AND('Mapa final'!$AA$18="Media",'Mapa final'!$AC$18="Leve"),CONCATENATE("R2C",'Mapa final'!$Q$18),"")</f>
        <v/>
      </c>
      <c r="N27" s="52" t="str">
        <f>IF(AND('Mapa final'!$AA$19="Media",'Mapa final'!$AC$19="Leve"),CONCATENATE("R2C",'Mapa final'!$Q$19),"")</f>
        <v/>
      </c>
      <c r="O27" s="53" t="str">
        <f>IF(AND('Mapa final'!$AA$20="Media",'Mapa final'!$AC$20="Leve"),CONCATENATE("R2C",'Mapa final'!$Q$20),"")</f>
        <v/>
      </c>
      <c r="P27" s="51" t="str">
        <f ca="1">IF(AND('Mapa final'!$AA$15="Media",'Mapa final'!$AC$15="Menor"),CONCATENATE("R2C",'Mapa final'!$Q$15),"")</f>
        <v/>
      </c>
      <c r="Q27" s="52" t="str">
        <f ca="1">IF(AND('Mapa final'!$AA$16="Media",'Mapa final'!$AC$16="Menor"),CONCATENATE("R2C",'Mapa final'!$Q$16),"")</f>
        <v/>
      </c>
      <c r="R27" s="52" t="str">
        <f>IF(AND('Mapa final'!$AA$17="Media",'Mapa final'!$AC$17="Menor"),CONCATENATE("R2C",'Mapa final'!$Q$17),"")</f>
        <v/>
      </c>
      <c r="S27" s="52" t="str">
        <f>IF(AND('Mapa final'!$AA$18="Media",'Mapa final'!$AC$18="Menor"),CONCATENATE("R2C",'Mapa final'!$Q$18),"")</f>
        <v/>
      </c>
      <c r="T27" s="52" t="str">
        <f>IF(AND('Mapa final'!$AA$19="Media",'Mapa final'!$AC$19="Menor"),CONCATENATE("R2C",'Mapa final'!$Q$19),"")</f>
        <v/>
      </c>
      <c r="U27" s="53" t="str">
        <f>IF(AND('Mapa final'!$AA$20="Media",'Mapa final'!$AC$20="Menor"),CONCATENATE("R2C",'Mapa final'!$Q$20),"")</f>
        <v/>
      </c>
      <c r="V27" s="51" t="str">
        <f ca="1">IF(AND('Mapa final'!$AA$15="Media",'Mapa final'!$AC$15="Moderado"),CONCATENATE("R2C",'Mapa final'!$Q$15),"")</f>
        <v/>
      </c>
      <c r="W27" s="52" t="str">
        <f ca="1">IF(AND('Mapa final'!$AA$16="Media",'Mapa final'!$AC$16="Moderado"),CONCATENATE("R2C",'Mapa final'!$Q$16),"")</f>
        <v/>
      </c>
      <c r="X27" s="52" t="str">
        <f>IF(AND('Mapa final'!$AA$17="Media",'Mapa final'!$AC$17="Moderado"),CONCATENATE("R2C",'Mapa final'!$Q$17),"")</f>
        <v/>
      </c>
      <c r="Y27" s="52" t="str">
        <f>IF(AND('Mapa final'!$AA$18="Media",'Mapa final'!$AC$18="Moderado"),CONCATENATE("R2C",'Mapa final'!$Q$18),"")</f>
        <v/>
      </c>
      <c r="Z27" s="52" t="str">
        <f>IF(AND('Mapa final'!$AA$19="Media",'Mapa final'!$AC$19="Moderado"),CONCATENATE("R2C",'Mapa final'!$Q$19),"")</f>
        <v/>
      </c>
      <c r="AA27" s="53" t="str">
        <f>IF(AND('Mapa final'!$AA$20="Media",'Mapa final'!$AC$20="Moderado"),CONCATENATE("R2C",'Mapa final'!$Q$20),"")</f>
        <v/>
      </c>
      <c r="AB27" s="36" t="str">
        <f ca="1">IF(AND('Mapa final'!$AA$15="Media",'Mapa final'!$AC$15="Mayor"),CONCATENATE("R2C",'Mapa final'!$Q$15),"")</f>
        <v/>
      </c>
      <c r="AC27" s="37" t="str">
        <f ca="1">IF(AND('Mapa final'!$AA$16="Media",'Mapa final'!$AC$16="Mayor"),CONCATENATE("R2C",'Mapa final'!$Q$16),"")</f>
        <v/>
      </c>
      <c r="AD27" s="37" t="str">
        <f>IF(AND('Mapa final'!$AA$17="Media",'Mapa final'!$AC$17="Mayor"),CONCATENATE("R2C",'Mapa final'!$Q$17),"")</f>
        <v/>
      </c>
      <c r="AE27" s="37" t="str">
        <f>IF(AND('Mapa final'!$AA$18="Media",'Mapa final'!$AC$18="Mayor"),CONCATENATE("R2C",'Mapa final'!$Q$18),"")</f>
        <v/>
      </c>
      <c r="AF27" s="37" t="str">
        <f>IF(AND('Mapa final'!$AA$19="Media",'Mapa final'!$AC$19="Mayor"),CONCATENATE("R2C",'Mapa final'!$Q$19),"")</f>
        <v/>
      </c>
      <c r="AG27" s="38" t="str">
        <f>IF(AND('Mapa final'!$AA$20="Media",'Mapa final'!$AC$20="Mayor"),CONCATENATE("R2C",'Mapa final'!$Q$20),"")</f>
        <v/>
      </c>
      <c r="AH27" s="39" t="str">
        <f ca="1">IF(AND('Mapa final'!$AA$15="Media",'Mapa final'!$AC$15="Catastrófico"),CONCATENATE("R2C",'Mapa final'!$Q$15),"")</f>
        <v/>
      </c>
      <c r="AI27" s="40" t="str">
        <f ca="1">IF(AND('Mapa final'!$AA$16="Media",'Mapa final'!$AC$16="Catastrófico"),CONCATENATE("R2C",'Mapa final'!$Q$16),"")</f>
        <v/>
      </c>
      <c r="AJ27" s="40" t="str">
        <f>IF(AND('Mapa final'!$AA$17="Media",'Mapa final'!$AC$17="Catastrófico"),CONCATENATE("R2C",'Mapa final'!$Q$17),"")</f>
        <v/>
      </c>
      <c r="AK27" s="40" t="str">
        <f>IF(AND('Mapa final'!$AA$18="Media",'Mapa final'!$AC$18="Catastrófico"),CONCATENATE("R2C",'Mapa final'!$Q$18),"")</f>
        <v/>
      </c>
      <c r="AL27" s="40" t="str">
        <f>IF(AND('Mapa final'!$AA$19="Media",'Mapa final'!$AC$19="Catastrófico"),CONCATENATE("R2C",'Mapa final'!$Q$19),"")</f>
        <v/>
      </c>
      <c r="AM27" s="41" t="str">
        <f>IF(AND('Mapa final'!$AA$20="Media",'Mapa final'!$AC$20="Catastrófico"),CONCATENATE("R2C",'Mapa final'!$Q$20),"")</f>
        <v/>
      </c>
      <c r="AN27" s="67"/>
      <c r="AO27" s="453"/>
      <c r="AP27" s="454"/>
      <c r="AQ27" s="454"/>
      <c r="AR27" s="454"/>
      <c r="AS27" s="454"/>
      <c r="AT27" s="45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372"/>
      <c r="C28" s="372"/>
      <c r="D28" s="373"/>
      <c r="E28" s="413"/>
      <c r="F28" s="414"/>
      <c r="G28" s="414"/>
      <c r="H28" s="414"/>
      <c r="I28" s="415"/>
      <c r="J28" s="51" t="str">
        <f>IF(AND('Mapa final'!$AA$21="Media",'Mapa final'!$AC$21="Leve"),CONCATENATE("R3C",'Mapa final'!$Q$21),"")</f>
        <v/>
      </c>
      <c r="K28" s="52" t="str">
        <f>IF(AND('Mapa final'!$AA$22="Media",'Mapa final'!$AC$22="Leve"),CONCATENATE("R3C",'Mapa final'!$Q$22),"")</f>
        <v/>
      </c>
      <c r="L28" s="52" t="str">
        <f>IF(AND('Mapa final'!$AA$23="Media",'Mapa final'!$AC$23="Leve"),CONCATENATE("R3C",'Mapa final'!$Q$23),"")</f>
        <v/>
      </c>
      <c r="M28" s="52" t="str">
        <f>IF(AND('Mapa final'!$AA$24="Media",'Mapa final'!$AC$24="Leve"),CONCATENATE("R3C",'Mapa final'!$Q$24),"")</f>
        <v/>
      </c>
      <c r="N28" s="52" t="str">
        <f>IF(AND('Mapa final'!$AA$25="Media",'Mapa final'!$AC$25="Leve"),CONCATENATE("R3C",'Mapa final'!$Q$25),"")</f>
        <v/>
      </c>
      <c r="O28" s="53" t="str">
        <f>IF(AND('Mapa final'!$AA$26="Media",'Mapa final'!$AC$26="Leve"),CONCATENATE("R3C",'Mapa final'!$Q$26),"")</f>
        <v/>
      </c>
      <c r="P28" s="51" t="str">
        <f>IF(AND('Mapa final'!$AA$21="Media",'Mapa final'!$AC$21="Menor"),CONCATENATE("R3C",'Mapa final'!$Q$21),"")</f>
        <v/>
      </c>
      <c r="Q28" s="52" t="str">
        <f>IF(AND('Mapa final'!$AA$22="Media",'Mapa final'!$AC$22="Menor"),CONCATENATE("R3C",'Mapa final'!$Q$22),"")</f>
        <v/>
      </c>
      <c r="R28" s="52" t="str">
        <f>IF(AND('Mapa final'!$AA$23="Media",'Mapa final'!$AC$23="Menor"),CONCATENATE("R3C",'Mapa final'!$Q$23),"")</f>
        <v/>
      </c>
      <c r="S28" s="52" t="str">
        <f>IF(AND('Mapa final'!$AA$24="Media",'Mapa final'!$AC$24="Menor"),CONCATENATE("R3C",'Mapa final'!$Q$24),"")</f>
        <v/>
      </c>
      <c r="T28" s="52" t="str">
        <f>IF(AND('Mapa final'!$AA$25="Media",'Mapa final'!$AC$25="Menor"),CONCATENATE("R3C",'Mapa final'!$Q$25),"")</f>
        <v/>
      </c>
      <c r="U28" s="53" t="str">
        <f>IF(AND('Mapa final'!$AA$26="Media",'Mapa final'!$AC$26="Menor"),CONCATENATE("R3C",'Mapa final'!$Q$26),"")</f>
        <v/>
      </c>
      <c r="V28" s="51" t="str">
        <f>IF(AND('Mapa final'!$AA$21="Media",'Mapa final'!$AC$21="Moderado"),CONCATENATE("R3C",'Mapa final'!$Q$21),"")</f>
        <v/>
      </c>
      <c r="W28" s="52" t="str">
        <f>IF(AND('Mapa final'!$AA$22="Media",'Mapa final'!$AC$22="Moderado"),CONCATENATE("R3C",'Mapa final'!$Q$22),"")</f>
        <v/>
      </c>
      <c r="X28" s="52" t="str">
        <f>IF(AND('Mapa final'!$AA$23="Media",'Mapa final'!$AC$23="Moderado"),CONCATENATE("R3C",'Mapa final'!$Q$23),"")</f>
        <v/>
      </c>
      <c r="Y28" s="52" t="str">
        <f>IF(AND('Mapa final'!$AA$24="Media",'Mapa final'!$AC$24="Moderado"),CONCATENATE("R3C",'Mapa final'!$Q$24),"")</f>
        <v/>
      </c>
      <c r="Z28" s="52" t="str">
        <f>IF(AND('Mapa final'!$AA$25="Media",'Mapa final'!$AC$25="Moderado"),CONCATENATE("R3C",'Mapa final'!$Q$25),"")</f>
        <v/>
      </c>
      <c r="AA28" s="53" t="str">
        <f>IF(AND('Mapa final'!$AA$26="Media",'Mapa final'!$AC$26="Moderado"),CONCATENATE("R3C",'Mapa final'!$Q$26),"")</f>
        <v/>
      </c>
      <c r="AB28" s="36" t="str">
        <f>IF(AND('Mapa final'!$AA$21="Media",'Mapa final'!$AC$21="Mayor"),CONCATENATE("R3C",'Mapa final'!$Q$21),"")</f>
        <v/>
      </c>
      <c r="AC28" s="37" t="str">
        <f>IF(AND('Mapa final'!$AA$22="Media",'Mapa final'!$AC$22="Mayor"),CONCATENATE("R3C",'Mapa final'!$Q$22),"")</f>
        <v/>
      </c>
      <c r="AD28" s="37" t="str">
        <f>IF(AND('Mapa final'!$AA$23="Media",'Mapa final'!$AC$23="Mayor"),CONCATENATE("R3C",'Mapa final'!$Q$23),"")</f>
        <v/>
      </c>
      <c r="AE28" s="37" t="str">
        <f>IF(AND('Mapa final'!$AA$24="Media",'Mapa final'!$AC$24="Mayor"),CONCATENATE("R3C",'Mapa final'!$Q$24),"")</f>
        <v/>
      </c>
      <c r="AF28" s="37" t="str">
        <f>IF(AND('Mapa final'!$AA$25="Media",'Mapa final'!$AC$25="Mayor"),CONCATENATE("R3C",'Mapa final'!$Q$25),"")</f>
        <v/>
      </c>
      <c r="AG28" s="38" t="str">
        <f>IF(AND('Mapa final'!$AA$26="Media",'Mapa final'!$AC$26="Mayor"),CONCATENATE("R3C",'Mapa final'!$Q$26),"")</f>
        <v/>
      </c>
      <c r="AH28" s="39" t="str">
        <f>IF(AND('Mapa final'!$AA$21="Media",'Mapa final'!$AC$21="Catastrófico"),CONCATENATE("R3C",'Mapa final'!$Q$21),"")</f>
        <v/>
      </c>
      <c r="AI28" s="40" t="str">
        <f>IF(AND('Mapa final'!$AA$22="Media",'Mapa final'!$AC$22="Catastrófico"),CONCATENATE("R3C",'Mapa final'!$Q$22),"")</f>
        <v/>
      </c>
      <c r="AJ28" s="40" t="str">
        <f>IF(AND('Mapa final'!$AA$23="Media",'Mapa final'!$AC$23="Catastrófico"),CONCATENATE("R3C",'Mapa final'!$Q$23),"")</f>
        <v/>
      </c>
      <c r="AK28" s="40" t="str">
        <f>IF(AND('Mapa final'!$AA$24="Media",'Mapa final'!$AC$24="Catastrófico"),CONCATENATE("R3C",'Mapa final'!$Q$24),"")</f>
        <v/>
      </c>
      <c r="AL28" s="40" t="str">
        <f>IF(AND('Mapa final'!$AA$25="Media",'Mapa final'!$AC$25="Catastrófico"),CONCATENATE("R3C",'Mapa final'!$Q$25),"")</f>
        <v/>
      </c>
      <c r="AM28" s="41" t="str">
        <f>IF(AND('Mapa final'!$AA$26="Media",'Mapa final'!$AC$26="Catastrófico"),CONCATENATE("R3C",'Mapa final'!$Q$26),"")</f>
        <v/>
      </c>
      <c r="AN28" s="67"/>
      <c r="AO28" s="453"/>
      <c r="AP28" s="454"/>
      <c r="AQ28" s="454"/>
      <c r="AR28" s="454"/>
      <c r="AS28" s="454"/>
      <c r="AT28" s="45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372"/>
      <c r="C29" s="372"/>
      <c r="D29" s="373"/>
      <c r="E29" s="413"/>
      <c r="F29" s="414"/>
      <c r="G29" s="414"/>
      <c r="H29" s="414"/>
      <c r="I29" s="415"/>
      <c r="J29" s="51" t="str">
        <f>IF(AND('Mapa final'!$AA$27="Media",'Mapa final'!$AC$27="Leve"),CONCATENATE("R4C",'Mapa final'!$Q$27),"")</f>
        <v/>
      </c>
      <c r="K29" s="52" t="str">
        <f>IF(AND('Mapa final'!$AA$28="Media",'Mapa final'!$AC$28="Leve"),CONCATENATE("R4C",'Mapa final'!$Q$28),"")</f>
        <v/>
      </c>
      <c r="L29" s="52" t="str">
        <f>IF(AND('Mapa final'!$AA$29="Media",'Mapa final'!$AC$29="Leve"),CONCATENATE("R4C",'Mapa final'!$Q$29),"")</f>
        <v/>
      </c>
      <c r="M29" s="52" t="str">
        <f>IF(AND('Mapa final'!$AA$30="Media",'Mapa final'!$AC$30="Leve"),CONCATENATE("R4C",'Mapa final'!$Q$30),"")</f>
        <v/>
      </c>
      <c r="N29" s="52" t="str">
        <f>IF(AND('Mapa final'!$AA$31="Media",'Mapa final'!$AC$31="Leve"),CONCATENATE("R4C",'Mapa final'!$Q$31),"")</f>
        <v/>
      </c>
      <c r="O29" s="53" t="str">
        <f>IF(AND('Mapa final'!$AA$32="Media",'Mapa final'!$AC$32="Leve"),CONCATENATE("R4C",'Mapa final'!$Q$32),"")</f>
        <v/>
      </c>
      <c r="P29" s="51" t="str">
        <f>IF(AND('Mapa final'!$AA$27="Media",'Mapa final'!$AC$27="Menor"),CONCATENATE("R4C",'Mapa final'!$Q$27),"")</f>
        <v/>
      </c>
      <c r="Q29" s="52" t="str">
        <f>IF(AND('Mapa final'!$AA$28="Media",'Mapa final'!$AC$28="Menor"),CONCATENATE("R4C",'Mapa final'!$Q$28),"")</f>
        <v/>
      </c>
      <c r="R29" s="52" t="str">
        <f>IF(AND('Mapa final'!$AA$29="Media",'Mapa final'!$AC$29="Menor"),CONCATENATE("R4C",'Mapa final'!$Q$29),"")</f>
        <v/>
      </c>
      <c r="S29" s="52" t="str">
        <f>IF(AND('Mapa final'!$AA$30="Media",'Mapa final'!$AC$30="Menor"),CONCATENATE("R4C",'Mapa final'!$Q$30),"")</f>
        <v/>
      </c>
      <c r="T29" s="52" t="str">
        <f>IF(AND('Mapa final'!$AA$31="Media",'Mapa final'!$AC$31="Menor"),CONCATENATE("R4C",'Mapa final'!$Q$31),"")</f>
        <v/>
      </c>
      <c r="U29" s="53" t="str">
        <f>IF(AND('Mapa final'!$AA$32="Media",'Mapa final'!$AC$32="Menor"),CONCATENATE("R4C",'Mapa final'!$Q$32),"")</f>
        <v/>
      </c>
      <c r="V29" s="51" t="str">
        <f>IF(AND('Mapa final'!$AA$27="Media",'Mapa final'!$AC$27="Moderado"),CONCATENATE("R4C",'Mapa final'!$Q$27),"")</f>
        <v/>
      </c>
      <c r="W29" s="52" t="str">
        <f>IF(AND('Mapa final'!$AA$28="Media",'Mapa final'!$AC$28="Moderado"),CONCATENATE("R4C",'Mapa final'!$Q$28),"")</f>
        <v/>
      </c>
      <c r="X29" s="52" t="str">
        <f>IF(AND('Mapa final'!$AA$29="Media",'Mapa final'!$AC$29="Moderado"),CONCATENATE("R4C",'Mapa final'!$Q$29),"")</f>
        <v/>
      </c>
      <c r="Y29" s="52" t="str">
        <f>IF(AND('Mapa final'!$AA$30="Media",'Mapa final'!$AC$30="Moderado"),CONCATENATE("R4C",'Mapa final'!$Q$30),"")</f>
        <v/>
      </c>
      <c r="Z29" s="52" t="str">
        <f>IF(AND('Mapa final'!$AA$31="Media",'Mapa final'!$AC$31="Moderado"),CONCATENATE("R4C",'Mapa final'!$Q$31),"")</f>
        <v/>
      </c>
      <c r="AA29" s="53" t="str">
        <f>IF(AND('Mapa final'!$AA$32="Media",'Mapa final'!$AC$32="Moderado"),CONCATENATE("R4C",'Mapa final'!$Q$32),"")</f>
        <v/>
      </c>
      <c r="AB29" s="36" t="str">
        <f>IF(AND('Mapa final'!$AA$27="Media",'Mapa final'!$AC$27="Mayor"),CONCATENATE("R4C",'Mapa final'!$Q$27),"")</f>
        <v/>
      </c>
      <c r="AC29" s="37" t="str">
        <f>IF(AND('Mapa final'!$AA$28="Media",'Mapa final'!$AC$28="Mayor"),CONCATENATE("R4C",'Mapa final'!$Q$28),"")</f>
        <v/>
      </c>
      <c r="AD29" s="37" t="str">
        <f>IF(AND('Mapa final'!$AA$29="Media",'Mapa final'!$AC$29="Mayor"),CONCATENATE("R4C",'Mapa final'!$Q$29),"")</f>
        <v/>
      </c>
      <c r="AE29" s="37" t="str">
        <f>IF(AND('Mapa final'!$AA$30="Media",'Mapa final'!$AC$30="Mayor"),CONCATENATE("R4C",'Mapa final'!$Q$30),"")</f>
        <v/>
      </c>
      <c r="AF29" s="37" t="str">
        <f>IF(AND('Mapa final'!$AA$31="Media",'Mapa final'!$AC$31="Mayor"),CONCATENATE("R4C",'Mapa final'!$Q$31),"")</f>
        <v/>
      </c>
      <c r="AG29" s="38" t="str">
        <f>IF(AND('Mapa final'!$AA$32="Media",'Mapa final'!$AC$32="Mayor"),CONCATENATE("R4C",'Mapa final'!$Q$32),"")</f>
        <v/>
      </c>
      <c r="AH29" s="39" t="str">
        <f>IF(AND('Mapa final'!$AA$27="Media",'Mapa final'!$AC$27="Catastrófico"),CONCATENATE("R4C",'Mapa final'!$Q$27),"")</f>
        <v/>
      </c>
      <c r="AI29" s="40" t="str">
        <f>IF(AND('Mapa final'!$AA$28="Media",'Mapa final'!$AC$28="Catastrófico"),CONCATENATE("R4C",'Mapa final'!$Q$28),"")</f>
        <v/>
      </c>
      <c r="AJ29" s="40" t="str">
        <f>IF(AND('Mapa final'!$AA$29="Media",'Mapa final'!$AC$29="Catastrófico"),CONCATENATE("R4C",'Mapa final'!$Q$29),"")</f>
        <v/>
      </c>
      <c r="AK29" s="40" t="str">
        <f>IF(AND('Mapa final'!$AA$30="Media",'Mapa final'!$AC$30="Catastrófico"),CONCATENATE("R4C",'Mapa final'!$Q$30),"")</f>
        <v/>
      </c>
      <c r="AL29" s="40" t="str">
        <f>IF(AND('Mapa final'!$AA$31="Media",'Mapa final'!$AC$31="Catastrófico"),CONCATENATE("R4C",'Mapa final'!$Q$31),"")</f>
        <v/>
      </c>
      <c r="AM29" s="41" t="str">
        <f>IF(AND('Mapa final'!$AA$32="Media",'Mapa final'!$AC$32="Catastrófico"),CONCATENATE("R4C",'Mapa final'!$Q$32),"")</f>
        <v/>
      </c>
      <c r="AN29" s="67"/>
      <c r="AO29" s="453"/>
      <c r="AP29" s="454"/>
      <c r="AQ29" s="454"/>
      <c r="AR29" s="454"/>
      <c r="AS29" s="454"/>
      <c r="AT29" s="455"/>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372"/>
      <c r="C30" s="372"/>
      <c r="D30" s="373"/>
      <c r="E30" s="413"/>
      <c r="F30" s="414"/>
      <c r="G30" s="414"/>
      <c r="H30" s="414"/>
      <c r="I30" s="415"/>
      <c r="J30" s="51" t="str">
        <f>IF(AND('Mapa final'!$AA$33="Media",'Mapa final'!$AC$33="Leve"),CONCATENATE("R5C",'Mapa final'!$Q$33),"")</f>
        <v/>
      </c>
      <c r="K30" s="52" t="str">
        <f>IF(AND('Mapa final'!$AA$34="Media",'Mapa final'!$AC$34="Leve"),CONCATENATE("R5C",'Mapa final'!$Q$34),"")</f>
        <v/>
      </c>
      <c r="L30" s="52" t="str">
        <f>IF(AND('Mapa final'!$AA$35="Media",'Mapa final'!$AC$35="Leve"),CONCATENATE("R5C",'Mapa final'!$Q$35),"")</f>
        <v/>
      </c>
      <c r="M30" s="52" t="str">
        <f>IF(AND('Mapa final'!$AA$36="Media",'Mapa final'!$AC$36="Leve"),CONCATENATE("R5C",'Mapa final'!$Q$36),"")</f>
        <v/>
      </c>
      <c r="N30" s="52" t="str">
        <f>IF(AND('Mapa final'!$AA$37="Media",'Mapa final'!$AC$37="Leve"),CONCATENATE("R5C",'Mapa final'!$Q$37),"")</f>
        <v/>
      </c>
      <c r="O30" s="53" t="str">
        <f>IF(AND('Mapa final'!$AA$38="Media",'Mapa final'!$AC$38="Leve"),CONCATENATE("R5C",'Mapa final'!$Q$38),"")</f>
        <v/>
      </c>
      <c r="P30" s="51" t="str">
        <f>IF(AND('Mapa final'!$AA$33="Media",'Mapa final'!$AC$33="Menor"),CONCATENATE("R5C",'Mapa final'!$Q$33),"")</f>
        <v/>
      </c>
      <c r="Q30" s="52" t="str">
        <f>IF(AND('Mapa final'!$AA$34="Media",'Mapa final'!$AC$34="Menor"),CONCATENATE("R5C",'Mapa final'!$Q$34),"")</f>
        <v/>
      </c>
      <c r="R30" s="52" t="str">
        <f>IF(AND('Mapa final'!$AA$35="Media",'Mapa final'!$AC$35="Menor"),CONCATENATE("R5C",'Mapa final'!$Q$35),"")</f>
        <v/>
      </c>
      <c r="S30" s="52" t="str">
        <f>IF(AND('Mapa final'!$AA$36="Media",'Mapa final'!$AC$36="Menor"),CONCATENATE("R5C",'Mapa final'!$Q$36),"")</f>
        <v/>
      </c>
      <c r="T30" s="52" t="str">
        <f>IF(AND('Mapa final'!$AA$37="Media",'Mapa final'!$AC$37="Menor"),CONCATENATE("R5C",'Mapa final'!$Q$37),"")</f>
        <v/>
      </c>
      <c r="U30" s="53" t="str">
        <f>IF(AND('Mapa final'!$AA$38="Media",'Mapa final'!$AC$38="Menor"),CONCATENATE("R5C",'Mapa final'!$Q$38),"")</f>
        <v/>
      </c>
      <c r="V30" s="51" t="str">
        <f>IF(AND('Mapa final'!$AA$33="Media",'Mapa final'!$AC$33="Moderado"),CONCATENATE("R5C",'Mapa final'!$Q$33),"")</f>
        <v/>
      </c>
      <c r="W30" s="52" t="str">
        <f>IF(AND('Mapa final'!$AA$34="Media",'Mapa final'!$AC$34="Moderado"),CONCATENATE("R5C",'Mapa final'!$Q$34),"")</f>
        <v/>
      </c>
      <c r="X30" s="52" t="str">
        <f>IF(AND('Mapa final'!$AA$35="Media",'Mapa final'!$AC$35="Moderado"),CONCATENATE("R5C",'Mapa final'!$Q$35),"")</f>
        <v/>
      </c>
      <c r="Y30" s="52" t="str">
        <f>IF(AND('Mapa final'!$AA$36="Media",'Mapa final'!$AC$36="Moderado"),CONCATENATE("R5C",'Mapa final'!$Q$36),"")</f>
        <v/>
      </c>
      <c r="Z30" s="52" t="str">
        <f>IF(AND('Mapa final'!$AA$37="Media",'Mapa final'!$AC$37="Moderado"),CONCATENATE("R5C",'Mapa final'!$Q$37),"")</f>
        <v/>
      </c>
      <c r="AA30" s="53" t="str">
        <f>IF(AND('Mapa final'!$AA$38="Media",'Mapa final'!$AC$38="Moderado"),CONCATENATE("R5C",'Mapa final'!$Q$38),"")</f>
        <v/>
      </c>
      <c r="AB30" s="36" t="str">
        <f>IF(AND('Mapa final'!$AA$33="Media",'Mapa final'!$AC$33="Mayor"),CONCATENATE("R5C",'Mapa final'!$Q$33),"")</f>
        <v/>
      </c>
      <c r="AC30" s="37" t="str">
        <f>IF(AND('Mapa final'!$AA$34="Media",'Mapa final'!$AC$34="Mayor"),CONCATENATE("R5C",'Mapa final'!$Q$34),"")</f>
        <v/>
      </c>
      <c r="AD30" s="37" t="str">
        <f>IF(AND('Mapa final'!$AA$35="Media",'Mapa final'!$AC$35="Mayor"),CONCATENATE("R5C",'Mapa final'!$Q$35),"")</f>
        <v/>
      </c>
      <c r="AE30" s="37" t="str">
        <f>IF(AND('Mapa final'!$AA$36="Media",'Mapa final'!$AC$36="Mayor"),CONCATENATE("R5C",'Mapa final'!$Q$36),"")</f>
        <v/>
      </c>
      <c r="AF30" s="37" t="str">
        <f>IF(AND('Mapa final'!$AA$37="Media",'Mapa final'!$AC$37="Mayor"),CONCATENATE("R5C",'Mapa final'!$Q$37),"")</f>
        <v/>
      </c>
      <c r="AG30" s="38" t="str">
        <f>IF(AND('Mapa final'!$AA$38="Media",'Mapa final'!$AC$38="Mayor"),CONCATENATE("R5C",'Mapa final'!$Q$38),"")</f>
        <v/>
      </c>
      <c r="AH30" s="39" t="str">
        <f>IF(AND('Mapa final'!$AA$33="Media",'Mapa final'!$AC$33="Catastrófico"),CONCATENATE("R5C",'Mapa final'!$Q$33),"")</f>
        <v/>
      </c>
      <c r="AI30" s="40" t="str">
        <f>IF(AND('Mapa final'!$AA$34="Media",'Mapa final'!$AC$34="Catastrófico"),CONCATENATE("R5C",'Mapa final'!$Q$34),"")</f>
        <v/>
      </c>
      <c r="AJ30" s="40" t="str">
        <f>IF(AND('Mapa final'!$AA$35="Media",'Mapa final'!$AC$35="Catastrófico"),CONCATENATE("R5C",'Mapa final'!$Q$35),"")</f>
        <v/>
      </c>
      <c r="AK30" s="40" t="str">
        <f>IF(AND('Mapa final'!$AA$36="Media",'Mapa final'!$AC$36="Catastrófico"),CONCATENATE("R5C",'Mapa final'!$Q$36),"")</f>
        <v/>
      </c>
      <c r="AL30" s="40" t="str">
        <f>IF(AND('Mapa final'!$AA$37="Media",'Mapa final'!$AC$37="Catastrófico"),CONCATENATE("R5C",'Mapa final'!$Q$37),"")</f>
        <v/>
      </c>
      <c r="AM30" s="41" t="str">
        <f>IF(AND('Mapa final'!$AA$38="Media",'Mapa final'!$AC$38="Catastrófico"),CONCATENATE("R5C",'Mapa final'!$Q$38),"")</f>
        <v/>
      </c>
      <c r="AN30" s="67"/>
      <c r="AO30" s="453"/>
      <c r="AP30" s="454"/>
      <c r="AQ30" s="454"/>
      <c r="AR30" s="454"/>
      <c r="AS30" s="454"/>
      <c r="AT30" s="455"/>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372"/>
      <c r="C31" s="372"/>
      <c r="D31" s="373"/>
      <c r="E31" s="413"/>
      <c r="F31" s="414"/>
      <c r="G31" s="414"/>
      <c r="H31" s="414"/>
      <c r="I31" s="415"/>
      <c r="J31" s="51" t="str">
        <f>IF(AND('Mapa final'!$AA$39="Media",'Mapa final'!$AC$39="Leve"),CONCATENATE("R6C",'Mapa final'!$Q$39),"")</f>
        <v/>
      </c>
      <c r="K31" s="52" t="str">
        <f>IF(AND('Mapa final'!$AA$40="Media",'Mapa final'!$AC$40="Leve"),CONCATENATE("R6C",'Mapa final'!$Q$40),"")</f>
        <v/>
      </c>
      <c r="L31" s="52" t="str">
        <f>IF(AND('Mapa final'!$AA$41="Media",'Mapa final'!$AC$41="Leve"),CONCATENATE("R6C",'Mapa final'!$Q$41),"")</f>
        <v/>
      </c>
      <c r="M31" s="52" t="str">
        <f>IF(AND('Mapa final'!$AA$42="Media",'Mapa final'!$AC$42="Leve"),CONCATENATE("R6C",'Mapa final'!$Q$42),"")</f>
        <v/>
      </c>
      <c r="N31" s="52" t="str">
        <f>IF(AND('Mapa final'!$AA$43="Media",'Mapa final'!$AC$43="Leve"),CONCATENATE("R6C",'Mapa final'!$Q$43),"")</f>
        <v/>
      </c>
      <c r="O31" s="53" t="str">
        <f>IF(AND('Mapa final'!$AA$44="Media",'Mapa final'!$AC$44="Leve"),CONCATENATE("R6C",'Mapa final'!$Q$44),"")</f>
        <v/>
      </c>
      <c r="P31" s="51" t="str">
        <f>IF(AND('Mapa final'!$AA$39="Media",'Mapa final'!$AC$39="Menor"),CONCATENATE("R6C",'Mapa final'!$Q$39),"")</f>
        <v/>
      </c>
      <c r="Q31" s="52" t="str">
        <f>IF(AND('Mapa final'!$AA$40="Media",'Mapa final'!$AC$40="Menor"),CONCATENATE("R6C",'Mapa final'!$Q$40),"")</f>
        <v/>
      </c>
      <c r="R31" s="52" t="str">
        <f>IF(AND('Mapa final'!$AA$41="Media",'Mapa final'!$AC$41="Menor"),CONCATENATE("R6C",'Mapa final'!$Q$41),"")</f>
        <v/>
      </c>
      <c r="S31" s="52" t="str">
        <f>IF(AND('Mapa final'!$AA$42="Media",'Mapa final'!$AC$42="Menor"),CONCATENATE("R6C",'Mapa final'!$Q$42),"")</f>
        <v/>
      </c>
      <c r="T31" s="52" t="str">
        <f>IF(AND('Mapa final'!$AA$43="Media",'Mapa final'!$AC$43="Menor"),CONCATENATE("R6C",'Mapa final'!$Q$43),"")</f>
        <v/>
      </c>
      <c r="U31" s="53" t="str">
        <f>IF(AND('Mapa final'!$AA$44="Media",'Mapa final'!$AC$44="Menor"),CONCATENATE("R6C",'Mapa final'!$Q$44),"")</f>
        <v/>
      </c>
      <c r="V31" s="51" t="str">
        <f>IF(AND('Mapa final'!$AA$39="Media",'Mapa final'!$AC$39="Moderado"),CONCATENATE("R6C",'Mapa final'!$Q$39),"")</f>
        <v/>
      </c>
      <c r="W31" s="52" t="str">
        <f>IF(AND('Mapa final'!$AA$40="Media",'Mapa final'!$AC$40="Moderado"),CONCATENATE("R6C",'Mapa final'!$Q$40),"")</f>
        <v/>
      </c>
      <c r="X31" s="52" t="str">
        <f>IF(AND('Mapa final'!$AA$41="Media",'Mapa final'!$AC$41="Moderado"),CONCATENATE("R6C",'Mapa final'!$Q$41),"")</f>
        <v/>
      </c>
      <c r="Y31" s="52" t="str">
        <f>IF(AND('Mapa final'!$AA$42="Media",'Mapa final'!$AC$42="Moderado"),CONCATENATE("R6C",'Mapa final'!$Q$42),"")</f>
        <v/>
      </c>
      <c r="Z31" s="52" t="str">
        <f>IF(AND('Mapa final'!$AA$43="Media",'Mapa final'!$AC$43="Moderado"),CONCATENATE("R6C",'Mapa final'!$Q$43),"")</f>
        <v/>
      </c>
      <c r="AA31" s="53" t="str">
        <f>IF(AND('Mapa final'!$AA$44="Media",'Mapa final'!$AC$44="Moderado"),CONCATENATE("R6C",'Mapa final'!$Q$44),"")</f>
        <v/>
      </c>
      <c r="AB31" s="36" t="str">
        <f>IF(AND('Mapa final'!$AA$39="Media",'Mapa final'!$AC$39="Mayor"),CONCATENATE("R6C",'Mapa final'!$Q$39),"")</f>
        <v/>
      </c>
      <c r="AC31" s="37" t="str">
        <f>IF(AND('Mapa final'!$AA$40="Media",'Mapa final'!$AC$40="Mayor"),CONCATENATE("R6C",'Mapa final'!$Q$40),"")</f>
        <v/>
      </c>
      <c r="AD31" s="37" t="str">
        <f>IF(AND('Mapa final'!$AA$41="Media",'Mapa final'!$AC$41="Mayor"),CONCATENATE("R6C",'Mapa final'!$Q$41),"")</f>
        <v/>
      </c>
      <c r="AE31" s="37" t="str">
        <f>IF(AND('Mapa final'!$AA$42="Media",'Mapa final'!$AC$42="Mayor"),CONCATENATE("R6C",'Mapa final'!$Q$42),"")</f>
        <v/>
      </c>
      <c r="AF31" s="37" t="str">
        <f>IF(AND('Mapa final'!$AA$43="Media",'Mapa final'!$AC$43="Mayor"),CONCATENATE("R6C",'Mapa final'!$Q$43),"")</f>
        <v/>
      </c>
      <c r="AG31" s="38" t="str">
        <f>IF(AND('Mapa final'!$AA$44="Media",'Mapa final'!$AC$44="Mayor"),CONCATENATE("R6C",'Mapa final'!$Q$44),"")</f>
        <v/>
      </c>
      <c r="AH31" s="39" t="str">
        <f>IF(AND('Mapa final'!$AA$39="Media",'Mapa final'!$AC$39="Catastrófico"),CONCATENATE("R6C",'Mapa final'!$Q$39),"")</f>
        <v/>
      </c>
      <c r="AI31" s="40" t="str">
        <f>IF(AND('Mapa final'!$AA$40="Media",'Mapa final'!$AC$40="Catastrófico"),CONCATENATE("R6C",'Mapa final'!$Q$40),"")</f>
        <v/>
      </c>
      <c r="AJ31" s="40" t="str">
        <f>IF(AND('Mapa final'!$AA$41="Media",'Mapa final'!$AC$41="Catastrófico"),CONCATENATE("R6C",'Mapa final'!$Q$41),"")</f>
        <v/>
      </c>
      <c r="AK31" s="40" t="str">
        <f>IF(AND('Mapa final'!$AA$42="Media",'Mapa final'!$AC$42="Catastrófico"),CONCATENATE("R6C",'Mapa final'!$Q$42),"")</f>
        <v/>
      </c>
      <c r="AL31" s="40" t="str">
        <f>IF(AND('Mapa final'!$AA$43="Media",'Mapa final'!$AC$43="Catastrófico"),CONCATENATE("R6C",'Mapa final'!$Q$43),"")</f>
        <v/>
      </c>
      <c r="AM31" s="41" t="str">
        <f>IF(AND('Mapa final'!$AA$44="Media",'Mapa final'!$AC$44="Catastrófico"),CONCATENATE("R6C",'Mapa final'!$Q$44),"")</f>
        <v/>
      </c>
      <c r="AN31" s="67"/>
      <c r="AO31" s="453"/>
      <c r="AP31" s="454"/>
      <c r="AQ31" s="454"/>
      <c r="AR31" s="454"/>
      <c r="AS31" s="454"/>
      <c r="AT31" s="455"/>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372"/>
      <c r="C32" s="372"/>
      <c r="D32" s="373"/>
      <c r="E32" s="413"/>
      <c r="F32" s="414"/>
      <c r="G32" s="414"/>
      <c r="H32" s="414"/>
      <c r="I32" s="415"/>
      <c r="J32" s="51" t="str">
        <f>IF(AND('Mapa final'!$AA$45="Media",'Mapa final'!$AC$45="Leve"),CONCATENATE("R7C",'Mapa final'!$Q$45),"")</f>
        <v/>
      </c>
      <c r="K32" s="52" t="str">
        <f>IF(AND('Mapa final'!$AA$46="Media",'Mapa final'!$AC$46="Leve"),CONCATENATE("R7C",'Mapa final'!$Q$46),"")</f>
        <v/>
      </c>
      <c r="L32" s="52" t="str">
        <f>IF(AND('Mapa final'!$AA$47="Media",'Mapa final'!$AC$47="Leve"),CONCATENATE("R7C",'Mapa final'!$Q$47),"")</f>
        <v/>
      </c>
      <c r="M32" s="52" t="str">
        <f>IF(AND('Mapa final'!$AA$48="Media",'Mapa final'!$AC$48="Leve"),CONCATENATE("R7C",'Mapa final'!$Q$48),"")</f>
        <v/>
      </c>
      <c r="N32" s="52" t="str">
        <f>IF(AND('Mapa final'!$AA$49="Media",'Mapa final'!$AC$49="Leve"),CONCATENATE("R7C",'Mapa final'!$Q$49),"")</f>
        <v/>
      </c>
      <c r="O32" s="53" t="str">
        <f>IF(AND('Mapa final'!$AA$50="Media",'Mapa final'!$AC$50="Leve"),CONCATENATE("R7C",'Mapa final'!$Q$50),"")</f>
        <v/>
      </c>
      <c r="P32" s="51" t="str">
        <f>IF(AND('Mapa final'!$AA$45="Media",'Mapa final'!$AC$45="Menor"),CONCATENATE("R7C",'Mapa final'!$Q$45),"")</f>
        <v/>
      </c>
      <c r="Q32" s="52" t="str">
        <f>IF(AND('Mapa final'!$AA$46="Media",'Mapa final'!$AC$46="Menor"),CONCATENATE("R7C",'Mapa final'!$Q$46),"")</f>
        <v/>
      </c>
      <c r="R32" s="52" t="str">
        <f>IF(AND('Mapa final'!$AA$47="Media",'Mapa final'!$AC$47="Menor"),CONCATENATE("R7C",'Mapa final'!$Q$47),"")</f>
        <v/>
      </c>
      <c r="S32" s="52" t="str">
        <f>IF(AND('Mapa final'!$AA$48="Media",'Mapa final'!$AC$48="Menor"),CONCATENATE("R7C",'Mapa final'!$Q$48),"")</f>
        <v/>
      </c>
      <c r="T32" s="52" t="str">
        <f>IF(AND('Mapa final'!$AA$49="Media",'Mapa final'!$AC$49="Menor"),CONCATENATE("R7C",'Mapa final'!$Q$49),"")</f>
        <v/>
      </c>
      <c r="U32" s="53" t="str">
        <f>IF(AND('Mapa final'!$AA$50="Media",'Mapa final'!$AC$50="Menor"),CONCATENATE("R7C",'Mapa final'!$Q$50),"")</f>
        <v/>
      </c>
      <c r="V32" s="51" t="str">
        <f>IF(AND('Mapa final'!$AA$45="Media",'Mapa final'!$AC$45="Moderado"),CONCATENATE("R7C",'Mapa final'!$Q$45),"")</f>
        <v/>
      </c>
      <c r="W32" s="52" t="str">
        <f>IF(AND('Mapa final'!$AA$46="Media",'Mapa final'!$AC$46="Moderado"),CONCATENATE("R7C",'Mapa final'!$Q$46),"")</f>
        <v/>
      </c>
      <c r="X32" s="52" t="str">
        <f>IF(AND('Mapa final'!$AA$47="Media",'Mapa final'!$AC$47="Moderado"),CONCATENATE("R7C",'Mapa final'!$Q$47),"")</f>
        <v/>
      </c>
      <c r="Y32" s="52" t="str">
        <f>IF(AND('Mapa final'!$AA$48="Media",'Mapa final'!$AC$48="Moderado"),CONCATENATE("R7C",'Mapa final'!$Q$48),"")</f>
        <v/>
      </c>
      <c r="Z32" s="52" t="str">
        <f>IF(AND('Mapa final'!$AA$49="Media",'Mapa final'!$AC$49="Moderado"),CONCATENATE("R7C",'Mapa final'!$Q$49),"")</f>
        <v/>
      </c>
      <c r="AA32" s="53" t="str">
        <f>IF(AND('Mapa final'!$AA$50="Media",'Mapa final'!$AC$50="Moderado"),CONCATENATE("R7C",'Mapa final'!$Q$50),"")</f>
        <v/>
      </c>
      <c r="AB32" s="36" t="str">
        <f>IF(AND('Mapa final'!$AA$45="Media",'Mapa final'!$AC$45="Mayor"),CONCATENATE("R7C",'Mapa final'!$Q$45),"")</f>
        <v/>
      </c>
      <c r="AC32" s="37" t="str">
        <f>IF(AND('Mapa final'!$AA$46="Media",'Mapa final'!$AC$46="Mayor"),CONCATENATE("R7C",'Mapa final'!$Q$46),"")</f>
        <v/>
      </c>
      <c r="AD32" s="37" t="str">
        <f>IF(AND('Mapa final'!$AA$47="Media",'Mapa final'!$AC$47="Mayor"),CONCATENATE("R7C",'Mapa final'!$Q$47),"")</f>
        <v/>
      </c>
      <c r="AE32" s="37" t="str">
        <f>IF(AND('Mapa final'!$AA$48="Media",'Mapa final'!$AC$48="Mayor"),CONCATENATE("R7C",'Mapa final'!$Q$48),"")</f>
        <v/>
      </c>
      <c r="AF32" s="37" t="str">
        <f>IF(AND('Mapa final'!$AA$49="Media",'Mapa final'!$AC$49="Mayor"),CONCATENATE("R7C",'Mapa final'!$Q$49),"")</f>
        <v/>
      </c>
      <c r="AG32" s="38" t="str">
        <f>IF(AND('Mapa final'!$AA$50="Media",'Mapa final'!$AC$50="Mayor"),CONCATENATE("R7C",'Mapa final'!$Q$50),"")</f>
        <v/>
      </c>
      <c r="AH32" s="39" t="str">
        <f>IF(AND('Mapa final'!$AA$45="Media",'Mapa final'!$AC$45="Catastrófico"),CONCATENATE("R7C",'Mapa final'!$Q$45),"")</f>
        <v/>
      </c>
      <c r="AI32" s="40" t="str">
        <f>IF(AND('Mapa final'!$AA$46="Media",'Mapa final'!$AC$46="Catastrófico"),CONCATENATE("R7C",'Mapa final'!$Q$46),"")</f>
        <v/>
      </c>
      <c r="AJ32" s="40" t="str">
        <f>IF(AND('Mapa final'!$AA$47="Media",'Mapa final'!$AC$47="Catastrófico"),CONCATENATE("R7C",'Mapa final'!$Q$47),"")</f>
        <v/>
      </c>
      <c r="AK32" s="40" t="str">
        <f>IF(AND('Mapa final'!$AA$48="Media",'Mapa final'!$AC$48="Catastrófico"),CONCATENATE("R7C",'Mapa final'!$Q$48),"")</f>
        <v/>
      </c>
      <c r="AL32" s="40" t="str">
        <f>IF(AND('Mapa final'!$AA$49="Media",'Mapa final'!$AC$49="Catastrófico"),CONCATENATE("R7C",'Mapa final'!$Q$49),"")</f>
        <v/>
      </c>
      <c r="AM32" s="41" t="str">
        <f>IF(AND('Mapa final'!$AA$50="Media",'Mapa final'!$AC$50="Catastrófico"),CONCATENATE("R7C",'Mapa final'!$Q$50),"")</f>
        <v/>
      </c>
      <c r="AN32" s="67"/>
      <c r="AO32" s="453"/>
      <c r="AP32" s="454"/>
      <c r="AQ32" s="454"/>
      <c r="AR32" s="454"/>
      <c r="AS32" s="454"/>
      <c r="AT32" s="455"/>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372"/>
      <c r="C33" s="372"/>
      <c r="D33" s="373"/>
      <c r="E33" s="413"/>
      <c r="F33" s="414"/>
      <c r="G33" s="414"/>
      <c r="H33" s="414"/>
      <c r="I33" s="415"/>
      <c r="J33" s="51" t="str">
        <f>IF(AND('Mapa final'!$AA$51="Media",'Mapa final'!$AC$51="Leve"),CONCATENATE("R8C",'Mapa final'!$Q$51),"")</f>
        <v/>
      </c>
      <c r="K33" s="52" t="str">
        <f>IF(AND('Mapa final'!$AA$52="Media",'Mapa final'!$AC$52="Leve"),CONCATENATE("R8C",'Mapa final'!$Q$52),"")</f>
        <v/>
      </c>
      <c r="L33" s="52" t="str">
        <f>IF(AND('Mapa final'!$AA$53="Media",'Mapa final'!$AC$53="Leve"),CONCATENATE("R8C",'Mapa final'!$Q$53),"")</f>
        <v/>
      </c>
      <c r="M33" s="52" t="str">
        <f>IF(AND('Mapa final'!$AA$54="Media",'Mapa final'!$AC$54="Leve"),CONCATENATE("R8C",'Mapa final'!$Q$54),"")</f>
        <v/>
      </c>
      <c r="N33" s="52" t="str">
        <f>IF(AND('Mapa final'!$AA$55="Media",'Mapa final'!$AC$55="Leve"),CONCATENATE("R8C",'Mapa final'!$Q$55),"")</f>
        <v/>
      </c>
      <c r="O33" s="53" t="str">
        <f>IF(AND('Mapa final'!$AA$56="Media",'Mapa final'!$AC$56="Leve"),CONCATENATE("R8C",'Mapa final'!$Q$56),"")</f>
        <v/>
      </c>
      <c r="P33" s="51" t="str">
        <f>IF(AND('Mapa final'!$AA$51="Media",'Mapa final'!$AC$51="Menor"),CONCATENATE("R8C",'Mapa final'!$Q$51),"")</f>
        <v/>
      </c>
      <c r="Q33" s="52" t="str">
        <f>IF(AND('Mapa final'!$AA$52="Media",'Mapa final'!$AC$52="Menor"),CONCATENATE("R8C",'Mapa final'!$Q$52),"")</f>
        <v/>
      </c>
      <c r="R33" s="52" t="str">
        <f>IF(AND('Mapa final'!$AA$53="Media",'Mapa final'!$AC$53="Menor"),CONCATENATE("R8C",'Mapa final'!$Q$53),"")</f>
        <v/>
      </c>
      <c r="S33" s="52" t="str">
        <f>IF(AND('Mapa final'!$AA$54="Media",'Mapa final'!$AC$54="Menor"),CONCATENATE("R8C",'Mapa final'!$Q$54),"")</f>
        <v/>
      </c>
      <c r="T33" s="52" t="str">
        <f>IF(AND('Mapa final'!$AA$55="Media",'Mapa final'!$AC$55="Menor"),CONCATENATE("R8C",'Mapa final'!$Q$55),"")</f>
        <v/>
      </c>
      <c r="U33" s="53" t="str">
        <f>IF(AND('Mapa final'!$AA$56="Media",'Mapa final'!$AC$56="Menor"),CONCATENATE("R8C",'Mapa final'!$Q$56),"")</f>
        <v/>
      </c>
      <c r="V33" s="51" t="str">
        <f>IF(AND('Mapa final'!$AA$51="Media",'Mapa final'!$AC$51="Moderado"),CONCATENATE("R8C",'Mapa final'!$Q$51),"")</f>
        <v/>
      </c>
      <c r="W33" s="52" t="str">
        <f>IF(AND('Mapa final'!$AA$52="Media",'Mapa final'!$AC$52="Moderado"),CONCATENATE("R8C",'Mapa final'!$Q$52),"")</f>
        <v/>
      </c>
      <c r="X33" s="52" t="str">
        <f>IF(AND('Mapa final'!$AA$53="Media",'Mapa final'!$AC$53="Moderado"),CONCATENATE("R8C",'Mapa final'!$Q$53),"")</f>
        <v/>
      </c>
      <c r="Y33" s="52" t="str">
        <f>IF(AND('Mapa final'!$AA$54="Media",'Mapa final'!$AC$54="Moderado"),CONCATENATE("R8C",'Mapa final'!$Q$54),"")</f>
        <v/>
      </c>
      <c r="Z33" s="52" t="str">
        <f>IF(AND('Mapa final'!$AA$55="Media",'Mapa final'!$AC$55="Moderado"),CONCATENATE("R8C",'Mapa final'!$Q$55),"")</f>
        <v/>
      </c>
      <c r="AA33" s="53" t="str">
        <f>IF(AND('Mapa final'!$AA$56="Media",'Mapa final'!$AC$56="Moderado"),CONCATENATE("R8C",'Mapa final'!$Q$56),"")</f>
        <v/>
      </c>
      <c r="AB33" s="36" t="str">
        <f>IF(AND('Mapa final'!$AA$51="Media",'Mapa final'!$AC$51="Mayor"),CONCATENATE("R8C",'Mapa final'!$Q$51),"")</f>
        <v/>
      </c>
      <c r="AC33" s="37" t="str">
        <f>IF(AND('Mapa final'!$AA$52="Media",'Mapa final'!$AC$52="Mayor"),CONCATENATE("R8C",'Mapa final'!$Q$52),"")</f>
        <v/>
      </c>
      <c r="AD33" s="37" t="str">
        <f>IF(AND('Mapa final'!$AA$53="Media",'Mapa final'!$AC$53="Mayor"),CONCATENATE("R8C",'Mapa final'!$Q$53),"")</f>
        <v/>
      </c>
      <c r="AE33" s="37" t="str">
        <f>IF(AND('Mapa final'!$AA$54="Media",'Mapa final'!$AC$54="Mayor"),CONCATENATE("R8C",'Mapa final'!$Q$54),"")</f>
        <v/>
      </c>
      <c r="AF33" s="37" t="str">
        <f>IF(AND('Mapa final'!$AA$55="Media",'Mapa final'!$AC$55="Mayor"),CONCATENATE("R8C",'Mapa final'!$Q$55),"")</f>
        <v/>
      </c>
      <c r="AG33" s="38" t="str">
        <f>IF(AND('Mapa final'!$AA$56="Media",'Mapa final'!$AC$56="Mayor"),CONCATENATE("R8C",'Mapa final'!$Q$56),"")</f>
        <v/>
      </c>
      <c r="AH33" s="39" t="str">
        <f>IF(AND('Mapa final'!$AA$51="Media",'Mapa final'!$AC$51="Catastrófico"),CONCATENATE("R8C",'Mapa final'!$Q$51),"")</f>
        <v/>
      </c>
      <c r="AI33" s="40" t="str">
        <f>IF(AND('Mapa final'!$AA$52="Media",'Mapa final'!$AC$52="Catastrófico"),CONCATENATE("R8C",'Mapa final'!$Q$52),"")</f>
        <v/>
      </c>
      <c r="AJ33" s="40" t="str">
        <f>IF(AND('Mapa final'!$AA$53="Media",'Mapa final'!$AC$53="Catastrófico"),CONCATENATE("R8C",'Mapa final'!$Q$53),"")</f>
        <v/>
      </c>
      <c r="AK33" s="40" t="str">
        <f>IF(AND('Mapa final'!$AA$54="Media",'Mapa final'!$AC$54="Catastrófico"),CONCATENATE("R8C",'Mapa final'!$Q$54),"")</f>
        <v/>
      </c>
      <c r="AL33" s="40" t="str">
        <f>IF(AND('Mapa final'!$AA$55="Media",'Mapa final'!$AC$55="Catastrófico"),CONCATENATE("R8C",'Mapa final'!$Q$55),"")</f>
        <v/>
      </c>
      <c r="AM33" s="41" t="str">
        <f>IF(AND('Mapa final'!$AA$56="Media",'Mapa final'!$AC$56="Catastrófico"),CONCATENATE("R8C",'Mapa final'!$Q$56),"")</f>
        <v/>
      </c>
      <c r="AN33" s="67"/>
      <c r="AO33" s="453"/>
      <c r="AP33" s="454"/>
      <c r="AQ33" s="454"/>
      <c r="AR33" s="454"/>
      <c r="AS33" s="454"/>
      <c r="AT33" s="455"/>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372"/>
      <c r="C34" s="372"/>
      <c r="D34" s="373"/>
      <c r="E34" s="413"/>
      <c r="F34" s="414"/>
      <c r="G34" s="414"/>
      <c r="H34" s="414"/>
      <c r="I34" s="415"/>
      <c r="J34" s="51" t="str">
        <f>IF(AND('Mapa final'!$AA$57="Media",'Mapa final'!$AC$57="Leve"),CONCATENATE("R9C",'Mapa final'!$Q$57),"")</f>
        <v/>
      </c>
      <c r="K34" s="52" t="str">
        <f>IF(AND('Mapa final'!$AA$58="Media",'Mapa final'!$AC$58="Leve"),CONCATENATE("R9C",'Mapa final'!$Q$58),"")</f>
        <v/>
      </c>
      <c r="L34" s="52" t="str">
        <f>IF(AND('Mapa final'!$AA$59="Media",'Mapa final'!$AC$59="Leve"),CONCATENATE("R9C",'Mapa final'!$Q$59),"")</f>
        <v/>
      </c>
      <c r="M34" s="52" t="str">
        <f>IF(AND('Mapa final'!$AA$60="Media",'Mapa final'!$AC$60="Leve"),CONCATENATE("R9C",'Mapa final'!$Q$60),"")</f>
        <v/>
      </c>
      <c r="N34" s="52" t="str">
        <f>IF(AND('Mapa final'!$AA$61="Media",'Mapa final'!$AC$61="Leve"),CONCATENATE("R9C",'Mapa final'!$Q$61),"")</f>
        <v/>
      </c>
      <c r="O34" s="53" t="str">
        <f>IF(AND('Mapa final'!$AA$62="Media",'Mapa final'!$AC$62="Leve"),CONCATENATE("R9C",'Mapa final'!$Q$62),"")</f>
        <v/>
      </c>
      <c r="P34" s="51" t="str">
        <f>IF(AND('Mapa final'!$AA$57="Media",'Mapa final'!$AC$57="Menor"),CONCATENATE("R9C",'Mapa final'!$Q$57),"")</f>
        <v/>
      </c>
      <c r="Q34" s="52" t="str">
        <f>IF(AND('Mapa final'!$AA$58="Media",'Mapa final'!$AC$58="Menor"),CONCATENATE("R9C",'Mapa final'!$Q$58),"")</f>
        <v/>
      </c>
      <c r="R34" s="52" t="str">
        <f>IF(AND('Mapa final'!$AA$59="Media",'Mapa final'!$AC$59="Menor"),CONCATENATE("R9C",'Mapa final'!$Q$59),"")</f>
        <v/>
      </c>
      <c r="S34" s="52" t="str">
        <f>IF(AND('Mapa final'!$AA$60="Media",'Mapa final'!$AC$60="Menor"),CONCATENATE("R9C",'Mapa final'!$Q$60),"")</f>
        <v/>
      </c>
      <c r="T34" s="52" t="str">
        <f>IF(AND('Mapa final'!$AA$61="Media",'Mapa final'!$AC$61="Menor"),CONCATENATE("R9C",'Mapa final'!$Q$61),"")</f>
        <v/>
      </c>
      <c r="U34" s="53" t="str">
        <f>IF(AND('Mapa final'!$AA$62="Media",'Mapa final'!$AC$62="Menor"),CONCATENATE("R9C",'Mapa final'!$Q$62),"")</f>
        <v/>
      </c>
      <c r="V34" s="51" t="str">
        <f>IF(AND('Mapa final'!$AA$57="Media",'Mapa final'!$AC$57="Moderado"),CONCATENATE("R9C",'Mapa final'!$Q$57),"")</f>
        <v/>
      </c>
      <c r="W34" s="52" t="str">
        <f>IF(AND('Mapa final'!$AA$58="Media",'Mapa final'!$AC$58="Moderado"),CONCATENATE("R9C",'Mapa final'!$Q$58),"")</f>
        <v/>
      </c>
      <c r="X34" s="52" t="str">
        <f>IF(AND('Mapa final'!$AA$59="Media",'Mapa final'!$AC$59="Moderado"),CONCATENATE("R9C",'Mapa final'!$Q$59),"")</f>
        <v/>
      </c>
      <c r="Y34" s="52" t="str">
        <f>IF(AND('Mapa final'!$AA$60="Media",'Mapa final'!$AC$60="Moderado"),CONCATENATE("R9C",'Mapa final'!$Q$60),"")</f>
        <v/>
      </c>
      <c r="Z34" s="52" t="str">
        <f>IF(AND('Mapa final'!$AA$61="Media",'Mapa final'!$AC$61="Moderado"),CONCATENATE("R9C",'Mapa final'!$Q$61),"")</f>
        <v/>
      </c>
      <c r="AA34" s="53" t="str">
        <f>IF(AND('Mapa final'!$AA$62="Media",'Mapa final'!$AC$62="Moderado"),CONCATENATE("R9C",'Mapa final'!$Q$62),"")</f>
        <v/>
      </c>
      <c r="AB34" s="36" t="str">
        <f>IF(AND('Mapa final'!$AA$57="Media",'Mapa final'!$AC$57="Mayor"),CONCATENATE("R9C",'Mapa final'!$Q$57),"")</f>
        <v/>
      </c>
      <c r="AC34" s="37" t="str">
        <f>IF(AND('Mapa final'!$AA$58="Media",'Mapa final'!$AC$58="Mayor"),CONCATENATE("R9C",'Mapa final'!$Q$58),"")</f>
        <v/>
      </c>
      <c r="AD34" s="37" t="str">
        <f>IF(AND('Mapa final'!$AA$59="Media",'Mapa final'!$AC$59="Mayor"),CONCATENATE("R9C",'Mapa final'!$Q$59),"")</f>
        <v/>
      </c>
      <c r="AE34" s="37" t="str">
        <f>IF(AND('Mapa final'!$AA$60="Media",'Mapa final'!$AC$60="Mayor"),CONCATENATE("R9C",'Mapa final'!$Q$60),"")</f>
        <v/>
      </c>
      <c r="AF34" s="37" t="str">
        <f>IF(AND('Mapa final'!$AA$61="Media",'Mapa final'!$AC$61="Mayor"),CONCATENATE("R9C",'Mapa final'!$Q$61),"")</f>
        <v/>
      </c>
      <c r="AG34" s="38" t="str">
        <f>IF(AND('Mapa final'!$AA$62="Media",'Mapa final'!$AC$62="Mayor"),CONCATENATE("R9C",'Mapa final'!$Q$62),"")</f>
        <v/>
      </c>
      <c r="AH34" s="39" t="str">
        <f>IF(AND('Mapa final'!$AA$57="Media",'Mapa final'!$AC$57="Catastrófico"),CONCATENATE("R9C",'Mapa final'!$Q$57),"")</f>
        <v/>
      </c>
      <c r="AI34" s="40" t="str">
        <f>IF(AND('Mapa final'!$AA$58="Media",'Mapa final'!$AC$58="Catastrófico"),CONCATENATE("R9C",'Mapa final'!$Q$58),"")</f>
        <v/>
      </c>
      <c r="AJ34" s="40" t="str">
        <f>IF(AND('Mapa final'!$AA$59="Media",'Mapa final'!$AC$59="Catastrófico"),CONCATENATE("R9C",'Mapa final'!$Q$59),"")</f>
        <v/>
      </c>
      <c r="AK34" s="40" t="str">
        <f>IF(AND('Mapa final'!$AA$60="Media",'Mapa final'!$AC$60="Catastrófico"),CONCATENATE("R9C",'Mapa final'!$Q$60),"")</f>
        <v/>
      </c>
      <c r="AL34" s="40" t="str">
        <f>IF(AND('Mapa final'!$AA$61="Media",'Mapa final'!$AC$61="Catastrófico"),CONCATENATE("R9C",'Mapa final'!$Q$61),"")</f>
        <v/>
      </c>
      <c r="AM34" s="41" t="str">
        <f>IF(AND('Mapa final'!$AA$62="Media",'Mapa final'!$AC$62="Catastrófico"),CONCATENATE("R9C",'Mapa final'!$Q$62),"")</f>
        <v/>
      </c>
      <c r="AN34" s="67"/>
      <c r="AO34" s="453"/>
      <c r="AP34" s="454"/>
      <c r="AQ34" s="454"/>
      <c r="AR34" s="454"/>
      <c r="AS34" s="454"/>
      <c r="AT34" s="455"/>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372"/>
      <c r="C35" s="372"/>
      <c r="D35" s="373"/>
      <c r="E35" s="416"/>
      <c r="F35" s="417"/>
      <c r="G35" s="417"/>
      <c r="H35" s="417"/>
      <c r="I35" s="418"/>
      <c r="J35" s="51" t="str">
        <f>IF(AND('Mapa final'!$AA$63="Media",'Mapa final'!$AC$63="Leve"),CONCATENATE("R10C",'Mapa final'!$Q$63),"")</f>
        <v/>
      </c>
      <c r="K35" s="52" t="str">
        <f>IF(AND('Mapa final'!$AA$64="Media",'Mapa final'!$AC$64="Leve"),CONCATENATE("R10C",'Mapa final'!$Q$64),"")</f>
        <v/>
      </c>
      <c r="L35" s="52" t="str">
        <f>IF(AND('Mapa final'!$AA$65="Media",'Mapa final'!$AC$65="Leve"),CONCATENATE("R10C",'Mapa final'!$Q$65),"")</f>
        <v/>
      </c>
      <c r="M35" s="52" t="str">
        <f>IF(AND('Mapa final'!$AA$66="Media",'Mapa final'!$AC$66="Leve"),CONCATENATE("R10C",'Mapa final'!$Q$66),"")</f>
        <v/>
      </c>
      <c r="N35" s="52" t="str">
        <f>IF(AND('Mapa final'!$AA$67="Media",'Mapa final'!$AC$67="Leve"),CONCATENATE("R10C",'Mapa final'!$Q$67),"")</f>
        <v/>
      </c>
      <c r="O35" s="53" t="str">
        <f>IF(AND('Mapa final'!$AA$68="Media",'Mapa final'!$AC$68="Leve"),CONCATENATE("R10C",'Mapa final'!$Q$68),"")</f>
        <v/>
      </c>
      <c r="P35" s="51" t="str">
        <f>IF(AND('Mapa final'!$AA$63="Media",'Mapa final'!$AC$63="Menor"),CONCATENATE("R10C",'Mapa final'!$Q$63),"")</f>
        <v/>
      </c>
      <c r="Q35" s="52" t="str">
        <f>IF(AND('Mapa final'!$AA$64="Media",'Mapa final'!$AC$64="Menor"),CONCATENATE("R10C",'Mapa final'!$Q$64),"")</f>
        <v/>
      </c>
      <c r="R35" s="52" t="str">
        <f>IF(AND('Mapa final'!$AA$65="Media",'Mapa final'!$AC$65="Menor"),CONCATENATE("R10C",'Mapa final'!$Q$65),"")</f>
        <v/>
      </c>
      <c r="S35" s="52" t="str">
        <f>IF(AND('Mapa final'!$AA$66="Media",'Mapa final'!$AC$66="Menor"),CONCATENATE("R10C",'Mapa final'!$Q$66),"")</f>
        <v/>
      </c>
      <c r="T35" s="52" t="str">
        <f>IF(AND('Mapa final'!$AA$67="Media",'Mapa final'!$AC$67="Menor"),CONCATENATE("R10C",'Mapa final'!$Q$67),"")</f>
        <v/>
      </c>
      <c r="U35" s="53" t="str">
        <f>IF(AND('Mapa final'!$AA$68="Media",'Mapa final'!$AC$68="Menor"),CONCATENATE("R10C",'Mapa final'!$Q$68),"")</f>
        <v/>
      </c>
      <c r="V35" s="51" t="str">
        <f>IF(AND('Mapa final'!$AA$63="Media",'Mapa final'!$AC$63="Moderado"),CONCATENATE("R10C",'Mapa final'!$Q$63),"")</f>
        <v/>
      </c>
      <c r="W35" s="52" t="str">
        <f>IF(AND('Mapa final'!$AA$64="Media",'Mapa final'!$AC$64="Moderado"),CONCATENATE("R10C",'Mapa final'!$Q$64),"")</f>
        <v/>
      </c>
      <c r="X35" s="52" t="str">
        <f>IF(AND('Mapa final'!$AA$65="Media",'Mapa final'!$AC$65="Moderado"),CONCATENATE("R10C",'Mapa final'!$Q$65),"")</f>
        <v/>
      </c>
      <c r="Y35" s="52" t="str">
        <f>IF(AND('Mapa final'!$AA$66="Media",'Mapa final'!$AC$66="Moderado"),CONCATENATE("R10C",'Mapa final'!$Q$66),"")</f>
        <v/>
      </c>
      <c r="Z35" s="52" t="str">
        <f>IF(AND('Mapa final'!$AA$67="Media",'Mapa final'!$AC$67="Moderado"),CONCATENATE("R10C",'Mapa final'!$Q$67),"")</f>
        <v/>
      </c>
      <c r="AA35" s="53" t="str">
        <f>IF(AND('Mapa final'!$AA$68="Media",'Mapa final'!$AC$68="Moderado"),CONCATENATE("R10C",'Mapa final'!$Q$68),"")</f>
        <v/>
      </c>
      <c r="AB35" s="42" t="str">
        <f>IF(AND('Mapa final'!$AA$63="Media",'Mapa final'!$AC$63="Mayor"),CONCATENATE("R10C",'Mapa final'!$Q$63),"")</f>
        <v/>
      </c>
      <c r="AC35" s="43" t="str">
        <f>IF(AND('Mapa final'!$AA$64="Media",'Mapa final'!$AC$64="Mayor"),CONCATENATE("R10C",'Mapa final'!$Q$64),"")</f>
        <v/>
      </c>
      <c r="AD35" s="43" t="str">
        <f>IF(AND('Mapa final'!$AA$65="Media",'Mapa final'!$AC$65="Mayor"),CONCATENATE("R10C",'Mapa final'!$Q$65),"")</f>
        <v/>
      </c>
      <c r="AE35" s="43" t="str">
        <f>IF(AND('Mapa final'!$AA$66="Media",'Mapa final'!$AC$66="Mayor"),CONCATENATE("R10C",'Mapa final'!$Q$66),"")</f>
        <v/>
      </c>
      <c r="AF35" s="43" t="str">
        <f>IF(AND('Mapa final'!$AA$67="Media",'Mapa final'!$AC$67="Mayor"),CONCATENATE("R10C",'Mapa final'!$Q$67),"")</f>
        <v/>
      </c>
      <c r="AG35" s="44" t="str">
        <f>IF(AND('Mapa final'!$AA$68="Media",'Mapa final'!$AC$68="Mayor"),CONCATENATE("R10C",'Mapa final'!$Q$68),"")</f>
        <v/>
      </c>
      <c r="AH35" s="45" t="str">
        <f>IF(AND('Mapa final'!$AA$63="Media",'Mapa final'!$AC$63="Catastrófico"),CONCATENATE("R10C",'Mapa final'!$Q$63),"")</f>
        <v/>
      </c>
      <c r="AI35" s="46" t="str">
        <f>IF(AND('Mapa final'!$AA$64="Media",'Mapa final'!$AC$64="Catastrófico"),CONCATENATE("R10C",'Mapa final'!$Q$64),"")</f>
        <v/>
      </c>
      <c r="AJ35" s="46" t="str">
        <f>IF(AND('Mapa final'!$AA$65="Media",'Mapa final'!$AC$65="Catastrófico"),CONCATENATE("R10C",'Mapa final'!$Q$65),"")</f>
        <v/>
      </c>
      <c r="AK35" s="46" t="str">
        <f>IF(AND('Mapa final'!$AA$66="Media",'Mapa final'!$AC$66="Catastrófico"),CONCATENATE("R10C",'Mapa final'!$Q$66),"")</f>
        <v/>
      </c>
      <c r="AL35" s="46" t="str">
        <f>IF(AND('Mapa final'!$AA$67="Media",'Mapa final'!$AC$67="Catastrófico"),CONCATENATE("R10C",'Mapa final'!$Q$67),"")</f>
        <v/>
      </c>
      <c r="AM35" s="47" t="str">
        <f>IF(AND('Mapa final'!$AA$68="Media",'Mapa final'!$AC$68="Catastrófico"),CONCATENATE("R10C",'Mapa final'!$Q$68),"")</f>
        <v/>
      </c>
      <c r="AN35" s="67"/>
      <c r="AO35" s="456"/>
      <c r="AP35" s="457"/>
      <c r="AQ35" s="457"/>
      <c r="AR35" s="457"/>
      <c r="AS35" s="457"/>
      <c r="AT35" s="458"/>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372"/>
      <c r="C36" s="372"/>
      <c r="D36" s="373"/>
      <c r="E36" s="410" t="s">
        <v>108</v>
      </c>
      <c r="F36" s="411"/>
      <c r="G36" s="411"/>
      <c r="H36" s="411"/>
      <c r="I36" s="411"/>
      <c r="J36" s="57" t="str">
        <f ca="1">IF(AND('Mapa final'!$AA$10="Baja",'Mapa final'!$AC$10="Leve"),CONCATENATE("R1C",'Mapa final'!$Q$10),"")</f>
        <v/>
      </c>
      <c r="K36" s="58" t="str">
        <f ca="1">IF(AND('Mapa final'!$AA$11="Baja",'Mapa final'!$AC$11="Leve"),CONCATENATE("R1C",'Mapa final'!$Q$11),"")</f>
        <v/>
      </c>
      <c r="L36" s="58" t="str">
        <f ca="1">IF(AND('Mapa final'!$AA$13="Baja",'Mapa final'!$AC$13="Leve"),CONCATENATE("R1C",'Mapa final'!$Q$13),"")</f>
        <v/>
      </c>
      <c r="M36" s="58" t="str">
        <f ca="1">IF(AND('Mapa final'!$AA$14="Baja",'Mapa final'!$AC$14="Leve"),CONCATENATE("R1C",'Mapa final'!$Q$14),"")</f>
        <v/>
      </c>
      <c r="N36" s="58" t="e">
        <f>IF(AND('Mapa final'!#REF!="Baja",'Mapa final'!#REF!="Leve"),CONCATENATE("R1C",'Mapa final'!#REF!),"")</f>
        <v>#REF!</v>
      </c>
      <c r="O36" s="59" t="e">
        <f>IF(AND('Mapa final'!#REF!="Baja",'Mapa final'!#REF!="Leve"),CONCATENATE("R1C",'Mapa final'!#REF!),"")</f>
        <v>#REF!</v>
      </c>
      <c r="P36" s="48" t="str">
        <f ca="1">IF(AND('Mapa final'!$AA$10="Baja",'Mapa final'!$AC$10="Menor"),CONCATENATE("R1C",'Mapa final'!$Q$10),"")</f>
        <v/>
      </c>
      <c r="Q36" s="49" t="str">
        <f ca="1">IF(AND('Mapa final'!$AA$11="Baja",'Mapa final'!$AC$11="Menor"),CONCATENATE("R1C",'Mapa final'!$Q$11),"")</f>
        <v/>
      </c>
      <c r="R36" s="49" t="str">
        <f ca="1">IF(AND('Mapa final'!$AA$13="Baja",'Mapa final'!$AC$13="Menor"),CONCATENATE("R1C",'Mapa final'!$Q$13),"")</f>
        <v/>
      </c>
      <c r="S36" s="49" t="str">
        <f ca="1">IF(AND('Mapa final'!$AA$14="Baja",'Mapa final'!$AC$14="Menor"),CONCATENATE("R1C",'Mapa final'!$Q$14),"")</f>
        <v/>
      </c>
      <c r="T36" s="49" t="e">
        <f>IF(AND('Mapa final'!#REF!="Baja",'Mapa final'!#REF!="Menor"),CONCATENATE("R1C",'Mapa final'!#REF!),"")</f>
        <v>#REF!</v>
      </c>
      <c r="U36" s="50" t="e">
        <f>IF(AND('Mapa final'!#REF!="Baja",'Mapa final'!#REF!="Menor"),CONCATENATE("R1C",'Mapa final'!#REF!),"")</f>
        <v>#REF!</v>
      </c>
      <c r="V36" s="48" t="str">
        <f ca="1">IF(AND('Mapa final'!$AA$10="Baja",'Mapa final'!$AC$10="Moderado"),CONCATENATE("R1C",'Mapa final'!$Q$10),"")</f>
        <v/>
      </c>
      <c r="W36" s="49" t="str">
        <f ca="1">IF(AND('Mapa final'!$AA$11="Baja",'Mapa final'!$AC$11="Moderado"),CONCATENATE("R1C",'Mapa final'!$Q$11),"")</f>
        <v/>
      </c>
      <c r="X36" s="49" t="str">
        <f ca="1">IF(AND('Mapa final'!$AA$13="Baja",'Mapa final'!$AC$13="Moderado"),CONCATENATE("R1C",'Mapa final'!$Q$13),"")</f>
        <v/>
      </c>
      <c r="Y36" s="49" t="str">
        <f ca="1">IF(AND('Mapa final'!$AA$14="Baja",'Mapa final'!$AC$14="Moderado"),CONCATENATE("R1C",'Mapa final'!$Q$14),"")</f>
        <v/>
      </c>
      <c r="Z36" s="49" t="e">
        <f>IF(AND('Mapa final'!#REF!="Baja",'Mapa final'!#REF!="Moderado"),CONCATENATE("R1C",'Mapa final'!#REF!),"")</f>
        <v>#REF!</v>
      </c>
      <c r="AA36" s="50" t="e">
        <f>IF(AND('Mapa final'!#REF!="Baja",'Mapa final'!#REF!="Moderado"),CONCATENATE("R1C",'Mapa final'!#REF!),"")</f>
        <v>#REF!</v>
      </c>
      <c r="AB36" s="30" t="str">
        <f ca="1">IF(AND('Mapa final'!$AA$10="Baja",'Mapa final'!$AC$10="Mayor"),CONCATENATE("R1C",'Mapa final'!$Q$10),"")</f>
        <v/>
      </c>
      <c r="AC36" s="31" t="str">
        <f ca="1">IF(AND('Mapa final'!$AA$11="Baja",'Mapa final'!$AC$11="Mayor"),CONCATENATE("R1C",'Mapa final'!$Q$11),"")</f>
        <v/>
      </c>
      <c r="AD36" s="31" t="str">
        <f ca="1">IF(AND('Mapa final'!$AA$13="Baja",'Mapa final'!$AC$13="Mayor"),CONCATENATE("R1C",'Mapa final'!$Q$13),"")</f>
        <v/>
      </c>
      <c r="AE36" s="31" t="str">
        <f ca="1">IF(AND('Mapa final'!$AA$14="Baja",'Mapa final'!$AC$14="Mayor"),CONCATENATE("R1C",'Mapa final'!$Q$14),"")</f>
        <v/>
      </c>
      <c r="AF36" s="31" t="e">
        <f>IF(AND('Mapa final'!#REF!="Baja",'Mapa final'!#REF!="Mayor"),CONCATENATE("R1C",'Mapa final'!#REF!),"")</f>
        <v>#REF!</v>
      </c>
      <c r="AG36" s="32" t="e">
        <f>IF(AND('Mapa final'!#REF!="Baja",'Mapa final'!#REF!="Mayor"),CONCATENATE("R1C",'Mapa final'!#REF!),"")</f>
        <v>#REF!</v>
      </c>
      <c r="AH36" s="33" t="str">
        <f ca="1">IF(AND('Mapa final'!$AA$10="Baja",'Mapa final'!$AC$10="Catastrófico"),CONCATENATE("R1C",'Mapa final'!$Q$10),"")</f>
        <v/>
      </c>
      <c r="AI36" s="34" t="str">
        <f ca="1">IF(AND('Mapa final'!$AA$11="Baja",'Mapa final'!$AC$11="Catastrófico"),CONCATENATE("R1C",'Mapa final'!$Q$11),"")</f>
        <v/>
      </c>
      <c r="AJ36" s="34" t="str">
        <f ca="1">IF(AND('Mapa final'!$AA$13="Baja",'Mapa final'!$AC$13="Catastrófico"),CONCATENATE("R1C",'Mapa final'!$Q$13),"")</f>
        <v/>
      </c>
      <c r="AK36" s="34" t="str">
        <f ca="1">IF(AND('Mapa final'!$AA$14="Baja",'Mapa final'!$AC$14="Catastrófico"),CONCATENATE("R1C",'Mapa final'!$Q$14),"")</f>
        <v/>
      </c>
      <c r="AL36" s="34" t="e">
        <f>IF(AND('Mapa final'!#REF!="Baja",'Mapa final'!#REF!="Catastrófico"),CONCATENATE("R1C",'Mapa final'!#REF!),"")</f>
        <v>#REF!</v>
      </c>
      <c r="AM36" s="35" t="e">
        <f>IF(AND('Mapa final'!#REF!="Baja",'Mapa final'!#REF!="Catastrófico"),CONCATENATE("R1C",'Mapa final'!#REF!),"")</f>
        <v>#REF!</v>
      </c>
      <c r="AN36" s="67"/>
      <c r="AO36" s="441" t="s">
        <v>80</v>
      </c>
      <c r="AP36" s="442"/>
      <c r="AQ36" s="442"/>
      <c r="AR36" s="442"/>
      <c r="AS36" s="442"/>
      <c r="AT36" s="443"/>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372"/>
      <c r="C37" s="372"/>
      <c r="D37" s="373"/>
      <c r="E37" s="429"/>
      <c r="F37" s="414"/>
      <c r="G37" s="414"/>
      <c r="H37" s="414"/>
      <c r="I37" s="414"/>
      <c r="J37" s="60" t="str">
        <f ca="1">IF(AND('Mapa final'!$AA$15="Baja",'Mapa final'!$AC$15="Leve"),CONCATENATE("R2C",'Mapa final'!$Q$15),"")</f>
        <v/>
      </c>
      <c r="K37" s="61" t="str">
        <f ca="1">IF(AND('Mapa final'!$AA$16="Baja",'Mapa final'!$AC$16="Leve"),CONCATENATE("R2C",'Mapa final'!$Q$16),"")</f>
        <v/>
      </c>
      <c r="L37" s="61" t="str">
        <f>IF(AND('Mapa final'!$AA$17="Baja",'Mapa final'!$AC$17="Leve"),CONCATENATE("R2C",'Mapa final'!$Q$17),"")</f>
        <v/>
      </c>
      <c r="M37" s="61" t="str">
        <f>IF(AND('Mapa final'!$AA$18="Baja",'Mapa final'!$AC$18="Leve"),CONCATENATE("R2C",'Mapa final'!$Q$18),"")</f>
        <v/>
      </c>
      <c r="N37" s="61" t="str">
        <f>IF(AND('Mapa final'!$AA$19="Baja",'Mapa final'!$AC$19="Leve"),CONCATENATE("R2C",'Mapa final'!$Q$19),"")</f>
        <v/>
      </c>
      <c r="O37" s="62" t="str">
        <f>IF(AND('Mapa final'!$AA$20="Baja",'Mapa final'!$AC$20="Leve"),CONCATENATE("R2C",'Mapa final'!$Q$20),"")</f>
        <v/>
      </c>
      <c r="P37" s="51" t="str">
        <f ca="1">IF(AND('Mapa final'!$AA$15="Baja",'Mapa final'!$AC$15="Menor"),CONCATENATE("R2C",'Mapa final'!$Q$15),"")</f>
        <v/>
      </c>
      <c r="Q37" s="52" t="str">
        <f ca="1">IF(AND('Mapa final'!$AA$16="Baja",'Mapa final'!$AC$16="Menor"),CONCATENATE("R2C",'Mapa final'!$Q$16),"")</f>
        <v/>
      </c>
      <c r="R37" s="52" t="str">
        <f>IF(AND('Mapa final'!$AA$17="Baja",'Mapa final'!$AC$17="Menor"),CONCATENATE("R2C",'Mapa final'!$Q$17),"")</f>
        <v/>
      </c>
      <c r="S37" s="52" t="str">
        <f>IF(AND('Mapa final'!$AA$18="Baja",'Mapa final'!$AC$18="Menor"),CONCATENATE("R2C",'Mapa final'!$Q$18),"")</f>
        <v/>
      </c>
      <c r="T37" s="52" t="str">
        <f>IF(AND('Mapa final'!$AA$19="Baja",'Mapa final'!$AC$19="Menor"),CONCATENATE("R2C",'Mapa final'!$Q$19),"")</f>
        <v/>
      </c>
      <c r="U37" s="53" t="str">
        <f>IF(AND('Mapa final'!$AA$20="Baja",'Mapa final'!$AC$20="Menor"),CONCATENATE("R2C",'Mapa final'!$Q$20),"")</f>
        <v/>
      </c>
      <c r="V37" s="51" t="str">
        <f ca="1">IF(AND('Mapa final'!$AA$15="Baja",'Mapa final'!$AC$15="Moderado"),CONCATENATE("R2C",'Mapa final'!$Q$15),"")</f>
        <v/>
      </c>
      <c r="W37" s="52" t="str">
        <f ca="1">IF(AND('Mapa final'!$AA$16="Baja",'Mapa final'!$AC$16="Moderado"),CONCATENATE("R2C",'Mapa final'!$Q$16),"")</f>
        <v/>
      </c>
      <c r="X37" s="52" t="str">
        <f>IF(AND('Mapa final'!$AA$17="Baja",'Mapa final'!$AC$17="Moderado"),CONCATENATE("R2C",'Mapa final'!$Q$17),"")</f>
        <v/>
      </c>
      <c r="Y37" s="52" t="str">
        <f>IF(AND('Mapa final'!$AA$18="Baja",'Mapa final'!$AC$18="Moderado"),CONCATENATE("R2C",'Mapa final'!$Q$18),"")</f>
        <v/>
      </c>
      <c r="Z37" s="52" t="str">
        <f>IF(AND('Mapa final'!$AA$19="Baja",'Mapa final'!$AC$19="Moderado"),CONCATENATE("R2C",'Mapa final'!$Q$19),"")</f>
        <v/>
      </c>
      <c r="AA37" s="53" t="str">
        <f>IF(AND('Mapa final'!$AA$20="Baja",'Mapa final'!$AC$20="Moderado"),CONCATENATE("R2C",'Mapa final'!$Q$20),"")</f>
        <v/>
      </c>
      <c r="AB37" s="36" t="str">
        <f ca="1">IF(AND('Mapa final'!$AA$15="Baja",'Mapa final'!$AC$15="Mayor"),CONCATENATE("R2C",'Mapa final'!$Q$15),"")</f>
        <v/>
      </c>
      <c r="AC37" s="37" t="str">
        <f ca="1">IF(AND('Mapa final'!$AA$16="Baja",'Mapa final'!$AC$16="Mayor"),CONCATENATE("R2C",'Mapa final'!$Q$16),"")</f>
        <v/>
      </c>
      <c r="AD37" s="37" t="str">
        <f>IF(AND('Mapa final'!$AA$17="Baja",'Mapa final'!$AC$17="Mayor"),CONCATENATE("R2C",'Mapa final'!$Q$17),"")</f>
        <v/>
      </c>
      <c r="AE37" s="37" t="str">
        <f>IF(AND('Mapa final'!$AA$18="Baja",'Mapa final'!$AC$18="Mayor"),CONCATENATE("R2C",'Mapa final'!$Q$18),"")</f>
        <v/>
      </c>
      <c r="AF37" s="37" t="str">
        <f>IF(AND('Mapa final'!$AA$19="Baja",'Mapa final'!$AC$19="Mayor"),CONCATENATE("R2C",'Mapa final'!$Q$19),"")</f>
        <v/>
      </c>
      <c r="AG37" s="38" t="str">
        <f>IF(AND('Mapa final'!$AA$20="Baja",'Mapa final'!$AC$20="Mayor"),CONCATENATE("R2C",'Mapa final'!$Q$20),"")</f>
        <v/>
      </c>
      <c r="AH37" s="39" t="str">
        <f ca="1">IF(AND('Mapa final'!$AA$15="Baja",'Mapa final'!$AC$15="Catastrófico"),CONCATENATE("R2C",'Mapa final'!$Q$15),"")</f>
        <v/>
      </c>
      <c r="AI37" s="40" t="str">
        <f ca="1">IF(AND('Mapa final'!$AA$16="Baja",'Mapa final'!$AC$16="Catastrófico"),CONCATENATE("R2C",'Mapa final'!$Q$16),"")</f>
        <v/>
      </c>
      <c r="AJ37" s="40" t="str">
        <f>IF(AND('Mapa final'!$AA$17="Baja",'Mapa final'!$AC$17="Catastrófico"),CONCATENATE("R2C",'Mapa final'!$Q$17),"")</f>
        <v/>
      </c>
      <c r="AK37" s="40" t="str">
        <f>IF(AND('Mapa final'!$AA$18="Baja",'Mapa final'!$AC$18="Catastrófico"),CONCATENATE("R2C",'Mapa final'!$Q$18),"")</f>
        <v/>
      </c>
      <c r="AL37" s="40" t="str">
        <f>IF(AND('Mapa final'!$AA$19="Baja",'Mapa final'!$AC$19="Catastrófico"),CONCATENATE("R2C",'Mapa final'!$Q$19),"")</f>
        <v/>
      </c>
      <c r="AM37" s="41" t="str">
        <f>IF(AND('Mapa final'!$AA$20="Baja",'Mapa final'!$AC$20="Catastrófico"),CONCATENATE("R2C",'Mapa final'!$Q$20),"")</f>
        <v/>
      </c>
      <c r="AN37" s="67"/>
      <c r="AO37" s="444"/>
      <c r="AP37" s="445"/>
      <c r="AQ37" s="445"/>
      <c r="AR37" s="445"/>
      <c r="AS37" s="445"/>
      <c r="AT37" s="446"/>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372"/>
      <c r="C38" s="372"/>
      <c r="D38" s="373"/>
      <c r="E38" s="413"/>
      <c r="F38" s="414"/>
      <c r="G38" s="414"/>
      <c r="H38" s="414"/>
      <c r="I38" s="414"/>
      <c r="J38" s="60" t="str">
        <f>IF(AND('Mapa final'!$AA$21="Baja",'Mapa final'!$AC$21="Leve"),CONCATENATE("R3C",'Mapa final'!$Q$21),"")</f>
        <v/>
      </c>
      <c r="K38" s="61" t="str">
        <f>IF(AND('Mapa final'!$AA$22="Baja",'Mapa final'!$AC$22="Leve"),CONCATENATE("R3C",'Mapa final'!$Q$22),"")</f>
        <v/>
      </c>
      <c r="L38" s="61" t="str">
        <f>IF(AND('Mapa final'!$AA$23="Baja",'Mapa final'!$AC$23="Leve"),CONCATENATE("R3C",'Mapa final'!$Q$23),"")</f>
        <v/>
      </c>
      <c r="M38" s="61" t="str">
        <f>IF(AND('Mapa final'!$AA$24="Baja",'Mapa final'!$AC$24="Leve"),CONCATENATE("R3C",'Mapa final'!$Q$24),"")</f>
        <v/>
      </c>
      <c r="N38" s="61" t="str">
        <f>IF(AND('Mapa final'!$AA$25="Baja",'Mapa final'!$AC$25="Leve"),CONCATENATE("R3C",'Mapa final'!$Q$25),"")</f>
        <v/>
      </c>
      <c r="O38" s="62" t="str">
        <f>IF(AND('Mapa final'!$AA$26="Baja",'Mapa final'!$AC$26="Leve"),CONCATENATE("R3C",'Mapa final'!$Q$26),"")</f>
        <v/>
      </c>
      <c r="P38" s="51" t="str">
        <f>IF(AND('Mapa final'!$AA$21="Baja",'Mapa final'!$AC$21="Menor"),CONCATENATE("R3C",'Mapa final'!$Q$21),"")</f>
        <v/>
      </c>
      <c r="Q38" s="52" t="str">
        <f>IF(AND('Mapa final'!$AA$22="Baja",'Mapa final'!$AC$22="Menor"),CONCATENATE("R3C",'Mapa final'!$Q$22),"")</f>
        <v/>
      </c>
      <c r="R38" s="52" t="str">
        <f>IF(AND('Mapa final'!$AA$23="Baja",'Mapa final'!$AC$23="Menor"),CONCATENATE("R3C",'Mapa final'!$Q$23),"")</f>
        <v/>
      </c>
      <c r="S38" s="52" t="str">
        <f>IF(AND('Mapa final'!$AA$24="Baja",'Mapa final'!$AC$24="Menor"),CONCATENATE("R3C",'Mapa final'!$Q$24),"")</f>
        <v/>
      </c>
      <c r="T38" s="52" t="str">
        <f>IF(AND('Mapa final'!$AA$25="Baja",'Mapa final'!$AC$25="Menor"),CONCATENATE("R3C",'Mapa final'!$Q$25),"")</f>
        <v/>
      </c>
      <c r="U38" s="53" t="str">
        <f>IF(AND('Mapa final'!$AA$26="Baja",'Mapa final'!$AC$26="Menor"),CONCATENATE("R3C",'Mapa final'!$Q$26),"")</f>
        <v/>
      </c>
      <c r="V38" s="51" t="str">
        <f>IF(AND('Mapa final'!$AA$21="Baja",'Mapa final'!$AC$21="Moderado"),CONCATENATE("R3C",'Mapa final'!$Q$21),"")</f>
        <v/>
      </c>
      <c r="W38" s="52" t="str">
        <f>IF(AND('Mapa final'!$AA$22="Baja",'Mapa final'!$AC$22="Moderado"),CONCATENATE("R3C",'Mapa final'!$Q$22),"")</f>
        <v/>
      </c>
      <c r="X38" s="52" t="str">
        <f>IF(AND('Mapa final'!$AA$23="Baja",'Mapa final'!$AC$23="Moderado"),CONCATENATE("R3C",'Mapa final'!$Q$23),"")</f>
        <v/>
      </c>
      <c r="Y38" s="52" t="str">
        <f>IF(AND('Mapa final'!$AA$24="Baja",'Mapa final'!$AC$24="Moderado"),CONCATENATE("R3C",'Mapa final'!$Q$24),"")</f>
        <v/>
      </c>
      <c r="Z38" s="52" t="str">
        <f>IF(AND('Mapa final'!$AA$25="Baja",'Mapa final'!$AC$25="Moderado"),CONCATENATE("R3C",'Mapa final'!$Q$25),"")</f>
        <v/>
      </c>
      <c r="AA38" s="53" t="str">
        <f>IF(AND('Mapa final'!$AA$26="Baja",'Mapa final'!$AC$26="Moderado"),CONCATENATE("R3C",'Mapa final'!$Q$26),"")</f>
        <v/>
      </c>
      <c r="AB38" s="36" t="str">
        <f>IF(AND('Mapa final'!$AA$21="Baja",'Mapa final'!$AC$21="Mayor"),CONCATENATE("R3C",'Mapa final'!$Q$21),"")</f>
        <v/>
      </c>
      <c r="AC38" s="37" t="str">
        <f>IF(AND('Mapa final'!$AA$22="Baja",'Mapa final'!$AC$22="Mayor"),CONCATENATE("R3C",'Mapa final'!$Q$22),"")</f>
        <v/>
      </c>
      <c r="AD38" s="37" t="str">
        <f>IF(AND('Mapa final'!$AA$23="Baja",'Mapa final'!$AC$23="Mayor"),CONCATENATE("R3C",'Mapa final'!$Q$23),"")</f>
        <v/>
      </c>
      <c r="AE38" s="37" t="str">
        <f>IF(AND('Mapa final'!$AA$24="Baja",'Mapa final'!$AC$24="Mayor"),CONCATENATE("R3C",'Mapa final'!$Q$24),"")</f>
        <v/>
      </c>
      <c r="AF38" s="37" t="str">
        <f>IF(AND('Mapa final'!$AA$25="Baja",'Mapa final'!$AC$25="Mayor"),CONCATENATE("R3C",'Mapa final'!$Q$25),"")</f>
        <v/>
      </c>
      <c r="AG38" s="38" t="str">
        <f>IF(AND('Mapa final'!$AA$26="Baja",'Mapa final'!$AC$26="Mayor"),CONCATENATE("R3C",'Mapa final'!$Q$26),"")</f>
        <v/>
      </c>
      <c r="AH38" s="39" t="str">
        <f>IF(AND('Mapa final'!$AA$21="Baja",'Mapa final'!$AC$21="Catastrófico"),CONCATENATE("R3C",'Mapa final'!$Q$21),"")</f>
        <v/>
      </c>
      <c r="AI38" s="40" t="str">
        <f>IF(AND('Mapa final'!$AA$22="Baja",'Mapa final'!$AC$22="Catastrófico"),CONCATENATE("R3C",'Mapa final'!$Q$22),"")</f>
        <v/>
      </c>
      <c r="AJ38" s="40" t="str">
        <f>IF(AND('Mapa final'!$AA$23="Baja",'Mapa final'!$AC$23="Catastrófico"),CONCATENATE("R3C",'Mapa final'!$Q$23),"")</f>
        <v/>
      </c>
      <c r="AK38" s="40" t="str">
        <f>IF(AND('Mapa final'!$AA$24="Baja",'Mapa final'!$AC$24="Catastrófico"),CONCATENATE("R3C",'Mapa final'!$Q$24),"")</f>
        <v/>
      </c>
      <c r="AL38" s="40" t="str">
        <f>IF(AND('Mapa final'!$AA$25="Baja",'Mapa final'!$AC$25="Catastrófico"),CONCATENATE("R3C",'Mapa final'!$Q$25),"")</f>
        <v/>
      </c>
      <c r="AM38" s="41" t="str">
        <f>IF(AND('Mapa final'!$AA$26="Baja",'Mapa final'!$AC$26="Catastrófico"),CONCATENATE("R3C",'Mapa final'!$Q$26),"")</f>
        <v/>
      </c>
      <c r="AN38" s="67"/>
      <c r="AO38" s="444"/>
      <c r="AP38" s="445"/>
      <c r="AQ38" s="445"/>
      <c r="AR38" s="445"/>
      <c r="AS38" s="445"/>
      <c r="AT38" s="446"/>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372"/>
      <c r="C39" s="372"/>
      <c r="D39" s="373"/>
      <c r="E39" s="413"/>
      <c r="F39" s="414"/>
      <c r="G39" s="414"/>
      <c r="H39" s="414"/>
      <c r="I39" s="414"/>
      <c r="J39" s="60" t="str">
        <f>IF(AND('Mapa final'!$AA$27="Baja",'Mapa final'!$AC$27="Leve"),CONCATENATE("R4C",'Mapa final'!$Q$27),"")</f>
        <v/>
      </c>
      <c r="K39" s="61" t="str">
        <f>IF(AND('Mapa final'!$AA$28="Baja",'Mapa final'!$AC$28="Leve"),CONCATENATE("R4C",'Mapa final'!$Q$28),"")</f>
        <v/>
      </c>
      <c r="L39" s="61" t="str">
        <f>IF(AND('Mapa final'!$AA$29="Baja",'Mapa final'!$AC$29="Leve"),CONCATENATE("R4C",'Mapa final'!$Q$29),"")</f>
        <v/>
      </c>
      <c r="M39" s="61" t="str">
        <f>IF(AND('Mapa final'!$AA$30="Baja",'Mapa final'!$AC$30="Leve"),CONCATENATE("R4C",'Mapa final'!$Q$30),"")</f>
        <v/>
      </c>
      <c r="N39" s="61" t="str">
        <f>IF(AND('Mapa final'!$AA$31="Baja",'Mapa final'!$AC$31="Leve"),CONCATENATE("R4C",'Mapa final'!$Q$31),"")</f>
        <v/>
      </c>
      <c r="O39" s="62" t="str">
        <f>IF(AND('Mapa final'!$AA$32="Baja",'Mapa final'!$AC$32="Leve"),CONCATENATE("R4C",'Mapa final'!$Q$32),"")</f>
        <v/>
      </c>
      <c r="P39" s="51" t="str">
        <f>IF(AND('Mapa final'!$AA$27="Baja",'Mapa final'!$AC$27="Menor"),CONCATENATE("R4C",'Mapa final'!$Q$27),"")</f>
        <v/>
      </c>
      <c r="Q39" s="52" t="str">
        <f>IF(AND('Mapa final'!$AA$28="Baja",'Mapa final'!$AC$28="Menor"),CONCATENATE("R4C",'Mapa final'!$Q$28),"")</f>
        <v/>
      </c>
      <c r="R39" s="52" t="str">
        <f>IF(AND('Mapa final'!$AA$29="Baja",'Mapa final'!$AC$29="Menor"),CONCATENATE("R4C",'Mapa final'!$Q$29),"")</f>
        <v/>
      </c>
      <c r="S39" s="52" t="str">
        <f>IF(AND('Mapa final'!$AA$30="Baja",'Mapa final'!$AC$30="Menor"),CONCATENATE("R4C",'Mapa final'!$Q$30),"")</f>
        <v/>
      </c>
      <c r="T39" s="52" t="str">
        <f>IF(AND('Mapa final'!$AA$31="Baja",'Mapa final'!$AC$31="Menor"),CONCATENATE("R4C",'Mapa final'!$Q$31),"")</f>
        <v/>
      </c>
      <c r="U39" s="53" t="str">
        <f>IF(AND('Mapa final'!$AA$32="Baja",'Mapa final'!$AC$32="Menor"),CONCATENATE("R4C",'Mapa final'!$Q$32),"")</f>
        <v/>
      </c>
      <c r="V39" s="51" t="str">
        <f>IF(AND('Mapa final'!$AA$27="Baja",'Mapa final'!$AC$27="Moderado"),CONCATENATE("R4C",'Mapa final'!$Q$27),"")</f>
        <v/>
      </c>
      <c r="W39" s="52" t="str">
        <f>IF(AND('Mapa final'!$AA$28="Baja",'Mapa final'!$AC$28="Moderado"),CONCATENATE("R4C",'Mapa final'!$Q$28),"")</f>
        <v/>
      </c>
      <c r="X39" s="52" t="str">
        <f>IF(AND('Mapa final'!$AA$29="Baja",'Mapa final'!$AC$29="Moderado"),CONCATENATE("R4C",'Mapa final'!$Q$29),"")</f>
        <v/>
      </c>
      <c r="Y39" s="52" t="str">
        <f>IF(AND('Mapa final'!$AA$30="Baja",'Mapa final'!$AC$30="Moderado"),CONCATENATE("R4C",'Mapa final'!$Q$30),"")</f>
        <v/>
      </c>
      <c r="Z39" s="52" t="str">
        <f>IF(AND('Mapa final'!$AA$31="Baja",'Mapa final'!$AC$31="Moderado"),CONCATENATE("R4C",'Mapa final'!$Q$31),"")</f>
        <v/>
      </c>
      <c r="AA39" s="53" t="str">
        <f>IF(AND('Mapa final'!$AA$32="Baja",'Mapa final'!$AC$32="Moderado"),CONCATENATE("R4C",'Mapa final'!$Q$32),"")</f>
        <v/>
      </c>
      <c r="AB39" s="36" t="str">
        <f>IF(AND('Mapa final'!$AA$27="Baja",'Mapa final'!$AC$27="Mayor"),CONCATENATE("R4C",'Mapa final'!$Q$27),"")</f>
        <v/>
      </c>
      <c r="AC39" s="37" t="str">
        <f>IF(AND('Mapa final'!$AA$28="Baja",'Mapa final'!$AC$28="Mayor"),CONCATENATE("R4C",'Mapa final'!$Q$28),"")</f>
        <v/>
      </c>
      <c r="AD39" s="37" t="str">
        <f>IF(AND('Mapa final'!$AA$29="Baja",'Mapa final'!$AC$29="Mayor"),CONCATENATE("R4C",'Mapa final'!$Q$29),"")</f>
        <v/>
      </c>
      <c r="AE39" s="37" t="str">
        <f>IF(AND('Mapa final'!$AA$30="Baja",'Mapa final'!$AC$30="Mayor"),CONCATENATE("R4C",'Mapa final'!$Q$30),"")</f>
        <v/>
      </c>
      <c r="AF39" s="37" t="str">
        <f>IF(AND('Mapa final'!$AA$31="Baja",'Mapa final'!$AC$31="Mayor"),CONCATENATE("R4C",'Mapa final'!$Q$31),"")</f>
        <v/>
      </c>
      <c r="AG39" s="38" t="str">
        <f>IF(AND('Mapa final'!$AA$32="Baja",'Mapa final'!$AC$32="Mayor"),CONCATENATE("R4C",'Mapa final'!$Q$32),"")</f>
        <v/>
      </c>
      <c r="AH39" s="39" t="str">
        <f>IF(AND('Mapa final'!$AA$27="Baja",'Mapa final'!$AC$27="Catastrófico"),CONCATENATE("R4C",'Mapa final'!$Q$27),"")</f>
        <v/>
      </c>
      <c r="AI39" s="40" t="str">
        <f>IF(AND('Mapa final'!$AA$28="Baja",'Mapa final'!$AC$28="Catastrófico"),CONCATENATE("R4C",'Mapa final'!$Q$28),"")</f>
        <v/>
      </c>
      <c r="AJ39" s="40" t="str">
        <f>IF(AND('Mapa final'!$AA$29="Baja",'Mapa final'!$AC$29="Catastrófico"),CONCATENATE("R4C",'Mapa final'!$Q$29),"")</f>
        <v/>
      </c>
      <c r="AK39" s="40" t="str">
        <f>IF(AND('Mapa final'!$AA$30="Baja",'Mapa final'!$AC$30="Catastrófico"),CONCATENATE("R4C",'Mapa final'!$Q$30),"")</f>
        <v/>
      </c>
      <c r="AL39" s="40" t="str">
        <f>IF(AND('Mapa final'!$AA$31="Baja",'Mapa final'!$AC$31="Catastrófico"),CONCATENATE("R4C",'Mapa final'!$Q$31),"")</f>
        <v/>
      </c>
      <c r="AM39" s="41" t="str">
        <f>IF(AND('Mapa final'!$AA$32="Baja",'Mapa final'!$AC$32="Catastrófico"),CONCATENATE("R4C",'Mapa final'!$Q$32),"")</f>
        <v/>
      </c>
      <c r="AN39" s="67"/>
      <c r="AO39" s="444"/>
      <c r="AP39" s="445"/>
      <c r="AQ39" s="445"/>
      <c r="AR39" s="445"/>
      <c r="AS39" s="445"/>
      <c r="AT39" s="446"/>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372"/>
      <c r="C40" s="372"/>
      <c r="D40" s="373"/>
      <c r="E40" s="413"/>
      <c r="F40" s="414"/>
      <c r="G40" s="414"/>
      <c r="H40" s="414"/>
      <c r="I40" s="414"/>
      <c r="J40" s="60" t="str">
        <f>IF(AND('Mapa final'!$AA$33="Baja",'Mapa final'!$AC$33="Leve"),CONCATENATE("R5C",'Mapa final'!$Q$33),"")</f>
        <v/>
      </c>
      <c r="K40" s="61" t="str">
        <f>IF(AND('Mapa final'!$AA$34="Baja",'Mapa final'!$AC$34="Leve"),CONCATENATE("R5C",'Mapa final'!$Q$34),"")</f>
        <v/>
      </c>
      <c r="L40" s="61" t="str">
        <f>IF(AND('Mapa final'!$AA$35="Baja",'Mapa final'!$AC$35="Leve"),CONCATENATE("R5C",'Mapa final'!$Q$35),"")</f>
        <v/>
      </c>
      <c r="M40" s="61" t="str">
        <f>IF(AND('Mapa final'!$AA$36="Baja",'Mapa final'!$AC$36="Leve"),CONCATENATE("R5C",'Mapa final'!$Q$36),"")</f>
        <v/>
      </c>
      <c r="N40" s="61" t="str">
        <f>IF(AND('Mapa final'!$AA$37="Baja",'Mapa final'!$AC$37="Leve"),CONCATENATE("R5C",'Mapa final'!$Q$37),"")</f>
        <v/>
      </c>
      <c r="O40" s="62" t="str">
        <f>IF(AND('Mapa final'!$AA$38="Baja",'Mapa final'!$AC$38="Leve"),CONCATENATE("R5C",'Mapa final'!$Q$38),"")</f>
        <v/>
      </c>
      <c r="P40" s="51" t="str">
        <f>IF(AND('Mapa final'!$AA$33="Baja",'Mapa final'!$AC$33="Menor"),CONCATENATE("R5C",'Mapa final'!$Q$33),"")</f>
        <v/>
      </c>
      <c r="Q40" s="52" t="str">
        <f>IF(AND('Mapa final'!$AA$34="Baja",'Mapa final'!$AC$34="Menor"),CONCATENATE("R5C",'Mapa final'!$Q$34),"")</f>
        <v/>
      </c>
      <c r="R40" s="52" t="str">
        <f>IF(AND('Mapa final'!$AA$35="Baja",'Mapa final'!$AC$35="Menor"),CONCATENATE("R5C",'Mapa final'!$Q$35),"")</f>
        <v/>
      </c>
      <c r="S40" s="52" t="str">
        <f>IF(AND('Mapa final'!$AA$36="Baja",'Mapa final'!$AC$36="Menor"),CONCATENATE("R5C",'Mapa final'!$Q$36),"")</f>
        <v/>
      </c>
      <c r="T40" s="52" t="str">
        <f>IF(AND('Mapa final'!$AA$37="Baja",'Mapa final'!$AC$37="Menor"),CONCATENATE("R5C",'Mapa final'!$Q$37),"")</f>
        <v/>
      </c>
      <c r="U40" s="53" t="str">
        <f>IF(AND('Mapa final'!$AA$38="Baja",'Mapa final'!$AC$38="Menor"),CONCATENATE("R5C",'Mapa final'!$Q$38),"")</f>
        <v/>
      </c>
      <c r="V40" s="51" t="str">
        <f>IF(AND('Mapa final'!$AA$33="Baja",'Mapa final'!$AC$33="Moderado"),CONCATENATE("R5C",'Mapa final'!$Q$33),"")</f>
        <v/>
      </c>
      <c r="W40" s="52" t="str">
        <f>IF(AND('Mapa final'!$AA$34="Baja",'Mapa final'!$AC$34="Moderado"),CONCATENATE("R5C",'Mapa final'!$Q$34),"")</f>
        <v/>
      </c>
      <c r="X40" s="52" t="str">
        <f>IF(AND('Mapa final'!$AA$35="Baja",'Mapa final'!$AC$35="Moderado"),CONCATENATE("R5C",'Mapa final'!$Q$35),"")</f>
        <v/>
      </c>
      <c r="Y40" s="52" t="str">
        <f>IF(AND('Mapa final'!$AA$36="Baja",'Mapa final'!$AC$36="Moderado"),CONCATENATE("R5C",'Mapa final'!$Q$36),"")</f>
        <v/>
      </c>
      <c r="Z40" s="52" t="str">
        <f>IF(AND('Mapa final'!$AA$37="Baja",'Mapa final'!$AC$37="Moderado"),CONCATENATE("R5C",'Mapa final'!$Q$37),"")</f>
        <v/>
      </c>
      <c r="AA40" s="53" t="str">
        <f>IF(AND('Mapa final'!$AA$38="Baja",'Mapa final'!$AC$38="Moderado"),CONCATENATE("R5C",'Mapa final'!$Q$38),"")</f>
        <v/>
      </c>
      <c r="AB40" s="36" t="str">
        <f>IF(AND('Mapa final'!$AA$33="Baja",'Mapa final'!$AC$33="Mayor"),CONCATENATE("R5C",'Mapa final'!$Q$33),"")</f>
        <v/>
      </c>
      <c r="AC40" s="37" t="str">
        <f>IF(AND('Mapa final'!$AA$34="Baja",'Mapa final'!$AC$34="Mayor"),CONCATENATE("R5C",'Mapa final'!$Q$34),"")</f>
        <v/>
      </c>
      <c r="AD40" s="37" t="str">
        <f>IF(AND('Mapa final'!$AA$35="Baja",'Mapa final'!$AC$35="Mayor"),CONCATENATE("R5C",'Mapa final'!$Q$35),"")</f>
        <v/>
      </c>
      <c r="AE40" s="37" t="str">
        <f>IF(AND('Mapa final'!$AA$36="Baja",'Mapa final'!$AC$36="Mayor"),CONCATENATE("R5C",'Mapa final'!$Q$36),"")</f>
        <v/>
      </c>
      <c r="AF40" s="37" t="str">
        <f>IF(AND('Mapa final'!$AA$37="Baja",'Mapa final'!$AC$37="Mayor"),CONCATENATE("R5C",'Mapa final'!$Q$37),"")</f>
        <v/>
      </c>
      <c r="AG40" s="38" t="str">
        <f>IF(AND('Mapa final'!$AA$38="Baja",'Mapa final'!$AC$38="Mayor"),CONCATENATE("R5C",'Mapa final'!$Q$38),"")</f>
        <v/>
      </c>
      <c r="AH40" s="39" t="str">
        <f>IF(AND('Mapa final'!$AA$33="Baja",'Mapa final'!$AC$33="Catastrófico"),CONCATENATE("R5C",'Mapa final'!$Q$33),"")</f>
        <v/>
      </c>
      <c r="AI40" s="40" t="str">
        <f>IF(AND('Mapa final'!$AA$34="Baja",'Mapa final'!$AC$34="Catastrófico"),CONCATENATE("R5C",'Mapa final'!$Q$34),"")</f>
        <v/>
      </c>
      <c r="AJ40" s="40" t="str">
        <f>IF(AND('Mapa final'!$AA$35="Baja",'Mapa final'!$AC$35="Catastrófico"),CONCATENATE("R5C",'Mapa final'!$Q$35),"")</f>
        <v/>
      </c>
      <c r="AK40" s="40" t="str">
        <f>IF(AND('Mapa final'!$AA$36="Baja",'Mapa final'!$AC$36="Catastrófico"),CONCATENATE("R5C",'Mapa final'!$Q$36),"")</f>
        <v/>
      </c>
      <c r="AL40" s="40" t="str">
        <f>IF(AND('Mapa final'!$AA$37="Baja",'Mapa final'!$AC$37="Catastrófico"),CONCATENATE("R5C",'Mapa final'!$Q$37),"")</f>
        <v/>
      </c>
      <c r="AM40" s="41" t="str">
        <f>IF(AND('Mapa final'!$AA$38="Baja",'Mapa final'!$AC$38="Catastrófico"),CONCATENATE("R5C",'Mapa final'!$Q$38),"")</f>
        <v/>
      </c>
      <c r="AN40" s="67"/>
      <c r="AO40" s="444"/>
      <c r="AP40" s="445"/>
      <c r="AQ40" s="445"/>
      <c r="AR40" s="445"/>
      <c r="AS40" s="445"/>
      <c r="AT40" s="446"/>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372"/>
      <c r="C41" s="372"/>
      <c r="D41" s="373"/>
      <c r="E41" s="413"/>
      <c r="F41" s="414"/>
      <c r="G41" s="414"/>
      <c r="H41" s="414"/>
      <c r="I41" s="414"/>
      <c r="J41" s="60" t="str">
        <f>IF(AND('Mapa final'!$AA$39="Baja",'Mapa final'!$AC$39="Leve"),CONCATENATE("R6C",'Mapa final'!$Q$39),"")</f>
        <v/>
      </c>
      <c r="K41" s="61" t="str">
        <f>IF(AND('Mapa final'!$AA$40="Baja",'Mapa final'!$AC$40="Leve"),CONCATENATE("R6C",'Mapa final'!$Q$40),"")</f>
        <v/>
      </c>
      <c r="L41" s="61" t="str">
        <f>IF(AND('Mapa final'!$AA$41="Baja",'Mapa final'!$AC$41="Leve"),CONCATENATE("R6C",'Mapa final'!$Q$41),"")</f>
        <v/>
      </c>
      <c r="M41" s="61" t="str">
        <f>IF(AND('Mapa final'!$AA$42="Baja",'Mapa final'!$AC$42="Leve"),CONCATENATE("R6C",'Mapa final'!$Q$42),"")</f>
        <v/>
      </c>
      <c r="N41" s="61" t="str">
        <f>IF(AND('Mapa final'!$AA$43="Baja",'Mapa final'!$AC$43="Leve"),CONCATENATE("R6C",'Mapa final'!$Q$43),"")</f>
        <v/>
      </c>
      <c r="O41" s="62" t="str">
        <f>IF(AND('Mapa final'!$AA$44="Baja",'Mapa final'!$AC$44="Leve"),CONCATENATE("R6C",'Mapa final'!$Q$44),"")</f>
        <v/>
      </c>
      <c r="P41" s="51" t="str">
        <f>IF(AND('Mapa final'!$AA$39="Baja",'Mapa final'!$AC$39="Menor"),CONCATENATE("R6C",'Mapa final'!$Q$39),"")</f>
        <v/>
      </c>
      <c r="Q41" s="52" t="str">
        <f>IF(AND('Mapa final'!$AA$40="Baja",'Mapa final'!$AC$40="Menor"),CONCATENATE("R6C",'Mapa final'!$Q$40),"")</f>
        <v/>
      </c>
      <c r="R41" s="52" t="str">
        <f>IF(AND('Mapa final'!$AA$41="Baja",'Mapa final'!$AC$41="Menor"),CONCATENATE("R6C",'Mapa final'!$Q$41),"")</f>
        <v/>
      </c>
      <c r="S41" s="52" t="str">
        <f>IF(AND('Mapa final'!$AA$42="Baja",'Mapa final'!$AC$42="Menor"),CONCATENATE("R6C",'Mapa final'!$Q$42),"")</f>
        <v/>
      </c>
      <c r="T41" s="52" t="str">
        <f>IF(AND('Mapa final'!$AA$43="Baja",'Mapa final'!$AC$43="Menor"),CONCATENATE("R6C",'Mapa final'!$Q$43),"")</f>
        <v/>
      </c>
      <c r="U41" s="53" t="str">
        <f>IF(AND('Mapa final'!$AA$44="Baja",'Mapa final'!$AC$44="Menor"),CONCATENATE("R6C",'Mapa final'!$Q$44),"")</f>
        <v/>
      </c>
      <c r="V41" s="51" t="str">
        <f>IF(AND('Mapa final'!$AA$39="Baja",'Mapa final'!$AC$39="Moderado"),CONCATENATE("R6C",'Mapa final'!$Q$39),"")</f>
        <v/>
      </c>
      <c r="W41" s="52" t="str">
        <f>IF(AND('Mapa final'!$AA$40="Baja",'Mapa final'!$AC$40="Moderado"),CONCATENATE("R6C",'Mapa final'!$Q$40),"")</f>
        <v/>
      </c>
      <c r="X41" s="52" t="str">
        <f>IF(AND('Mapa final'!$AA$41="Baja",'Mapa final'!$AC$41="Moderado"),CONCATENATE("R6C",'Mapa final'!$Q$41),"")</f>
        <v/>
      </c>
      <c r="Y41" s="52" t="str">
        <f>IF(AND('Mapa final'!$AA$42="Baja",'Mapa final'!$AC$42="Moderado"),CONCATENATE("R6C",'Mapa final'!$Q$42),"")</f>
        <v/>
      </c>
      <c r="Z41" s="52" t="str">
        <f>IF(AND('Mapa final'!$AA$43="Baja",'Mapa final'!$AC$43="Moderado"),CONCATENATE("R6C",'Mapa final'!$Q$43),"")</f>
        <v/>
      </c>
      <c r="AA41" s="53" t="str">
        <f>IF(AND('Mapa final'!$AA$44="Baja",'Mapa final'!$AC$44="Moderado"),CONCATENATE("R6C",'Mapa final'!$Q$44),"")</f>
        <v/>
      </c>
      <c r="AB41" s="36" t="str">
        <f>IF(AND('Mapa final'!$AA$39="Baja",'Mapa final'!$AC$39="Mayor"),CONCATENATE("R6C",'Mapa final'!$Q$39),"")</f>
        <v/>
      </c>
      <c r="AC41" s="37" t="str">
        <f>IF(AND('Mapa final'!$AA$40="Baja",'Mapa final'!$AC$40="Mayor"),CONCATENATE("R6C",'Mapa final'!$Q$40),"")</f>
        <v/>
      </c>
      <c r="AD41" s="37" t="str">
        <f>IF(AND('Mapa final'!$AA$41="Baja",'Mapa final'!$AC$41="Mayor"),CONCATENATE("R6C",'Mapa final'!$Q$41),"")</f>
        <v/>
      </c>
      <c r="AE41" s="37" t="str">
        <f>IF(AND('Mapa final'!$AA$42="Baja",'Mapa final'!$AC$42="Mayor"),CONCATENATE("R6C",'Mapa final'!$Q$42),"")</f>
        <v/>
      </c>
      <c r="AF41" s="37" t="str">
        <f>IF(AND('Mapa final'!$AA$43="Baja",'Mapa final'!$AC$43="Mayor"),CONCATENATE("R6C",'Mapa final'!$Q$43),"")</f>
        <v/>
      </c>
      <c r="AG41" s="38" t="str">
        <f>IF(AND('Mapa final'!$AA$44="Baja",'Mapa final'!$AC$44="Mayor"),CONCATENATE("R6C",'Mapa final'!$Q$44),"")</f>
        <v/>
      </c>
      <c r="AH41" s="39" t="str">
        <f>IF(AND('Mapa final'!$AA$39="Baja",'Mapa final'!$AC$39="Catastrófico"),CONCATENATE("R6C",'Mapa final'!$Q$39),"")</f>
        <v/>
      </c>
      <c r="AI41" s="40" t="str">
        <f>IF(AND('Mapa final'!$AA$40="Baja",'Mapa final'!$AC$40="Catastrófico"),CONCATENATE("R6C",'Mapa final'!$Q$40),"")</f>
        <v/>
      </c>
      <c r="AJ41" s="40" t="str">
        <f>IF(AND('Mapa final'!$AA$41="Baja",'Mapa final'!$AC$41="Catastrófico"),CONCATENATE("R6C",'Mapa final'!$Q$41),"")</f>
        <v/>
      </c>
      <c r="AK41" s="40" t="str">
        <f>IF(AND('Mapa final'!$AA$42="Baja",'Mapa final'!$AC$42="Catastrófico"),CONCATENATE("R6C",'Mapa final'!$Q$42),"")</f>
        <v/>
      </c>
      <c r="AL41" s="40" t="str">
        <f>IF(AND('Mapa final'!$AA$43="Baja",'Mapa final'!$AC$43="Catastrófico"),CONCATENATE("R6C",'Mapa final'!$Q$43),"")</f>
        <v/>
      </c>
      <c r="AM41" s="41" t="str">
        <f>IF(AND('Mapa final'!$AA$44="Baja",'Mapa final'!$AC$44="Catastrófico"),CONCATENATE("R6C",'Mapa final'!$Q$44),"")</f>
        <v/>
      </c>
      <c r="AN41" s="67"/>
      <c r="AO41" s="444"/>
      <c r="AP41" s="445"/>
      <c r="AQ41" s="445"/>
      <c r="AR41" s="445"/>
      <c r="AS41" s="445"/>
      <c r="AT41" s="446"/>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372"/>
      <c r="C42" s="372"/>
      <c r="D42" s="373"/>
      <c r="E42" s="413"/>
      <c r="F42" s="414"/>
      <c r="G42" s="414"/>
      <c r="H42" s="414"/>
      <c r="I42" s="414"/>
      <c r="J42" s="60" t="str">
        <f>IF(AND('Mapa final'!$AA$45="Baja",'Mapa final'!$AC$45="Leve"),CONCATENATE("R7C",'Mapa final'!$Q$45),"")</f>
        <v/>
      </c>
      <c r="K42" s="61" t="str">
        <f>IF(AND('Mapa final'!$AA$46="Baja",'Mapa final'!$AC$46="Leve"),CONCATENATE("R7C",'Mapa final'!$Q$46),"")</f>
        <v/>
      </c>
      <c r="L42" s="61" t="str">
        <f>IF(AND('Mapa final'!$AA$47="Baja",'Mapa final'!$AC$47="Leve"),CONCATENATE("R7C",'Mapa final'!$Q$47),"")</f>
        <v/>
      </c>
      <c r="M42" s="61" t="str">
        <f>IF(AND('Mapa final'!$AA$48="Baja",'Mapa final'!$AC$48="Leve"),CONCATENATE("R7C",'Mapa final'!$Q$48),"")</f>
        <v/>
      </c>
      <c r="N42" s="61" t="str">
        <f>IF(AND('Mapa final'!$AA$49="Baja",'Mapa final'!$AC$49="Leve"),CONCATENATE("R7C",'Mapa final'!$Q$49),"")</f>
        <v/>
      </c>
      <c r="O42" s="62" t="str">
        <f>IF(AND('Mapa final'!$AA$50="Baja",'Mapa final'!$AC$50="Leve"),CONCATENATE("R7C",'Mapa final'!$Q$50),"")</f>
        <v/>
      </c>
      <c r="P42" s="51" t="str">
        <f>IF(AND('Mapa final'!$AA$45="Baja",'Mapa final'!$AC$45="Menor"),CONCATENATE("R7C",'Mapa final'!$Q$45),"")</f>
        <v/>
      </c>
      <c r="Q42" s="52" t="str">
        <f>IF(AND('Mapa final'!$AA$46="Baja",'Mapa final'!$AC$46="Menor"),CONCATENATE("R7C",'Mapa final'!$Q$46),"")</f>
        <v/>
      </c>
      <c r="R42" s="52" t="str">
        <f>IF(AND('Mapa final'!$AA$47="Baja",'Mapa final'!$AC$47="Menor"),CONCATENATE("R7C",'Mapa final'!$Q$47),"")</f>
        <v/>
      </c>
      <c r="S42" s="52" t="str">
        <f>IF(AND('Mapa final'!$AA$48="Baja",'Mapa final'!$AC$48="Menor"),CONCATENATE("R7C",'Mapa final'!$Q$48),"")</f>
        <v/>
      </c>
      <c r="T42" s="52" t="str">
        <f>IF(AND('Mapa final'!$AA$49="Baja",'Mapa final'!$AC$49="Menor"),CONCATENATE("R7C",'Mapa final'!$Q$49),"")</f>
        <v/>
      </c>
      <c r="U42" s="53" t="str">
        <f>IF(AND('Mapa final'!$AA$50="Baja",'Mapa final'!$AC$50="Menor"),CONCATENATE("R7C",'Mapa final'!$Q$50),"")</f>
        <v/>
      </c>
      <c r="V42" s="51" t="str">
        <f>IF(AND('Mapa final'!$AA$45="Baja",'Mapa final'!$AC$45="Moderado"),CONCATENATE("R7C",'Mapa final'!$Q$45),"")</f>
        <v/>
      </c>
      <c r="W42" s="52" t="str">
        <f>IF(AND('Mapa final'!$AA$46="Baja",'Mapa final'!$AC$46="Moderado"),CONCATENATE("R7C",'Mapa final'!$Q$46),"")</f>
        <v/>
      </c>
      <c r="X42" s="52" t="str">
        <f>IF(AND('Mapa final'!$AA$47="Baja",'Mapa final'!$AC$47="Moderado"),CONCATENATE("R7C",'Mapa final'!$Q$47),"")</f>
        <v/>
      </c>
      <c r="Y42" s="52" t="str">
        <f>IF(AND('Mapa final'!$AA$48="Baja",'Mapa final'!$AC$48="Moderado"),CONCATENATE("R7C",'Mapa final'!$Q$48),"")</f>
        <v/>
      </c>
      <c r="Z42" s="52" t="str">
        <f>IF(AND('Mapa final'!$AA$49="Baja",'Mapa final'!$AC$49="Moderado"),CONCATENATE("R7C",'Mapa final'!$Q$49),"")</f>
        <v/>
      </c>
      <c r="AA42" s="53" t="str">
        <f>IF(AND('Mapa final'!$AA$50="Baja",'Mapa final'!$AC$50="Moderado"),CONCATENATE("R7C",'Mapa final'!$Q$50),"")</f>
        <v/>
      </c>
      <c r="AB42" s="36" t="str">
        <f>IF(AND('Mapa final'!$AA$45="Baja",'Mapa final'!$AC$45="Mayor"),CONCATENATE("R7C",'Mapa final'!$Q$45),"")</f>
        <v/>
      </c>
      <c r="AC42" s="37" t="str">
        <f>IF(AND('Mapa final'!$AA$46="Baja",'Mapa final'!$AC$46="Mayor"),CONCATENATE("R7C",'Mapa final'!$Q$46),"")</f>
        <v/>
      </c>
      <c r="AD42" s="37" t="str">
        <f>IF(AND('Mapa final'!$AA$47="Baja",'Mapa final'!$AC$47="Mayor"),CONCATENATE("R7C",'Mapa final'!$Q$47),"")</f>
        <v/>
      </c>
      <c r="AE42" s="37" t="str">
        <f>IF(AND('Mapa final'!$AA$48="Baja",'Mapa final'!$AC$48="Mayor"),CONCATENATE("R7C",'Mapa final'!$Q$48),"")</f>
        <v/>
      </c>
      <c r="AF42" s="37" t="str">
        <f>IF(AND('Mapa final'!$AA$49="Baja",'Mapa final'!$AC$49="Mayor"),CONCATENATE("R7C",'Mapa final'!$Q$49),"")</f>
        <v/>
      </c>
      <c r="AG42" s="38" t="str">
        <f>IF(AND('Mapa final'!$AA$50="Baja",'Mapa final'!$AC$50="Mayor"),CONCATENATE("R7C",'Mapa final'!$Q$50),"")</f>
        <v/>
      </c>
      <c r="AH42" s="39" t="str">
        <f>IF(AND('Mapa final'!$AA$45="Baja",'Mapa final'!$AC$45="Catastrófico"),CONCATENATE("R7C",'Mapa final'!$Q$45),"")</f>
        <v/>
      </c>
      <c r="AI42" s="40" t="str">
        <f>IF(AND('Mapa final'!$AA$46="Baja",'Mapa final'!$AC$46="Catastrófico"),CONCATENATE("R7C",'Mapa final'!$Q$46),"")</f>
        <v/>
      </c>
      <c r="AJ42" s="40" t="str">
        <f>IF(AND('Mapa final'!$AA$47="Baja",'Mapa final'!$AC$47="Catastrófico"),CONCATENATE("R7C",'Mapa final'!$Q$47),"")</f>
        <v/>
      </c>
      <c r="AK42" s="40" t="str">
        <f>IF(AND('Mapa final'!$AA$48="Baja",'Mapa final'!$AC$48="Catastrófico"),CONCATENATE("R7C",'Mapa final'!$Q$48),"")</f>
        <v/>
      </c>
      <c r="AL42" s="40" t="str">
        <f>IF(AND('Mapa final'!$AA$49="Baja",'Mapa final'!$AC$49="Catastrófico"),CONCATENATE("R7C",'Mapa final'!$Q$49),"")</f>
        <v/>
      </c>
      <c r="AM42" s="41" t="str">
        <f>IF(AND('Mapa final'!$AA$50="Baja",'Mapa final'!$AC$50="Catastrófico"),CONCATENATE("R7C",'Mapa final'!$Q$50),"")</f>
        <v/>
      </c>
      <c r="AN42" s="67"/>
      <c r="AO42" s="444"/>
      <c r="AP42" s="445"/>
      <c r="AQ42" s="445"/>
      <c r="AR42" s="445"/>
      <c r="AS42" s="445"/>
      <c r="AT42" s="446"/>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372"/>
      <c r="C43" s="372"/>
      <c r="D43" s="373"/>
      <c r="E43" s="413"/>
      <c r="F43" s="414"/>
      <c r="G43" s="414"/>
      <c r="H43" s="414"/>
      <c r="I43" s="414"/>
      <c r="J43" s="60" t="str">
        <f>IF(AND('Mapa final'!$AA$51="Baja",'Mapa final'!$AC$51="Leve"),CONCATENATE("R8C",'Mapa final'!$Q$51),"")</f>
        <v/>
      </c>
      <c r="K43" s="61" t="str">
        <f>IF(AND('Mapa final'!$AA$52="Baja",'Mapa final'!$AC$52="Leve"),CONCATENATE("R8C",'Mapa final'!$Q$52),"")</f>
        <v/>
      </c>
      <c r="L43" s="61" t="str">
        <f>IF(AND('Mapa final'!$AA$53="Baja",'Mapa final'!$AC$53="Leve"),CONCATENATE("R8C",'Mapa final'!$Q$53),"")</f>
        <v/>
      </c>
      <c r="M43" s="61" t="str">
        <f>IF(AND('Mapa final'!$AA$54="Baja",'Mapa final'!$AC$54="Leve"),CONCATENATE("R8C",'Mapa final'!$Q$54),"")</f>
        <v/>
      </c>
      <c r="N43" s="61" t="str">
        <f>IF(AND('Mapa final'!$AA$55="Baja",'Mapa final'!$AC$55="Leve"),CONCATENATE("R8C",'Mapa final'!$Q$55),"")</f>
        <v/>
      </c>
      <c r="O43" s="62" t="str">
        <f>IF(AND('Mapa final'!$AA$56="Baja",'Mapa final'!$AC$56="Leve"),CONCATENATE("R8C",'Mapa final'!$Q$56),"")</f>
        <v/>
      </c>
      <c r="P43" s="51" t="str">
        <f>IF(AND('Mapa final'!$AA$51="Baja",'Mapa final'!$AC$51="Menor"),CONCATENATE("R8C",'Mapa final'!$Q$51),"")</f>
        <v/>
      </c>
      <c r="Q43" s="52" t="str">
        <f>IF(AND('Mapa final'!$AA$52="Baja",'Mapa final'!$AC$52="Menor"),CONCATENATE("R8C",'Mapa final'!$Q$52),"")</f>
        <v/>
      </c>
      <c r="R43" s="52" t="str">
        <f>IF(AND('Mapa final'!$AA$53="Baja",'Mapa final'!$AC$53="Menor"),CONCATENATE("R8C",'Mapa final'!$Q$53),"")</f>
        <v/>
      </c>
      <c r="S43" s="52" t="str">
        <f>IF(AND('Mapa final'!$AA$54="Baja",'Mapa final'!$AC$54="Menor"),CONCATENATE("R8C",'Mapa final'!$Q$54),"")</f>
        <v/>
      </c>
      <c r="T43" s="52" t="str">
        <f>IF(AND('Mapa final'!$AA$55="Baja",'Mapa final'!$AC$55="Menor"),CONCATENATE("R8C",'Mapa final'!$Q$55),"")</f>
        <v/>
      </c>
      <c r="U43" s="53" t="str">
        <f>IF(AND('Mapa final'!$AA$56="Baja",'Mapa final'!$AC$56="Menor"),CONCATENATE("R8C",'Mapa final'!$Q$56),"")</f>
        <v/>
      </c>
      <c r="V43" s="51" t="str">
        <f>IF(AND('Mapa final'!$AA$51="Baja",'Mapa final'!$AC$51="Moderado"),CONCATENATE("R8C",'Mapa final'!$Q$51),"")</f>
        <v/>
      </c>
      <c r="W43" s="52" t="str">
        <f>IF(AND('Mapa final'!$AA$52="Baja",'Mapa final'!$AC$52="Moderado"),CONCATENATE("R8C",'Mapa final'!$Q$52),"")</f>
        <v/>
      </c>
      <c r="X43" s="52" t="str">
        <f>IF(AND('Mapa final'!$AA$53="Baja",'Mapa final'!$AC$53="Moderado"),CONCATENATE("R8C",'Mapa final'!$Q$53),"")</f>
        <v/>
      </c>
      <c r="Y43" s="52" t="str">
        <f>IF(AND('Mapa final'!$AA$54="Baja",'Mapa final'!$AC$54="Moderado"),CONCATENATE("R8C",'Mapa final'!$Q$54),"")</f>
        <v/>
      </c>
      <c r="Z43" s="52" t="str">
        <f>IF(AND('Mapa final'!$AA$55="Baja",'Mapa final'!$AC$55="Moderado"),CONCATENATE("R8C",'Mapa final'!$Q$55),"")</f>
        <v/>
      </c>
      <c r="AA43" s="53" t="str">
        <f>IF(AND('Mapa final'!$AA$56="Baja",'Mapa final'!$AC$56="Moderado"),CONCATENATE("R8C",'Mapa final'!$Q$56),"")</f>
        <v/>
      </c>
      <c r="AB43" s="36" t="str">
        <f>IF(AND('Mapa final'!$AA$51="Baja",'Mapa final'!$AC$51="Mayor"),CONCATENATE("R8C",'Mapa final'!$Q$51),"")</f>
        <v/>
      </c>
      <c r="AC43" s="37" t="str">
        <f>IF(AND('Mapa final'!$AA$52="Baja",'Mapa final'!$AC$52="Mayor"),CONCATENATE("R8C",'Mapa final'!$Q$52),"")</f>
        <v/>
      </c>
      <c r="AD43" s="37" t="str">
        <f>IF(AND('Mapa final'!$AA$53="Baja",'Mapa final'!$AC$53="Mayor"),CONCATENATE("R8C",'Mapa final'!$Q$53),"")</f>
        <v/>
      </c>
      <c r="AE43" s="37" t="str">
        <f>IF(AND('Mapa final'!$AA$54="Baja",'Mapa final'!$AC$54="Mayor"),CONCATENATE("R8C",'Mapa final'!$Q$54),"")</f>
        <v/>
      </c>
      <c r="AF43" s="37" t="str">
        <f>IF(AND('Mapa final'!$AA$55="Baja",'Mapa final'!$AC$55="Mayor"),CONCATENATE("R8C",'Mapa final'!$Q$55),"")</f>
        <v/>
      </c>
      <c r="AG43" s="38" t="str">
        <f>IF(AND('Mapa final'!$AA$56="Baja",'Mapa final'!$AC$56="Mayor"),CONCATENATE("R8C",'Mapa final'!$Q$56),"")</f>
        <v/>
      </c>
      <c r="AH43" s="39" t="str">
        <f>IF(AND('Mapa final'!$AA$51="Baja",'Mapa final'!$AC$51="Catastrófico"),CONCATENATE("R8C",'Mapa final'!$Q$51),"")</f>
        <v/>
      </c>
      <c r="AI43" s="40" t="str">
        <f>IF(AND('Mapa final'!$AA$52="Baja",'Mapa final'!$AC$52="Catastrófico"),CONCATENATE("R8C",'Mapa final'!$Q$52),"")</f>
        <v/>
      </c>
      <c r="AJ43" s="40" t="str">
        <f>IF(AND('Mapa final'!$AA$53="Baja",'Mapa final'!$AC$53="Catastrófico"),CONCATENATE("R8C",'Mapa final'!$Q$53),"")</f>
        <v/>
      </c>
      <c r="AK43" s="40" t="str">
        <f>IF(AND('Mapa final'!$AA$54="Baja",'Mapa final'!$AC$54="Catastrófico"),CONCATENATE("R8C",'Mapa final'!$Q$54),"")</f>
        <v/>
      </c>
      <c r="AL43" s="40" t="str">
        <f>IF(AND('Mapa final'!$AA$55="Baja",'Mapa final'!$AC$55="Catastrófico"),CONCATENATE("R8C",'Mapa final'!$Q$55),"")</f>
        <v/>
      </c>
      <c r="AM43" s="41" t="str">
        <f>IF(AND('Mapa final'!$AA$56="Baja",'Mapa final'!$AC$56="Catastrófico"),CONCATENATE("R8C",'Mapa final'!$Q$56),"")</f>
        <v/>
      </c>
      <c r="AN43" s="67"/>
      <c r="AO43" s="444"/>
      <c r="AP43" s="445"/>
      <c r="AQ43" s="445"/>
      <c r="AR43" s="445"/>
      <c r="AS43" s="445"/>
      <c r="AT43" s="446"/>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372"/>
      <c r="C44" s="372"/>
      <c r="D44" s="373"/>
      <c r="E44" s="413"/>
      <c r="F44" s="414"/>
      <c r="G44" s="414"/>
      <c r="H44" s="414"/>
      <c r="I44" s="414"/>
      <c r="J44" s="60" t="str">
        <f>IF(AND('Mapa final'!$AA$57="Baja",'Mapa final'!$AC$57="Leve"),CONCATENATE("R9C",'Mapa final'!$Q$57),"")</f>
        <v/>
      </c>
      <c r="K44" s="61" t="str">
        <f>IF(AND('Mapa final'!$AA$58="Baja",'Mapa final'!$AC$58="Leve"),CONCATENATE("R9C",'Mapa final'!$Q$58),"")</f>
        <v/>
      </c>
      <c r="L44" s="61" t="str">
        <f>IF(AND('Mapa final'!$AA$59="Baja",'Mapa final'!$AC$59="Leve"),CONCATENATE("R9C",'Mapa final'!$Q$59),"")</f>
        <v/>
      </c>
      <c r="M44" s="61" t="str">
        <f>IF(AND('Mapa final'!$AA$60="Baja",'Mapa final'!$AC$60="Leve"),CONCATENATE("R9C",'Mapa final'!$Q$60),"")</f>
        <v/>
      </c>
      <c r="N44" s="61" t="str">
        <f>IF(AND('Mapa final'!$AA$61="Baja",'Mapa final'!$AC$61="Leve"),CONCATENATE("R9C",'Mapa final'!$Q$61),"")</f>
        <v/>
      </c>
      <c r="O44" s="62" t="str">
        <f>IF(AND('Mapa final'!$AA$62="Baja",'Mapa final'!$AC$62="Leve"),CONCATENATE("R9C",'Mapa final'!$Q$62),"")</f>
        <v/>
      </c>
      <c r="P44" s="51" t="str">
        <f>IF(AND('Mapa final'!$AA$57="Baja",'Mapa final'!$AC$57="Menor"),CONCATENATE("R9C",'Mapa final'!$Q$57),"")</f>
        <v/>
      </c>
      <c r="Q44" s="52" t="str">
        <f>IF(AND('Mapa final'!$AA$58="Baja",'Mapa final'!$AC$58="Menor"),CONCATENATE("R9C",'Mapa final'!$Q$58),"")</f>
        <v/>
      </c>
      <c r="R44" s="52" t="str">
        <f>IF(AND('Mapa final'!$AA$59="Baja",'Mapa final'!$AC$59="Menor"),CONCATENATE("R9C",'Mapa final'!$Q$59),"")</f>
        <v/>
      </c>
      <c r="S44" s="52" t="str">
        <f>IF(AND('Mapa final'!$AA$60="Baja",'Mapa final'!$AC$60="Menor"),CONCATENATE("R9C",'Mapa final'!$Q$60),"")</f>
        <v/>
      </c>
      <c r="T44" s="52" t="str">
        <f>IF(AND('Mapa final'!$AA$61="Baja",'Mapa final'!$AC$61="Menor"),CONCATENATE("R9C",'Mapa final'!$Q$61),"")</f>
        <v/>
      </c>
      <c r="U44" s="53" t="str">
        <f>IF(AND('Mapa final'!$AA$62="Baja",'Mapa final'!$AC$62="Menor"),CONCATENATE("R9C",'Mapa final'!$Q$62),"")</f>
        <v/>
      </c>
      <c r="V44" s="51" t="str">
        <f>IF(AND('Mapa final'!$AA$57="Baja",'Mapa final'!$AC$57="Moderado"),CONCATENATE("R9C",'Mapa final'!$Q$57),"")</f>
        <v/>
      </c>
      <c r="W44" s="52" t="str">
        <f>IF(AND('Mapa final'!$AA$58="Baja",'Mapa final'!$AC$58="Moderado"),CONCATENATE("R9C",'Mapa final'!$Q$58),"")</f>
        <v/>
      </c>
      <c r="X44" s="52" t="str">
        <f>IF(AND('Mapa final'!$AA$59="Baja",'Mapa final'!$AC$59="Moderado"),CONCATENATE("R9C",'Mapa final'!$Q$59),"")</f>
        <v/>
      </c>
      <c r="Y44" s="52" t="str">
        <f>IF(AND('Mapa final'!$AA$60="Baja",'Mapa final'!$AC$60="Moderado"),CONCATENATE("R9C",'Mapa final'!$Q$60),"")</f>
        <v/>
      </c>
      <c r="Z44" s="52" t="str">
        <f>IF(AND('Mapa final'!$AA$61="Baja",'Mapa final'!$AC$61="Moderado"),CONCATENATE("R9C",'Mapa final'!$Q$61),"")</f>
        <v/>
      </c>
      <c r="AA44" s="53" t="str">
        <f>IF(AND('Mapa final'!$AA$62="Baja",'Mapa final'!$AC$62="Moderado"),CONCATENATE("R9C",'Mapa final'!$Q$62),"")</f>
        <v/>
      </c>
      <c r="AB44" s="36" t="str">
        <f>IF(AND('Mapa final'!$AA$57="Baja",'Mapa final'!$AC$57="Mayor"),CONCATENATE("R9C",'Mapa final'!$Q$57),"")</f>
        <v/>
      </c>
      <c r="AC44" s="37" t="str">
        <f>IF(AND('Mapa final'!$AA$58="Baja",'Mapa final'!$AC$58="Mayor"),CONCATENATE("R9C",'Mapa final'!$Q$58),"")</f>
        <v/>
      </c>
      <c r="AD44" s="37" t="str">
        <f>IF(AND('Mapa final'!$AA$59="Baja",'Mapa final'!$AC$59="Mayor"),CONCATENATE("R9C",'Mapa final'!$Q$59),"")</f>
        <v/>
      </c>
      <c r="AE44" s="37" t="str">
        <f>IF(AND('Mapa final'!$AA$60="Baja",'Mapa final'!$AC$60="Mayor"),CONCATENATE("R9C",'Mapa final'!$Q$60),"")</f>
        <v/>
      </c>
      <c r="AF44" s="37" t="str">
        <f>IF(AND('Mapa final'!$AA$61="Baja",'Mapa final'!$AC$61="Mayor"),CONCATENATE("R9C",'Mapa final'!$Q$61),"")</f>
        <v/>
      </c>
      <c r="AG44" s="38" t="str">
        <f>IF(AND('Mapa final'!$AA$62="Baja",'Mapa final'!$AC$62="Mayor"),CONCATENATE("R9C",'Mapa final'!$Q$62),"")</f>
        <v/>
      </c>
      <c r="AH44" s="39" t="str">
        <f>IF(AND('Mapa final'!$AA$57="Baja",'Mapa final'!$AC$57="Catastrófico"),CONCATENATE("R9C",'Mapa final'!$Q$57),"")</f>
        <v/>
      </c>
      <c r="AI44" s="40" t="str">
        <f>IF(AND('Mapa final'!$AA$58="Baja",'Mapa final'!$AC$58="Catastrófico"),CONCATENATE("R9C",'Mapa final'!$Q$58),"")</f>
        <v/>
      </c>
      <c r="AJ44" s="40" t="str">
        <f>IF(AND('Mapa final'!$AA$59="Baja",'Mapa final'!$AC$59="Catastrófico"),CONCATENATE("R9C",'Mapa final'!$Q$59),"")</f>
        <v/>
      </c>
      <c r="AK44" s="40" t="str">
        <f>IF(AND('Mapa final'!$AA$60="Baja",'Mapa final'!$AC$60="Catastrófico"),CONCATENATE("R9C",'Mapa final'!$Q$60),"")</f>
        <v/>
      </c>
      <c r="AL44" s="40" t="str">
        <f>IF(AND('Mapa final'!$AA$61="Baja",'Mapa final'!$AC$61="Catastrófico"),CONCATENATE("R9C",'Mapa final'!$Q$61),"")</f>
        <v/>
      </c>
      <c r="AM44" s="41" t="str">
        <f>IF(AND('Mapa final'!$AA$62="Baja",'Mapa final'!$AC$62="Catastrófico"),CONCATENATE("R9C",'Mapa final'!$Q$62),"")</f>
        <v/>
      </c>
      <c r="AN44" s="67"/>
      <c r="AO44" s="444"/>
      <c r="AP44" s="445"/>
      <c r="AQ44" s="445"/>
      <c r="AR44" s="445"/>
      <c r="AS44" s="445"/>
      <c r="AT44" s="446"/>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372"/>
      <c r="C45" s="372"/>
      <c r="D45" s="373"/>
      <c r="E45" s="416"/>
      <c r="F45" s="417"/>
      <c r="G45" s="417"/>
      <c r="H45" s="417"/>
      <c r="I45" s="417"/>
      <c r="J45" s="63" t="str">
        <f>IF(AND('Mapa final'!$AA$63="Baja",'Mapa final'!$AC$63="Leve"),CONCATENATE("R10C",'Mapa final'!$Q$63),"")</f>
        <v/>
      </c>
      <c r="K45" s="64" t="str">
        <f>IF(AND('Mapa final'!$AA$64="Baja",'Mapa final'!$AC$64="Leve"),CONCATENATE("R10C",'Mapa final'!$Q$64),"")</f>
        <v/>
      </c>
      <c r="L45" s="64" t="str">
        <f>IF(AND('Mapa final'!$AA$65="Baja",'Mapa final'!$AC$65="Leve"),CONCATENATE("R10C",'Mapa final'!$Q$65),"")</f>
        <v/>
      </c>
      <c r="M45" s="64" t="str">
        <f>IF(AND('Mapa final'!$AA$66="Baja",'Mapa final'!$AC$66="Leve"),CONCATENATE("R10C",'Mapa final'!$Q$66),"")</f>
        <v/>
      </c>
      <c r="N45" s="64" t="str">
        <f>IF(AND('Mapa final'!$AA$67="Baja",'Mapa final'!$AC$67="Leve"),CONCATENATE("R10C",'Mapa final'!$Q$67),"")</f>
        <v/>
      </c>
      <c r="O45" s="65" t="str">
        <f>IF(AND('Mapa final'!$AA$68="Baja",'Mapa final'!$AC$68="Leve"),CONCATENATE("R10C",'Mapa final'!$Q$68),"")</f>
        <v/>
      </c>
      <c r="P45" s="51" t="str">
        <f>IF(AND('Mapa final'!$AA$63="Baja",'Mapa final'!$AC$63="Menor"),CONCATENATE("R10C",'Mapa final'!$Q$63),"")</f>
        <v/>
      </c>
      <c r="Q45" s="52" t="str">
        <f>IF(AND('Mapa final'!$AA$64="Baja",'Mapa final'!$AC$64="Menor"),CONCATENATE("R10C",'Mapa final'!$Q$64),"")</f>
        <v/>
      </c>
      <c r="R45" s="52" t="str">
        <f>IF(AND('Mapa final'!$AA$65="Baja",'Mapa final'!$AC$65="Menor"),CONCATENATE("R10C",'Mapa final'!$Q$65),"")</f>
        <v/>
      </c>
      <c r="S45" s="52" t="str">
        <f>IF(AND('Mapa final'!$AA$66="Baja",'Mapa final'!$AC$66="Menor"),CONCATENATE("R10C",'Mapa final'!$Q$66),"")</f>
        <v/>
      </c>
      <c r="T45" s="52" t="str">
        <f>IF(AND('Mapa final'!$AA$67="Baja",'Mapa final'!$AC$67="Menor"),CONCATENATE("R10C",'Mapa final'!$Q$67),"")</f>
        <v/>
      </c>
      <c r="U45" s="53" t="str">
        <f>IF(AND('Mapa final'!$AA$68="Baja",'Mapa final'!$AC$68="Menor"),CONCATENATE("R10C",'Mapa final'!$Q$68),"")</f>
        <v/>
      </c>
      <c r="V45" s="54" t="str">
        <f>IF(AND('Mapa final'!$AA$63="Baja",'Mapa final'!$AC$63="Moderado"),CONCATENATE("R10C",'Mapa final'!$Q$63),"")</f>
        <v/>
      </c>
      <c r="W45" s="55" t="str">
        <f>IF(AND('Mapa final'!$AA$64="Baja",'Mapa final'!$AC$64="Moderado"),CONCATENATE("R10C",'Mapa final'!$Q$64),"")</f>
        <v/>
      </c>
      <c r="X45" s="55" t="str">
        <f>IF(AND('Mapa final'!$AA$65="Baja",'Mapa final'!$AC$65="Moderado"),CONCATENATE("R10C",'Mapa final'!$Q$65),"")</f>
        <v/>
      </c>
      <c r="Y45" s="55" t="str">
        <f>IF(AND('Mapa final'!$AA$66="Baja",'Mapa final'!$AC$66="Moderado"),CONCATENATE("R10C",'Mapa final'!$Q$66),"")</f>
        <v/>
      </c>
      <c r="Z45" s="55" t="str">
        <f>IF(AND('Mapa final'!$AA$67="Baja",'Mapa final'!$AC$67="Moderado"),CONCATENATE("R10C",'Mapa final'!$Q$67),"")</f>
        <v/>
      </c>
      <c r="AA45" s="56" t="str">
        <f>IF(AND('Mapa final'!$AA$68="Baja",'Mapa final'!$AC$68="Moderado"),CONCATENATE("R10C",'Mapa final'!$Q$68),"")</f>
        <v/>
      </c>
      <c r="AB45" s="42" t="str">
        <f>IF(AND('Mapa final'!$AA$63="Baja",'Mapa final'!$AC$63="Mayor"),CONCATENATE("R10C",'Mapa final'!$Q$63),"")</f>
        <v/>
      </c>
      <c r="AC45" s="43" t="str">
        <f>IF(AND('Mapa final'!$AA$64="Baja",'Mapa final'!$AC$64="Mayor"),CONCATENATE("R10C",'Mapa final'!$Q$64),"")</f>
        <v/>
      </c>
      <c r="AD45" s="43" t="str">
        <f>IF(AND('Mapa final'!$AA$65="Baja",'Mapa final'!$AC$65="Mayor"),CONCATENATE("R10C",'Mapa final'!$Q$65),"")</f>
        <v/>
      </c>
      <c r="AE45" s="43" t="str">
        <f>IF(AND('Mapa final'!$AA$66="Baja",'Mapa final'!$AC$66="Mayor"),CONCATENATE("R10C",'Mapa final'!$Q$66),"")</f>
        <v/>
      </c>
      <c r="AF45" s="43" t="str">
        <f>IF(AND('Mapa final'!$AA$67="Baja",'Mapa final'!$AC$67="Mayor"),CONCATENATE("R10C",'Mapa final'!$Q$67),"")</f>
        <v/>
      </c>
      <c r="AG45" s="44" t="str">
        <f>IF(AND('Mapa final'!$AA$68="Baja",'Mapa final'!$AC$68="Mayor"),CONCATENATE("R10C",'Mapa final'!$Q$68),"")</f>
        <v/>
      </c>
      <c r="AH45" s="45" t="str">
        <f>IF(AND('Mapa final'!$AA$63="Baja",'Mapa final'!$AC$63="Catastrófico"),CONCATENATE("R10C",'Mapa final'!$Q$63),"")</f>
        <v/>
      </c>
      <c r="AI45" s="46" t="str">
        <f>IF(AND('Mapa final'!$AA$64="Baja",'Mapa final'!$AC$64="Catastrófico"),CONCATENATE("R10C",'Mapa final'!$Q$64),"")</f>
        <v/>
      </c>
      <c r="AJ45" s="46" t="str">
        <f>IF(AND('Mapa final'!$AA$65="Baja",'Mapa final'!$AC$65="Catastrófico"),CONCATENATE("R10C",'Mapa final'!$Q$65),"")</f>
        <v/>
      </c>
      <c r="AK45" s="46" t="str">
        <f>IF(AND('Mapa final'!$AA$66="Baja",'Mapa final'!$AC$66="Catastrófico"),CONCATENATE("R10C",'Mapa final'!$Q$66),"")</f>
        <v/>
      </c>
      <c r="AL45" s="46" t="str">
        <f>IF(AND('Mapa final'!$AA$67="Baja",'Mapa final'!$AC$67="Catastrófico"),CONCATENATE("R10C",'Mapa final'!$Q$67),"")</f>
        <v/>
      </c>
      <c r="AM45" s="47" t="str">
        <f>IF(AND('Mapa final'!$AA$68="Baja",'Mapa final'!$AC$68="Catastrófico"),CONCATENATE("R10C",'Mapa final'!$Q$68),"")</f>
        <v/>
      </c>
      <c r="AN45" s="67"/>
      <c r="AO45" s="447"/>
      <c r="AP45" s="448"/>
      <c r="AQ45" s="448"/>
      <c r="AR45" s="448"/>
      <c r="AS45" s="448"/>
      <c r="AT45" s="449"/>
    </row>
    <row r="46" spans="1:80" ht="46.5" customHeight="1" x14ac:dyDescent="0.35">
      <c r="A46" s="67"/>
      <c r="B46" s="372"/>
      <c r="C46" s="372"/>
      <c r="D46" s="373"/>
      <c r="E46" s="410" t="s">
        <v>107</v>
      </c>
      <c r="F46" s="411"/>
      <c r="G46" s="411"/>
      <c r="H46" s="411"/>
      <c r="I46" s="412"/>
      <c r="J46" s="57" t="str">
        <f ca="1">IF(AND('Mapa final'!$AA$10="Muy Baja",'Mapa final'!$AC$10="Leve"),CONCATENATE("R1C",'Mapa final'!$Q$10),"")</f>
        <v/>
      </c>
      <c r="K46" s="58" t="str">
        <f ca="1">IF(AND('Mapa final'!$AA$11="Muy Baja",'Mapa final'!$AC$11="Leve"),CONCATENATE("R1C",'Mapa final'!$Q$11),"")</f>
        <v/>
      </c>
      <c r="L46" s="58" t="str">
        <f ca="1">IF(AND('Mapa final'!$AA$13="Muy Baja",'Mapa final'!$AC$13="Leve"),CONCATENATE("R1C",'Mapa final'!$Q$13),"")</f>
        <v/>
      </c>
      <c r="M46" s="58" t="str">
        <f ca="1">IF(AND('Mapa final'!$AA$14="Muy Baja",'Mapa final'!$AC$14="Leve"),CONCATENATE("R1C",'Mapa final'!$Q$14),"")</f>
        <v/>
      </c>
      <c r="N46" s="58" t="e">
        <f>IF(AND('Mapa final'!#REF!="Muy Baja",'Mapa final'!#REF!="Leve"),CONCATENATE("R1C",'Mapa final'!#REF!),"")</f>
        <v>#REF!</v>
      </c>
      <c r="O46" s="59" t="e">
        <f>IF(AND('Mapa final'!#REF!="Muy Baja",'Mapa final'!#REF!="Leve"),CONCATENATE("R1C",'Mapa final'!#REF!),"")</f>
        <v>#REF!</v>
      </c>
      <c r="P46" s="57" t="str">
        <f ca="1">IF(AND('Mapa final'!$AA$10="Muy Baja",'Mapa final'!$AC$10="Menor"),CONCATENATE("R1C",'Mapa final'!$Q$10),"")</f>
        <v/>
      </c>
      <c r="Q46" s="58" t="str">
        <f ca="1">IF(AND('Mapa final'!$AA$11="Muy Baja",'Mapa final'!$AC$11="Menor"),CONCATENATE("R1C",'Mapa final'!$Q$11),"")</f>
        <v/>
      </c>
      <c r="R46" s="58" t="str">
        <f ca="1">IF(AND('Mapa final'!$AA$13="Muy Baja",'Mapa final'!$AC$13="Menor"),CONCATENATE("R1C",'Mapa final'!$Q$13),"")</f>
        <v/>
      </c>
      <c r="S46" s="58" t="str">
        <f ca="1">IF(AND('Mapa final'!$AA$14="Muy Baja",'Mapa final'!$AC$14="Menor"),CONCATENATE("R1C",'Mapa final'!$Q$14),"")</f>
        <v/>
      </c>
      <c r="T46" s="58" t="e">
        <f>IF(AND('Mapa final'!#REF!="Muy Baja",'Mapa final'!#REF!="Menor"),CONCATENATE("R1C",'Mapa final'!#REF!),"")</f>
        <v>#REF!</v>
      </c>
      <c r="U46" s="59" t="e">
        <f>IF(AND('Mapa final'!#REF!="Muy Baja",'Mapa final'!#REF!="Menor"),CONCATENATE("R1C",'Mapa final'!#REF!),"")</f>
        <v>#REF!</v>
      </c>
      <c r="V46" s="48" t="str">
        <f ca="1">IF(AND('Mapa final'!$AA$10="Muy Baja",'Mapa final'!$AC$10="Moderado"),CONCATENATE("R1C",'Mapa final'!$Q$10),"")</f>
        <v/>
      </c>
      <c r="W46" s="66" t="str">
        <f ca="1">IF(AND('Mapa final'!$AA$11="Muy Baja",'Mapa final'!$AC$11="Moderado"),CONCATENATE("R1C",'Mapa final'!$Q$11),"")</f>
        <v/>
      </c>
      <c r="X46" s="49" t="str">
        <f ca="1">IF(AND('Mapa final'!$AA$13="Muy Baja",'Mapa final'!$AC$13="Moderado"),CONCATENATE("R1C",'Mapa final'!$Q$13),"")</f>
        <v/>
      </c>
      <c r="Y46" s="49" t="str">
        <f ca="1">IF(AND('Mapa final'!$AA$14="Muy Baja",'Mapa final'!$AC$14="Moderado"),CONCATENATE("R1C",'Mapa final'!$Q$14),"")</f>
        <v/>
      </c>
      <c r="Z46" s="49" t="e">
        <f>IF(AND('Mapa final'!#REF!="Muy Baja",'Mapa final'!#REF!="Moderado"),CONCATENATE("R1C",'Mapa final'!#REF!),"")</f>
        <v>#REF!</v>
      </c>
      <c r="AA46" s="50" t="e">
        <f>IF(AND('Mapa final'!#REF!="Muy Baja",'Mapa final'!#REF!="Moderado"),CONCATENATE("R1C",'Mapa final'!#REF!),"")</f>
        <v>#REF!</v>
      </c>
      <c r="AB46" s="30" t="str">
        <f ca="1">IF(AND('Mapa final'!$AA$10="Muy Baja",'Mapa final'!$AC$10="Mayor"),CONCATENATE("R1C",'Mapa final'!$Q$10),"")</f>
        <v/>
      </c>
      <c r="AC46" s="31" t="str">
        <f ca="1">IF(AND('Mapa final'!$AA$11="Muy Baja",'Mapa final'!$AC$11="Mayor"),CONCATENATE("R1C",'Mapa final'!$Q$11),"")</f>
        <v/>
      </c>
      <c r="AD46" s="31" t="str">
        <f ca="1">IF(AND('Mapa final'!$AA$13="Muy Baja",'Mapa final'!$AC$13="Mayor"),CONCATENATE("R1C",'Mapa final'!$Q$13),"")</f>
        <v/>
      </c>
      <c r="AE46" s="31" t="str">
        <f ca="1">IF(AND('Mapa final'!$AA$14="Muy Baja",'Mapa final'!$AC$14="Mayor"),CONCATENATE("R1C",'Mapa final'!$Q$14),"")</f>
        <v/>
      </c>
      <c r="AF46" s="31" t="e">
        <f>IF(AND('Mapa final'!#REF!="Muy Baja",'Mapa final'!#REF!="Mayor"),CONCATENATE("R1C",'Mapa final'!#REF!),"")</f>
        <v>#REF!</v>
      </c>
      <c r="AG46" s="32" t="e">
        <f>IF(AND('Mapa final'!#REF!="Muy Baja",'Mapa final'!#REF!="Mayor"),CONCATENATE("R1C",'Mapa final'!#REF!),"")</f>
        <v>#REF!</v>
      </c>
      <c r="AH46" s="33" t="str">
        <f ca="1">IF(AND('Mapa final'!$AA$10="Muy Baja",'Mapa final'!$AC$10="Catastrófico"),CONCATENATE("R1C",'Mapa final'!$Q$10),"")</f>
        <v/>
      </c>
      <c r="AI46" s="34" t="str">
        <f ca="1">IF(AND('Mapa final'!$AA$11="Muy Baja",'Mapa final'!$AC$11="Catastrófico"),CONCATENATE("R1C",'Mapa final'!$Q$11),"")</f>
        <v/>
      </c>
      <c r="AJ46" s="34" t="str">
        <f ca="1">IF(AND('Mapa final'!$AA$13="Muy Baja",'Mapa final'!$AC$13="Catastrófico"),CONCATENATE("R1C",'Mapa final'!$Q$13),"")</f>
        <v/>
      </c>
      <c r="AK46" s="34" t="str">
        <f ca="1">IF(AND('Mapa final'!$AA$14="Muy Baja",'Mapa final'!$AC$14="Catastrófico"),CONCATENATE("R1C",'Mapa final'!$Q$14),"")</f>
        <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372"/>
      <c r="C47" s="372"/>
      <c r="D47" s="373"/>
      <c r="E47" s="429"/>
      <c r="F47" s="414"/>
      <c r="G47" s="414"/>
      <c r="H47" s="414"/>
      <c r="I47" s="415"/>
      <c r="J47" s="60" t="str">
        <f ca="1">IF(AND('Mapa final'!$AA$15="Muy Baja",'Mapa final'!$AC$15="Leve"),CONCATENATE("R2C",'Mapa final'!$Q$15),"")</f>
        <v/>
      </c>
      <c r="K47" s="61" t="str">
        <f ca="1">IF(AND('Mapa final'!$AA$16="Muy Baja",'Mapa final'!$AC$16="Leve"),CONCATENATE("R2C",'Mapa final'!$Q$16),"")</f>
        <v/>
      </c>
      <c r="L47" s="61" t="str">
        <f>IF(AND('Mapa final'!$AA$17="Muy Baja",'Mapa final'!$AC$17="Leve"),CONCATENATE("R2C",'Mapa final'!$Q$17),"")</f>
        <v/>
      </c>
      <c r="M47" s="61" t="str">
        <f>IF(AND('Mapa final'!$AA$18="Muy Baja",'Mapa final'!$AC$18="Leve"),CONCATENATE("R2C",'Mapa final'!$Q$18),"")</f>
        <v/>
      </c>
      <c r="N47" s="61" t="str">
        <f>IF(AND('Mapa final'!$AA$19="Muy Baja",'Mapa final'!$AC$19="Leve"),CONCATENATE("R2C",'Mapa final'!$Q$19),"")</f>
        <v/>
      </c>
      <c r="O47" s="62" t="str">
        <f>IF(AND('Mapa final'!$AA$20="Muy Baja",'Mapa final'!$AC$20="Leve"),CONCATENATE("R2C",'Mapa final'!$Q$20),"")</f>
        <v/>
      </c>
      <c r="P47" s="60" t="str">
        <f ca="1">IF(AND('Mapa final'!$AA$15="Muy Baja",'Mapa final'!$AC$15="Menor"),CONCATENATE("R2C",'Mapa final'!$Q$15),"")</f>
        <v/>
      </c>
      <c r="Q47" s="61" t="str">
        <f ca="1">IF(AND('Mapa final'!$AA$16="Muy Baja",'Mapa final'!$AC$16="Menor"),CONCATENATE("R2C",'Mapa final'!$Q$16),"")</f>
        <v/>
      </c>
      <c r="R47" s="61" t="str">
        <f>IF(AND('Mapa final'!$AA$17="Muy Baja",'Mapa final'!$AC$17="Menor"),CONCATENATE("R2C",'Mapa final'!$Q$17),"")</f>
        <v/>
      </c>
      <c r="S47" s="61" t="str">
        <f>IF(AND('Mapa final'!$AA$18="Muy Baja",'Mapa final'!$AC$18="Menor"),CONCATENATE("R2C",'Mapa final'!$Q$18),"")</f>
        <v/>
      </c>
      <c r="T47" s="61" t="str">
        <f>IF(AND('Mapa final'!$AA$19="Muy Baja",'Mapa final'!$AC$19="Menor"),CONCATENATE("R2C",'Mapa final'!$Q$19),"")</f>
        <v/>
      </c>
      <c r="U47" s="62" t="str">
        <f>IF(AND('Mapa final'!$AA$20="Muy Baja",'Mapa final'!$AC$20="Menor"),CONCATENATE("R2C",'Mapa final'!$Q$20),"")</f>
        <v/>
      </c>
      <c r="V47" s="51" t="str">
        <f ca="1">IF(AND('Mapa final'!$AA$15="Muy Baja",'Mapa final'!$AC$15="Moderado"),CONCATENATE("R2C",'Mapa final'!$Q$15),"")</f>
        <v/>
      </c>
      <c r="W47" s="52" t="str">
        <f ca="1">IF(AND('Mapa final'!$AA$16="Muy Baja",'Mapa final'!$AC$16="Moderado"),CONCATENATE("R2C",'Mapa final'!$Q$16),"")</f>
        <v/>
      </c>
      <c r="X47" s="52" t="str">
        <f>IF(AND('Mapa final'!$AA$17="Muy Baja",'Mapa final'!$AC$17="Moderado"),CONCATENATE("R2C",'Mapa final'!$Q$17),"")</f>
        <v/>
      </c>
      <c r="Y47" s="52" t="str">
        <f>IF(AND('Mapa final'!$AA$18="Muy Baja",'Mapa final'!$AC$18="Moderado"),CONCATENATE("R2C",'Mapa final'!$Q$18),"")</f>
        <v/>
      </c>
      <c r="Z47" s="52" t="str">
        <f>IF(AND('Mapa final'!$AA$19="Muy Baja",'Mapa final'!$AC$19="Moderado"),CONCATENATE("R2C",'Mapa final'!$Q$19),"")</f>
        <v/>
      </c>
      <c r="AA47" s="53" t="str">
        <f>IF(AND('Mapa final'!$AA$20="Muy Baja",'Mapa final'!$AC$20="Moderado"),CONCATENATE("R2C",'Mapa final'!$Q$20),"")</f>
        <v/>
      </c>
      <c r="AB47" s="36" t="str">
        <f ca="1">IF(AND('Mapa final'!$AA$15="Muy Baja",'Mapa final'!$AC$15="Mayor"),CONCATENATE("R2C",'Mapa final'!$Q$15),"")</f>
        <v/>
      </c>
      <c r="AC47" s="37" t="str">
        <f ca="1">IF(AND('Mapa final'!$AA$16="Muy Baja",'Mapa final'!$AC$16="Mayor"),CONCATENATE("R2C",'Mapa final'!$Q$16),"")</f>
        <v/>
      </c>
      <c r="AD47" s="37" t="str">
        <f>IF(AND('Mapa final'!$AA$17="Muy Baja",'Mapa final'!$AC$17="Mayor"),CONCATENATE("R2C",'Mapa final'!$Q$17),"")</f>
        <v/>
      </c>
      <c r="AE47" s="37" t="str">
        <f>IF(AND('Mapa final'!$AA$18="Muy Baja",'Mapa final'!$AC$18="Mayor"),CONCATENATE("R2C",'Mapa final'!$Q$18),"")</f>
        <v/>
      </c>
      <c r="AF47" s="37" t="str">
        <f>IF(AND('Mapa final'!$AA$19="Muy Baja",'Mapa final'!$AC$19="Mayor"),CONCATENATE("R2C",'Mapa final'!$Q$19),"")</f>
        <v/>
      </c>
      <c r="AG47" s="38" t="str">
        <f>IF(AND('Mapa final'!$AA$20="Muy Baja",'Mapa final'!$AC$20="Mayor"),CONCATENATE("R2C",'Mapa final'!$Q$20),"")</f>
        <v/>
      </c>
      <c r="AH47" s="39" t="str">
        <f ca="1">IF(AND('Mapa final'!$AA$15="Muy Baja",'Mapa final'!$AC$15="Catastrófico"),CONCATENATE("R2C",'Mapa final'!$Q$15),"")</f>
        <v/>
      </c>
      <c r="AI47" s="40" t="str">
        <f ca="1">IF(AND('Mapa final'!$AA$16="Muy Baja",'Mapa final'!$AC$16="Catastrófico"),CONCATENATE("R2C",'Mapa final'!$Q$16),"")</f>
        <v/>
      </c>
      <c r="AJ47" s="40" t="str">
        <f>IF(AND('Mapa final'!$AA$17="Muy Baja",'Mapa final'!$AC$17="Catastrófico"),CONCATENATE("R2C",'Mapa final'!$Q$17),"")</f>
        <v/>
      </c>
      <c r="AK47" s="40" t="str">
        <f>IF(AND('Mapa final'!$AA$18="Muy Baja",'Mapa final'!$AC$18="Catastrófico"),CONCATENATE("R2C",'Mapa final'!$Q$18),"")</f>
        <v/>
      </c>
      <c r="AL47" s="40" t="str">
        <f>IF(AND('Mapa final'!$AA$19="Muy Baja",'Mapa final'!$AC$19="Catastrófico"),CONCATENATE("R2C",'Mapa final'!$Q$19),"")</f>
        <v/>
      </c>
      <c r="AM47" s="41" t="str">
        <f>IF(AND('Mapa final'!$AA$20="Muy Baja",'Mapa final'!$AC$20="Catastrófico"),CONCATENATE("R2C",'Mapa final'!$Q$20),"")</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372"/>
      <c r="C48" s="372"/>
      <c r="D48" s="373"/>
      <c r="E48" s="429"/>
      <c r="F48" s="414"/>
      <c r="G48" s="414"/>
      <c r="H48" s="414"/>
      <c r="I48" s="415"/>
      <c r="J48" s="60" t="str">
        <f>IF(AND('Mapa final'!$AA$21="Muy Baja",'Mapa final'!$AC$21="Leve"),CONCATENATE("R3C",'Mapa final'!$Q$21),"")</f>
        <v/>
      </c>
      <c r="K48" s="61" t="str">
        <f>IF(AND('Mapa final'!$AA$22="Muy Baja",'Mapa final'!$AC$22="Leve"),CONCATENATE("R3C",'Mapa final'!$Q$22),"")</f>
        <v/>
      </c>
      <c r="L48" s="61" t="str">
        <f>IF(AND('Mapa final'!$AA$23="Muy Baja",'Mapa final'!$AC$23="Leve"),CONCATENATE("R3C",'Mapa final'!$Q$23),"")</f>
        <v/>
      </c>
      <c r="M48" s="61" t="str">
        <f>IF(AND('Mapa final'!$AA$24="Muy Baja",'Mapa final'!$AC$24="Leve"),CONCATENATE("R3C",'Mapa final'!$Q$24),"")</f>
        <v/>
      </c>
      <c r="N48" s="61" t="str">
        <f>IF(AND('Mapa final'!$AA$25="Muy Baja",'Mapa final'!$AC$25="Leve"),CONCATENATE("R3C",'Mapa final'!$Q$25),"")</f>
        <v/>
      </c>
      <c r="O48" s="62" t="str">
        <f>IF(AND('Mapa final'!$AA$26="Muy Baja",'Mapa final'!$AC$26="Leve"),CONCATENATE("R3C",'Mapa final'!$Q$26),"")</f>
        <v/>
      </c>
      <c r="P48" s="60" t="str">
        <f>IF(AND('Mapa final'!$AA$21="Muy Baja",'Mapa final'!$AC$21="Menor"),CONCATENATE("R3C",'Mapa final'!$Q$21),"")</f>
        <v/>
      </c>
      <c r="Q48" s="61" t="str">
        <f>IF(AND('Mapa final'!$AA$22="Muy Baja",'Mapa final'!$AC$22="Menor"),CONCATENATE("R3C",'Mapa final'!$Q$22),"")</f>
        <v/>
      </c>
      <c r="R48" s="61" t="str">
        <f>IF(AND('Mapa final'!$AA$23="Muy Baja",'Mapa final'!$AC$23="Menor"),CONCATENATE("R3C",'Mapa final'!$Q$23),"")</f>
        <v/>
      </c>
      <c r="S48" s="61" t="str">
        <f>IF(AND('Mapa final'!$AA$24="Muy Baja",'Mapa final'!$AC$24="Menor"),CONCATENATE("R3C",'Mapa final'!$Q$24),"")</f>
        <v/>
      </c>
      <c r="T48" s="61" t="str">
        <f>IF(AND('Mapa final'!$AA$25="Muy Baja",'Mapa final'!$AC$25="Menor"),CONCATENATE("R3C",'Mapa final'!$Q$25),"")</f>
        <v/>
      </c>
      <c r="U48" s="62" t="str">
        <f>IF(AND('Mapa final'!$AA$26="Muy Baja",'Mapa final'!$AC$26="Menor"),CONCATENATE("R3C",'Mapa final'!$Q$26),"")</f>
        <v/>
      </c>
      <c r="V48" s="51" t="str">
        <f>IF(AND('Mapa final'!$AA$21="Muy Baja",'Mapa final'!$AC$21="Moderado"),CONCATENATE("R3C",'Mapa final'!$Q$21),"")</f>
        <v/>
      </c>
      <c r="W48" s="52" t="str">
        <f>IF(AND('Mapa final'!$AA$22="Muy Baja",'Mapa final'!$AC$22="Moderado"),CONCATENATE("R3C",'Mapa final'!$Q$22),"")</f>
        <v/>
      </c>
      <c r="X48" s="52" t="str">
        <f>IF(AND('Mapa final'!$AA$23="Muy Baja",'Mapa final'!$AC$23="Moderado"),CONCATENATE("R3C",'Mapa final'!$Q$23),"")</f>
        <v/>
      </c>
      <c r="Y48" s="52" t="str">
        <f>IF(AND('Mapa final'!$AA$24="Muy Baja",'Mapa final'!$AC$24="Moderado"),CONCATENATE("R3C",'Mapa final'!$Q$24),"")</f>
        <v/>
      </c>
      <c r="Z48" s="52" t="str">
        <f>IF(AND('Mapa final'!$AA$25="Muy Baja",'Mapa final'!$AC$25="Moderado"),CONCATENATE("R3C",'Mapa final'!$Q$25),"")</f>
        <v/>
      </c>
      <c r="AA48" s="53" t="str">
        <f>IF(AND('Mapa final'!$AA$26="Muy Baja",'Mapa final'!$AC$26="Moderado"),CONCATENATE("R3C",'Mapa final'!$Q$26),"")</f>
        <v/>
      </c>
      <c r="AB48" s="36" t="str">
        <f>IF(AND('Mapa final'!$AA$21="Muy Baja",'Mapa final'!$AC$21="Mayor"),CONCATENATE("R3C",'Mapa final'!$Q$21),"")</f>
        <v/>
      </c>
      <c r="AC48" s="37" t="str">
        <f>IF(AND('Mapa final'!$AA$22="Muy Baja",'Mapa final'!$AC$22="Mayor"),CONCATENATE("R3C",'Mapa final'!$Q$22),"")</f>
        <v/>
      </c>
      <c r="AD48" s="37" t="str">
        <f>IF(AND('Mapa final'!$AA$23="Muy Baja",'Mapa final'!$AC$23="Mayor"),CONCATENATE("R3C",'Mapa final'!$Q$23),"")</f>
        <v/>
      </c>
      <c r="AE48" s="37" t="str">
        <f>IF(AND('Mapa final'!$AA$24="Muy Baja",'Mapa final'!$AC$24="Mayor"),CONCATENATE("R3C",'Mapa final'!$Q$24),"")</f>
        <v/>
      </c>
      <c r="AF48" s="37" t="str">
        <f>IF(AND('Mapa final'!$AA$25="Muy Baja",'Mapa final'!$AC$25="Mayor"),CONCATENATE("R3C",'Mapa final'!$Q$25),"")</f>
        <v/>
      </c>
      <c r="AG48" s="38" t="str">
        <f>IF(AND('Mapa final'!$AA$26="Muy Baja",'Mapa final'!$AC$26="Mayor"),CONCATENATE("R3C",'Mapa final'!$Q$26),"")</f>
        <v/>
      </c>
      <c r="AH48" s="39" t="str">
        <f>IF(AND('Mapa final'!$AA$21="Muy Baja",'Mapa final'!$AC$21="Catastrófico"),CONCATENATE("R3C",'Mapa final'!$Q$21),"")</f>
        <v/>
      </c>
      <c r="AI48" s="40" t="str">
        <f>IF(AND('Mapa final'!$AA$22="Muy Baja",'Mapa final'!$AC$22="Catastrófico"),CONCATENATE("R3C",'Mapa final'!$Q$22),"")</f>
        <v/>
      </c>
      <c r="AJ48" s="40" t="str">
        <f>IF(AND('Mapa final'!$AA$23="Muy Baja",'Mapa final'!$AC$23="Catastrófico"),CONCATENATE("R3C",'Mapa final'!$Q$23),"")</f>
        <v/>
      </c>
      <c r="AK48" s="40" t="str">
        <f>IF(AND('Mapa final'!$AA$24="Muy Baja",'Mapa final'!$AC$24="Catastrófico"),CONCATENATE("R3C",'Mapa final'!$Q$24),"")</f>
        <v/>
      </c>
      <c r="AL48" s="40" t="str">
        <f>IF(AND('Mapa final'!$AA$25="Muy Baja",'Mapa final'!$AC$25="Catastrófico"),CONCATENATE("R3C",'Mapa final'!$Q$25),"")</f>
        <v/>
      </c>
      <c r="AM48" s="41" t="str">
        <f>IF(AND('Mapa final'!$AA$26="Muy Baja",'Mapa final'!$AC$26="Catastrófico"),CONCATENATE("R3C",'Mapa final'!$Q$26),"")</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372"/>
      <c r="C49" s="372"/>
      <c r="D49" s="373"/>
      <c r="E49" s="413"/>
      <c r="F49" s="414"/>
      <c r="G49" s="414"/>
      <c r="H49" s="414"/>
      <c r="I49" s="415"/>
      <c r="J49" s="60" t="str">
        <f>IF(AND('Mapa final'!$AA$27="Muy Baja",'Mapa final'!$AC$27="Leve"),CONCATENATE("R4C",'Mapa final'!$Q$27),"")</f>
        <v/>
      </c>
      <c r="K49" s="61" t="str">
        <f>IF(AND('Mapa final'!$AA$28="Muy Baja",'Mapa final'!$AC$28="Leve"),CONCATENATE("R4C",'Mapa final'!$Q$28),"")</f>
        <v/>
      </c>
      <c r="L49" s="61" t="str">
        <f>IF(AND('Mapa final'!$AA$29="Muy Baja",'Mapa final'!$AC$29="Leve"),CONCATENATE("R4C",'Mapa final'!$Q$29),"")</f>
        <v/>
      </c>
      <c r="M49" s="61" t="str">
        <f>IF(AND('Mapa final'!$AA$30="Muy Baja",'Mapa final'!$AC$30="Leve"),CONCATENATE("R4C",'Mapa final'!$Q$30),"")</f>
        <v/>
      </c>
      <c r="N49" s="61" t="str">
        <f>IF(AND('Mapa final'!$AA$31="Muy Baja",'Mapa final'!$AC$31="Leve"),CONCATENATE("R4C",'Mapa final'!$Q$31),"")</f>
        <v/>
      </c>
      <c r="O49" s="62" t="str">
        <f>IF(AND('Mapa final'!$AA$32="Muy Baja",'Mapa final'!$AC$32="Leve"),CONCATENATE("R4C",'Mapa final'!$Q$32),"")</f>
        <v/>
      </c>
      <c r="P49" s="60" t="str">
        <f>IF(AND('Mapa final'!$AA$27="Muy Baja",'Mapa final'!$AC$27="Menor"),CONCATENATE("R4C",'Mapa final'!$Q$27),"")</f>
        <v/>
      </c>
      <c r="Q49" s="61" t="str">
        <f>IF(AND('Mapa final'!$AA$28="Muy Baja",'Mapa final'!$AC$28="Menor"),CONCATENATE("R4C",'Mapa final'!$Q$28),"")</f>
        <v/>
      </c>
      <c r="R49" s="61" t="str">
        <f>IF(AND('Mapa final'!$AA$29="Muy Baja",'Mapa final'!$AC$29="Menor"),CONCATENATE("R4C",'Mapa final'!$Q$29),"")</f>
        <v/>
      </c>
      <c r="S49" s="61" t="str">
        <f>IF(AND('Mapa final'!$AA$30="Muy Baja",'Mapa final'!$AC$30="Menor"),CONCATENATE("R4C",'Mapa final'!$Q$30),"")</f>
        <v/>
      </c>
      <c r="T49" s="61" t="str">
        <f>IF(AND('Mapa final'!$AA$31="Muy Baja",'Mapa final'!$AC$31="Menor"),CONCATENATE("R4C",'Mapa final'!$Q$31),"")</f>
        <v/>
      </c>
      <c r="U49" s="62" t="str">
        <f>IF(AND('Mapa final'!$AA$32="Muy Baja",'Mapa final'!$AC$32="Menor"),CONCATENATE("R4C",'Mapa final'!$Q$32),"")</f>
        <v/>
      </c>
      <c r="V49" s="51" t="str">
        <f>IF(AND('Mapa final'!$AA$27="Muy Baja",'Mapa final'!$AC$27="Moderado"),CONCATENATE("R4C",'Mapa final'!$Q$27),"")</f>
        <v/>
      </c>
      <c r="W49" s="52" t="str">
        <f>IF(AND('Mapa final'!$AA$28="Muy Baja",'Mapa final'!$AC$28="Moderado"),CONCATENATE("R4C",'Mapa final'!$Q$28),"")</f>
        <v/>
      </c>
      <c r="X49" s="52" t="str">
        <f>IF(AND('Mapa final'!$AA$29="Muy Baja",'Mapa final'!$AC$29="Moderado"),CONCATENATE("R4C",'Mapa final'!$Q$29),"")</f>
        <v/>
      </c>
      <c r="Y49" s="52" t="str">
        <f>IF(AND('Mapa final'!$AA$30="Muy Baja",'Mapa final'!$AC$30="Moderado"),CONCATENATE("R4C",'Mapa final'!$Q$30),"")</f>
        <v/>
      </c>
      <c r="Z49" s="52" t="str">
        <f>IF(AND('Mapa final'!$AA$31="Muy Baja",'Mapa final'!$AC$31="Moderado"),CONCATENATE("R4C",'Mapa final'!$Q$31),"")</f>
        <v/>
      </c>
      <c r="AA49" s="53" t="str">
        <f>IF(AND('Mapa final'!$AA$32="Muy Baja",'Mapa final'!$AC$32="Moderado"),CONCATENATE("R4C",'Mapa final'!$Q$32),"")</f>
        <v/>
      </c>
      <c r="AB49" s="36" t="str">
        <f>IF(AND('Mapa final'!$AA$27="Muy Baja",'Mapa final'!$AC$27="Mayor"),CONCATENATE("R4C",'Mapa final'!$Q$27),"")</f>
        <v/>
      </c>
      <c r="AC49" s="37" t="str">
        <f>IF(AND('Mapa final'!$AA$28="Muy Baja",'Mapa final'!$AC$28="Mayor"),CONCATENATE("R4C",'Mapa final'!$Q$28),"")</f>
        <v/>
      </c>
      <c r="AD49" s="37" t="str">
        <f>IF(AND('Mapa final'!$AA$29="Muy Baja",'Mapa final'!$AC$29="Mayor"),CONCATENATE("R4C",'Mapa final'!$Q$29),"")</f>
        <v/>
      </c>
      <c r="AE49" s="37" t="str">
        <f>IF(AND('Mapa final'!$AA$30="Muy Baja",'Mapa final'!$AC$30="Mayor"),CONCATENATE("R4C",'Mapa final'!$Q$30),"")</f>
        <v/>
      </c>
      <c r="AF49" s="37" t="str">
        <f>IF(AND('Mapa final'!$AA$31="Muy Baja",'Mapa final'!$AC$31="Mayor"),CONCATENATE("R4C",'Mapa final'!$Q$31),"")</f>
        <v/>
      </c>
      <c r="AG49" s="38" t="str">
        <f>IF(AND('Mapa final'!$AA$32="Muy Baja",'Mapa final'!$AC$32="Mayor"),CONCATENATE("R4C",'Mapa final'!$Q$32),"")</f>
        <v/>
      </c>
      <c r="AH49" s="39" t="str">
        <f>IF(AND('Mapa final'!$AA$27="Muy Baja",'Mapa final'!$AC$27="Catastrófico"),CONCATENATE("R4C",'Mapa final'!$Q$27),"")</f>
        <v/>
      </c>
      <c r="AI49" s="40" t="str">
        <f>IF(AND('Mapa final'!$AA$28="Muy Baja",'Mapa final'!$AC$28="Catastrófico"),CONCATENATE("R4C",'Mapa final'!$Q$28),"")</f>
        <v/>
      </c>
      <c r="AJ49" s="40" t="str">
        <f>IF(AND('Mapa final'!$AA$29="Muy Baja",'Mapa final'!$AC$29="Catastrófico"),CONCATENATE("R4C",'Mapa final'!$Q$29),"")</f>
        <v/>
      </c>
      <c r="AK49" s="40" t="str">
        <f>IF(AND('Mapa final'!$AA$30="Muy Baja",'Mapa final'!$AC$30="Catastrófico"),CONCATENATE("R4C",'Mapa final'!$Q$30),"")</f>
        <v/>
      </c>
      <c r="AL49" s="40" t="str">
        <f>IF(AND('Mapa final'!$AA$31="Muy Baja",'Mapa final'!$AC$31="Catastrófico"),CONCATENATE("R4C",'Mapa final'!$Q$31),"")</f>
        <v/>
      </c>
      <c r="AM49" s="41" t="str">
        <f>IF(AND('Mapa final'!$AA$32="Muy Baja",'Mapa final'!$AC$32="Catastrófico"),CONCATENATE("R4C",'Mapa final'!$Q$32),"")</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372"/>
      <c r="C50" s="372"/>
      <c r="D50" s="373"/>
      <c r="E50" s="413"/>
      <c r="F50" s="414"/>
      <c r="G50" s="414"/>
      <c r="H50" s="414"/>
      <c r="I50" s="415"/>
      <c r="J50" s="60" t="str">
        <f>IF(AND('Mapa final'!$AA$33="Muy Baja",'Mapa final'!$AC$33="Leve"),CONCATENATE("R5C",'Mapa final'!$Q$33),"")</f>
        <v/>
      </c>
      <c r="K50" s="61" t="str">
        <f>IF(AND('Mapa final'!$AA$34="Muy Baja",'Mapa final'!$AC$34="Leve"),CONCATENATE("R5C",'Mapa final'!$Q$34),"")</f>
        <v/>
      </c>
      <c r="L50" s="61" t="str">
        <f>IF(AND('Mapa final'!$AA$35="Muy Baja",'Mapa final'!$AC$35="Leve"),CONCATENATE("R5C",'Mapa final'!$Q$35),"")</f>
        <v/>
      </c>
      <c r="M50" s="61" t="str">
        <f>IF(AND('Mapa final'!$AA$36="Muy Baja",'Mapa final'!$AC$36="Leve"),CONCATENATE("R5C",'Mapa final'!$Q$36),"")</f>
        <v/>
      </c>
      <c r="N50" s="61" t="str">
        <f>IF(AND('Mapa final'!$AA$37="Muy Baja",'Mapa final'!$AC$37="Leve"),CONCATENATE("R5C",'Mapa final'!$Q$37),"")</f>
        <v/>
      </c>
      <c r="O50" s="62" t="str">
        <f>IF(AND('Mapa final'!$AA$38="Muy Baja",'Mapa final'!$AC$38="Leve"),CONCATENATE("R5C",'Mapa final'!$Q$38),"")</f>
        <v/>
      </c>
      <c r="P50" s="60" t="str">
        <f>IF(AND('Mapa final'!$AA$33="Muy Baja",'Mapa final'!$AC$33="Menor"),CONCATENATE("R5C",'Mapa final'!$Q$33),"")</f>
        <v/>
      </c>
      <c r="Q50" s="61" t="str">
        <f>IF(AND('Mapa final'!$AA$34="Muy Baja",'Mapa final'!$AC$34="Menor"),CONCATENATE("R5C",'Mapa final'!$Q$34),"")</f>
        <v/>
      </c>
      <c r="R50" s="61" t="str">
        <f>IF(AND('Mapa final'!$AA$35="Muy Baja",'Mapa final'!$AC$35="Menor"),CONCATENATE("R5C",'Mapa final'!$Q$35),"")</f>
        <v/>
      </c>
      <c r="S50" s="61" t="str">
        <f>IF(AND('Mapa final'!$AA$36="Muy Baja",'Mapa final'!$AC$36="Menor"),CONCATENATE("R5C",'Mapa final'!$Q$36),"")</f>
        <v/>
      </c>
      <c r="T50" s="61" t="str">
        <f>IF(AND('Mapa final'!$AA$37="Muy Baja",'Mapa final'!$AC$37="Menor"),CONCATENATE("R5C",'Mapa final'!$Q$37),"")</f>
        <v/>
      </c>
      <c r="U50" s="62" t="str">
        <f>IF(AND('Mapa final'!$AA$38="Muy Baja",'Mapa final'!$AC$38="Menor"),CONCATENATE("R5C",'Mapa final'!$Q$38),"")</f>
        <v/>
      </c>
      <c r="V50" s="51" t="str">
        <f>IF(AND('Mapa final'!$AA$33="Muy Baja",'Mapa final'!$AC$33="Moderado"),CONCATENATE("R5C",'Mapa final'!$Q$33),"")</f>
        <v/>
      </c>
      <c r="W50" s="52" t="str">
        <f>IF(AND('Mapa final'!$AA$34="Muy Baja",'Mapa final'!$AC$34="Moderado"),CONCATENATE("R5C",'Mapa final'!$Q$34),"")</f>
        <v/>
      </c>
      <c r="X50" s="52" t="str">
        <f>IF(AND('Mapa final'!$AA$35="Muy Baja",'Mapa final'!$AC$35="Moderado"),CONCATENATE("R5C",'Mapa final'!$Q$35),"")</f>
        <v/>
      </c>
      <c r="Y50" s="52" t="str">
        <f>IF(AND('Mapa final'!$AA$36="Muy Baja",'Mapa final'!$AC$36="Moderado"),CONCATENATE("R5C",'Mapa final'!$Q$36),"")</f>
        <v/>
      </c>
      <c r="Z50" s="52" t="str">
        <f>IF(AND('Mapa final'!$AA$37="Muy Baja",'Mapa final'!$AC$37="Moderado"),CONCATENATE("R5C",'Mapa final'!$Q$37),"")</f>
        <v/>
      </c>
      <c r="AA50" s="53" t="str">
        <f>IF(AND('Mapa final'!$AA$38="Muy Baja",'Mapa final'!$AC$38="Moderado"),CONCATENATE("R5C",'Mapa final'!$Q$38),"")</f>
        <v/>
      </c>
      <c r="AB50" s="36" t="str">
        <f>IF(AND('Mapa final'!$AA$33="Muy Baja",'Mapa final'!$AC$33="Mayor"),CONCATENATE("R5C",'Mapa final'!$Q$33),"")</f>
        <v/>
      </c>
      <c r="AC50" s="37" t="str">
        <f>IF(AND('Mapa final'!$AA$34="Muy Baja",'Mapa final'!$AC$34="Mayor"),CONCATENATE("R5C",'Mapa final'!$Q$34),"")</f>
        <v/>
      </c>
      <c r="AD50" s="37" t="str">
        <f>IF(AND('Mapa final'!$AA$35="Muy Baja",'Mapa final'!$AC$35="Mayor"),CONCATENATE("R5C",'Mapa final'!$Q$35),"")</f>
        <v/>
      </c>
      <c r="AE50" s="37" t="str">
        <f>IF(AND('Mapa final'!$AA$36="Muy Baja",'Mapa final'!$AC$36="Mayor"),CONCATENATE("R5C",'Mapa final'!$Q$36),"")</f>
        <v/>
      </c>
      <c r="AF50" s="37" t="str">
        <f>IF(AND('Mapa final'!$AA$37="Muy Baja",'Mapa final'!$AC$37="Mayor"),CONCATENATE("R5C",'Mapa final'!$Q$37),"")</f>
        <v/>
      </c>
      <c r="AG50" s="38" t="str">
        <f>IF(AND('Mapa final'!$AA$38="Muy Baja",'Mapa final'!$AC$38="Mayor"),CONCATENATE("R5C",'Mapa final'!$Q$38),"")</f>
        <v/>
      </c>
      <c r="AH50" s="39" t="str">
        <f>IF(AND('Mapa final'!$AA$33="Muy Baja",'Mapa final'!$AC$33="Catastrófico"),CONCATENATE("R5C",'Mapa final'!$Q$33),"")</f>
        <v/>
      </c>
      <c r="AI50" s="40" t="str">
        <f>IF(AND('Mapa final'!$AA$34="Muy Baja",'Mapa final'!$AC$34="Catastrófico"),CONCATENATE("R5C",'Mapa final'!$Q$34),"")</f>
        <v/>
      </c>
      <c r="AJ50" s="40" t="str">
        <f>IF(AND('Mapa final'!$AA$35="Muy Baja",'Mapa final'!$AC$35="Catastrófico"),CONCATENATE("R5C",'Mapa final'!$Q$35),"")</f>
        <v/>
      </c>
      <c r="AK50" s="40" t="str">
        <f>IF(AND('Mapa final'!$AA$36="Muy Baja",'Mapa final'!$AC$36="Catastrófico"),CONCATENATE("R5C",'Mapa final'!$Q$36),"")</f>
        <v/>
      </c>
      <c r="AL50" s="40" t="str">
        <f>IF(AND('Mapa final'!$AA$37="Muy Baja",'Mapa final'!$AC$37="Catastrófico"),CONCATENATE("R5C",'Mapa final'!$Q$37),"")</f>
        <v/>
      </c>
      <c r="AM50" s="41" t="str">
        <f>IF(AND('Mapa final'!$AA$38="Muy Baja",'Mapa final'!$AC$38="Catastrófico"),CONCATENATE("R5C",'Mapa final'!$Q$38),"")</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372"/>
      <c r="C51" s="372"/>
      <c r="D51" s="373"/>
      <c r="E51" s="413"/>
      <c r="F51" s="414"/>
      <c r="G51" s="414"/>
      <c r="H51" s="414"/>
      <c r="I51" s="415"/>
      <c r="J51" s="60" t="str">
        <f>IF(AND('Mapa final'!$AA$39="Muy Baja",'Mapa final'!$AC$39="Leve"),CONCATENATE("R6C",'Mapa final'!$Q$39),"")</f>
        <v/>
      </c>
      <c r="K51" s="61" t="str">
        <f>IF(AND('Mapa final'!$AA$40="Muy Baja",'Mapa final'!$AC$40="Leve"),CONCATENATE("R6C",'Mapa final'!$Q$40),"")</f>
        <v/>
      </c>
      <c r="L51" s="61" t="str">
        <f>IF(AND('Mapa final'!$AA$41="Muy Baja",'Mapa final'!$AC$41="Leve"),CONCATENATE("R6C",'Mapa final'!$Q$41),"")</f>
        <v/>
      </c>
      <c r="M51" s="61" t="str">
        <f>IF(AND('Mapa final'!$AA$42="Muy Baja",'Mapa final'!$AC$42="Leve"),CONCATENATE("R6C",'Mapa final'!$Q$42),"")</f>
        <v/>
      </c>
      <c r="N51" s="61" t="str">
        <f>IF(AND('Mapa final'!$AA$43="Muy Baja",'Mapa final'!$AC$43="Leve"),CONCATENATE("R6C",'Mapa final'!$Q$43),"")</f>
        <v/>
      </c>
      <c r="O51" s="62" t="str">
        <f>IF(AND('Mapa final'!$AA$44="Muy Baja",'Mapa final'!$AC$44="Leve"),CONCATENATE("R6C",'Mapa final'!$Q$44),"")</f>
        <v/>
      </c>
      <c r="P51" s="60" t="str">
        <f>IF(AND('Mapa final'!$AA$39="Muy Baja",'Mapa final'!$AC$39="Menor"),CONCATENATE("R6C",'Mapa final'!$Q$39),"")</f>
        <v/>
      </c>
      <c r="Q51" s="61" t="str">
        <f>IF(AND('Mapa final'!$AA$40="Muy Baja",'Mapa final'!$AC$40="Menor"),CONCATENATE("R6C",'Mapa final'!$Q$40),"")</f>
        <v/>
      </c>
      <c r="R51" s="61" t="str">
        <f>IF(AND('Mapa final'!$AA$41="Muy Baja",'Mapa final'!$AC$41="Menor"),CONCATENATE("R6C",'Mapa final'!$Q$41),"")</f>
        <v/>
      </c>
      <c r="S51" s="61" t="str">
        <f>IF(AND('Mapa final'!$AA$42="Muy Baja",'Mapa final'!$AC$42="Menor"),CONCATENATE("R6C",'Mapa final'!$Q$42),"")</f>
        <v/>
      </c>
      <c r="T51" s="61" t="str">
        <f>IF(AND('Mapa final'!$AA$43="Muy Baja",'Mapa final'!$AC$43="Menor"),CONCATENATE("R6C",'Mapa final'!$Q$43),"")</f>
        <v/>
      </c>
      <c r="U51" s="62" t="str">
        <f>IF(AND('Mapa final'!$AA$44="Muy Baja",'Mapa final'!$AC$44="Menor"),CONCATENATE("R6C",'Mapa final'!$Q$44),"")</f>
        <v/>
      </c>
      <c r="V51" s="51" t="str">
        <f>IF(AND('Mapa final'!$AA$39="Muy Baja",'Mapa final'!$AC$39="Moderado"),CONCATENATE("R6C",'Mapa final'!$Q$39),"")</f>
        <v/>
      </c>
      <c r="W51" s="52" t="str">
        <f>IF(AND('Mapa final'!$AA$40="Muy Baja",'Mapa final'!$AC$40="Moderado"),CONCATENATE("R6C",'Mapa final'!$Q$40),"")</f>
        <v/>
      </c>
      <c r="X51" s="52" t="str">
        <f>IF(AND('Mapa final'!$AA$41="Muy Baja",'Mapa final'!$AC$41="Moderado"),CONCATENATE("R6C",'Mapa final'!$Q$41),"")</f>
        <v/>
      </c>
      <c r="Y51" s="52" t="str">
        <f>IF(AND('Mapa final'!$AA$42="Muy Baja",'Mapa final'!$AC$42="Moderado"),CONCATENATE("R6C",'Mapa final'!$Q$42),"")</f>
        <v/>
      </c>
      <c r="Z51" s="52" t="str">
        <f>IF(AND('Mapa final'!$AA$43="Muy Baja",'Mapa final'!$AC$43="Moderado"),CONCATENATE("R6C",'Mapa final'!$Q$43),"")</f>
        <v/>
      </c>
      <c r="AA51" s="53" t="str">
        <f>IF(AND('Mapa final'!$AA$44="Muy Baja",'Mapa final'!$AC$44="Moderado"),CONCATENATE("R6C",'Mapa final'!$Q$44),"")</f>
        <v/>
      </c>
      <c r="AB51" s="36" t="str">
        <f>IF(AND('Mapa final'!$AA$39="Muy Baja",'Mapa final'!$AC$39="Mayor"),CONCATENATE("R6C",'Mapa final'!$Q$39),"")</f>
        <v/>
      </c>
      <c r="AC51" s="37" t="str">
        <f>IF(AND('Mapa final'!$AA$40="Muy Baja",'Mapa final'!$AC$40="Mayor"),CONCATENATE("R6C",'Mapa final'!$Q$40),"")</f>
        <v/>
      </c>
      <c r="AD51" s="37" t="str">
        <f>IF(AND('Mapa final'!$AA$41="Muy Baja",'Mapa final'!$AC$41="Mayor"),CONCATENATE("R6C",'Mapa final'!$Q$41),"")</f>
        <v/>
      </c>
      <c r="AE51" s="37" t="str">
        <f>IF(AND('Mapa final'!$AA$42="Muy Baja",'Mapa final'!$AC$42="Mayor"),CONCATENATE("R6C",'Mapa final'!$Q$42),"")</f>
        <v/>
      </c>
      <c r="AF51" s="37" t="str">
        <f>IF(AND('Mapa final'!$AA$43="Muy Baja",'Mapa final'!$AC$43="Mayor"),CONCATENATE("R6C",'Mapa final'!$Q$43),"")</f>
        <v/>
      </c>
      <c r="AG51" s="38" t="str">
        <f>IF(AND('Mapa final'!$AA$44="Muy Baja",'Mapa final'!$AC$44="Mayor"),CONCATENATE("R6C",'Mapa final'!$Q$44),"")</f>
        <v/>
      </c>
      <c r="AH51" s="39" t="str">
        <f>IF(AND('Mapa final'!$AA$39="Muy Baja",'Mapa final'!$AC$39="Catastrófico"),CONCATENATE("R6C",'Mapa final'!$Q$39),"")</f>
        <v/>
      </c>
      <c r="AI51" s="40" t="str">
        <f>IF(AND('Mapa final'!$AA$40="Muy Baja",'Mapa final'!$AC$40="Catastrófico"),CONCATENATE("R6C",'Mapa final'!$Q$40),"")</f>
        <v/>
      </c>
      <c r="AJ51" s="40" t="str">
        <f>IF(AND('Mapa final'!$AA$41="Muy Baja",'Mapa final'!$AC$41="Catastrófico"),CONCATENATE("R6C",'Mapa final'!$Q$41),"")</f>
        <v/>
      </c>
      <c r="AK51" s="40" t="str">
        <f>IF(AND('Mapa final'!$AA$42="Muy Baja",'Mapa final'!$AC$42="Catastrófico"),CONCATENATE("R6C",'Mapa final'!$Q$42),"")</f>
        <v/>
      </c>
      <c r="AL51" s="40" t="str">
        <f>IF(AND('Mapa final'!$AA$43="Muy Baja",'Mapa final'!$AC$43="Catastrófico"),CONCATENATE("R6C",'Mapa final'!$Q$43),"")</f>
        <v/>
      </c>
      <c r="AM51" s="41" t="str">
        <f>IF(AND('Mapa final'!$AA$44="Muy Baja",'Mapa final'!$AC$44="Catastrófico"),CONCATENATE("R6C",'Mapa final'!$Q$44),"")</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372"/>
      <c r="C52" s="372"/>
      <c r="D52" s="373"/>
      <c r="E52" s="413"/>
      <c r="F52" s="414"/>
      <c r="G52" s="414"/>
      <c r="H52" s="414"/>
      <c r="I52" s="415"/>
      <c r="J52" s="60" t="str">
        <f>IF(AND('Mapa final'!$AA$45="Muy Baja",'Mapa final'!$AC$45="Leve"),CONCATENATE("R7C",'Mapa final'!$Q$45),"")</f>
        <v/>
      </c>
      <c r="K52" s="61" t="str">
        <f>IF(AND('Mapa final'!$AA$46="Muy Baja",'Mapa final'!$AC$46="Leve"),CONCATENATE("R7C",'Mapa final'!$Q$46),"")</f>
        <v/>
      </c>
      <c r="L52" s="61" t="str">
        <f>IF(AND('Mapa final'!$AA$47="Muy Baja",'Mapa final'!$AC$47="Leve"),CONCATENATE("R7C",'Mapa final'!$Q$47),"")</f>
        <v/>
      </c>
      <c r="M52" s="61" t="str">
        <f>IF(AND('Mapa final'!$AA$48="Muy Baja",'Mapa final'!$AC$48="Leve"),CONCATENATE("R7C",'Mapa final'!$Q$48),"")</f>
        <v/>
      </c>
      <c r="N52" s="61" t="str">
        <f>IF(AND('Mapa final'!$AA$49="Muy Baja",'Mapa final'!$AC$49="Leve"),CONCATENATE("R7C",'Mapa final'!$Q$49),"")</f>
        <v/>
      </c>
      <c r="O52" s="62" t="str">
        <f>IF(AND('Mapa final'!$AA$50="Muy Baja",'Mapa final'!$AC$50="Leve"),CONCATENATE("R7C",'Mapa final'!$Q$50),"")</f>
        <v/>
      </c>
      <c r="P52" s="60" t="str">
        <f>IF(AND('Mapa final'!$AA$45="Muy Baja",'Mapa final'!$AC$45="Menor"),CONCATENATE("R7C",'Mapa final'!$Q$45),"")</f>
        <v/>
      </c>
      <c r="Q52" s="61" t="str">
        <f>IF(AND('Mapa final'!$AA$46="Muy Baja",'Mapa final'!$AC$46="Menor"),CONCATENATE("R7C",'Mapa final'!$Q$46),"")</f>
        <v/>
      </c>
      <c r="R52" s="61" t="str">
        <f>IF(AND('Mapa final'!$AA$47="Muy Baja",'Mapa final'!$AC$47="Menor"),CONCATENATE("R7C",'Mapa final'!$Q$47),"")</f>
        <v/>
      </c>
      <c r="S52" s="61" t="str">
        <f>IF(AND('Mapa final'!$AA$48="Muy Baja",'Mapa final'!$AC$48="Menor"),CONCATENATE("R7C",'Mapa final'!$Q$48),"")</f>
        <v/>
      </c>
      <c r="T52" s="61" t="str">
        <f>IF(AND('Mapa final'!$AA$49="Muy Baja",'Mapa final'!$AC$49="Menor"),CONCATENATE("R7C",'Mapa final'!$Q$49),"")</f>
        <v/>
      </c>
      <c r="U52" s="62" t="str">
        <f>IF(AND('Mapa final'!$AA$50="Muy Baja",'Mapa final'!$AC$50="Menor"),CONCATENATE("R7C",'Mapa final'!$Q$50),"")</f>
        <v/>
      </c>
      <c r="V52" s="51" t="str">
        <f>IF(AND('Mapa final'!$AA$45="Muy Baja",'Mapa final'!$AC$45="Moderado"),CONCATENATE("R7C",'Mapa final'!$Q$45),"")</f>
        <v/>
      </c>
      <c r="W52" s="52" t="str">
        <f>IF(AND('Mapa final'!$AA$46="Muy Baja",'Mapa final'!$AC$46="Moderado"),CONCATENATE("R7C",'Mapa final'!$Q$46),"")</f>
        <v/>
      </c>
      <c r="X52" s="52" t="str">
        <f>IF(AND('Mapa final'!$AA$47="Muy Baja",'Mapa final'!$AC$47="Moderado"),CONCATENATE("R7C",'Mapa final'!$Q$47),"")</f>
        <v/>
      </c>
      <c r="Y52" s="52" t="str">
        <f>IF(AND('Mapa final'!$AA$48="Muy Baja",'Mapa final'!$AC$48="Moderado"),CONCATENATE("R7C",'Mapa final'!$Q$48),"")</f>
        <v/>
      </c>
      <c r="Z52" s="52" t="str">
        <f>IF(AND('Mapa final'!$AA$49="Muy Baja",'Mapa final'!$AC$49="Moderado"),CONCATENATE("R7C",'Mapa final'!$Q$49),"")</f>
        <v/>
      </c>
      <c r="AA52" s="53" t="str">
        <f>IF(AND('Mapa final'!$AA$50="Muy Baja",'Mapa final'!$AC$50="Moderado"),CONCATENATE("R7C",'Mapa final'!$Q$50),"")</f>
        <v/>
      </c>
      <c r="AB52" s="36" t="str">
        <f>IF(AND('Mapa final'!$AA$45="Muy Baja",'Mapa final'!$AC$45="Mayor"),CONCATENATE("R7C",'Mapa final'!$Q$45),"")</f>
        <v/>
      </c>
      <c r="AC52" s="37" t="str">
        <f>IF(AND('Mapa final'!$AA$46="Muy Baja",'Mapa final'!$AC$46="Mayor"),CONCATENATE("R7C",'Mapa final'!$Q$46),"")</f>
        <v/>
      </c>
      <c r="AD52" s="37" t="str">
        <f>IF(AND('Mapa final'!$AA$47="Muy Baja",'Mapa final'!$AC$47="Mayor"),CONCATENATE("R7C",'Mapa final'!$Q$47),"")</f>
        <v/>
      </c>
      <c r="AE52" s="37" t="str">
        <f>IF(AND('Mapa final'!$AA$48="Muy Baja",'Mapa final'!$AC$48="Mayor"),CONCATENATE("R7C",'Mapa final'!$Q$48),"")</f>
        <v/>
      </c>
      <c r="AF52" s="37" t="str">
        <f>IF(AND('Mapa final'!$AA$49="Muy Baja",'Mapa final'!$AC$49="Mayor"),CONCATENATE("R7C",'Mapa final'!$Q$49),"")</f>
        <v/>
      </c>
      <c r="AG52" s="38" t="str">
        <f>IF(AND('Mapa final'!$AA$50="Muy Baja",'Mapa final'!$AC$50="Mayor"),CONCATENATE("R7C",'Mapa final'!$Q$50),"")</f>
        <v/>
      </c>
      <c r="AH52" s="39" t="str">
        <f>IF(AND('Mapa final'!$AA$45="Muy Baja",'Mapa final'!$AC$45="Catastrófico"),CONCATENATE("R7C",'Mapa final'!$Q$45),"")</f>
        <v/>
      </c>
      <c r="AI52" s="40" t="str">
        <f>IF(AND('Mapa final'!$AA$46="Muy Baja",'Mapa final'!$AC$46="Catastrófico"),CONCATENATE("R7C",'Mapa final'!$Q$46),"")</f>
        <v/>
      </c>
      <c r="AJ52" s="40" t="str">
        <f>IF(AND('Mapa final'!$AA$47="Muy Baja",'Mapa final'!$AC$47="Catastrófico"),CONCATENATE("R7C",'Mapa final'!$Q$47),"")</f>
        <v/>
      </c>
      <c r="AK52" s="40" t="str">
        <f>IF(AND('Mapa final'!$AA$48="Muy Baja",'Mapa final'!$AC$48="Catastrófico"),CONCATENATE("R7C",'Mapa final'!$Q$48),"")</f>
        <v/>
      </c>
      <c r="AL52" s="40" t="str">
        <f>IF(AND('Mapa final'!$AA$49="Muy Baja",'Mapa final'!$AC$49="Catastrófico"),CONCATENATE("R7C",'Mapa final'!$Q$49),"")</f>
        <v/>
      </c>
      <c r="AM52" s="41" t="str">
        <f>IF(AND('Mapa final'!$AA$50="Muy Baja",'Mapa final'!$AC$50="Catastrófico"),CONCATENATE("R7C",'Mapa final'!$Q$50),"")</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372"/>
      <c r="C53" s="372"/>
      <c r="D53" s="373"/>
      <c r="E53" s="413"/>
      <c r="F53" s="414"/>
      <c r="G53" s="414"/>
      <c r="H53" s="414"/>
      <c r="I53" s="415"/>
      <c r="J53" s="60" t="str">
        <f>IF(AND('Mapa final'!$AA$51="Muy Baja",'Mapa final'!$AC$51="Leve"),CONCATENATE("R8C",'Mapa final'!$Q$51),"")</f>
        <v/>
      </c>
      <c r="K53" s="61" t="str">
        <f>IF(AND('Mapa final'!$AA$52="Muy Baja",'Mapa final'!$AC$52="Leve"),CONCATENATE("R8C",'Mapa final'!$Q$52),"")</f>
        <v/>
      </c>
      <c r="L53" s="61" t="str">
        <f>IF(AND('Mapa final'!$AA$53="Muy Baja",'Mapa final'!$AC$53="Leve"),CONCATENATE("R8C",'Mapa final'!$Q$53),"")</f>
        <v/>
      </c>
      <c r="M53" s="61" t="str">
        <f>IF(AND('Mapa final'!$AA$54="Muy Baja",'Mapa final'!$AC$54="Leve"),CONCATENATE("R8C",'Mapa final'!$Q$54),"")</f>
        <v/>
      </c>
      <c r="N53" s="61" t="str">
        <f>IF(AND('Mapa final'!$AA$55="Muy Baja",'Mapa final'!$AC$55="Leve"),CONCATENATE("R8C",'Mapa final'!$Q$55),"")</f>
        <v/>
      </c>
      <c r="O53" s="62" t="str">
        <f>IF(AND('Mapa final'!$AA$56="Muy Baja",'Mapa final'!$AC$56="Leve"),CONCATENATE("R8C",'Mapa final'!$Q$56),"")</f>
        <v/>
      </c>
      <c r="P53" s="60" t="str">
        <f>IF(AND('Mapa final'!$AA$51="Muy Baja",'Mapa final'!$AC$51="Menor"),CONCATENATE("R8C",'Mapa final'!$Q$51),"")</f>
        <v/>
      </c>
      <c r="Q53" s="61" t="str">
        <f>IF(AND('Mapa final'!$AA$52="Muy Baja",'Mapa final'!$AC$52="Menor"),CONCATENATE("R8C",'Mapa final'!$Q$52),"")</f>
        <v/>
      </c>
      <c r="R53" s="61" t="str">
        <f>IF(AND('Mapa final'!$AA$53="Muy Baja",'Mapa final'!$AC$53="Menor"),CONCATENATE("R8C",'Mapa final'!$Q$53),"")</f>
        <v/>
      </c>
      <c r="S53" s="61" t="str">
        <f>IF(AND('Mapa final'!$AA$54="Muy Baja",'Mapa final'!$AC$54="Menor"),CONCATENATE("R8C",'Mapa final'!$Q$54),"")</f>
        <v/>
      </c>
      <c r="T53" s="61" t="str">
        <f>IF(AND('Mapa final'!$AA$55="Muy Baja",'Mapa final'!$AC$55="Menor"),CONCATENATE("R8C",'Mapa final'!$Q$55),"")</f>
        <v/>
      </c>
      <c r="U53" s="62" t="str">
        <f>IF(AND('Mapa final'!$AA$56="Muy Baja",'Mapa final'!$AC$56="Menor"),CONCATENATE("R8C",'Mapa final'!$Q$56),"")</f>
        <v/>
      </c>
      <c r="V53" s="51" t="str">
        <f>IF(AND('Mapa final'!$AA$51="Muy Baja",'Mapa final'!$AC$51="Moderado"),CONCATENATE("R8C",'Mapa final'!$Q$51),"")</f>
        <v/>
      </c>
      <c r="W53" s="52" t="str">
        <f>IF(AND('Mapa final'!$AA$52="Muy Baja",'Mapa final'!$AC$52="Moderado"),CONCATENATE("R8C",'Mapa final'!$Q$52),"")</f>
        <v/>
      </c>
      <c r="X53" s="52" t="str">
        <f>IF(AND('Mapa final'!$AA$53="Muy Baja",'Mapa final'!$AC$53="Moderado"),CONCATENATE("R8C",'Mapa final'!$Q$53),"")</f>
        <v/>
      </c>
      <c r="Y53" s="52" t="str">
        <f>IF(AND('Mapa final'!$AA$54="Muy Baja",'Mapa final'!$AC$54="Moderado"),CONCATENATE("R8C",'Mapa final'!$Q$54),"")</f>
        <v/>
      </c>
      <c r="Z53" s="52" t="str">
        <f>IF(AND('Mapa final'!$AA$55="Muy Baja",'Mapa final'!$AC$55="Moderado"),CONCATENATE("R8C",'Mapa final'!$Q$55),"")</f>
        <v/>
      </c>
      <c r="AA53" s="53" t="str">
        <f>IF(AND('Mapa final'!$AA$56="Muy Baja",'Mapa final'!$AC$56="Moderado"),CONCATENATE("R8C",'Mapa final'!$Q$56),"")</f>
        <v/>
      </c>
      <c r="AB53" s="36" t="str">
        <f>IF(AND('Mapa final'!$AA$51="Muy Baja",'Mapa final'!$AC$51="Mayor"),CONCATENATE("R8C",'Mapa final'!$Q$51),"")</f>
        <v/>
      </c>
      <c r="AC53" s="37" t="str">
        <f>IF(AND('Mapa final'!$AA$52="Muy Baja",'Mapa final'!$AC$52="Mayor"),CONCATENATE("R8C",'Mapa final'!$Q$52),"")</f>
        <v/>
      </c>
      <c r="AD53" s="37" t="str">
        <f>IF(AND('Mapa final'!$AA$53="Muy Baja",'Mapa final'!$AC$53="Mayor"),CONCATENATE("R8C",'Mapa final'!$Q$53),"")</f>
        <v/>
      </c>
      <c r="AE53" s="37" t="str">
        <f>IF(AND('Mapa final'!$AA$54="Muy Baja",'Mapa final'!$AC$54="Mayor"),CONCATENATE("R8C",'Mapa final'!$Q$54),"")</f>
        <v/>
      </c>
      <c r="AF53" s="37" t="str">
        <f>IF(AND('Mapa final'!$AA$55="Muy Baja",'Mapa final'!$AC$55="Mayor"),CONCATENATE("R8C",'Mapa final'!$Q$55),"")</f>
        <v/>
      </c>
      <c r="AG53" s="38" t="str">
        <f>IF(AND('Mapa final'!$AA$56="Muy Baja",'Mapa final'!$AC$56="Mayor"),CONCATENATE("R8C",'Mapa final'!$Q$56),"")</f>
        <v/>
      </c>
      <c r="AH53" s="39" t="str">
        <f>IF(AND('Mapa final'!$AA$51="Muy Baja",'Mapa final'!$AC$51="Catastrófico"),CONCATENATE("R8C",'Mapa final'!$Q$51),"")</f>
        <v/>
      </c>
      <c r="AI53" s="40" t="str">
        <f>IF(AND('Mapa final'!$AA$52="Muy Baja",'Mapa final'!$AC$52="Catastrófico"),CONCATENATE("R8C",'Mapa final'!$Q$52),"")</f>
        <v/>
      </c>
      <c r="AJ53" s="40" t="str">
        <f>IF(AND('Mapa final'!$AA$53="Muy Baja",'Mapa final'!$AC$53="Catastrófico"),CONCATENATE("R8C",'Mapa final'!$Q$53),"")</f>
        <v/>
      </c>
      <c r="AK53" s="40" t="str">
        <f>IF(AND('Mapa final'!$AA$54="Muy Baja",'Mapa final'!$AC$54="Catastrófico"),CONCATENATE("R8C",'Mapa final'!$Q$54),"")</f>
        <v/>
      </c>
      <c r="AL53" s="40" t="str">
        <f>IF(AND('Mapa final'!$AA$55="Muy Baja",'Mapa final'!$AC$55="Catastrófico"),CONCATENATE("R8C",'Mapa final'!$Q$55),"")</f>
        <v/>
      </c>
      <c r="AM53" s="41" t="str">
        <f>IF(AND('Mapa final'!$AA$56="Muy Baja",'Mapa final'!$AC$56="Catastrófico"),CONCATENATE("R8C",'Mapa final'!$Q$56),"")</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372"/>
      <c r="C54" s="372"/>
      <c r="D54" s="373"/>
      <c r="E54" s="413"/>
      <c r="F54" s="414"/>
      <c r="G54" s="414"/>
      <c r="H54" s="414"/>
      <c r="I54" s="415"/>
      <c r="J54" s="60" t="str">
        <f>IF(AND('Mapa final'!$AA$57="Muy Baja",'Mapa final'!$AC$57="Leve"),CONCATENATE("R9C",'Mapa final'!$Q$57),"")</f>
        <v/>
      </c>
      <c r="K54" s="61" t="str">
        <f>IF(AND('Mapa final'!$AA$58="Muy Baja",'Mapa final'!$AC$58="Leve"),CONCATENATE("R9C",'Mapa final'!$Q$58),"")</f>
        <v/>
      </c>
      <c r="L54" s="61" t="str">
        <f>IF(AND('Mapa final'!$AA$59="Muy Baja",'Mapa final'!$AC$59="Leve"),CONCATENATE("R9C",'Mapa final'!$Q$59),"")</f>
        <v/>
      </c>
      <c r="M54" s="61" t="str">
        <f>IF(AND('Mapa final'!$AA$60="Muy Baja",'Mapa final'!$AC$60="Leve"),CONCATENATE("R9C",'Mapa final'!$Q$60),"")</f>
        <v/>
      </c>
      <c r="N54" s="61" t="str">
        <f>IF(AND('Mapa final'!$AA$61="Muy Baja",'Mapa final'!$AC$61="Leve"),CONCATENATE("R9C",'Mapa final'!$Q$61),"")</f>
        <v/>
      </c>
      <c r="O54" s="62" t="str">
        <f>IF(AND('Mapa final'!$AA$62="Muy Baja",'Mapa final'!$AC$62="Leve"),CONCATENATE("R9C",'Mapa final'!$Q$62),"")</f>
        <v/>
      </c>
      <c r="P54" s="60" t="str">
        <f>IF(AND('Mapa final'!$AA$57="Muy Baja",'Mapa final'!$AC$57="Menor"),CONCATENATE("R9C",'Mapa final'!$Q$57),"")</f>
        <v/>
      </c>
      <c r="Q54" s="61" t="str">
        <f>IF(AND('Mapa final'!$AA$58="Muy Baja",'Mapa final'!$AC$58="Menor"),CONCATENATE("R9C",'Mapa final'!$Q$58),"")</f>
        <v/>
      </c>
      <c r="R54" s="61" t="str">
        <f>IF(AND('Mapa final'!$AA$59="Muy Baja",'Mapa final'!$AC$59="Menor"),CONCATENATE("R9C",'Mapa final'!$Q$59),"")</f>
        <v/>
      </c>
      <c r="S54" s="61" t="str">
        <f>IF(AND('Mapa final'!$AA$60="Muy Baja",'Mapa final'!$AC$60="Menor"),CONCATENATE("R9C",'Mapa final'!$Q$60),"")</f>
        <v/>
      </c>
      <c r="T54" s="61" t="str">
        <f>IF(AND('Mapa final'!$AA$61="Muy Baja",'Mapa final'!$AC$61="Menor"),CONCATENATE("R9C",'Mapa final'!$Q$61),"")</f>
        <v/>
      </c>
      <c r="U54" s="62" t="str">
        <f>IF(AND('Mapa final'!$AA$62="Muy Baja",'Mapa final'!$AC$62="Menor"),CONCATENATE("R9C",'Mapa final'!$Q$62),"")</f>
        <v/>
      </c>
      <c r="V54" s="51" t="str">
        <f>IF(AND('Mapa final'!$AA$57="Muy Baja",'Mapa final'!$AC$57="Moderado"),CONCATENATE("R9C",'Mapa final'!$Q$57),"")</f>
        <v/>
      </c>
      <c r="W54" s="52" t="str">
        <f>IF(AND('Mapa final'!$AA$58="Muy Baja",'Mapa final'!$AC$58="Moderado"),CONCATENATE("R9C",'Mapa final'!$Q$58),"")</f>
        <v/>
      </c>
      <c r="X54" s="52" t="str">
        <f>IF(AND('Mapa final'!$AA$59="Muy Baja",'Mapa final'!$AC$59="Moderado"),CONCATENATE("R9C",'Mapa final'!$Q$59),"")</f>
        <v/>
      </c>
      <c r="Y54" s="52" t="str">
        <f>IF(AND('Mapa final'!$AA$60="Muy Baja",'Mapa final'!$AC$60="Moderado"),CONCATENATE("R9C",'Mapa final'!$Q$60),"")</f>
        <v/>
      </c>
      <c r="Z54" s="52" t="str">
        <f>IF(AND('Mapa final'!$AA$61="Muy Baja",'Mapa final'!$AC$61="Moderado"),CONCATENATE("R9C",'Mapa final'!$Q$61),"")</f>
        <v/>
      </c>
      <c r="AA54" s="53" t="str">
        <f>IF(AND('Mapa final'!$AA$62="Muy Baja",'Mapa final'!$AC$62="Moderado"),CONCATENATE("R9C",'Mapa final'!$Q$62),"")</f>
        <v/>
      </c>
      <c r="AB54" s="36" t="str">
        <f>IF(AND('Mapa final'!$AA$57="Muy Baja",'Mapa final'!$AC$57="Mayor"),CONCATENATE("R9C",'Mapa final'!$Q$57),"")</f>
        <v/>
      </c>
      <c r="AC54" s="37" t="str">
        <f>IF(AND('Mapa final'!$AA$58="Muy Baja",'Mapa final'!$AC$58="Mayor"),CONCATENATE("R9C",'Mapa final'!$Q$58),"")</f>
        <v/>
      </c>
      <c r="AD54" s="37" t="str">
        <f>IF(AND('Mapa final'!$AA$59="Muy Baja",'Mapa final'!$AC$59="Mayor"),CONCATENATE("R9C",'Mapa final'!$Q$59),"")</f>
        <v/>
      </c>
      <c r="AE54" s="37" t="str">
        <f>IF(AND('Mapa final'!$AA$60="Muy Baja",'Mapa final'!$AC$60="Mayor"),CONCATENATE("R9C",'Mapa final'!$Q$60),"")</f>
        <v/>
      </c>
      <c r="AF54" s="37" t="str">
        <f>IF(AND('Mapa final'!$AA$61="Muy Baja",'Mapa final'!$AC$61="Mayor"),CONCATENATE("R9C",'Mapa final'!$Q$61),"")</f>
        <v/>
      </c>
      <c r="AG54" s="38" t="str">
        <f>IF(AND('Mapa final'!$AA$62="Muy Baja",'Mapa final'!$AC$62="Mayor"),CONCATENATE("R9C",'Mapa final'!$Q$62),"")</f>
        <v/>
      </c>
      <c r="AH54" s="39" t="str">
        <f>IF(AND('Mapa final'!$AA$57="Muy Baja",'Mapa final'!$AC$57="Catastrófico"),CONCATENATE("R9C",'Mapa final'!$Q$57),"")</f>
        <v/>
      </c>
      <c r="AI54" s="40" t="str">
        <f>IF(AND('Mapa final'!$AA$58="Muy Baja",'Mapa final'!$AC$58="Catastrófico"),CONCATENATE("R9C",'Mapa final'!$Q$58),"")</f>
        <v/>
      </c>
      <c r="AJ54" s="40" t="str">
        <f>IF(AND('Mapa final'!$AA$59="Muy Baja",'Mapa final'!$AC$59="Catastrófico"),CONCATENATE("R9C",'Mapa final'!$Q$59),"")</f>
        <v/>
      </c>
      <c r="AK54" s="40" t="str">
        <f>IF(AND('Mapa final'!$AA$60="Muy Baja",'Mapa final'!$AC$60="Catastrófico"),CONCATENATE("R9C",'Mapa final'!$Q$60),"")</f>
        <v/>
      </c>
      <c r="AL54" s="40" t="str">
        <f>IF(AND('Mapa final'!$AA$61="Muy Baja",'Mapa final'!$AC$61="Catastrófico"),CONCATENATE("R9C",'Mapa final'!$Q$61),"")</f>
        <v/>
      </c>
      <c r="AM54" s="41" t="str">
        <f>IF(AND('Mapa final'!$AA$62="Muy Baja",'Mapa final'!$AC$62="Catastrófico"),CONCATENATE("R9C",'Mapa final'!$Q$62),"")</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372"/>
      <c r="C55" s="372"/>
      <c r="D55" s="373"/>
      <c r="E55" s="416"/>
      <c r="F55" s="417"/>
      <c r="G55" s="417"/>
      <c r="H55" s="417"/>
      <c r="I55" s="418"/>
      <c r="J55" s="63" t="str">
        <f>IF(AND('Mapa final'!$AA$63="Muy Baja",'Mapa final'!$AC$63="Leve"),CONCATENATE("R10C",'Mapa final'!$Q$63),"")</f>
        <v/>
      </c>
      <c r="K55" s="64" t="str">
        <f>IF(AND('Mapa final'!$AA$64="Muy Baja",'Mapa final'!$AC$64="Leve"),CONCATENATE("R10C",'Mapa final'!$Q$64),"")</f>
        <v/>
      </c>
      <c r="L55" s="64" t="str">
        <f>IF(AND('Mapa final'!$AA$65="Muy Baja",'Mapa final'!$AC$65="Leve"),CONCATENATE("R10C",'Mapa final'!$Q$65),"")</f>
        <v/>
      </c>
      <c r="M55" s="64" t="str">
        <f>IF(AND('Mapa final'!$AA$66="Muy Baja",'Mapa final'!$AC$66="Leve"),CONCATENATE("R10C",'Mapa final'!$Q$66),"")</f>
        <v/>
      </c>
      <c r="N55" s="64" t="str">
        <f>IF(AND('Mapa final'!$AA$67="Muy Baja",'Mapa final'!$AC$67="Leve"),CONCATENATE("R10C",'Mapa final'!$Q$67),"")</f>
        <v/>
      </c>
      <c r="O55" s="65" t="str">
        <f>IF(AND('Mapa final'!$AA$68="Muy Baja",'Mapa final'!$AC$68="Leve"),CONCATENATE("R10C",'Mapa final'!$Q$68),"")</f>
        <v/>
      </c>
      <c r="P55" s="63" t="str">
        <f>IF(AND('Mapa final'!$AA$63="Muy Baja",'Mapa final'!$AC$63="Menor"),CONCATENATE("R10C",'Mapa final'!$Q$63),"")</f>
        <v/>
      </c>
      <c r="Q55" s="64" t="str">
        <f>IF(AND('Mapa final'!$AA$64="Muy Baja",'Mapa final'!$AC$64="Menor"),CONCATENATE("R10C",'Mapa final'!$Q$64),"")</f>
        <v/>
      </c>
      <c r="R55" s="64" t="str">
        <f>IF(AND('Mapa final'!$AA$65="Muy Baja",'Mapa final'!$AC$65="Menor"),CONCATENATE("R10C",'Mapa final'!$Q$65),"")</f>
        <v/>
      </c>
      <c r="S55" s="64" t="str">
        <f>IF(AND('Mapa final'!$AA$66="Muy Baja",'Mapa final'!$AC$66="Menor"),CONCATENATE("R10C",'Mapa final'!$Q$66),"")</f>
        <v/>
      </c>
      <c r="T55" s="64" t="str">
        <f>IF(AND('Mapa final'!$AA$67="Muy Baja",'Mapa final'!$AC$67="Menor"),CONCATENATE("R10C",'Mapa final'!$Q$67),"")</f>
        <v/>
      </c>
      <c r="U55" s="65" t="str">
        <f>IF(AND('Mapa final'!$AA$68="Muy Baja",'Mapa final'!$AC$68="Menor"),CONCATENATE("R10C",'Mapa final'!$Q$68),"")</f>
        <v/>
      </c>
      <c r="V55" s="54" t="str">
        <f>IF(AND('Mapa final'!$AA$63="Muy Baja",'Mapa final'!$AC$63="Moderado"),CONCATENATE("R10C",'Mapa final'!$Q$63),"")</f>
        <v/>
      </c>
      <c r="W55" s="55" t="str">
        <f>IF(AND('Mapa final'!$AA$64="Muy Baja",'Mapa final'!$AC$64="Moderado"),CONCATENATE("R10C",'Mapa final'!$Q$64),"")</f>
        <v/>
      </c>
      <c r="X55" s="55" t="str">
        <f>IF(AND('Mapa final'!$AA$65="Muy Baja",'Mapa final'!$AC$65="Moderado"),CONCATENATE("R10C",'Mapa final'!$Q$65),"")</f>
        <v/>
      </c>
      <c r="Y55" s="55" t="str">
        <f>IF(AND('Mapa final'!$AA$66="Muy Baja",'Mapa final'!$AC$66="Moderado"),CONCATENATE("R10C",'Mapa final'!$Q$66),"")</f>
        <v/>
      </c>
      <c r="Z55" s="55" t="str">
        <f>IF(AND('Mapa final'!$AA$67="Muy Baja",'Mapa final'!$AC$67="Moderado"),CONCATENATE("R10C",'Mapa final'!$Q$67),"")</f>
        <v/>
      </c>
      <c r="AA55" s="56" t="str">
        <f>IF(AND('Mapa final'!$AA$68="Muy Baja",'Mapa final'!$AC$68="Moderado"),CONCATENATE("R10C",'Mapa final'!$Q$68),"")</f>
        <v/>
      </c>
      <c r="AB55" s="42" t="str">
        <f>IF(AND('Mapa final'!$AA$63="Muy Baja",'Mapa final'!$AC$63="Mayor"),CONCATENATE("R10C",'Mapa final'!$Q$63),"")</f>
        <v/>
      </c>
      <c r="AC55" s="43" t="str">
        <f>IF(AND('Mapa final'!$AA$64="Muy Baja",'Mapa final'!$AC$64="Mayor"),CONCATENATE("R10C",'Mapa final'!$Q$64),"")</f>
        <v/>
      </c>
      <c r="AD55" s="43" t="str">
        <f>IF(AND('Mapa final'!$AA$65="Muy Baja",'Mapa final'!$AC$65="Mayor"),CONCATENATE("R10C",'Mapa final'!$Q$65),"")</f>
        <v/>
      </c>
      <c r="AE55" s="43" t="str">
        <f>IF(AND('Mapa final'!$AA$66="Muy Baja",'Mapa final'!$AC$66="Mayor"),CONCATENATE("R10C",'Mapa final'!$Q$66),"")</f>
        <v/>
      </c>
      <c r="AF55" s="43" t="str">
        <f>IF(AND('Mapa final'!$AA$67="Muy Baja",'Mapa final'!$AC$67="Mayor"),CONCATENATE("R10C",'Mapa final'!$Q$67),"")</f>
        <v/>
      </c>
      <c r="AG55" s="44" t="str">
        <f>IF(AND('Mapa final'!$AA$68="Muy Baja",'Mapa final'!$AC$68="Mayor"),CONCATENATE("R10C",'Mapa final'!$Q$68),"")</f>
        <v/>
      </c>
      <c r="AH55" s="45" t="str">
        <f>IF(AND('Mapa final'!$AA$63="Muy Baja",'Mapa final'!$AC$63="Catastrófico"),CONCATENATE("R10C",'Mapa final'!$Q$63),"")</f>
        <v/>
      </c>
      <c r="AI55" s="46" t="str">
        <f>IF(AND('Mapa final'!$AA$64="Muy Baja",'Mapa final'!$AC$64="Catastrófico"),CONCATENATE("R10C",'Mapa final'!$Q$64),"")</f>
        <v/>
      </c>
      <c r="AJ55" s="46" t="str">
        <f>IF(AND('Mapa final'!$AA$65="Muy Baja",'Mapa final'!$AC$65="Catastrófico"),CONCATENATE("R10C",'Mapa final'!$Q$65),"")</f>
        <v/>
      </c>
      <c r="AK55" s="46" t="str">
        <f>IF(AND('Mapa final'!$AA$66="Muy Baja",'Mapa final'!$AC$66="Catastrófico"),CONCATENATE("R10C",'Mapa final'!$Q$66),"")</f>
        <v/>
      </c>
      <c r="AL55" s="46" t="str">
        <f>IF(AND('Mapa final'!$AA$67="Muy Baja",'Mapa final'!$AC$67="Catastrófico"),CONCATENATE("R10C",'Mapa final'!$Q$67),"")</f>
        <v/>
      </c>
      <c r="AM55" s="47" t="str">
        <f>IF(AND('Mapa final'!$AA$68="Muy Baja",'Mapa final'!$AC$68="Catastrófico"),CONCATENATE("R10C",'Mapa final'!$Q$68),"")</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410" t="s">
        <v>106</v>
      </c>
      <c r="K56" s="411"/>
      <c r="L56" s="411"/>
      <c r="M56" s="411"/>
      <c r="N56" s="411"/>
      <c r="O56" s="412"/>
      <c r="P56" s="410" t="s">
        <v>105</v>
      </c>
      <c r="Q56" s="411"/>
      <c r="R56" s="411"/>
      <c r="S56" s="411"/>
      <c r="T56" s="411"/>
      <c r="U56" s="412"/>
      <c r="V56" s="410" t="s">
        <v>104</v>
      </c>
      <c r="W56" s="411"/>
      <c r="X56" s="411"/>
      <c r="Y56" s="411"/>
      <c r="Z56" s="411"/>
      <c r="AA56" s="412"/>
      <c r="AB56" s="410" t="s">
        <v>103</v>
      </c>
      <c r="AC56" s="419"/>
      <c r="AD56" s="411"/>
      <c r="AE56" s="411"/>
      <c r="AF56" s="411"/>
      <c r="AG56" s="412"/>
      <c r="AH56" s="410" t="s">
        <v>102</v>
      </c>
      <c r="AI56" s="411"/>
      <c r="AJ56" s="411"/>
      <c r="AK56" s="411"/>
      <c r="AL56" s="411"/>
      <c r="AM56" s="412"/>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413"/>
      <c r="K57" s="414"/>
      <c r="L57" s="414"/>
      <c r="M57" s="414"/>
      <c r="N57" s="414"/>
      <c r="O57" s="415"/>
      <c r="P57" s="413"/>
      <c r="Q57" s="414"/>
      <c r="R57" s="414"/>
      <c r="S57" s="414"/>
      <c r="T57" s="414"/>
      <c r="U57" s="415"/>
      <c r="V57" s="413"/>
      <c r="W57" s="414"/>
      <c r="X57" s="414"/>
      <c r="Y57" s="414"/>
      <c r="Z57" s="414"/>
      <c r="AA57" s="415"/>
      <c r="AB57" s="413"/>
      <c r="AC57" s="414"/>
      <c r="AD57" s="414"/>
      <c r="AE57" s="414"/>
      <c r="AF57" s="414"/>
      <c r="AG57" s="415"/>
      <c r="AH57" s="413"/>
      <c r="AI57" s="414"/>
      <c r="AJ57" s="414"/>
      <c r="AK57" s="414"/>
      <c r="AL57" s="414"/>
      <c r="AM57" s="415"/>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413"/>
      <c r="K58" s="414"/>
      <c r="L58" s="414"/>
      <c r="M58" s="414"/>
      <c r="N58" s="414"/>
      <c r="O58" s="415"/>
      <c r="P58" s="413"/>
      <c r="Q58" s="414"/>
      <c r="R58" s="414"/>
      <c r="S58" s="414"/>
      <c r="T58" s="414"/>
      <c r="U58" s="415"/>
      <c r="V58" s="413"/>
      <c r="W58" s="414"/>
      <c r="X58" s="414"/>
      <c r="Y58" s="414"/>
      <c r="Z58" s="414"/>
      <c r="AA58" s="415"/>
      <c r="AB58" s="413"/>
      <c r="AC58" s="414"/>
      <c r="AD58" s="414"/>
      <c r="AE58" s="414"/>
      <c r="AF58" s="414"/>
      <c r="AG58" s="415"/>
      <c r="AH58" s="413"/>
      <c r="AI58" s="414"/>
      <c r="AJ58" s="414"/>
      <c r="AK58" s="414"/>
      <c r="AL58" s="414"/>
      <c r="AM58" s="415"/>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413"/>
      <c r="K59" s="414"/>
      <c r="L59" s="414"/>
      <c r="M59" s="414"/>
      <c r="N59" s="414"/>
      <c r="O59" s="415"/>
      <c r="P59" s="413"/>
      <c r="Q59" s="414"/>
      <c r="R59" s="414"/>
      <c r="S59" s="414"/>
      <c r="T59" s="414"/>
      <c r="U59" s="415"/>
      <c r="V59" s="413"/>
      <c r="W59" s="414"/>
      <c r="X59" s="414"/>
      <c r="Y59" s="414"/>
      <c r="Z59" s="414"/>
      <c r="AA59" s="415"/>
      <c r="AB59" s="413"/>
      <c r="AC59" s="414"/>
      <c r="AD59" s="414"/>
      <c r="AE59" s="414"/>
      <c r="AF59" s="414"/>
      <c r="AG59" s="415"/>
      <c r="AH59" s="413"/>
      <c r="AI59" s="414"/>
      <c r="AJ59" s="414"/>
      <c r="AK59" s="414"/>
      <c r="AL59" s="414"/>
      <c r="AM59" s="415"/>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413"/>
      <c r="K60" s="414"/>
      <c r="L60" s="414"/>
      <c r="M60" s="414"/>
      <c r="N60" s="414"/>
      <c r="O60" s="415"/>
      <c r="P60" s="413"/>
      <c r="Q60" s="414"/>
      <c r="R60" s="414"/>
      <c r="S60" s="414"/>
      <c r="T60" s="414"/>
      <c r="U60" s="415"/>
      <c r="V60" s="413"/>
      <c r="W60" s="414"/>
      <c r="X60" s="414"/>
      <c r="Y60" s="414"/>
      <c r="Z60" s="414"/>
      <c r="AA60" s="415"/>
      <c r="AB60" s="413"/>
      <c r="AC60" s="414"/>
      <c r="AD60" s="414"/>
      <c r="AE60" s="414"/>
      <c r="AF60" s="414"/>
      <c r="AG60" s="415"/>
      <c r="AH60" s="413"/>
      <c r="AI60" s="414"/>
      <c r="AJ60" s="414"/>
      <c r="AK60" s="414"/>
      <c r="AL60" s="414"/>
      <c r="AM60" s="415"/>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416"/>
      <c r="K61" s="417"/>
      <c r="L61" s="417"/>
      <c r="M61" s="417"/>
      <c r="N61" s="417"/>
      <c r="O61" s="418"/>
      <c r="P61" s="416"/>
      <c r="Q61" s="417"/>
      <c r="R61" s="417"/>
      <c r="S61" s="417"/>
      <c r="T61" s="417"/>
      <c r="U61" s="418"/>
      <c r="V61" s="416"/>
      <c r="W61" s="417"/>
      <c r="X61" s="417"/>
      <c r="Y61" s="417"/>
      <c r="Z61" s="417"/>
      <c r="AA61" s="418"/>
      <c r="AB61" s="416"/>
      <c r="AC61" s="417"/>
      <c r="AD61" s="417"/>
      <c r="AE61" s="417"/>
      <c r="AF61" s="417"/>
      <c r="AG61" s="418"/>
      <c r="AH61" s="416"/>
      <c r="AI61" s="417"/>
      <c r="AJ61" s="417"/>
      <c r="AK61" s="417"/>
      <c r="AL61" s="417"/>
      <c r="AM61" s="418"/>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workbookViewId="0">
      <selection activeCell="D4" sqref="D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459" t="s">
        <v>54</v>
      </c>
      <c r="C1" s="459"/>
      <c r="D1" s="459"/>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D8" sqref="D8"/>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460" t="s">
        <v>61</v>
      </c>
      <c r="C1" s="460"/>
      <c r="D1" s="460"/>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32" t="s">
        <v>55</v>
      </c>
      <c r="D3" s="132" t="s">
        <v>56</v>
      </c>
      <c r="E3" s="89"/>
      <c r="F3" s="89"/>
      <c r="G3" s="89"/>
      <c r="H3" s="89"/>
      <c r="I3" s="89"/>
      <c r="J3" s="89"/>
      <c r="K3" s="89"/>
      <c r="L3" s="89"/>
      <c r="M3" s="89"/>
      <c r="N3" s="89"/>
      <c r="O3" s="89"/>
      <c r="P3" s="89"/>
      <c r="Q3" s="89"/>
      <c r="R3" s="89"/>
      <c r="S3" s="89"/>
      <c r="T3" s="89"/>
      <c r="U3" s="89"/>
    </row>
    <row r="4" spans="1:21" ht="33.75" x14ac:dyDescent="0.25">
      <c r="A4" s="89" t="s">
        <v>81</v>
      </c>
      <c r="B4" s="133" t="s">
        <v>95</v>
      </c>
      <c r="C4" s="134" t="s">
        <v>204</v>
      </c>
      <c r="D4" s="135" t="s">
        <v>91</v>
      </c>
      <c r="E4" s="89"/>
      <c r="F4" s="89"/>
      <c r="G4" s="89"/>
      <c r="H4" s="89"/>
      <c r="I4" s="89"/>
      <c r="J4" s="89"/>
      <c r="K4" s="89"/>
      <c r="L4" s="89"/>
      <c r="M4" s="89"/>
      <c r="N4" s="89"/>
      <c r="O4" s="89"/>
      <c r="P4" s="89"/>
      <c r="Q4" s="89"/>
      <c r="R4" s="89"/>
      <c r="S4" s="89"/>
      <c r="T4" s="89"/>
      <c r="U4" s="89"/>
    </row>
    <row r="5" spans="1:21" ht="67.5" x14ac:dyDescent="0.25">
      <c r="A5" s="89" t="s">
        <v>82</v>
      </c>
      <c r="B5" s="136" t="s">
        <v>57</v>
      </c>
      <c r="C5" s="137" t="s">
        <v>205</v>
      </c>
      <c r="D5" s="138" t="s">
        <v>92</v>
      </c>
      <c r="E5" s="89"/>
      <c r="F5" s="89"/>
      <c r="G5" s="89"/>
      <c r="H5" s="89"/>
      <c r="I5" s="89"/>
      <c r="J5" s="89"/>
      <c r="K5" s="89"/>
      <c r="L5" s="89"/>
      <c r="M5" s="89"/>
      <c r="N5" s="89"/>
      <c r="O5" s="89"/>
      <c r="P5" s="89"/>
      <c r="Q5" s="89"/>
      <c r="R5" s="89"/>
      <c r="S5" s="89"/>
      <c r="T5" s="89"/>
      <c r="U5" s="89"/>
    </row>
    <row r="6" spans="1:21" ht="67.5" x14ac:dyDescent="0.25">
      <c r="A6" s="89" t="s">
        <v>79</v>
      </c>
      <c r="B6" s="139" t="s">
        <v>58</v>
      </c>
      <c r="C6" s="137" t="s">
        <v>208</v>
      </c>
      <c r="D6" s="138" t="s">
        <v>94</v>
      </c>
      <c r="E6" s="89"/>
      <c r="F6" s="89"/>
      <c r="G6" s="89"/>
      <c r="H6" s="89"/>
      <c r="I6" s="89"/>
      <c r="J6" s="89"/>
      <c r="K6" s="89"/>
      <c r="L6" s="89"/>
      <c r="M6" s="89"/>
      <c r="N6" s="89"/>
      <c r="O6" s="89"/>
      <c r="P6" s="89"/>
      <c r="Q6" s="89"/>
      <c r="R6" s="89"/>
      <c r="S6" s="89"/>
      <c r="T6" s="89"/>
      <c r="U6" s="89"/>
    </row>
    <row r="7" spans="1:21" ht="101.25" x14ac:dyDescent="0.25">
      <c r="A7" s="89" t="s">
        <v>7</v>
      </c>
      <c r="B7" s="140" t="s">
        <v>59</v>
      </c>
      <c r="C7" s="137" t="s">
        <v>209</v>
      </c>
      <c r="D7" s="138" t="s">
        <v>93</v>
      </c>
      <c r="E7" s="89"/>
      <c r="F7" s="89"/>
      <c r="G7" s="89"/>
      <c r="H7" s="89"/>
      <c r="I7" s="89"/>
      <c r="J7" s="89"/>
      <c r="K7" s="89"/>
      <c r="L7" s="89"/>
      <c r="M7" s="89"/>
      <c r="N7" s="89"/>
      <c r="O7" s="89"/>
      <c r="P7" s="89"/>
      <c r="Q7" s="89"/>
      <c r="R7" s="89"/>
      <c r="S7" s="89"/>
      <c r="T7" s="89"/>
      <c r="U7" s="89"/>
    </row>
    <row r="8" spans="1:21" ht="67.5" x14ac:dyDescent="0.25">
      <c r="A8" s="89" t="s">
        <v>83</v>
      </c>
      <c r="B8" s="141" t="s">
        <v>60</v>
      </c>
      <c r="C8" s="137" t="s">
        <v>206</v>
      </c>
      <c r="D8" s="138" t="s">
        <v>112</v>
      </c>
      <c r="E8" s="89"/>
      <c r="F8" s="89"/>
      <c r="G8" s="89"/>
      <c r="H8" s="89"/>
      <c r="I8" s="89"/>
      <c r="J8" s="89"/>
      <c r="K8" s="89"/>
      <c r="L8" s="89"/>
      <c r="M8" s="89"/>
      <c r="N8" s="89"/>
      <c r="O8" s="89"/>
      <c r="P8" s="89"/>
      <c r="Q8" s="89"/>
      <c r="R8" s="89"/>
      <c r="S8" s="89"/>
      <c r="T8" s="89"/>
      <c r="U8" s="89"/>
    </row>
    <row r="9" spans="1:21" s="23" customFormat="1" ht="20.25" x14ac:dyDescent="0.25">
      <c r="A9" s="87"/>
      <c r="B9" s="87"/>
      <c r="C9" s="146"/>
      <c r="D9" s="146"/>
      <c r="E9" s="87"/>
      <c r="F9" s="87"/>
      <c r="G9" s="87"/>
      <c r="H9" s="87"/>
      <c r="I9" s="87"/>
      <c r="J9" s="87"/>
      <c r="K9" s="87"/>
      <c r="L9" s="87"/>
      <c r="M9" s="87"/>
      <c r="N9" s="87"/>
      <c r="O9" s="87"/>
      <c r="P9" s="87"/>
      <c r="Q9" s="87"/>
      <c r="R9" s="87"/>
      <c r="S9" s="87"/>
      <c r="T9" s="87"/>
      <c r="U9" s="87"/>
    </row>
    <row r="10" spans="1:21" s="23" customFormat="1" ht="16.5" x14ac:dyDescent="0.25">
      <c r="A10" s="87"/>
      <c r="B10" s="147"/>
      <c r="C10" s="147"/>
      <c r="D10" s="147"/>
      <c r="E10" s="87"/>
      <c r="F10" s="87"/>
      <c r="G10" s="87"/>
      <c r="H10" s="87"/>
      <c r="I10" s="87"/>
      <c r="J10" s="87"/>
      <c r="K10" s="87"/>
      <c r="L10" s="87"/>
      <c r="M10" s="87"/>
      <c r="N10" s="87"/>
      <c r="O10" s="87"/>
      <c r="P10" s="87"/>
      <c r="Q10" s="87"/>
      <c r="R10" s="87"/>
      <c r="S10" s="87"/>
      <c r="T10" s="87"/>
      <c r="U10" s="87"/>
    </row>
    <row r="11" spans="1:21" s="23" customFormat="1" x14ac:dyDescent="0.25">
      <c r="A11" s="87"/>
      <c r="B11" s="87" t="s">
        <v>89</v>
      </c>
      <c r="C11" s="87"/>
      <c r="D11" s="87" t="s">
        <v>142</v>
      </c>
      <c r="E11" s="87"/>
      <c r="F11" s="87"/>
      <c r="G11" s="87"/>
      <c r="H11" s="87"/>
      <c r="I11" s="87"/>
      <c r="J11" s="87"/>
      <c r="K11" s="87"/>
      <c r="L11" s="87"/>
      <c r="M11" s="87"/>
      <c r="N11" s="87"/>
      <c r="O11" s="87"/>
      <c r="P11" s="87"/>
      <c r="Q11" s="87"/>
      <c r="R11" s="87"/>
      <c r="S11" s="87"/>
      <c r="T11" s="87"/>
      <c r="U11" s="87"/>
    </row>
    <row r="12" spans="1:21" s="23" customFormat="1" x14ac:dyDescent="0.25">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210</v>
      </c>
      <c r="D13" s="87" t="s">
        <v>144</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212</v>
      </c>
      <c r="D14" s="87" t="s">
        <v>145</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211</v>
      </c>
      <c r="D15" s="87" t="s">
        <v>146</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46"/>
      <c r="D22" s="146"/>
      <c r="E22" s="87"/>
      <c r="F22" s="87"/>
      <c r="G22" s="87"/>
      <c r="H22" s="87"/>
      <c r="I22" s="87"/>
      <c r="J22" s="87"/>
      <c r="K22" s="87"/>
      <c r="L22" s="87"/>
      <c r="M22" s="87"/>
      <c r="N22" s="87"/>
      <c r="O22" s="87"/>
    </row>
    <row r="23" spans="1:15" s="23" customFormat="1" ht="20.25" x14ac:dyDescent="0.25">
      <c r="A23" s="87"/>
      <c r="B23" s="87"/>
      <c r="C23" s="146"/>
      <c r="D23" s="146"/>
      <c r="E23" s="87"/>
      <c r="F23" s="87"/>
      <c r="G23" s="87"/>
      <c r="H23" s="87"/>
      <c r="I23" s="87"/>
      <c r="J23" s="87"/>
      <c r="K23" s="87"/>
      <c r="L23" s="87"/>
      <c r="M23" s="87"/>
      <c r="N23" s="87"/>
      <c r="O23" s="87"/>
    </row>
    <row r="24" spans="1:15" s="23" customFormat="1" ht="20.25" x14ac:dyDescent="0.25">
      <c r="A24" s="87"/>
      <c r="B24" s="87"/>
      <c r="C24" s="146"/>
      <c r="D24" s="146"/>
      <c r="E24" s="87"/>
      <c r="F24" s="87"/>
      <c r="G24" s="87"/>
      <c r="H24" s="87"/>
      <c r="I24" s="87"/>
      <c r="J24" s="87"/>
      <c r="K24" s="87"/>
      <c r="L24" s="87"/>
      <c r="M24" s="87"/>
      <c r="N24" s="87"/>
      <c r="O24" s="87"/>
    </row>
    <row r="25" spans="1:15" s="23" customFormat="1" ht="20.25" x14ac:dyDescent="0.25">
      <c r="A25" s="87"/>
      <c r="B25" s="87"/>
      <c r="C25" s="146"/>
      <c r="D25" s="146"/>
      <c r="E25" s="87"/>
      <c r="F25" s="87"/>
      <c r="G25" s="87"/>
      <c r="H25" s="87"/>
      <c r="I25" s="87"/>
      <c r="J25" s="87"/>
      <c r="K25" s="87"/>
      <c r="L25" s="87"/>
      <c r="M25" s="87"/>
      <c r="N25" s="87"/>
      <c r="O25" s="87"/>
    </row>
    <row r="26" spans="1:15" s="23" customFormat="1" ht="20.25" x14ac:dyDescent="0.25">
      <c r="A26" s="87"/>
      <c r="B26" s="87"/>
      <c r="C26" s="146"/>
      <c r="D26" s="146"/>
      <c r="E26" s="87"/>
      <c r="F26" s="87"/>
      <c r="G26" s="87"/>
      <c r="H26" s="87"/>
      <c r="I26" s="87"/>
      <c r="J26" s="87"/>
      <c r="K26" s="87"/>
      <c r="L26" s="87"/>
      <c r="M26" s="87"/>
      <c r="N26" s="87"/>
      <c r="O26" s="87"/>
    </row>
    <row r="27" spans="1:15" s="23" customFormat="1" ht="20.25" x14ac:dyDescent="0.25">
      <c r="A27" s="87"/>
      <c r="B27" s="87"/>
      <c r="C27" s="146"/>
      <c r="D27" s="146"/>
      <c r="E27" s="87"/>
      <c r="F27" s="87"/>
      <c r="G27" s="87"/>
      <c r="H27" s="87"/>
      <c r="I27" s="87"/>
      <c r="J27" s="87"/>
      <c r="K27" s="87"/>
      <c r="L27" s="87"/>
      <c r="M27" s="87"/>
      <c r="N27" s="87"/>
      <c r="O27" s="87"/>
    </row>
    <row r="28" spans="1:15" s="23" customFormat="1" ht="20.25" x14ac:dyDescent="0.25">
      <c r="A28" s="87"/>
      <c r="B28" s="87"/>
      <c r="C28" s="146"/>
      <c r="D28" s="146"/>
      <c r="E28" s="87"/>
      <c r="F28" s="87"/>
      <c r="G28" s="87"/>
      <c r="H28" s="87"/>
      <c r="I28" s="87"/>
      <c r="J28" s="87"/>
      <c r="K28" s="87"/>
      <c r="L28" s="87"/>
      <c r="M28" s="87"/>
      <c r="N28" s="87"/>
      <c r="O28" s="87"/>
    </row>
    <row r="29" spans="1:15" s="23" customFormat="1" ht="20.25" x14ac:dyDescent="0.25">
      <c r="A29" s="87"/>
      <c r="B29" s="87"/>
      <c r="C29" s="146"/>
      <c r="D29" s="146"/>
      <c r="E29" s="87"/>
      <c r="F29" s="87"/>
      <c r="G29" s="87"/>
      <c r="H29" s="87"/>
      <c r="I29" s="87"/>
      <c r="J29" s="87"/>
      <c r="K29" s="87"/>
      <c r="L29" s="87"/>
      <c r="M29" s="87"/>
      <c r="N29" s="87"/>
      <c r="O29" s="87"/>
    </row>
    <row r="30" spans="1:15" s="23" customFormat="1" ht="20.25" x14ac:dyDescent="0.25">
      <c r="A30" s="87"/>
      <c r="B30" s="87"/>
      <c r="C30" s="146"/>
      <c r="D30" s="146"/>
      <c r="E30" s="87"/>
      <c r="F30" s="87"/>
      <c r="G30" s="87"/>
      <c r="H30" s="87"/>
      <c r="I30" s="87"/>
      <c r="J30" s="87"/>
      <c r="K30" s="87"/>
      <c r="L30" s="87"/>
      <c r="M30" s="87"/>
      <c r="N30" s="87"/>
      <c r="O30" s="87"/>
    </row>
    <row r="31" spans="1:15" s="23" customFormat="1" ht="20.25" x14ac:dyDescent="0.25">
      <c r="A31" s="87"/>
      <c r="B31" s="87"/>
      <c r="C31" s="146"/>
      <c r="D31" s="146"/>
      <c r="E31" s="87"/>
      <c r="F31" s="87"/>
      <c r="G31" s="87"/>
      <c r="H31" s="87"/>
      <c r="I31" s="87"/>
      <c r="J31" s="87"/>
      <c r="K31" s="87"/>
      <c r="L31" s="87"/>
      <c r="M31" s="87"/>
      <c r="N31" s="87"/>
      <c r="O31" s="87"/>
    </row>
    <row r="32" spans="1:15" s="23" customFormat="1" ht="20.25" x14ac:dyDescent="0.25">
      <c r="A32" s="87"/>
      <c r="B32" s="87"/>
      <c r="C32" s="146"/>
      <c r="D32" s="146"/>
      <c r="E32" s="87"/>
      <c r="F32" s="87"/>
      <c r="G32" s="87"/>
      <c r="H32" s="87"/>
      <c r="I32" s="87"/>
      <c r="J32" s="87"/>
      <c r="K32" s="87"/>
      <c r="L32" s="87"/>
      <c r="M32" s="87"/>
      <c r="N32" s="87"/>
      <c r="O32" s="87"/>
    </row>
    <row r="33" spans="1:15" s="23" customFormat="1" ht="20.25" x14ac:dyDescent="0.25">
      <c r="A33" s="87"/>
      <c r="B33" s="87"/>
      <c r="C33" s="146"/>
      <c r="D33" s="146"/>
      <c r="E33" s="87"/>
      <c r="F33" s="87"/>
      <c r="G33" s="87"/>
      <c r="H33" s="87"/>
      <c r="I33" s="87"/>
      <c r="J33" s="87"/>
      <c r="K33" s="87"/>
      <c r="L33" s="87"/>
      <c r="M33" s="87"/>
      <c r="N33" s="87"/>
      <c r="O33" s="87"/>
    </row>
    <row r="34" spans="1:15" s="23" customFormat="1" ht="20.25" x14ac:dyDescent="0.25">
      <c r="A34" s="87"/>
      <c r="B34" s="87"/>
      <c r="C34" s="146"/>
      <c r="D34" s="146"/>
      <c r="E34" s="87"/>
      <c r="F34" s="87"/>
      <c r="G34" s="87"/>
      <c r="H34" s="87"/>
      <c r="I34" s="87"/>
      <c r="J34" s="87"/>
      <c r="K34" s="87"/>
      <c r="L34" s="87"/>
      <c r="M34" s="87"/>
      <c r="N34" s="87"/>
      <c r="O34" s="87"/>
    </row>
    <row r="35" spans="1:15" s="23" customFormat="1" ht="20.25" x14ac:dyDescent="0.25">
      <c r="A35" s="87"/>
      <c r="B35" s="87"/>
      <c r="C35" s="146"/>
      <c r="D35" s="146"/>
      <c r="E35" s="87"/>
      <c r="F35" s="87"/>
      <c r="G35" s="87"/>
      <c r="H35" s="87"/>
      <c r="I35" s="87"/>
      <c r="J35" s="87"/>
      <c r="K35" s="87"/>
      <c r="L35" s="87"/>
      <c r="M35" s="87"/>
      <c r="N35" s="87"/>
      <c r="O35" s="87"/>
    </row>
    <row r="36" spans="1:15" s="23" customFormat="1" ht="20.25" x14ac:dyDescent="0.25">
      <c r="A36" s="87"/>
      <c r="B36" s="87"/>
      <c r="C36" s="146"/>
      <c r="D36" s="146"/>
      <c r="E36" s="87"/>
      <c r="F36" s="87"/>
      <c r="G36" s="87"/>
      <c r="H36" s="87"/>
      <c r="I36" s="87"/>
      <c r="J36" s="87"/>
      <c r="K36" s="87"/>
      <c r="L36" s="87"/>
      <c r="M36" s="87"/>
      <c r="N36" s="87"/>
      <c r="O36" s="87"/>
    </row>
    <row r="37" spans="1:15" s="23" customFormat="1" ht="20.25" x14ac:dyDescent="0.25">
      <c r="A37" s="87"/>
      <c r="B37" s="87"/>
      <c r="C37" s="146"/>
      <c r="D37" s="146"/>
      <c r="E37" s="87"/>
      <c r="F37" s="87"/>
      <c r="G37" s="87"/>
      <c r="H37" s="87"/>
      <c r="I37" s="87"/>
      <c r="J37" s="87"/>
      <c r="K37" s="87"/>
      <c r="L37" s="87"/>
      <c r="M37" s="87"/>
      <c r="N37" s="87"/>
      <c r="O37" s="87"/>
    </row>
    <row r="38" spans="1:15" s="23" customFormat="1" ht="20.25" x14ac:dyDescent="0.25">
      <c r="A38" s="87"/>
      <c r="B38" s="87"/>
      <c r="C38" s="146"/>
      <c r="D38" s="146"/>
      <c r="E38" s="87"/>
      <c r="F38" s="87"/>
      <c r="G38" s="87"/>
      <c r="H38" s="87"/>
      <c r="I38" s="87"/>
      <c r="J38" s="87"/>
      <c r="K38" s="87"/>
      <c r="L38" s="87"/>
      <c r="M38" s="87"/>
      <c r="N38" s="87"/>
      <c r="O38" s="87"/>
    </row>
    <row r="39" spans="1:15" s="23" customFormat="1" ht="20.25" x14ac:dyDescent="0.25">
      <c r="A39" s="87"/>
      <c r="B39" s="87"/>
      <c r="C39" s="146"/>
      <c r="D39" s="146"/>
      <c r="E39" s="87"/>
      <c r="F39" s="87"/>
      <c r="G39" s="87"/>
      <c r="H39" s="87"/>
      <c r="I39" s="87"/>
      <c r="J39" s="87"/>
      <c r="K39" s="87"/>
      <c r="L39" s="87"/>
      <c r="M39" s="87"/>
      <c r="N39" s="87"/>
      <c r="O39" s="87"/>
    </row>
    <row r="40" spans="1:15" s="23" customFormat="1" ht="20.25" x14ac:dyDescent="0.25">
      <c r="A40" s="87"/>
      <c r="B40" s="87"/>
      <c r="C40" s="146"/>
      <c r="D40" s="146"/>
      <c r="E40" s="87"/>
      <c r="F40" s="87"/>
      <c r="G40" s="87"/>
      <c r="H40" s="87"/>
      <c r="I40" s="87"/>
      <c r="J40" s="87"/>
      <c r="K40" s="87"/>
      <c r="L40" s="87"/>
      <c r="M40" s="87"/>
      <c r="N40" s="87"/>
      <c r="O40" s="87"/>
    </row>
    <row r="41" spans="1:15" s="23" customFormat="1" ht="20.25" x14ac:dyDescent="0.25">
      <c r="A41" s="87"/>
      <c r="B41" s="87"/>
      <c r="C41" s="146"/>
      <c r="D41" s="146"/>
      <c r="E41" s="87"/>
      <c r="F41" s="87"/>
      <c r="G41" s="87"/>
      <c r="H41" s="87"/>
      <c r="I41" s="87"/>
      <c r="J41" s="87"/>
      <c r="K41" s="87"/>
      <c r="L41" s="87"/>
      <c r="M41" s="87"/>
      <c r="N41" s="87"/>
      <c r="O41" s="87"/>
    </row>
    <row r="42" spans="1:15" s="23" customFormat="1" ht="20.25" x14ac:dyDescent="0.25">
      <c r="A42" s="87"/>
      <c r="B42" s="87"/>
      <c r="C42" s="146"/>
      <c r="D42" s="146"/>
      <c r="E42" s="87"/>
      <c r="F42" s="87"/>
      <c r="G42" s="87"/>
      <c r="H42" s="87"/>
      <c r="I42" s="87"/>
      <c r="J42" s="87"/>
      <c r="K42" s="87"/>
      <c r="L42" s="87"/>
      <c r="M42" s="87"/>
      <c r="N42" s="87"/>
      <c r="O42" s="87"/>
    </row>
    <row r="43" spans="1:15" s="23" customFormat="1" ht="20.25" x14ac:dyDescent="0.25">
      <c r="A43" s="87"/>
      <c r="B43" s="87"/>
      <c r="C43" s="146"/>
      <c r="D43" s="146"/>
      <c r="E43" s="87"/>
      <c r="F43" s="87"/>
      <c r="G43" s="87"/>
      <c r="H43" s="87"/>
      <c r="I43" s="87"/>
      <c r="J43" s="87"/>
      <c r="K43" s="87"/>
      <c r="L43" s="87"/>
      <c r="M43" s="87"/>
      <c r="N43" s="87"/>
      <c r="O43" s="87"/>
    </row>
    <row r="44" spans="1:15" s="23" customFormat="1" ht="20.25" x14ac:dyDescent="0.25">
      <c r="A44" s="87"/>
      <c r="B44" s="87"/>
      <c r="C44" s="146"/>
      <c r="D44" s="146"/>
      <c r="E44" s="87"/>
      <c r="F44" s="87"/>
      <c r="G44" s="87"/>
      <c r="H44" s="87"/>
      <c r="I44" s="87"/>
      <c r="J44" s="87"/>
      <c r="K44" s="87"/>
      <c r="L44" s="87"/>
      <c r="M44" s="87"/>
      <c r="N44" s="87"/>
      <c r="O44" s="87"/>
    </row>
    <row r="45" spans="1:15" s="23" customFormat="1" ht="20.25" x14ac:dyDescent="0.25">
      <c r="A45" s="87"/>
      <c r="B45" s="87"/>
      <c r="C45" s="146"/>
      <c r="D45" s="146"/>
      <c r="E45" s="87"/>
      <c r="F45" s="87"/>
      <c r="G45" s="87"/>
      <c r="H45" s="87"/>
      <c r="I45" s="87"/>
      <c r="J45" s="87"/>
      <c r="K45" s="87"/>
      <c r="L45" s="87"/>
      <c r="M45" s="87"/>
      <c r="N45" s="87"/>
      <c r="O45" s="87"/>
    </row>
    <row r="46" spans="1:15" s="23" customFormat="1" ht="20.25" x14ac:dyDescent="0.25">
      <c r="A46" s="87"/>
      <c r="B46" s="87"/>
      <c r="C46" s="146"/>
      <c r="D46" s="146"/>
      <c r="E46" s="87"/>
      <c r="F46" s="87"/>
      <c r="G46" s="87"/>
      <c r="H46" s="87"/>
      <c r="I46" s="87"/>
      <c r="J46" s="87"/>
      <c r="K46" s="87"/>
      <c r="L46" s="87"/>
      <c r="M46" s="87"/>
      <c r="N46" s="87"/>
      <c r="O46" s="87"/>
    </row>
    <row r="47" spans="1:15" s="23" customFormat="1" ht="20.25" x14ac:dyDescent="0.25">
      <c r="A47" s="87"/>
      <c r="B47" s="87"/>
      <c r="C47" s="146"/>
      <c r="D47" s="146"/>
      <c r="E47" s="87"/>
      <c r="F47" s="87"/>
      <c r="G47" s="87"/>
      <c r="H47" s="87"/>
      <c r="I47" s="87"/>
      <c r="J47" s="87"/>
      <c r="K47" s="87"/>
      <c r="L47" s="87"/>
      <c r="M47" s="87"/>
      <c r="N47" s="87"/>
      <c r="O47" s="87"/>
    </row>
    <row r="48" spans="1:15" s="23" customFormat="1" ht="20.25" x14ac:dyDescent="0.25">
      <c r="A48" s="87"/>
      <c r="B48" s="87"/>
      <c r="C48" s="146"/>
      <c r="D48" s="146"/>
      <c r="E48" s="87"/>
      <c r="F48" s="87"/>
      <c r="G48" s="87"/>
      <c r="H48" s="87"/>
      <c r="I48" s="87"/>
      <c r="J48" s="87"/>
      <c r="K48" s="87"/>
      <c r="L48" s="87"/>
      <c r="M48" s="87"/>
      <c r="N48" s="87"/>
      <c r="O48" s="87"/>
    </row>
    <row r="49" spans="1:15" s="23" customFormat="1" ht="20.25" x14ac:dyDescent="0.25">
      <c r="A49" s="87"/>
      <c r="B49" s="87"/>
      <c r="C49" s="146"/>
      <c r="D49" s="146"/>
      <c r="E49" s="87"/>
      <c r="F49" s="87"/>
      <c r="G49" s="87"/>
      <c r="H49" s="87"/>
      <c r="I49" s="87"/>
      <c r="J49" s="87"/>
      <c r="K49" s="87"/>
      <c r="L49" s="87"/>
      <c r="M49" s="87"/>
      <c r="N49" s="87"/>
      <c r="O49" s="87"/>
    </row>
    <row r="50" spans="1:15" s="23" customFormat="1" ht="20.25" x14ac:dyDescent="0.25">
      <c r="A50" s="87"/>
      <c r="B50" s="87"/>
      <c r="C50" s="146"/>
      <c r="D50" s="146"/>
      <c r="E50" s="87"/>
      <c r="F50" s="87"/>
      <c r="G50" s="87"/>
      <c r="H50" s="87"/>
      <c r="I50" s="87"/>
      <c r="J50" s="87"/>
      <c r="K50" s="87"/>
      <c r="L50" s="87"/>
      <c r="M50" s="87"/>
      <c r="N50" s="87"/>
      <c r="O50" s="87"/>
    </row>
    <row r="51" spans="1:15" s="23" customFormat="1" ht="20.25" x14ac:dyDescent="0.25">
      <c r="A51" s="87"/>
      <c r="B51" s="87"/>
      <c r="C51" s="146"/>
      <c r="D51" s="146"/>
      <c r="E51" s="87"/>
      <c r="F51" s="87"/>
      <c r="G51" s="87"/>
      <c r="H51" s="87"/>
      <c r="I51" s="87"/>
      <c r="J51" s="87"/>
      <c r="K51" s="87"/>
      <c r="L51" s="87"/>
      <c r="M51" s="87"/>
      <c r="N51" s="87"/>
      <c r="O51" s="87"/>
    </row>
    <row r="52" spans="1:15" s="23" customFormat="1" ht="20.25" x14ac:dyDescent="0.25">
      <c r="A52" s="87"/>
      <c r="C52" s="148"/>
      <c r="D52" s="148"/>
    </row>
    <row r="53" spans="1:15" s="23" customFormat="1" ht="20.25" x14ac:dyDescent="0.25">
      <c r="A53" s="87"/>
      <c r="C53" s="148"/>
      <c r="D53" s="148"/>
    </row>
    <row r="54" spans="1:15" s="23" customFormat="1" ht="20.25" x14ac:dyDescent="0.25">
      <c r="A54" s="87"/>
      <c r="C54" s="148"/>
      <c r="D54" s="148"/>
    </row>
    <row r="55" spans="1:15" s="23" customFormat="1" ht="20.25" x14ac:dyDescent="0.25">
      <c r="A55" s="87"/>
      <c r="C55" s="148"/>
      <c r="D55" s="148"/>
    </row>
    <row r="56" spans="1:15" s="23" customFormat="1" ht="20.25" x14ac:dyDescent="0.25">
      <c r="A56" s="87"/>
      <c r="C56" s="148"/>
      <c r="D56" s="148"/>
    </row>
    <row r="57" spans="1:15" s="23" customFormat="1" ht="20.25" x14ac:dyDescent="0.25">
      <c r="A57" s="87"/>
      <c r="C57" s="148"/>
      <c r="D57" s="148"/>
    </row>
    <row r="58" spans="1:15" s="23" customFormat="1" ht="20.25" x14ac:dyDescent="0.25">
      <c r="A58" s="87"/>
      <c r="C58" s="148"/>
      <c r="D58" s="148"/>
    </row>
    <row r="59" spans="1:15" s="23" customFormat="1" ht="20.25" x14ac:dyDescent="0.25">
      <c r="A59" s="87"/>
      <c r="C59" s="148"/>
      <c r="D59" s="148"/>
    </row>
    <row r="60" spans="1:15" s="23" customFormat="1" ht="20.25" x14ac:dyDescent="0.25">
      <c r="A60" s="87"/>
      <c r="C60" s="148"/>
      <c r="D60" s="148"/>
    </row>
    <row r="61" spans="1:15" s="23" customFormat="1" ht="20.25" x14ac:dyDescent="0.25">
      <c r="A61" s="87"/>
      <c r="C61" s="148"/>
      <c r="D61" s="148"/>
    </row>
    <row r="62" spans="1:15" s="23" customFormat="1" ht="20.25" x14ac:dyDescent="0.25">
      <c r="A62" s="87"/>
      <c r="C62" s="148"/>
      <c r="D62" s="148"/>
    </row>
    <row r="63" spans="1:15" s="23" customFormat="1" ht="20.25" x14ac:dyDescent="0.25">
      <c r="A63" s="87"/>
      <c r="C63" s="148"/>
      <c r="D63" s="148"/>
    </row>
    <row r="64" spans="1:15" s="23" customFormat="1" ht="20.25" x14ac:dyDescent="0.25">
      <c r="A64" s="87"/>
      <c r="C64" s="148"/>
      <c r="D64" s="148"/>
    </row>
    <row r="65" spans="1:4" s="23" customFormat="1" ht="20.25" x14ac:dyDescent="0.25">
      <c r="A65" s="87"/>
      <c r="C65" s="148"/>
      <c r="D65" s="148"/>
    </row>
    <row r="66" spans="1:4" s="23" customFormat="1" ht="20.25" x14ac:dyDescent="0.25">
      <c r="A66" s="87"/>
      <c r="C66" s="148"/>
      <c r="D66" s="148"/>
    </row>
    <row r="67" spans="1:4" s="23" customFormat="1" ht="20.25" x14ac:dyDescent="0.25">
      <c r="A67" s="87"/>
      <c r="C67" s="148"/>
      <c r="D67" s="148"/>
    </row>
    <row r="68" spans="1:4" s="23" customFormat="1" ht="20.25" x14ac:dyDescent="0.25">
      <c r="A68" s="87"/>
      <c r="C68" s="148"/>
      <c r="D68" s="148"/>
    </row>
    <row r="69" spans="1:4" s="23" customFormat="1" ht="20.25" x14ac:dyDescent="0.25">
      <c r="A69" s="87"/>
      <c r="C69" s="148"/>
      <c r="D69" s="148"/>
    </row>
    <row r="70" spans="1:4" s="23" customFormat="1" ht="20.25" x14ac:dyDescent="0.25">
      <c r="A70" s="87"/>
      <c r="C70" s="148"/>
      <c r="D70" s="148"/>
    </row>
    <row r="71" spans="1:4" s="23" customFormat="1" ht="20.25" x14ac:dyDescent="0.25">
      <c r="A71" s="87"/>
      <c r="C71" s="148"/>
      <c r="D71" s="148"/>
    </row>
    <row r="72" spans="1:4" s="23" customFormat="1" ht="20.25" x14ac:dyDescent="0.25">
      <c r="A72" s="87"/>
      <c r="C72" s="148"/>
      <c r="D72" s="148"/>
    </row>
    <row r="73" spans="1:4" s="23" customFormat="1" ht="20.25" x14ac:dyDescent="0.25">
      <c r="A73" s="87"/>
      <c r="C73" s="148"/>
      <c r="D73" s="148"/>
    </row>
    <row r="74" spans="1:4" s="23" customFormat="1" ht="20.25" x14ac:dyDescent="0.25">
      <c r="A74" s="87"/>
      <c r="C74" s="148"/>
      <c r="D74" s="148"/>
    </row>
    <row r="75" spans="1:4" s="23" customFormat="1" ht="20.25" x14ac:dyDescent="0.25">
      <c r="A75" s="87"/>
      <c r="C75" s="148"/>
      <c r="D75" s="148"/>
    </row>
    <row r="76" spans="1:4" s="23" customFormat="1" ht="20.25" x14ac:dyDescent="0.25">
      <c r="A76" s="87"/>
      <c r="C76" s="148"/>
      <c r="D76" s="148"/>
    </row>
    <row r="77" spans="1:4" s="23" customFormat="1" ht="20.25" x14ac:dyDescent="0.25">
      <c r="A77" s="87"/>
      <c r="C77" s="148"/>
      <c r="D77" s="148"/>
    </row>
    <row r="78" spans="1:4" s="23" customFormat="1" ht="20.25" x14ac:dyDescent="0.25">
      <c r="A78" s="87"/>
      <c r="C78" s="148"/>
      <c r="D78" s="148"/>
    </row>
    <row r="79" spans="1:4" s="23" customFormat="1" ht="20.25" x14ac:dyDescent="0.25">
      <c r="A79" s="87"/>
      <c r="C79" s="148"/>
      <c r="D79" s="148"/>
    </row>
    <row r="80" spans="1:4" s="23" customFormat="1" ht="20.25" x14ac:dyDescent="0.25">
      <c r="A80" s="87"/>
      <c r="C80" s="148"/>
      <c r="D80" s="148"/>
    </row>
    <row r="81" spans="1:4" s="23" customFormat="1" ht="20.25" x14ac:dyDescent="0.25">
      <c r="A81" s="87"/>
      <c r="C81" s="148"/>
      <c r="D81" s="148"/>
    </row>
    <row r="82" spans="1:4" s="23" customFormat="1" ht="20.25" x14ac:dyDescent="0.25">
      <c r="A82" s="87"/>
      <c r="C82" s="148"/>
      <c r="D82" s="148"/>
    </row>
    <row r="83" spans="1:4" s="23" customFormat="1" ht="20.25" x14ac:dyDescent="0.25">
      <c r="A83" s="87"/>
      <c r="C83" s="148"/>
      <c r="D83" s="148"/>
    </row>
    <row r="84" spans="1:4" s="23" customFormat="1" ht="20.25" x14ac:dyDescent="0.25">
      <c r="A84" s="87"/>
      <c r="C84" s="148"/>
      <c r="D84" s="148"/>
    </row>
    <row r="85" spans="1:4" s="23" customFormat="1" ht="20.25" x14ac:dyDescent="0.25">
      <c r="A85" s="87"/>
      <c r="C85" s="148"/>
      <c r="D85" s="148"/>
    </row>
    <row r="86" spans="1:4" s="23" customFormat="1" ht="20.25" x14ac:dyDescent="0.25">
      <c r="A86" s="87"/>
      <c r="C86" s="148"/>
      <c r="D86" s="148"/>
    </row>
    <row r="87" spans="1:4" s="23" customFormat="1" ht="20.25" x14ac:dyDescent="0.25">
      <c r="A87" s="87"/>
      <c r="C87" s="148"/>
      <c r="D87" s="148"/>
    </row>
    <row r="88" spans="1:4" s="23" customFormat="1" ht="20.25" x14ac:dyDescent="0.25">
      <c r="A88" s="87"/>
      <c r="C88" s="148"/>
      <c r="D88" s="148"/>
    </row>
    <row r="89" spans="1:4" s="23" customFormat="1" ht="20.25" x14ac:dyDescent="0.25">
      <c r="A89" s="87"/>
      <c r="C89" s="148"/>
      <c r="D89" s="148"/>
    </row>
    <row r="90" spans="1:4" s="23" customFormat="1" ht="20.25" x14ac:dyDescent="0.25">
      <c r="A90" s="87"/>
      <c r="C90" s="148"/>
      <c r="D90" s="148"/>
    </row>
    <row r="91" spans="1:4" s="23" customFormat="1" ht="20.25" x14ac:dyDescent="0.25">
      <c r="A91" s="87"/>
      <c r="C91" s="148"/>
      <c r="D91" s="148"/>
    </row>
    <row r="92" spans="1:4" s="23" customFormat="1" ht="20.25" x14ac:dyDescent="0.25">
      <c r="A92" s="87"/>
      <c r="C92" s="148"/>
      <c r="D92" s="148"/>
    </row>
    <row r="93" spans="1:4" s="23" customFormat="1" ht="20.25" x14ac:dyDescent="0.25">
      <c r="A93" s="87"/>
      <c r="C93" s="148"/>
      <c r="D93" s="148"/>
    </row>
    <row r="94" spans="1:4" s="23" customFormat="1" ht="20.25" x14ac:dyDescent="0.25">
      <c r="A94" s="87"/>
      <c r="C94" s="148"/>
      <c r="D94" s="148"/>
    </row>
    <row r="95" spans="1:4" s="23" customFormat="1" ht="20.25" x14ac:dyDescent="0.25">
      <c r="A95" s="87"/>
      <c r="C95" s="148"/>
      <c r="D95" s="148"/>
    </row>
    <row r="96" spans="1:4" s="23" customFormat="1" ht="20.25" x14ac:dyDescent="0.25">
      <c r="A96" s="87"/>
      <c r="C96" s="148"/>
      <c r="D96" s="148"/>
    </row>
    <row r="97" spans="1:4" s="23" customFormat="1" ht="20.25" x14ac:dyDescent="0.25">
      <c r="A97" s="87"/>
      <c r="C97" s="148"/>
      <c r="D97" s="148"/>
    </row>
    <row r="98" spans="1:4" s="23" customFormat="1" ht="20.25" x14ac:dyDescent="0.25">
      <c r="A98" s="87"/>
      <c r="C98" s="148"/>
      <c r="D98" s="148"/>
    </row>
    <row r="99" spans="1:4" s="23" customFormat="1" ht="20.25" x14ac:dyDescent="0.25">
      <c r="A99" s="87"/>
      <c r="C99" s="148"/>
      <c r="D99" s="148"/>
    </row>
    <row r="100" spans="1:4" s="23" customFormat="1" ht="20.25" x14ac:dyDescent="0.25">
      <c r="A100" s="87"/>
      <c r="C100" s="148"/>
      <c r="D100" s="148"/>
    </row>
    <row r="101" spans="1:4" s="23" customFormat="1" ht="20.25" x14ac:dyDescent="0.25">
      <c r="A101" s="87"/>
      <c r="C101" s="148"/>
      <c r="D101" s="148"/>
    </row>
    <row r="102" spans="1:4" s="23" customFormat="1" ht="20.25" x14ac:dyDescent="0.25">
      <c r="A102" s="87"/>
      <c r="C102" s="148"/>
      <c r="D102" s="148"/>
    </row>
    <row r="103" spans="1:4" s="23" customFormat="1" ht="20.25" x14ac:dyDescent="0.25">
      <c r="A103" s="87"/>
      <c r="C103" s="148"/>
      <c r="D103" s="148"/>
    </row>
    <row r="104" spans="1:4" s="23" customFormat="1" ht="20.25" x14ac:dyDescent="0.25">
      <c r="A104" s="87"/>
      <c r="C104" s="148"/>
      <c r="D104" s="148"/>
    </row>
    <row r="105" spans="1:4" s="23" customFormat="1" ht="20.25" x14ac:dyDescent="0.25">
      <c r="A105" s="87"/>
      <c r="C105" s="148"/>
      <c r="D105" s="148"/>
    </row>
    <row r="106" spans="1:4" s="23" customFormat="1" ht="20.25" x14ac:dyDescent="0.25">
      <c r="A106" s="87"/>
      <c r="C106" s="148"/>
      <c r="D106" s="148"/>
    </row>
    <row r="107" spans="1:4" s="23" customFormat="1" ht="20.25" x14ac:dyDescent="0.25">
      <c r="A107" s="87"/>
      <c r="C107" s="148"/>
      <c r="D107" s="148"/>
    </row>
    <row r="108" spans="1:4" s="23" customFormat="1" ht="20.25" x14ac:dyDescent="0.25">
      <c r="A108" s="87"/>
      <c r="C108" s="148"/>
      <c r="D108" s="148"/>
    </row>
    <row r="109" spans="1:4" s="23" customFormat="1" ht="20.25" x14ac:dyDescent="0.25">
      <c r="A109" s="87"/>
      <c r="C109" s="148"/>
      <c r="D109" s="148"/>
    </row>
    <row r="110" spans="1:4" s="23" customFormat="1" ht="20.25" x14ac:dyDescent="0.25">
      <c r="A110" s="87"/>
      <c r="C110" s="148"/>
      <c r="D110" s="148"/>
    </row>
    <row r="111" spans="1:4" s="23" customFormat="1" ht="20.25" x14ac:dyDescent="0.25">
      <c r="A111" s="87"/>
      <c r="C111" s="148"/>
      <c r="D111" s="148"/>
    </row>
    <row r="112" spans="1:4" s="23" customFormat="1" ht="20.25" x14ac:dyDescent="0.25">
      <c r="A112" s="87"/>
      <c r="C112" s="148"/>
      <c r="D112" s="148"/>
    </row>
    <row r="113" spans="1:4" s="23" customFormat="1" ht="20.25" x14ac:dyDescent="0.25">
      <c r="A113" s="87"/>
      <c r="C113" s="148"/>
      <c r="D113" s="148"/>
    </row>
    <row r="114" spans="1:4" s="23" customFormat="1" ht="20.25" x14ac:dyDescent="0.25">
      <c r="A114" s="87"/>
      <c r="C114" s="148"/>
      <c r="D114" s="148"/>
    </row>
    <row r="115" spans="1:4" s="23" customFormat="1" ht="20.25" x14ac:dyDescent="0.25">
      <c r="A115" s="87"/>
      <c r="C115" s="148"/>
      <c r="D115" s="148"/>
    </row>
    <row r="116" spans="1:4" s="23" customFormat="1" ht="20.25" x14ac:dyDescent="0.25">
      <c r="A116" s="87"/>
      <c r="C116" s="148"/>
      <c r="D116" s="148"/>
    </row>
    <row r="117" spans="1:4" s="23" customFormat="1" ht="20.25" x14ac:dyDescent="0.25">
      <c r="A117" s="87"/>
      <c r="C117" s="148"/>
      <c r="D117" s="148"/>
    </row>
    <row r="118" spans="1:4" s="23" customFormat="1" ht="20.25" x14ac:dyDescent="0.25">
      <c r="A118" s="87"/>
      <c r="C118" s="148"/>
      <c r="D118" s="148"/>
    </row>
    <row r="119" spans="1:4" s="23" customFormat="1" ht="20.25" x14ac:dyDescent="0.25">
      <c r="A119" s="87"/>
      <c r="C119" s="148"/>
      <c r="D119" s="148"/>
    </row>
    <row r="120" spans="1:4" s="23" customFormat="1" ht="20.25" x14ac:dyDescent="0.25">
      <c r="A120" s="87"/>
      <c r="C120" s="148"/>
      <c r="D120" s="148"/>
    </row>
    <row r="121" spans="1:4" s="23" customFormat="1" ht="20.25" x14ac:dyDescent="0.25">
      <c r="A121" s="87"/>
      <c r="C121" s="148"/>
      <c r="D121" s="148"/>
    </row>
    <row r="122" spans="1:4" s="23" customFormat="1" ht="20.25" x14ac:dyDescent="0.25">
      <c r="A122" s="87"/>
      <c r="C122" s="148"/>
      <c r="D122" s="148"/>
    </row>
    <row r="123" spans="1:4" s="23" customFormat="1" ht="20.25" x14ac:dyDescent="0.25">
      <c r="A123" s="87"/>
      <c r="C123" s="148"/>
      <c r="D123" s="148"/>
    </row>
    <row r="124" spans="1:4" s="23" customFormat="1" ht="20.25" x14ac:dyDescent="0.25">
      <c r="A124" s="87"/>
      <c r="C124" s="148"/>
      <c r="D124" s="148"/>
    </row>
    <row r="125" spans="1:4" s="23" customFormat="1" ht="20.25" x14ac:dyDescent="0.25">
      <c r="A125" s="87"/>
      <c r="C125" s="148"/>
      <c r="D125" s="148"/>
    </row>
    <row r="126" spans="1:4" s="23" customFormat="1" ht="20.25" x14ac:dyDescent="0.25">
      <c r="A126" s="87"/>
      <c r="C126" s="148"/>
      <c r="D126" s="148"/>
    </row>
    <row r="127" spans="1:4" s="23" customFormat="1" ht="20.25" x14ac:dyDescent="0.25">
      <c r="A127" s="87"/>
      <c r="C127" s="148"/>
      <c r="D127" s="148"/>
    </row>
    <row r="128" spans="1:4" s="23" customFormat="1" ht="20.25" x14ac:dyDescent="0.25">
      <c r="A128" s="87"/>
      <c r="C128" s="148"/>
      <c r="D128" s="148"/>
    </row>
    <row r="129" spans="1:4" s="23" customFormat="1" ht="20.25" x14ac:dyDescent="0.25">
      <c r="A129" s="87"/>
      <c r="C129" s="148"/>
      <c r="D129" s="148"/>
    </row>
    <row r="130" spans="1:4" s="23" customFormat="1" ht="20.25" x14ac:dyDescent="0.25">
      <c r="A130" s="87"/>
      <c r="C130" s="148"/>
      <c r="D130" s="148"/>
    </row>
    <row r="131" spans="1:4" s="23" customFormat="1" ht="20.25" x14ac:dyDescent="0.25">
      <c r="A131" s="87"/>
      <c r="C131" s="148"/>
      <c r="D131" s="148"/>
    </row>
    <row r="132" spans="1:4" s="23" customFormat="1" ht="20.25" x14ac:dyDescent="0.25">
      <c r="A132" s="87"/>
      <c r="C132" s="148"/>
      <c r="D132" s="148"/>
    </row>
    <row r="133" spans="1:4" s="23" customFormat="1" ht="20.25" x14ac:dyDescent="0.25">
      <c r="A133" s="87"/>
      <c r="C133" s="148"/>
      <c r="D133" s="148"/>
    </row>
    <row r="134" spans="1:4" s="23" customFormat="1" ht="20.25" x14ac:dyDescent="0.25">
      <c r="A134" s="87"/>
      <c r="C134" s="148"/>
      <c r="D134" s="148"/>
    </row>
    <row r="135" spans="1:4" s="23" customFormat="1" ht="20.25" x14ac:dyDescent="0.25">
      <c r="A135" s="87"/>
      <c r="C135" s="148"/>
      <c r="D135" s="148"/>
    </row>
    <row r="136" spans="1:4" s="23" customFormat="1" ht="20.25" x14ac:dyDescent="0.25">
      <c r="A136" s="87"/>
      <c r="C136" s="148"/>
      <c r="D136" s="148"/>
    </row>
    <row r="137" spans="1:4" s="23" customFormat="1" ht="20.25" x14ac:dyDescent="0.25">
      <c r="A137" s="87"/>
      <c r="C137" s="148"/>
      <c r="D137" s="148"/>
    </row>
    <row r="138" spans="1:4" s="23" customFormat="1" ht="20.25" x14ac:dyDescent="0.25">
      <c r="A138" s="87"/>
      <c r="C138" s="148"/>
      <c r="D138" s="148"/>
    </row>
    <row r="139" spans="1:4" s="23" customFormat="1" ht="20.25" x14ac:dyDescent="0.25">
      <c r="A139" s="87"/>
      <c r="C139" s="148"/>
      <c r="D139" s="148"/>
    </row>
    <row r="140" spans="1:4" s="23" customFormat="1" ht="20.25" x14ac:dyDescent="0.25">
      <c r="A140" s="87"/>
      <c r="C140" s="148"/>
      <c r="D140" s="148"/>
    </row>
    <row r="141" spans="1:4" s="23" customFormat="1" ht="20.25" x14ac:dyDescent="0.25">
      <c r="A141" s="87"/>
      <c r="C141" s="148"/>
      <c r="D141" s="148"/>
    </row>
    <row r="142" spans="1:4" s="23" customFormat="1" ht="20.25" x14ac:dyDescent="0.25">
      <c r="A142" s="87"/>
      <c r="C142" s="148"/>
      <c r="D142" s="148"/>
    </row>
    <row r="143" spans="1:4" s="23" customFormat="1" ht="20.25" x14ac:dyDescent="0.25">
      <c r="A143" s="87"/>
      <c r="C143" s="148"/>
      <c r="D143" s="148"/>
    </row>
    <row r="144" spans="1:4" s="23" customFormat="1" ht="20.25" x14ac:dyDescent="0.25">
      <c r="A144" s="87"/>
      <c r="C144" s="148"/>
      <c r="D144" s="148"/>
    </row>
    <row r="145" spans="1:4" s="23" customFormat="1" ht="20.25" x14ac:dyDescent="0.25">
      <c r="A145" s="87"/>
      <c r="C145" s="148"/>
      <c r="D145" s="148"/>
    </row>
    <row r="146" spans="1:4" s="23" customFormat="1" ht="20.25" x14ac:dyDescent="0.25">
      <c r="A146" s="87"/>
      <c r="C146" s="148"/>
      <c r="D146" s="148"/>
    </row>
    <row r="147" spans="1:4" s="23" customFormat="1" ht="20.25" x14ac:dyDescent="0.25">
      <c r="A147" s="87"/>
      <c r="C147" s="148"/>
      <c r="D147" s="148"/>
    </row>
    <row r="148" spans="1:4" s="23" customFormat="1" ht="20.25" x14ac:dyDescent="0.25">
      <c r="A148" s="87"/>
      <c r="C148" s="148"/>
      <c r="D148" s="148"/>
    </row>
    <row r="149" spans="1:4" s="23" customFormat="1" ht="20.25" x14ac:dyDescent="0.25">
      <c r="A149" s="87"/>
      <c r="C149" s="148"/>
      <c r="D149" s="148"/>
    </row>
    <row r="150" spans="1:4" s="23" customFormat="1" ht="20.25" x14ac:dyDescent="0.25">
      <c r="A150" s="87"/>
      <c r="C150" s="148"/>
      <c r="D150" s="148"/>
    </row>
    <row r="151" spans="1:4" s="23" customFormat="1" ht="20.25" x14ac:dyDescent="0.25">
      <c r="A151" s="87"/>
      <c r="C151" s="148"/>
      <c r="D151" s="148"/>
    </row>
    <row r="152" spans="1:4" s="23" customFormat="1" ht="20.25" x14ac:dyDescent="0.25">
      <c r="A152" s="87"/>
      <c r="C152" s="148"/>
      <c r="D152" s="148"/>
    </row>
    <row r="153" spans="1:4" s="23" customFormat="1" ht="20.25" x14ac:dyDescent="0.25">
      <c r="A153" s="87"/>
      <c r="C153" s="148"/>
      <c r="D153" s="148"/>
    </row>
    <row r="154" spans="1:4" s="23" customFormat="1" ht="20.25" x14ac:dyDescent="0.25">
      <c r="A154" s="87"/>
      <c r="C154" s="148"/>
      <c r="D154" s="148"/>
    </row>
    <row r="155" spans="1:4" s="23" customFormat="1" ht="20.25" x14ac:dyDescent="0.25">
      <c r="A155" s="87"/>
      <c r="C155" s="148"/>
      <c r="D155" s="148"/>
    </row>
    <row r="156" spans="1:4" s="23" customFormat="1" ht="20.25" x14ac:dyDescent="0.25">
      <c r="A156" s="87"/>
      <c r="C156" s="148"/>
      <c r="D156" s="148"/>
    </row>
    <row r="157" spans="1:4" s="23" customFormat="1" ht="20.25" x14ac:dyDescent="0.25">
      <c r="A157" s="87"/>
      <c r="C157" s="148"/>
      <c r="D157" s="148"/>
    </row>
    <row r="158" spans="1:4" s="23" customFormat="1" ht="20.25" x14ac:dyDescent="0.25">
      <c r="A158" s="87"/>
      <c r="C158" s="148"/>
      <c r="D158" s="148"/>
    </row>
    <row r="159" spans="1:4" s="23" customFormat="1" ht="20.25" x14ac:dyDescent="0.25">
      <c r="A159" s="87"/>
      <c r="C159" s="148"/>
      <c r="D159" s="148"/>
    </row>
    <row r="160" spans="1:4" s="23" customFormat="1" ht="20.25" x14ac:dyDescent="0.25">
      <c r="A160" s="87"/>
      <c r="C160" s="148"/>
      <c r="D160" s="148"/>
    </row>
    <row r="161" spans="1:4" s="23" customFormat="1" ht="20.25" x14ac:dyDescent="0.25">
      <c r="A161" s="87"/>
      <c r="C161" s="148"/>
      <c r="D161" s="148"/>
    </row>
    <row r="162" spans="1:4" s="23" customFormat="1" ht="20.25" x14ac:dyDescent="0.25">
      <c r="A162" s="87"/>
      <c r="C162" s="148"/>
      <c r="D162" s="148"/>
    </row>
    <row r="163" spans="1:4" s="23" customFormat="1" ht="20.25" x14ac:dyDescent="0.25">
      <c r="A163" s="87"/>
      <c r="C163" s="148"/>
      <c r="D163" s="148"/>
    </row>
    <row r="164" spans="1:4" s="23" customFormat="1" ht="20.25" x14ac:dyDescent="0.25">
      <c r="A164" s="87"/>
      <c r="C164" s="148"/>
      <c r="D164" s="148"/>
    </row>
    <row r="165" spans="1:4" s="23" customFormat="1" ht="20.25" x14ac:dyDescent="0.25">
      <c r="A165" s="87"/>
      <c r="C165" s="148"/>
      <c r="D165" s="148"/>
    </row>
    <row r="166" spans="1:4" s="23" customFormat="1" ht="20.25" x14ac:dyDescent="0.25">
      <c r="A166" s="87"/>
      <c r="C166" s="148"/>
      <c r="D166" s="148"/>
    </row>
    <row r="167" spans="1:4" s="23" customFormat="1" ht="20.25" x14ac:dyDescent="0.25">
      <c r="A167" s="87"/>
      <c r="C167" s="148"/>
      <c r="D167" s="148"/>
    </row>
    <row r="168" spans="1:4" s="23" customFormat="1" ht="20.25" x14ac:dyDescent="0.25">
      <c r="A168" s="87"/>
      <c r="C168" s="148"/>
      <c r="D168" s="148"/>
    </row>
    <row r="169" spans="1:4" s="23" customFormat="1" ht="20.25" x14ac:dyDescent="0.25">
      <c r="A169" s="87"/>
      <c r="C169" s="148"/>
      <c r="D169" s="148"/>
    </row>
    <row r="170" spans="1:4" s="23" customFormat="1" ht="20.25" x14ac:dyDescent="0.25">
      <c r="A170" s="87"/>
      <c r="C170" s="148"/>
      <c r="D170" s="148"/>
    </row>
    <row r="171" spans="1:4" s="23" customFormat="1" ht="20.25" x14ac:dyDescent="0.25">
      <c r="A171" s="87"/>
      <c r="C171" s="148"/>
      <c r="D171" s="148"/>
    </row>
    <row r="172" spans="1:4" s="23" customFormat="1" ht="20.25" x14ac:dyDescent="0.25">
      <c r="A172" s="87"/>
      <c r="C172" s="148"/>
      <c r="D172" s="148"/>
    </row>
    <row r="173" spans="1:4" s="23" customFormat="1" ht="20.25" x14ac:dyDescent="0.25">
      <c r="A173" s="87"/>
      <c r="C173" s="148"/>
      <c r="D173" s="148"/>
    </row>
    <row r="174" spans="1:4" s="23" customFormat="1" ht="20.25" x14ac:dyDescent="0.25">
      <c r="A174" s="87"/>
      <c r="C174" s="148"/>
      <c r="D174" s="148"/>
    </row>
    <row r="175" spans="1:4" s="23" customFormat="1" ht="20.25" x14ac:dyDescent="0.25">
      <c r="A175" s="87"/>
      <c r="C175" s="148"/>
      <c r="D175" s="148"/>
    </row>
    <row r="176" spans="1:4" s="23" customFormat="1" ht="20.25" x14ac:dyDescent="0.25">
      <c r="A176" s="87"/>
      <c r="C176" s="148"/>
      <c r="D176" s="148"/>
    </row>
    <row r="177" spans="1:4" s="23" customFormat="1" ht="20.25" x14ac:dyDescent="0.25">
      <c r="A177" s="87"/>
      <c r="C177" s="148"/>
      <c r="D177" s="148"/>
    </row>
    <row r="178" spans="1:4" s="23" customFormat="1" ht="20.25" x14ac:dyDescent="0.25">
      <c r="A178" s="87"/>
      <c r="C178" s="148"/>
      <c r="D178" s="148"/>
    </row>
    <row r="179" spans="1:4" s="23" customFormat="1" ht="20.25" x14ac:dyDescent="0.25">
      <c r="A179" s="87"/>
      <c r="C179" s="148"/>
      <c r="D179" s="148"/>
    </row>
    <row r="180" spans="1:4" s="23" customFormat="1" ht="20.25" x14ac:dyDescent="0.25">
      <c r="A180" s="87"/>
      <c r="C180" s="148"/>
      <c r="D180" s="148"/>
    </row>
    <row r="181" spans="1:4" s="23" customFormat="1" ht="20.25" x14ac:dyDescent="0.25">
      <c r="A181" s="87"/>
      <c r="C181" s="148"/>
      <c r="D181" s="148"/>
    </row>
    <row r="182" spans="1:4" s="23" customFormat="1" ht="20.25" x14ac:dyDescent="0.25">
      <c r="A182" s="87"/>
      <c r="C182" s="148"/>
      <c r="D182" s="148"/>
    </row>
    <row r="183" spans="1:4" s="23" customFormat="1" ht="20.25" x14ac:dyDescent="0.25">
      <c r="A183" s="87"/>
      <c r="C183" s="148"/>
      <c r="D183" s="148"/>
    </row>
    <row r="184" spans="1:4" s="23" customFormat="1" ht="20.25" x14ac:dyDescent="0.25">
      <c r="A184" s="87"/>
      <c r="C184" s="148"/>
      <c r="D184" s="148"/>
    </row>
    <row r="185" spans="1:4" s="23" customFormat="1" ht="20.25" x14ac:dyDescent="0.25">
      <c r="A185" s="87"/>
      <c r="C185" s="148"/>
      <c r="D185" s="148"/>
    </row>
    <row r="186" spans="1:4" s="23" customFormat="1" ht="20.25" x14ac:dyDescent="0.25">
      <c r="A186" s="87"/>
      <c r="C186" s="148"/>
      <c r="D186" s="148"/>
    </row>
    <row r="187" spans="1:4" s="23" customFormat="1" ht="20.25" x14ac:dyDescent="0.25">
      <c r="A187" s="87"/>
      <c r="C187" s="148"/>
      <c r="D187" s="148"/>
    </row>
    <row r="188" spans="1:4" s="23" customFormat="1" ht="20.25" x14ac:dyDescent="0.25">
      <c r="A188" s="87"/>
      <c r="C188" s="148"/>
      <c r="D188" s="148"/>
    </row>
    <row r="189" spans="1:4" s="23" customFormat="1" ht="20.25" x14ac:dyDescent="0.25">
      <c r="A189" s="87"/>
      <c r="C189" s="148"/>
      <c r="D189" s="148"/>
    </row>
    <row r="190" spans="1:4" s="23" customFormat="1" ht="20.25" x14ac:dyDescent="0.25">
      <c r="A190" s="87"/>
      <c r="C190" s="148"/>
      <c r="D190" s="148"/>
    </row>
    <row r="191" spans="1:4" s="23" customFormat="1" ht="20.25" x14ac:dyDescent="0.25">
      <c r="A191" s="87"/>
      <c r="C191" s="148"/>
      <c r="D191" s="148"/>
    </row>
    <row r="192" spans="1:4" s="23" customFormat="1" ht="20.25" x14ac:dyDescent="0.25">
      <c r="A192" s="87"/>
      <c r="C192" s="148"/>
      <c r="D192" s="148"/>
    </row>
    <row r="193" spans="1:4" s="23" customFormat="1" ht="20.25" x14ac:dyDescent="0.25">
      <c r="A193" s="87"/>
      <c r="C193" s="148"/>
      <c r="D193" s="148"/>
    </row>
    <row r="194" spans="1:4" s="23" customFormat="1" ht="20.25" x14ac:dyDescent="0.25">
      <c r="A194" s="87"/>
      <c r="C194" s="148"/>
      <c r="D194" s="148"/>
    </row>
    <row r="195" spans="1:4" s="23" customFormat="1" ht="20.25" x14ac:dyDescent="0.25">
      <c r="A195" s="87"/>
      <c r="C195" s="148"/>
      <c r="D195" s="148"/>
    </row>
    <row r="196" spans="1:4" s="23" customFormat="1" ht="20.25" x14ac:dyDescent="0.25">
      <c r="A196" s="87"/>
      <c r="C196" s="148"/>
      <c r="D196" s="148"/>
    </row>
    <row r="197" spans="1:4" s="23" customFormat="1" ht="20.25" x14ac:dyDescent="0.25">
      <c r="A197" s="87"/>
      <c r="C197" s="148"/>
      <c r="D197" s="148"/>
    </row>
    <row r="198" spans="1:4" s="23" customFormat="1" ht="20.25" x14ac:dyDescent="0.25">
      <c r="A198" s="87"/>
      <c r="C198" s="148"/>
      <c r="D198" s="148"/>
    </row>
    <row r="199" spans="1:4" s="23" customFormat="1" ht="20.25" x14ac:dyDescent="0.25">
      <c r="A199" s="87"/>
      <c r="C199" s="148"/>
      <c r="D199" s="148"/>
    </row>
    <row r="200" spans="1:4" s="23" customFormat="1" ht="20.25" x14ac:dyDescent="0.25">
      <c r="A200" s="87"/>
      <c r="C200" s="148"/>
      <c r="D200" s="148"/>
    </row>
    <row r="201" spans="1:4" s="23" customFormat="1" ht="20.25" x14ac:dyDescent="0.25">
      <c r="A201" s="87"/>
      <c r="C201" s="148"/>
      <c r="D201" s="148"/>
    </row>
    <row r="202" spans="1:4" s="23" customFormat="1" ht="20.25" x14ac:dyDescent="0.25">
      <c r="A202" s="87"/>
      <c r="C202" s="148"/>
      <c r="D202" s="148"/>
    </row>
    <row r="203" spans="1:4" s="23" customFormat="1" ht="20.25" x14ac:dyDescent="0.25">
      <c r="A203" s="87"/>
      <c r="C203" s="148"/>
      <c r="D203" s="148"/>
    </row>
    <row r="204" spans="1:4" s="23" customFormat="1" ht="20.25" x14ac:dyDescent="0.25">
      <c r="A204" s="87"/>
      <c r="C204" s="148"/>
      <c r="D204" s="148"/>
    </row>
    <row r="205" spans="1:4" s="23" customFormat="1" ht="20.25" x14ac:dyDescent="0.25">
      <c r="A205" s="87"/>
      <c r="C205" s="148"/>
      <c r="D205" s="148"/>
    </row>
    <row r="206" spans="1:4" s="23" customFormat="1" ht="20.25" x14ac:dyDescent="0.25">
      <c r="A206" s="87"/>
      <c r="C206" s="148"/>
      <c r="D206" s="148"/>
    </row>
    <row r="207" spans="1:4" s="23" customFormat="1" ht="20.25" x14ac:dyDescent="0.25">
      <c r="A207" s="87"/>
      <c r="C207" s="148"/>
      <c r="D207" s="148"/>
    </row>
    <row r="208" spans="1:4" s="23" customFormat="1" x14ac:dyDescent="0.25">
      <c r="A208" s="87"/>
    </row>
    <row r="209" spans="1:8" s="23" customFormat="1" ht="20.25" x14ac:dyDescent="0.25">
      <c r="A209" s="87"/>
      <c r="B209" s="149" t="s">
        <v>86</v>
      </c>
      <c r="C209" s="149" t="s">
        <v>139</v>
      </c>
      <c r="D209" s="150" t="s">
        <v>86</v>
      </c>
      <c r="E209" s="150" t="s">
        <v>139</v>
      </c>
    </row>
    <row r="210" spans="1:8" s="23" customFormat="1" ht="42" x14ac:dyDescent="0.35">
      <c r="A210" s="87"/>
      <c r="B210" s="151" t="s">
        <v>88</v>
      </c>
      <c r="C210" s="151" t="s">
        <v>204</v>
      </c>
      <c r="D210" s="23" t="s">
        <v>88</v>
      </c>
      <c r="F210" s="23" t="str">
        <f>IF(NOT(ISBLANK(D210)),D210,IF(NOT(ISBLANK(E210)),"     "&amp;E210,FALSE))</f>
        <v>Afectación Económica o presupuestal</v>
      </c>
      <c r="G210" s="23" t="s">
        <v>88</v>
      </c>
      <c r="H210" s="23" t="str">
        <f ca="1">IF(NOT(ISERROR(MATCH(G210,_xlfn.ANCHORARRAY(B221),0))),F223&amp;"Por favor no seleccionar los criterios de impacto",G210)</f>
        <v>Afectación Económica o presupuestal</v>
      </c>
    </row>
    <row r="211" spans="1:8" s="23" customFormat="1" ht="42" x14ac:dyDescent="0.35">
      <c r="A211" s="87"/>
      <c r="B211" s="151" t="s">
        <v>88</v>
      </c>
      <c r="C211" s="151" t="s">
        <v>205</v>
      </c>
      <c r="E211" s="23" t="s">
        <v>204</v>
      </c>
      <c r="F211" s="23" t="str">
        <f t="shared" ref="F211:F221" si="0">IF(NOT(ISBLANK(D211)),D211,IF(NOT(ISBLANK(E211)),"     "&amp;E211,FALSE))</f>
        <v xml:space="preserve">     Afectación menor a 200 SMLMV</v>
      </c>
    </row>
    <row r="212" spans="1:8" s="23" customFormat="1" ht="42" x14ac:dyDescent="0.35">
      <c r="A212" s="87"/>
      <c r="B212" s="151" t="s">
        <v>88</v>
      </c>
      <c r="C212" s="151" t="s">
        <v>208</v>
      </c>
      <c r="E212" s="23" t="s">
        <v>205</v>
      </c>
      <c r="F212" s="23" t="str">
        <f t="shared" si="0"/>
        <v xml:space="preserve">     Entre 200 y 1000 SMLMV</v>
      </c>
    </row>
    <row r="213" spans="1:8" s="23" customFormat="1" ht="42" x14ac:dyDescent="0.35">
      <c r="A213" s="87"/>
      <c r="B213" s="151" t="s">
        <v>88</v>
      </c>
      <c r="C213" s="151" t="s">
        <v>209</v>
      </c>
      <c r="E213" s="23" t="s">
        <v>208</v>
      </c>
      <c r="F213" s="23" t="str">
        <f t="shared" si="0"/>
        <v xml:space="preserve">     Entre 1000 y 5000 SMLMV </v>
      </c>
    </row>
    <row r="214" spans="1:8" s="23" customFormat="1" ht="42" x14ac:dyDescent="0.35">
      <c r="A214" s="87"/>
      <c r="B214" s="151" t="s">
        <v>88</v>
      </c>
      <c r="C214" s="151" t="s">
        <v>206</v>
      </c>
      <c r="E214" s="23" t="s">
        <v>209</v>
      </c>
      <c r="F214" s="23" t="str">
        <f t="shared" si="0"/>
        <v xml:space="preserve">     Entre 5000 y 10000 SMLMV</v>
      </c>
    </row>
    <row r="215" spans="1:8" s="23" customFormat="1" ht="42" x14ac:dyDescent="0.35">
      <c r="A215" s="87"/>
      <c r="B215" s="151" t="s">
        <v>56</v>
      </c>
      <c r="C215" s="151" t="s">
        <v>91</v>
      </c>
      <c r="E215" s="23" t="s">
        <v>206</v>
      </c>
      <c r="F215" s="23" t="str">
        <f t="shared" si="0"/>
        <v xml:space="preserve">     Mayor a 10000 SMLMV</v>
      </c>
    </row>
    <row r="216" spans="1:8" s="23" customFormat="1" ht="63" x14ac:dyDescent="0.35">
      <c r="A216" s="87"/>
      <c r="B216" s="151" t="s">
        <v>56</v>
      </c>
      <c r="C216" s="151" t="s">
        <v>92</v>
      </c>
      <c r="D216" s="23" t="s">
        <v>56</v>
      </c>
      <c r="F216" s="23" t="str">
        <f t="shared" si="0"/>
        <v>Pérdida Reputacional</v>
      </c>
    </row>
    <row r="217" spans="1:8" s="23" customFormat="1" ht="42" x14ac:dyDescent="0.35">
      <c r="A217" s="87"/>
      <c r="B217" s="151" t="s">
        <v>56</v>
      </c>
      <c r="C217" s="151" t="s">
        <v>94</v>
      </c>
      <c r="E217" s="23" t="s">
        <v>91</v>
      </c>
      <c r="F217" s="23" t="str">
        <f>IF(NOT(ISBLANK(D217)),D217,IF(NOT(ISBLANK(E217)),"     "&amp;E217,FALSE))</f>
        <v xml:space="preserve">     El riesgo afecta la imagen de alguna área de la organización</v>
      </c>
    </row>
    <row r="218" spans="1:8" s="23" customFormat="1" ht="63" x14ac:dyDescent="0.35">
      <c r="A218" s="87"/>
      <c r="B218" s="151" t="s">
        <v>56</v>
      </c>
      <c r="C218" s="151"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51" t="s">
        <v>56</v>
      </c>
      <c r="C219" s="151" t="s">
        <v>112</v>
      </c>
      <c r="E219" s="23" t="s">
        <v>94</v>
      </c>
      <c r="F219" s="23" t="str">
        <f t="shared" si="0"/>
        <v xml:space="preserve">     El riesgo afecta la imagen de la entidad con algunos usuarios de relevancia frente al logro de los objetivos</v>
      </c>
    </row>
    <row r="220" spans="1:8" s="23" customFormat="1" x14ac:dyDescent="0.25">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e" cm="1">
        <f t="array" aca="1" ref="B221:B223" ca="1">_xlfn.UNIQUE(Tabla1[[#All],[Criterios]])</f>
        <v>#NAME?</v>
      </c>
      <c r="E221" s="23" t="s">
        <v>112</v>
      </c>
      <c r="F221" s="23" t="str">
        <f t="shared" si="0"/>
        <v xml:space="preserve">     El riesgo afecta la imagen de la entidad a nivel nacional, con efecto publicitarios sostenible a nivel país</v>
      </c>
    </row>
    <row r="222" spans="1:8" s="23" customFormat="1" x14ac:dyDescent="0.25">
      <c r="A222" s="87"/>
      <c r="B222" s="23" t="e">
        <f ca="1"/>
        <v>#NAME?</v>
      </c>
    </row>
    <row r="223" spans="1:8" s="23" customFormat="1" x14ac:dyDescent="0.25">
      <c r="B223" s="23" t="e">
        <f ca="1"/>
        <v>#NAME?</v>
      </c>
      <c r="F223" s="152" t="s">
        <v>140</v>
      </c>
    </row>
    <row r="224" spans="1:8" s="23" customFormat="1" x14ac:dyDescent="0.25">
      <c r="F224" s="152" t="s">
        <v>141</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election activeCell="K10" sqref="K10"/>
    </sheetView>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461" t="s">
        <v>76</v>
      </c>
      <c r="C1" s="462"/>
      <c r="D1" s="462"/>
      <c r="E1" s="462"/>
      <c r="F1" s="463"/>
    </row>
    <row r="2" spans="2:6" ht="16.5" thickBot="1" x14ac:dyDescent="0.3">
      <c r="B2" s="73"/>
      <c r="C2" s="73"/>
      <c r="D2" s="73"/>
      <c r="E2" s="73"/>
      <c r="F2" s="73"/>
    </row>
    <row r="3" spans="2:6" ht="16.5" thickBot="1" x14ac:dyDescent="0.25">
      <c r="B3" s="465" t="s">
        <v>62</v>
      </c>
      <c r="C3" s="466"/>
      <c r="D3" s="466"/>
      <c r="E3" s="85" t="s">
        <v>63</v>
      </c>
      <c r="F3" s="86" t="s">
        <v>64</v>
      </c>
    </row>
    <row r="4" spans="2:6" ht="31.5" x14ac:dyDescent="0.2">
      <c r="B4" s="467" t="s">
        <v>65</v>
      </c>
      <c r="C4" s="469" t="s">
        <v>13</v>
      </c>
      <c r="D4" s="74" t="s">
        <v>14</v>
      </c>
      <c r="E4" s="75" t="s">
        <v>66</v>
      </c>
      <c r="F4" s="76">
        <v>0.25</v>
      </c>
    </row>
    <row r="5" spans="2:6" ht="47.25" x14ac:dyDescent="0.2">
      <c r="B5" s="468"/>
      <c r="C5" s="470"/>
      <c r="D5" s="77" t="s">
        <v>15</v>
      </c>
      <c r="E5" s="78" t="s">
        <v>67</v>
      </c>
      <c r="F5" s="79">
        <v>0.15</v>
      </c>
    </row>
    <row r="6" spans="2:6" ht="47.25" x14ac:dyDescent="0.2">
      <c r="B6" s="468"/>
      <c r="C6" s="470"/>
      <c r="D6" s="77" t="s">
        <v>16</v>
      </c>
      <c r="E6" s="78" t="s">
        <v>68</v>
      </c>
      <c r="F6" s="79">
        <v>0.1</v>
      </c>
    </row>
    <row r="7" spans="2:6" ht="63" x14ac:dyDescent="0.2">
      <c r="B7" s="468"/>
      <c r="C7" s="470" t="s">
        <v>17</v>
      </c>
      <c r="D7" s="77" t="s">
        <v>10</v>
      </c>
      <c r="E7" s="78" t="s">
        <v>69</v>
      </c>
      <c r="F7" s="79">
        <v>0.25</v>
      </c>
    </row>
    <row r="8" spans="2:6" ht="31.5" x14ac:dyDescent="0.2">
      <c r="B8" s="468"/>
      <c r="C8" s="470"/>
      <c r="D8" s="77" t="s">
        <v>9</v>
      </c>
      <c r="E8" s="78" t="s">
        <v>70</v>
      </c>
      <c r="F8" s="79">
        <v>0.15</v>
      </c>
    </row>
    <row r="9" spans="2:6" ht="47.25" x14ac:dyDescent="0.2">
      <c r="B9" s="468" t="s">
        <v>150</v>
      </c>
      <c r="C9" s="470" t="s">
        <v>18</v>
      </c>
      <c r="D9" s="77" t="s">
        <v>19</v>
      </c>
      <c r="E9" s="78" t="s">
        <v>71</v>
      </c>
      <c r="F9" s="80" t="s">
        <v>72</v>
      </c>
    </row>
    <row r="10" spans="2:6" ht="63" x14ac:dyDescent="0.2">
      <c r="B10" s="468"/>
      <c r="C10" s="470"/>
      <c r="D10" s="77" t="s">
        <v>20</v>
      </c>
      <c r="E10" s="78" t="s">
        <v>73</v>
      </c>
      <c r="F10" s="80" t="s">
        <v>72</v>
      </c>
    </row>
    <row r="11" spans="2:6" ht="47.25" x14ac:dyDescent="0.2">
      <c r="B11" s="468"/>
      <c r="C11" s="470" t="s">
        <v>21</v>
      </c>
      <c r="D11" s="77" t="s">
        <v>22</v>
      </c>
      <c r="E11" s="78" t="s">
        <v>74</v>
      </c>
      <c r="F11" s="80" t="s">
        <v>72</v>
      </c>
    </row>
    <row r="12" spans="2:6" ht="47.25" x14ac:dyDescent="0.2">
      <c r="B12" s="468"/>
      <c r="C12" s="470"/>
      <c r="D12" s="77" t="s">
        <v>23</v>
      </c>
      <c r="E12" s="78" t="s">
        <v>75</v>
      </c>
      <c r="F12" s="80" t="s">
        <v>72</v>
      </c>
    </row>
    <row r="13" spans="2:6" ht="31.5" x14ac:dyDescent="0.2">
      <c r="B13" s="468"/>
      <c r="C13" s="470" t="s">
        <v>24</v>
      </c>
      <c r="D13" s="77" t="s">
        <v>113</v>
      </c>
      <c r="E13" s="78" t="s">
        <v>116</v>
      </c>
      <c r="F13" s="80" t="s">
        <v>72</v>
      </c>
    </row>
    <row r="14" spans="2:6" ht="32.25" thickBot="1" x14ac:dyDescent="0.25">
      <c r="B14" s="471"/>
      <c r="C14" s="472"/>
      <c r="D14" s="81" t="s">
        <v>114</v>
      </c>
      <c r="E14" s="82" t="s">
        <v>115</v>
      </c>
      <c r="F14" s="83" t="s">
        <v>72</v>
      </c>
    </row>
    <row r="15" spans="2:6" ht="49.5" customHeight="1" x14ac:dyDescent="0.2">
      <c r="B15" s="464" t="s">
        <v>147</v>
      </c>
      <c r="C15" s="464"/>
      <c r="D15" s="464"/>
      <c r="E15" s="464"/>
      <c r="F15" s="464"/>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127</v>
      </c>
    </row>
    <row r="3" spans="2:5" x14ac:dyDescent="0.25">
      <c r="B3" t="s">
        <v>32</v>
      </c>
      <c r="E3" t="s">
        <v>126</v>
      </c>
    </row>
    <row r="4" spans="2:5" x14ac:dyDescent="0.25">
      <c r="B4" t="s">
        <v>131</v>
      </c>
      <c r="E4" t="s">
        <v>128</v>
      </c>
    </row>
    <row r="5" spans="2:5" x14ac:dyDescent="0.25">
      <c r="B5" t="s">
        <v>130</v>
      </c>
    </row>
    <row r="8" spans="2:5" x14ac:dyDescent="0.25">
      <c r="B8" t="s">
        <v>84</v>
      </c>
    </row>
    <row r="9" spans="2:5" x14ac:dyDescent="0.25">
      <c r="B9" t="s">
        <v>39</v>
      </c>
    </row>
    <row r="10" spans="2:5" x14ac:dyDescent="0.25">
      <c r="B10" t="s">
        <v>40</v>
      </c>
    </row>
    <row r="13" spans="2:5" x14ac:dyDescent="0.25">
      <c r="B13" t="s">
        <v>123</v>
      </c>
    </row>
    <row r="14" spans="2:5" x14ac:dyDescent="0.25">
      <c r="B14" t="s">
        <v>117</v>
      </c>
    </row>
    <row r="15" spans="2:5" x14ac:dyDescent="0.25">
      <c r="B15" t="s">
        <v>120</v>
      </c>
    </row>
    <row r="16" spans="2:5" x14ac:dyDescent="0.25">
      <c r="B16" t="s">
        <v>118</v>
      </c>
    </row>
    <row r="17" spans="2:2" x14ac:dyDescent="0.25">
      <c r="B17" t="s">
        <v>119</v>
      </c>
    </row>
    <row r="18" spans="2:2" x14ac:dyDescent="0.25">
      <c r="B18" t="s">
        <v>121</v>
      </c>
    </row>
    <row r="19" spans="2:2" x14ac:dyDescent="0.25">
      <c r="B19" t="s">
        <v>122</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39</v>
      </c>
    </row>
    <row r="21" spans="1:1" x14ac:dyDescent="0.2">
      <c r="A21" s="1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2022-10-21T19:18:20Z</cp:lastPrinted>
  <dcterms:created xsi:type="dcterms:W3CDTF">2020-03-24T23:12:47Z</dcterms:created>
  <dcterms:modified xsi:type="dcterms:W3CDTF">2023-04-26T16:00:06Z</dcterms:modified>
</cp:coreProperties>
</file>