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hidePivotFieldList="1" defaultThemeVersion="124226"/>
  <mc:AlternateContent xmlns:mc="http://schemas.openxmlformats.org/markup-compatibility/2006">
    <mc:Choice Requires="x15">
      <x15ac:absPath xmlns:x15ac="http://schemas.microsoft.com/office/spreadsheetml/2010/11/ac" url="C:\Users\Maria Paula\Desktop\2023 Alcaldia\Mapa de riesgos de Gestion 2023\Para publicar julio\"/>
    </mc:Choice>
  </mc:AlternateContent>
  <xr:revisionPtr revIDLastSave="0" documentId="8_{9AB4CF38-2560-4CEA-A8BD-52995A2E2C29}" xr6:coauthVersionLast="47" xr6:coauthVersionMax="47" xr10:uidLastSave="{00000000-0000-0000-0000-000000000000}"/>
  <bookViews>
    <workbookView xWindow="-108" yWindow="-108" windowWidth="23256" windowHeight="12456"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calcPr calcId="181029"/>
  <pivotCaches>
    <pivotCache cacheId="1" r:id="rId11"/>
  </pivotCaches>
</workbook>
</file>

<file path=xl/calcChain.xml><?xml version="1.0" encoding="utf-8"?>
<calcChain xmlns="http://schemas.openxmlformats.org/spreadsheetml/2006/main">
  <c r="G69" i="1" l="1"/>
  <c r="V18" i="1" l="1"/>
  <c r="S18" i="1"/>
  <c r="V17" i="1"/>
  <c r="S17" i="1"/>
  <c r="V54" i="1"/>
  <c r="S54" i="1"/>
  <c r="V53" i="1"/>
  <c r="S53" i="1"/>
  <c r="V52" i="1"/>
  <c r="S52" i="1"/>
  <c r="V51" i="1"/>
  <c r="S51" i="1"/>
  <c r="V50" i="1"/>
  <c r="S50" i="1"/>
  <c r="V49" i="1"/>
  <c r="S49" i="1"/>
  <c r="V48" i="1"/>
  <c r="S48" i="1"/>
  <c r="V47" i="1"/>
  <c r="S47" i="1"/>
  <c r="V46" i="1"/>
  <c r="S46" i="1"/>
  <c r="V45" i="1"/>
  <c r="S45" i="1"/>
  <c r="V44" i="1"/>
  <c r="S44" i="1"/>
  <c r="V43" i="1"/>
  <c r="S43" i="1"/>
  <c r="V42" i="1"/>
  <c r="S42" i="1"/>
  <c r="V41" i="1"/>
  <c r="S41" i="1"/>
  <c r="V40" i="1"/>
  <c r="S40" i="1"/>
  <c r="V39" i="1"/>
  <c r="S39" i="1"/>
  <c r="V38" i="1"/>
  <c r="S38" i="1"/>
  <c r="V37" i="1"/>
  <c r="S37" i="1"/>
  <c r="V36" i="1"/>
  <c r="S36" i="1"/>
  <c r="V35" i="1"/>
  <c r="S35" i="1"/>
  <c r="V34" i="1"/>
  <c r="S34" i="1"/>
  <c r="V33" i="1"/>
  <c r="S33" i="1"/>
  <c r="V32" i="1"/>
  <c r="S32" i="1"/>
  <c r="V31" i="1"/>
  <c r="S31" i="1"/>
  <c r="V30" i="1"/>
  <c r="S30" i="1"/>
  <c r="V29" i="1"/>
  <c r="S29" i="1"/>
  <c r="V28" i="1"/>
  <c r="S28" i="1"/>
  <c r="V27" i="1"/>
  <c r="S27" i="1"/>
  <c r="V26" i="1"/>
  <c r="S26" i="1"/>
  <c r="V25" i="1"/>
  <c r="S25" i="1"/>
  <c r="V24" i="1"/>
  <c r="S24" i="1"/>
  <c r="V23" i="1"/>
  <c r="S23" i="1"/>
  <c r="V22" i="1"/>
  <c r="S22" i="1"/>
  <c r="V21" i="1"/>
  <c r="S21" i="1"/>
  <c r="V20" i="1"/>
  <c r="S20" i="1"/>
  <c r="V19" i="1"/>
  <c r="S19" i="1"/>
  <c r="V16" i="1"/>
  <c r="S16" i="1"/>
  <c r="V15" i="1"/>
  <c r="S15" i="1"/>
  <c r="AD20" i="1" l="1"/>
  <c r="AC20" i="1" s="1"/>
  <c r="AD22" i="1"/>
  <c r="AC22" i="1" s="1"/>
  <c r="AD26" i="1"/>
  <c r="AC26" i="1" s="1"/>
  <c r="AD28" i="1"/>
  <c r="AC28" i="1" s="1"/>
  <c r="AD30" i="1"/>
  <c r="AC30" i="1" s="1"/>
  <c r="AD34" i="1"/>
  <c r="AC34" i="1" s="1"/>
  <c r="AD36" i="1"/>
  <c r="AC36" i="1" s="1"/>
  <c r="AD38" i="1"/>
  <c r="AC38" i="1" s="1"/>
  <c r="AD42" i="1"/>
  <c r="AC42" i="1" s="1"/>
  <c r="AD44" i="1"/>
  <c r="AC44" i="1" s="1"/>
  <c r="AD46" i="1"/>
  <c r="AC46" i="1" s="1"/>
  <c r="AD50" i="1"/>
  <c r="AC50" i="1" s="1"/>
  <c r="AD52" i="1"/>
  <c r="AC52" i="1" s="1"/>
  <c r="AD54" i="1"/>
  <c r="AC54" i="1" s="1"/>
  <c r="AD24" i="1"/>
  <c r="AC24" i="1" s="1"/>
  <c r="AD32" i="1"/>
  <c r="AC32" i="1" s="1"/>
  <c r="AD40" i="1"/>
  <c r="AC40" i="1" s="1"/>
  <c r="AD48" i="1"/>
  <c r="AC48" i="1" s="1"/>
  <c r="AD21" i="1"/>
  <c r="AC21" i="1" s="1"/>
  <c r="AD23" i="1"/>
  <c r="AC23" i="1" s="1"/>
  <c r="AD27" i="1"/>
  <c r="AC27" i="1" s="1"/>
  <c r="AD29" i="1"/>
  <c r="AC29" i="1" s="1"/>
  <c r="AD33" i="1"/>
  <c r="AC33" i="1" s="1"/>
  <c r="AD35" i="1"/>
  <c r="AC35" i="1" s="1"/>
  <c r="AD39" i="1"/>
  <c r="AC39" i="1" s="1"/>
  <c r="AD41" i="1"/>
  <c r="AC41" i="1" s="1"/>
  <c r="AD45" i="1"/>
  <c r="AC45" i="1" s="1"/>
  <c r="AD47" i="1"/>
  <c r="AC47" i="1" s="1"/>
  <c r="AD51" i="1"/>
  <c r="AC51" i="1" s="1"/>
  <c r="AD53" i="1"/>
  <c r="AC53" i="1" s="1"/>
  <c r="Z49" i="1"/>
  <c r="Z51" i="1"/>
  <c r="Z53" i="1"/>
  <c r="AD49" i="1"/>
  <c r="AC49" i="1" s="1"/>
  <c r="Z50" i="1"/>
  <c r="Z52" i="1"/>
  <c r="Z54" i="1"/>
  <c r="Z43" i="1"/>
  <c r="Z45" i="1"/>
  <c r="Z47" i="1"/>
  <c r="AD43" i="1"/>
  <c r="AC43" i="1" s="1"/>
  <c r="Z44" i="1"/>
  <c r="Z46" i="1"/>
  <c r="Z48" i="1"/>
  <c r="Z37" i="1"/>
  <c r="Z39" i="1"/>
  <c r="Z41" i="1"/>
  <c r="AD37" i="1"/>
  <c r="AC37" i="1" s="1"/>
  <c r="Z38" i="1"/>
  <c r="Z40" i="1"/>
  <c r="Z42" i="1"/>
  <c r="Z31" i="1"/>
  <c r="Z33" i="1"/>
  <c r="Z35" i="1"/>
  <c r="AD31" i="1"/>
  <c r="AC31" i="1" s="1"/>
  <c r="Z32" i="1"/>
  <c r="Z34" i="1"/>
  <c r="Z36" i="1"/>
  <c r="Z25" i="1"/>
  <c r="Z27" i="1"/>
  <c r="Z29" i="1"/>
  <c r="AD25" i="1"/>
  <c r="AC25" i="1" s="1"/>
  <c r="Z26" i="1"/>
  <c r="Z28" i="1"/>
  <c r="Z30" i="1"/>
  <c r="Z19" i="1"/>
  <c r="Z21" i="1"/>
  <c r="Z23" i="1"/>
  <c r="AD19" i="1"/>
  <c r="AC19" i="1" s="1"/>
  <c r="Z20" i="1"/>
  <c r="Z22" i="1"/>
  <c r="Z24" i="1"/>
  <c r="AB54" i="1" l="1"/>
  <c r="AA54" i="1"/>
  <c r="AE54" i="1" s="1"/>
  <c r="AB52" i="1"/>
  <c r="AA52" i="1"/>
  <c r="AE52" i="1" s="1"/>
  <c r="AB50" i="1"/>
  <c r="AA50" i="1"/>
  <c r="AE50" i="1" s="1"/>
  <c r="AB53" i="1"/>
  <c r="AA53" i="1"/>
  <c r="AE53" i="1" s="1"/>
  <c r="AB51" i="1"/>
  <c r="AA51" i="1"/>
  <c r="AE51" i="1" s="1"/>
  <c r="AB49" i="1"/>
  <c r="AA49" i="1"/>
  <c r="AE49" i="1" s="1"/>
  <c r="AB48" i="1"/>
  <c r="AA48" i="1"/>
  <c r="AE48" i="1" s="1"/>
  <c r="AB46" i="1"/>
  <c r="AA46" i="1"/>
  <c r="AE46" i="1" s="1"/>
  <c r="AB44" i="1"/>
  <c r="AA44" i="1"/>
  <c r="AE44" i="1" s="1"/>
  <c r="AB47" i="1"/>
  <c r="AA47" i="1"/>
  <c r="AE47" i="1" s="1"/>
  <c r="AB45" i="1"/>
  <c r="AA45" i="1"/>
  <c r="AE45" i="1" s="1"/>
  <c r="AB43" i="1"/>
  <c r="AA43" i="1"/>
  <c r="AE43" i="1" s="1"/>
  <c r="AB42" i="1"/>
  <c r="AA42" i="1"/>
  <c r="AE42" i="1" s="1"/>
  <c r="AB40" i="1"/>
  <c r="AA40" i="1"/>
  <c r="AE40" i="1" s="1"/>
  <c r="AB38" i="1"/>
  <c r="AA38" i="1"/>
  <c r="AE38" i="1" s="1"/>
  <c r="AB41" i="1"/>
  <c r="AA41" i="1"/>
  <c r="AE41" i="1" s="1"/>
  <c r="AB39" i="1"/>
  <c r="AA39" i="1"/>
  <c r="AE39" i="1" s="1"/>
  <c r="AB37" i="1"/>
  <c r="AA37" i="1"/>
  <c r="AE37" i="1" s="1"/>
  <c r="AB36" i="1"/>
  <c r="AA36" i="1"/>
  <c r="AE36" i="1" s="1"/>
  <c r="AB34" i="1"/>
  <c r="AA34" i="1"/>
  <c r="AE34" i="1" s="1"/>
  <c r="AB32" i="1"/>
  <c r="AA32" i="1"/>
  <c r="AE32" i="1" s="1"/>
  <c r="AB35" i="1"/>
  <c r="AA35" i="1"/>
  <c r="AE35" i="1" s="1"/>
  <c r="AB33" i="1"/>
  <c r="AA33" i="1"/>
  <c r="AE33" i="1" s="1"/>
  <c r="AB31" i="1"/>
  <c r="AA31" i="1"/>
  <c r="AE31" i="1" s="1"/>
  <c r="AB30" i="1"/>
  <c r="AA30" i="1"/>
  <c r="AE30" i="1" s="1"/>
  <c r="AB28" i="1"/>
  <c r="AA28" i="1"/>
  <c r="AE28" i="1" s="1"/>
  <c r="AB26" i="1"/>
  <c r="AA26" i="1"/>
  <c r="AE26" i="1" s="1"/>
  <c r="AB29" i="1"/>
  <c r="AA29" i="1"/>
  <c r="AE29" i="1" s="1"/>
  <c r="AB27" i="1"/>
  <c r="AA27" i="1"/>
  <c r="AE27" i="1" s="1"/>
  <c r="AB25" i="1"/>
  <c r="AA25" i="1"/>
  <c r="AE25" i="1" s="1"/>
  <c r="AB24" i="1"/>
  <c r="AA24" i="1"/>
  <c r="AE24" i="1" s="1"/>
  <c r="AB22" i="1"/>
  <c r="AA22" i="1"/>
  <c r="AE22" i="1" s="1"/>
  <c r="AB20" i="1"/>
  <c r="AA20" i="1"/>
  <c r="AE20" i="1" s="1"/>
  <c r="AA23" i="1"/>
  <c r="AE23" i="1" s="1"/>
  <c r="AB23" i="1"/>
  <c r="AA21" i="1"/>
  <c r="AE21" i="1" s="1"/>
  <c r="AB21" i="1"/>
  <c r="AB19" i="1"/>
  <c r="AA19" i="1"/>
  <c r="AE19" i="1" s="1"/>
  <c r="J10" i="1" l="1"/>
  <c r="J19" i="1"/>
  <c r="K19" i="1" s="1"/>
  <c r="J25" i="1"/>
  <c r="K25" i="1" s="1"/>
  <c r="J31" i="1"/>
  <c r="K31" i="1" s="1"/>
  <c r="J37" i="1"/>
  <c r="K37" i="1" s="1"/>
  <c r="J43" i="1"/>
  <c r="K43" i="1" s="1"/>
  <c r="J49" i="1"/>
  <c r="K49" i="1" s="1"/>
  <c r="V12" i="1"/>
  <c r="V13" i="1"/>
  <c r="V14" i="1"/>
  <c r="V11" i="1"/>
  <c r="M28" i="1"/>
  <c r="M32" i="1"/>
  <c r="M21" i="1"/>
  <c r="M54" i="1"/>
  <c r="M39" i="1"/>
  <c r="M26" i="1"/>
  <c r="M33" i="1"/>
  <c r="M48" i="1"/>
  <c r="M30" i="1"/>
  <c r="M47" i="1"/>
  <c r="M36" i="1"/>
  <c r="M53" i="1"/>
  <c r="M50" i="1"/>
  <c r="M52" i="1"/>
  <c r="M20" i="1"/>
  <c r="M45" i="1"/>
  <c r="M42" i="1"/>
  <c r="M35" i="1"/>
  <c r="M23" i="1"/>
  <c r="M40" i="1"/>
  <c r="M44" i="1"/>
  <c r="M34" i="1"/>
  <c r="M22" i="1"/>
  <c r="M24" i="1"/>
  <c r="M41" i="1"/>
  <c r="M46" i="1"/>
  <c r="M27" i="1"/>
  <c r="M29" i="1"/>
  <c r="M38" i="1"/>
  <c r="M51" i="1"/>
  <c r="S11" i="1" l="1"/>
  <c r="F217" i="13"/>
  <c r="S12" i="1"/>
  <c r="S13" i="1"/>
  <c r="S14" i="1"/>
  <c r="V10" i="1" l="1"/>
  <c r="S10" i="1"/>
  <c r="K10" i="1" l="1"/>
  <c r="M16" i="1"/>
  <c r="F221" i="13" l="1"/>
  <c r="F211" i="13"/>
  <c r="F212" i="13"/>
  <c r="F213" i="13"/>
  <c r="F214" i="13"/>
  <c r="F215" i="13"/>
  <c r="F216" i="13"/>
  <c r="F218" i="13"/>
  <c r="F219" i="13"/>
  <c r="F220" i="13"/>
  <c r="F210" i="13"/>
  <c r="M11" i="1"/>
  <c r="M14" i="1"/>
  <c r="B221" i="13" a="1"/>
  <c r="M12" i="1"/>
  <c r="M13"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J15" i="1" l="1"/>
  <c r="K15" i="1" l="1"/>
  <c r="Z15" i="1" s="1"/>
  <c r="AA15" i="1" l="1"/>
  <c r="AB15" i="1"/>
  <c r="Z16"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6" i="1" l="1"/>
  <c r="AB16" i="1"/>
  <c r="Z10" i="1"/>
  <c r="AA10" i="1" s="1"/>
  <c r="Z17" i="1" l="1"/>
  <c r="AB10" i="1"/>
  <c r="Z11" i="1" s="1"/>
  <c r="AB17" i="1" l="1"/>
  <c r="Z18" i="1" s="1"/>
  <c r="AA17" i="1"/>
  <c r="AB11" i="1"/>
  <c r="Z12" i="1" s="1"/>
  <c r="AA11"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B18" i="1" l="1"/>
  <c r="AA18" i="1"/>
  <c r="AA12" i="1"/>
  <c r="AB12" i="1"/>
  <c r="Z13" i="1" s="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A13" i="1" l="1"/>
  <c r="AB13" i="1"/>
  <c r="Z14"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B14" i="1" l="1"/>
  <c r="AA14" i="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19" i="1" l="1"/>
  <c r="N19" i="1" s="1"/>
  <c r="M25" i="1"/>
  <c r="N25" i="1" s="1"/>
  <c r="M31" i="1"/>
  <c r="N31" i="1" s="1"/>
  <c r="M37" i="1"/>
  <c r="N37" i="1" s="1"/>
  <c r="M43" i="1"/>
  <c r="N43" i="1" s="1"/>
  <c r="M49" i="1"/>
  <c r="N49" i="1" s="1"/>
  <c r="M15" i="1"/>
  <c r="N15" i="1" s="1"/>
  <c r="M10" i="1"/>
  <c r="N10" i="1" s="1"/>
  <c r="P38" i="18" l="1"/>
  <c r="J6" i="18"/>
  <c r="V6" i="18"/>
  <c r="J22" i="18"/>
  <c r="V22" i="18"/>
  <c r="AH6" i="18"/>
  <c r="P22" i="18"/>
  <c r="AH22" i="18"/>
  <c r="P6" i="18"/>
  <c r="O10" i="1"/>
  <c r="AD10" i="1" s="1"/>
  <c r="AD11" i="1" s="1"/>
  <c r="AB38" i="18"/>
  <c r="AB30" i="18"/>
  <c r="V14" i="18"/>
  <c r="P30" i="18"/>
  <c r="V30" i="18"/>
  <c r="AH30" i="18"/>
  <c r="V38" i="18"/>
  <c r="P14" i="18"/>
  <c r="P10" i="1"/>
  <c r="AH14" i="18"/>
  <c r="J14" i="18"/>
  <c r="AB22" i="18"/>
  <c r="AB14" i="18"/>
  <c r="J30" i="18"/>
  <c r="AB6" i="18"/>
  <c r="J38" i="18"/>
  <c r="AH38" i="18"/>
  <c r="R38" i="18"/>
  <c r="R14" i="18"/>
  <c r="AD14" i="18"/>
  <c r="AJ38" i="18"/>
  <c r="X30" i="18"/>
  <c r="L38" i="18"/>
  <c r="AD6" i="18"/>
  <c r="R6" i="18"/>
  <c r="AJ6" i="18"/>
  <c r="AJ30" i="18"/>
  <c r="P15" i="1"/>
  <c r="R30" i="18"/>
  <c r="AD38" i="18"/>
  <c r="AD22" i="18"/>
  <c r="O15" i="1"/>
  <c r="AD15" i="1" s="1"/>
  <c r="L30" i="18"/>
  <c r="AJ14" i="18"/>
  <c r="L14" i="18"/>
  <c r="X38" i="18"/>
  <c r="L22" i="18"/>
  <c r="AD30" i="18"/>
  <c r="AJ22" i="18"/>
  <c r="X14" i="18"/>
  <c r="X6" i="18"/>
  <c r="R22" i="18"/>
  <c r="L6" i="18"/>
  <c r="X22" i="18"/>
  <c r="O49" i="1"/>
  <c r="P49"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O43" i="1"/>
  <c r="P43"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P37" i="1"/>
  <c r="O37"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O31" i="1"/>
  <c r="P31"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P25" i="1"/>
  <c r="O25"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P19" i="1"/>
  <c r="O19"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C15" i="1" l="1"/>
  <c r="AE15" i="1" s="1"/>
  <c r="AD16" i="1"/>
  <c r="AD17" i="1" s="1"/>
  <c r="AC10" i="1"/>
  <c r="P36" i="19" s="1"/>
  <c r="AH27" i="19" l="1"/>
  <c r="J37" i="19"/>
  <c r="AB37" i="19"/>
  <c r="J27" i="19"/>
  <c r="AC17" i="1"/>
  <c r="AE17" i="1" s="1"/>
  <c r="AD18" i="1"/>
  <c r="AC18" i="1" s="1"/>
  <c r="AE18" i="1" s="1"/>
  <c r="P7" i="19"/>
  <c r="AH17" i="19"/>
  <c r="J17" i="19"/>
  <c r="V37" i="19"/>
  <c r="AB27" i="19"/>
  <c r="J7" i="19"/>
  <c r="AB17" i="19"/>
  <c r="P37" i="19"/>
  <c r="V27" i="19"/>
  <c r="V47" i="19"/>
  <c r="AH47" i="19"/>
  <c r="J47" i="19"/>
  <c r="V17" i="19"/>
  <c r="P17" i="19"/>
  <c r="AB47" i="19"/>
  <c r="AB7" i="19"/>
  <c r="P27" i="19"/>
  <c r="AH37" i="19"/>
  <c r="V7" i="19"/>
  <c r="P47" i="19"/>
  <c r="AH7" i="19"/>
  <c r="AC16" i="1"/>
  <c r="AE16" i="1" s="1"/>
  <c r="AB16" i="19"/>
  <c r="AH36" i="19"/>
  <c r="V46" i="19"/>
  <c r="AH46" i="19"/>
  <c r="J36" i="19"/>
  <c r="V16" i="19"/>
  <c r="AH26" i="19"/>
  <c r="AE10" i="1"/>
  <c r="AB26" i="19"/>
  <c r="J46" i="19"/>
  <c r="J16" i="19"/>
  <c r="AH6" i="19"/>
  <c r="AB36" i="19"/>
  <c r="J26" i="19"/>
  <c r="P26" i="19"/>
  <c r="AB46" i="19"/>
  <c r="P6" i="19"/>
  <c r="AH16" i="19"/>
  <c r="P46" i="19"/>
  <c r="AB6" i="19"/>
  <c r="V26" i="19"/>
  <c r="J6" i="19"/>
  <c r="P16" i="19"/>
  <c r="V36" i="19"/>
  <c r="J29" i="19"/>
  <c r="J19" i="19"/>
  <c r="V29" i="19"/>
  <c r="AH9" i="19"/>
  <c r="AI19" i="19"/>
  <c r="AB19" i="19"/>
  <c r="V9" i="19"/>
  <c r="AH29" i="19"/>
  <c r="V39" i="19"/>
  <c r="AB9" i="19"/>
  <c r="V19" i="19"/>
  <c r="P9" i="19"/>
  <c r="AH39" i="19"/>
  <c r="P39" i="19"/>
  <c r="V49" i="19"/>
  <c r="P19" i="19"/>
  <c r="AB39" i="19"/>
  <c r="AH49" i="19"/>
  <c r="J49" i="19"/>
  <c r="J9" i="19"/>
  <c r="J39" i="19"/>
  <c r="AB29" i="19"/>
  <c r="P49" i="19"/>
  <c r="AB49" i="19"/>
  <c r="P29" i="19"/>
  <c r="AH19" i="19"/>
  <c r="V6" i="19"/>
  <c r="AC11" i="1"/>
  <c r="AD12" i="1"/>
  <c r="AC39" i="19" l="1"/>
  <c r="AI39" i="19"/>
  <c r="K39" i="19"/>
  <c r="AC49" i="19"/>
  <c r="Q39" i="19"/>
  <c r="Q29" i="19"/>
  <c r="AI29" i="19"/>
  <c r="AC9" i="19"/>
  <c r="W49" i="19"/>
  <c r="Q19" i="19"/>
  <c r="Q49" i="19"/>
  <c r="AI9" i="19"/>
  <c r="Q9" i="19"/>
  <c r="K49" i="19"/>
  <c r="K19" i="19"/>
  <c r="AC19" i="19"/>
  <c r="W9" i="19"/>
  <c r="K29" i="19"/>
  <c r="W29" i="19"/>
  <c r="W19" i="19"/>
  <c r="AC29" i="19"/>
  <c r="K9" i="19"/>
  <c r="AI49" i="19"/>
  <c r="W39" i="19"/>
  <c r="W37" i="19"/>
  <c r="AC7" i="19"/>
  <c r="AI7" i="19"/>
  <c r="W47" i="19"/>
  <c r="W17" i="19"/>
  <c r="Q37" i="19"/>
  <c r="W27" i="19"/>
  <c r="AI27" i="19"/>
  <c r="Q47" i="19"/>
  <c r="Q7" i="19"/>
  <c r="W7" i="19"/>
  <c r="K27" i="19"/>
  <c r="AI17" i="19"/>
  <c r="K17" i="19"/>
  <c r="K47" i="19"/>
  <c r="K7" i="19"/>
  <c r="AI47" i="19"/>
  <c r="Q17" i="19"/>
  <c r="Q27" i="19"/>
  <c r="K37" i="19"/>
  <c r="AC27" i="19"/>
  <c r="AC47" i="19"/>
  <c r="AC37" i="19"/>
  <c r="AI37" i="19"/>
  <c r="AC17" i="19"/>
  <c r="AC12" i="1"/>
  <c r="AD13" i="1"/>
  <c r="AE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R19" i="19" l="1"/>
  <c r="AJ49" i="19"/>
  <c r="L9" i="19"/>
  <c r="X9" i="19"/>
  <c r="AJ39" i="19"/>
  <c r="AJ19" i="19"/>
  <c r="X49" i="19"/>
  <c r="AD19" i="19"/>
  <c r="AD29" i="19"/>
  <c r="AJ9" i="19"/>
  <c r="X39" i="19"/>
  <c r="X19" i="19"/>
  <c r="AD39" i="19"/>
  <c r="R9" i="19"/>
  <c r="L19" i="19"/>
  <c r="AJ29" i="19"/>
  <c r="L29" i="19"/>
  <c r="L49" i="19"/>
  <c r="R49" i="19"/>
  <c r="R29" i="19"/>
  <c r="R39" i="19"/>
  <c r="AD49" i="19"/>
  <c r="L39" i="19"/>
  <c r="AD9" i="19"/>
  <c r="X29" i="19"/>
  <c r="Y39" i="19"/>
  <c r="Y29" i="19"/>
  <c r="AK49" i="19"/>
  <c r="M9" i="19"/>
  <c r="AK29" i="19"/>
  <c r="AK39" i="19"/>
  <c r="S19" i="19"/>
  <c r="S29" i="19"/>
  <c r="M19" i="19"/>
  <c r="AE9" i="19"/>
  <c r="AE39" i="19"/>
  <c r="S39" i="19"/>
  <c r="M39" i="19"/>
  <c r="S49" i="19"/>
  <c r="M49" i="19"/>
  <c r="AK9" i="19"/>
  <c r="AE49" i="19"/>
  <c r="AE19" i="19"/>
  <c r="Y19" i="19"/>
  <c r="AK19" i="19"/>
  <c r="S9" i="19"/>
  <c r="Y9" i="19"/>
  <c r="AE29" i="19"/>
  <c r="M29" i="19"/>
  <c r="Y49" i="19"/>
  <c r="AJ7" i="19"/>
  <c r="L47" i="19"/>
  <c r="AJ37" i="19"/>
  <c r="R37" i="19"/>
  <c r="L27" i="19"/>
  <c r="AD7" i="19"/>
  <c r="AD17" i="19"/>
  <c r="X37" i="19"/>
  <c r="L37" i="19"/>
  <c r="R47" i="19"/>
  <c r="R17" i="19"/>
  <c r="AD37" i="19"/>
  <c r="AJ17" i="19"/>
  <c r="X7" i="19"/>
  <c r="AJ47" i="19"/>
  <c r="X47" i="19"/>
  <c r="L7" i="19"/>
  <c r="L17" i="19"/>
  <c r="AD27" i="19"/>
  <c r="R27" i="19"/>
  <c r="X27" i="19"/>
  <c r="AD47" i="19"/>
  <c r="R7" i="19"/>
  <c r="AJ27" i="19"/>
  <c r="X17" i="19"/>
  <c r="AC13" i="1"/>
  <c r="AD14" i="1"/>
  <c r="AE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C14" i="1"/>
  <c r="AE13" i="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E14" i="1"/>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ACER</author>
  </authors>
  <commentList>
    <comment ref="R10" authorId="0" shapeId="0" xr:uid="{00000000-0006-0000-0100-000001000000}">
      <text>
        <r>
          <rPr>
            <b/>
            <sz val="9"/>
            <color indexed="81"/>
            <rFont val="Tahoma"/>
            <family val="2"/>
          </rPr>
          <t>ACER:</t>
        </r>
        <r>
          <rPr>
            <sz val="9"/>
            <color indexed="81"/>
            <rFont val="Tahoma"/>
            <family val="2"/>
          </rPr>
          <t xml:space="preserve">
Documentar</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<sst xmlns="http://schemas.openxmlformats.org/spreadsheetml/2006/main" count="407" uniqueCount="259">
  <si>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</si>
  <si>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</si>
  <si>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</si>
  <si>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</si>
  <si>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</si>
  <si>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</si>
  <si>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</si>
  <si>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</si>
  <si>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</si>
  <si>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</si>
  <si>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</si>
  <si>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</si>
  <si>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</si>
  <si>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</si>
  <si>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</si>
  <si>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</si>
  <si>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</si>
  <si>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</si>
  <si>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</si>
  <si>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</si>
  <si>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</si>
  <si>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</si>
  <si>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</si>
  <si>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</si>
  <si>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</si>
  <si>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</si>
  <si>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</si>
  <si>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</si>
  <si>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</si>
  <si>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</si>
  <si>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</si>
  <si>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</si>
  <si>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</si>
  <si>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</si>
  <si>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</si>
  <si>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</si>
  <si>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</si>
  <si>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</si>
  <si>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</si>
  <si>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</si>
  <si>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</si>
  <si>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</si>
  <si>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</si>
  <si>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</si>
  <si>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</si>
  <si>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</si>
  <si>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</si>
  <si>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</si>
  <si>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</si>
  <si>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</si>
  <si>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</si>
  <si>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</si>
  <si>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</si>
  <si>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</si>
  <si>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</si>
  <si>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</si>
  <si>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</si>
  <si>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</si>
  <si>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</si>
  <si>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</si>
  <si>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</si>
  <si>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</si>
  <si>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</si>
  <si>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</si>
  <si>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</si>
  <si>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</si>
  <si>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</si>
  <si>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</si>
  <si>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</si>
  <si>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</si>
  <si>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</si>
  <si>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</si>
  <si>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</si>
  <si>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</si>
  <si>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</si>
  <si>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</si>
  <si>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</si>
  <si>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</si>
  <si>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</si>
  <si>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</si>
  <si>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</si>
  <si>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</si>
  <si>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</si>
  <si>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</si>
  <si>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</si>
  <si>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</si>
  <si>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</si>
  <si>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</si>
  <si>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</si>
  <si>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</si>
  <si>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</si>
  <si>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</si>
  <si>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</si>
  <si>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</si>
  <si>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</si>
  <si>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</si>
  <si>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</si>
  <si>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</si>
  <si>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</si>
  <si>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</si>
  <si>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</si>
  <si>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</si>
  <si>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</si>
  <si>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</si>
  <si>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</si>
  <si>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</si>
  <si>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</si>
  <si>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</si>
  <si>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</si>
  <si>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</si>
  <si>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</si>
  <si>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</si>
  <si>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</si>
  <si>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</si>
  <si>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</si>
  <si>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</si>
  <si>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</si>
  <si>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</si>
  <si>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</si>
  <si>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</si>
  <si>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</si>
  <si>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</si>
  <si>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</si>
  <si>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</si>
  <si>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</si>
  <si>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</si>
  <si>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</si>
  <si>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</si>
  <si>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</si>
  <si>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</si>
  <si>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</si>
  <si>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</si>
  <si>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</si>
  <si>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</si>
  <si>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</si>
  <si>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</si>
  <si>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</si>
  <si>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</si>
  <si>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</si>
  <si>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</si>
  <si>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</si>
  <si>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</si>
  <si>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</si>
  <si>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</si>
  <si>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</si>
  <si>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</si>
  <si>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</si>
  <si>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</si>
  <si>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</si>
  <si>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</si>
  <si>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</si>
  <si>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</si>
  <si>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</si>
  <si>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</si>
  <si>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</si>
  <si>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</si>
  <si>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</si>
  <si>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</si>
  <si>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</si>
  <si>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</si>
  <si>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</si>
  <si>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</si>
  <si>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</si>
  <si>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</si>
  <si>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</si>
  <si>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</si>
  <si>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</si>
  <si>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</si>
  <si>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</si>
  <si>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</si>
  <si>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</si>
  <si>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</si>
  <si>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</si>
  <si>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</si>
  <si>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</si>
  <si>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</si>
  <si>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</si>
  <si>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</si>
  <si>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</si>
  <si>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</si>
  <si>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</si>
  <si>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</si>
  <si>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</si>
  <si>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</si>
  <si>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</si>
  <si>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</si>
  <si>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</si>
  <si>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</si>
  <si>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</si>
  <si>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</si>
  <si>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</si>
  <si>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</si>
  <si>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</si>
  <si>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</si>
  <si>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</si>
  <si>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</si>
  <si>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</si>
  <si>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</si>
  <si>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</si>
  <si>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</si>
  <si>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</si>
  <si>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</si>
  <si>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</si>
  <si>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</si>
  <si>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</si>
  <si>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</si>
  <si>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</si>
  <si>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</si>
  <si>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</si>
  <si>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</si>
  <si>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</si>
  <si>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</si>
  <si>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</si>
  <si>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</si>
  <si>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Incumplimiento de los requisitos de las normas HSEQ</t>
  </si>
  <si>
    <t>Inadecuada Gestión del Conocimiento</t>
  </si>
  <si>
    <t>Posibilidad de perdida reputacional por la cancelación o retiro de las certificaciones obtenidas debido al incumplimiento de los requisitos de las normas HSEQ.</t>
  </si>
  <si>
    <t xml:space="preserve">cancelación o retiro de las certificaciones obtenidas </t>
  </si>
  <si>
    <t>Incumplimiento de la estructura documental del instrutivo de Elaboración de Documentos del SIGAMI</t>
  </si>
  <si>
    <t xml:space="preserve">Constantes cambios en la normatividad </t>
  </si>
  <si>
    <t>multa o sanción de los entes reguladores</t>
  </si>
  <si>
    <t>DESARROLLAR ACCIONES PARA LA IMPLEMENTACIÓN, SOSTENIBILIDAD Y MEJORA CONTINUA DEL SISTEMA INTEGRADO DE GESTIÓN DE LA ADMINISTRACIÓN MUNICIPAL DE IBAGUÉ “SIGAMI”, OMO HERRAMIENTA PARA LA TOMA DE DECISIONES Y EL CUMPLIMIENTO DE LA MISIÓN Y OBJETIVOS INSTITUCIONALES.</t>
  </si>
  <si>
    <t>SISTEMA INTEGRADO DE GESTIÓN</t>
  </si>
  <si>
    <t>INICIA DESDE LA PLANEACION DEL PROCESO, EL AFIANZAMIENTO DE LA CULTURA Y COMPROMISO ORGANIZACIONAL CON EL SIGAMI, HASTA LA CONSOLIDACIÓN DE LOS RESULTADOS DE LA MEDICIÓN Y SEGUIMIENTO DEL SISTEMA.</t>
  </si>
  <si>
    <t>Incumplimiento de los indicadores de Gestión</t>
  </si>
  <si>
    <t>Auditorías internas fuera de los parametros estabelcidos</t>
  </si>
  <si>
    <t>La directora(a) de Fortalecimiento Institucional junto con su equipo de trabajo trimestralmente consolida el reporte de indicadores y revisa el cumplimiento de las metas. Dejando como evidencia el tablero de indicadores de SIGAMI.</t>
  </si>
  <si>
    <t xml:space="preserve">La directora(a) de Fortalecimiento Institucional cada vez que se requiera, revisa que la Oficina de Control Interno dentro de su Programa Anual de Auditoría determine las fechas de las auditorías de gestión con el fin de realar adecuadamente la planeación de las mismas. </t>
  </si>
  <si>
    <t>La directora(a) de Fortalecimiento Institucional junto con su equipo de trabajo trimestralmente consolida el reporte de normograma y realiza el seguimiento aleatorio del cumplimiento de la normatividad. Dejando como evidencia actas de reunión y correos eléctronicos de retrolimentación</t>
  </si>
  <si>
    <t xml:space="preserve">Los Líderes de los Sistemas de Gestión y sus equipos de trabajo, anualmente verifican la apropición del Sistema Integrado de Gestión a través de las evaluación de impacto de los procesos de Inducción y reinducción a fin de identificar las fortalezas y debilidades del personal.  Dejando como evidencia el informe  de resultados.  </t>
  </si>
  <si>
    <t xml:space="preserve">La director(a) de Fortalecimiento Institucional presentará el reporte o semaforización de las entregas con el fin de los procesos que no hayan cumplido a cabalidad con las directrices impartidas realizcen las acciones correctivas necesarias. </t>
  </si>
  <si>
    <t>La director(a) de Fortalecimiento Instituciona</t>
  </si>
  <si>
    <t>Incumplimiento del plan de trabajo</t>
  </si>
  <si>
    <r>
      <rPr>
        <b/>
        <sz val="10"/>
        <color theme="9" tint="-0.249977111117893"/>
        <rFont val="Arial Narrow"/>
        <family val="2"/>
      </rPr>
      <t xml:space="preserve">*Nota: </t>
    </r>
    <r>
      <rPr>
        <sz val="10"/>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</si>
  <si>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Falta de compromiso, gestión y liderazgo en los diferentes sistemas que componen SIGAMI</t>
  </si>
  <si>
    <t>Desarrollo, implementación y seguimiento al plan de trabajo del Sistema de Salud y Seguridad en el Trabajo y Sistema de Gestión Ambiental.</t>
  </si>
  <si>
    <t>debido al incumplimiento de la normatividad vigente en Seguridad y Salud en el Trabajo y ambiente.</t>
  </si>
  <si>
    <t xml:space="preserve">Insuficiencia en el talento humano </t>
  </si>
  <si>
    <t>deficiente priorización en la gestión para el cumplimiento de los requisitos o necesidades en SST y Sistema de Gestión Ambiental</t>
  </si>
  <si>
    <t>Semestralmente el grupo de SST y/o el equipo líder del Sistema de Gestión Ambiental junto con la Dirección de Fortalecimiento Institucional realizarán seguimiento al plan anual de trabajo y a las acciones correctivas de las auditorías al Sistema Sistema de Seguridad y Salud en el Trabajo y del Sistema de gestión Ambiental para Verificar la eficacia de las mismas.</t>
  </si>
  <si>
    <t>Lider del Sistema de Seguridad y Salud en el trabajo y Líder del Sistema de Gestión Ambiental</t>
  </si>
  <si>
    <t>Semaforización presentada en comité SIGAMI</t>
  </si>
  <si>
    <t>reporte de indicadores</t>
  </si>
  <si>
    <t>reporte de riesgos de corrupción</t>
  </si>
  <si>
    <t>reporte de riesgos de gestión</t>
  </si>
  <si>
    <t>normograma</t>
  </si>
  <si>
    <t>salidas no conformes</t>
  </si>
  <si>
    <t>Auditorías</t>
  </si>
  <si>
    <t xml:space="preserve">Consolidación de Indicadores del Sistema Integrado de Gestión SIGAMI
Auditorías Internas - Seguimiento al cumplimiento de los requisitos de las Normas HSEQ
Consolidación y monitoreo a mapas de riesgos
Consolidación y seguimiento a normogramas </t>
  </si>
  <si>
    <t xml:space="preserve">La directora(a) de Fortalecimiento Institucional junto con su equipo de trabajo de manera permanente  antes de eliminar, actualizar o crear un documento SIGAMI, verifica que dichos documentos cumplna con la estructura documental determinada en el  procedimiento de control de documentos e instrutivo de Elaboración de Documentos del SIGAMI, con el proposito de determinar el cumplimiento de los requisitos establecidos para tal fin, Dejando como evidencia correos electrónicos o el listado maestro de documentos. Si un documento no cumple con los criterios establecidos, es devuelto para realizar las correcciones pertinentes </t>
  </si>
  <si>
    <t xml:space="preserve">
Posibilidad de perdida reputacional y afectación económica por multa o sanción de los entes reguladores debido al incumplimiento de la normatividad vigente en Seguridad y Salud en el Trabajo, y ambiente.</t>
  </si>
  <si>
    <t xml:space="preserve">Los líderes de los Sistemas de Seguridad y Salud en el Trabajo y el Sistema de Gestión Ambiental con los Profesionales designados, anualmente verifican la necesidad del talento humano en misión con el proposito de determinar los perfiles  requeridos para el buen funcionamiento de los Sistemas de SST y Gestión Ambiental y se incluye en el plan anual de adquisiciones de las dependencias, dejando como evidencia el plan anual de adquisiones. Si se presentan desviaciones, se solicitará actualización del plan de adquisiciones. </t>
  </si>
  <si>
    <t>Los líderes de los Sistemas de Seguridad y Salud en el Trabajo y el Sistema de Gestión Ambiental  mensualmente verifican el cumplimiento al plan de trabajo  respectivo, con el proposito de controlar las actividades definidas, dejando como evidencia las actas de reunión y los indicadores de Gestión del Sistema de Gestión de SST y Gestión Ambiental. Si se determinan actividades que ha pasado su fecha de ejecución, se realiza plan de choque para cumplir lo establecido.</t>
  </si>
  <si>
    <t>Los líderes de los Sistemas de Seguridad y Salud en el Trabajo y el Sistema de Gestión Ambiental con los Profesionales designados, trimestralmente realizan seguimiento al cumplimiento del Plan de Acción, con el propósito de validar el cumplimiento de las actividades definidas, dejando como evidencia actas de reunión. Si se determinan actividades que ha pasado su fecha de ejecución, se realiza plan de choque para cumplir lo establecido.</t>
  </si>
  <si>
    <t>El comité Institucional de Gestión y Desempeño, semestralmente verifica el cumplimiento de los planes de trabajo y revisan el cumplimiento de los indicadores de los objetivos, dejando como evidencia las actas de comité, con el propósito de validar el avance y mejora contínua del Sistema de Gestión HSEQ. Si se presentan desviaciones se generará un plan de acción con el fin de dar cumplimiento a lo establecido.</t>
  </si>
  <si>
    <t>Actas de reunion, Matriz de seguimiento a no conformidades de la auditoria Externa.</t>
  </si>
  <si>
    <t>1 enero de 2023</t>
  </si>
  <si>
    <t>1 de enero de 2023</t>
  </si>
  <si>
    <t>30 de agosto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</si>
</sst>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7"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sz val="9"/>
      <color indexed="81"/>
      <name val="Tahoma"/>
      <family val="2"/>
    </font>
    <font>
      <b/>
      <sz val="9"/>
      <color indexed="81"/>
      <name val="Tahoma"/>
      <family val="2"/>
    </font>
    <font>
      <b/>
      <sz val="10"/>
      <color theme="1"/>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4659260841701"/>
      </left>
      <right style="thin">
        <color indexed="64"/>
      </right>
      <top style="dashed">
        <color theme="9" tint="-0.24994659260841701"/>
      </top>
      <bottom/>
      <diagonal/>
    </border>
    <border>
      <left style="dashed">
        <color theme="9" tint="-0.24994659260841701"/>
      </left>
      <right style="thin">
        <color indexed="64"/>
      </right>
      <top/>
      <bottom/>
      <diagonal/>
    </border>
    <border>
      <left style="dashed">
        <color theme="9" tint="-0.24994659260841701"/>
      </left>
      <right style="thin">
        <color indexed="64"/>
      </right>
      <top/>
      <bottom style="dashed">
        <color theme="9" tint="-0.24994659260841701"/>
      </bottom>
      <diagonal/>
    </border>
    <border>
      <left style="dashed">
        <color theme="9" tint="-0.24994659260841701"/>
      </left>
      <right style="thin">
        <color indexed="64"/>
      </right>
      <top style="dashed">
        <color theme="9" tint="-0.24994659260841701"/>
      </top>
      <bottom style="dashed">
        <color theme="9" tint="-0.24994659260841701"/>
      </bottom>
      <diagonal/>
    </border>
  </borders>
  <cellStyleXfs count="5">
    <xf numFmtId="0" fontId="0" fillId="0" borderId="0"/>
    <xf numFmtId="9" fontId="12" fillId="0" borderId="0" applyFont="0" applyFill="0" applyBorder="0" applyAlignment="0" applyProtection="0"/>
    <xf numFmtId="0" fontId="36" fillId="0" borderId="0"/>
    <xf numFmtId="0" fontId="37" fillId="0" borderId="0"/>
    <xf numFmtId="0" fontId="4" fillId="0" borderId="0"/>
  </cellStyleXfs>
  <cellXfs count="445">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11" xfId="0" applyFont="1" applyFill="1" applyBorder="1" applyAlignment="1">
      <alignment horizontal="center" vertical="center" wrapText="1" readingOrder="1"/>
    </xf>
    <xf numFmtId="0" fontId="9" fillId="0" borderId="11" xfId="0" applyFont="1" applyBorder="1" applyAlignment="1">
      <alignment horizontal="justify" vertical="center" wrapText="1" readingOrder="1"/>
    </xf>
    <xf numFmtId="9" fontId="9" fillId="0" borderId="11"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3" fillId="0" borderId="0" xfId="0" applyFont="1"/>
    <xf numFmtId="0" fontId="11" fillId="0" borderId="0" xfId="0" applyFont="1"/>
    <xf numFmtId="0" fontId="17" fillId="11" borderId="12" xfId="0" applyFont="1" applyFill="1" applyBorder="1" applyAlignment="1" applyProtection="1">
      <alignment horizontal="center" vertical="center" wrapText="1" readingOrder="1"/>
      <protection hidden="1"/>
    </xf>
    <xf numFmtId="0" fontId="17" fillId="11" borderId="19" xfId="0" applyFont="1" applyFill="1" applyBorder="1" applyAlignment="1" applyProtection="1">
      <alignment horizontal="center" vertical="center" wrapText="1" readingOrder="1"/>
      <protection hidden="1"/>
    </xf>
    <xf numFmtId="0" fontId="17" fillId="11" borderId="13" xfId="0" applyFont="1" applyFill="1" applyBorder="1" applyAlignment="1" applyProtection="1">
      <alignment horizontal="center" vertic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19" xfId="0" applyFont="1" applyFill="1" applyBorder="1" applyAlignment="1" applyProtection="1">
      <alignment horizontal="center" wrapText="1" readingOrder="1"/>
      <protection hidden="1"/>
    </xf>
    <xf numFmtId="0" fontId="17" fillId="12" borderId="13" xfId="0" applyFont="1" applyFill="1" applyBorder="1" applyAlignment="1" applyProtection="1">
      <alignment horizontal="center" wrapText="1" readingOrder="1"/>
      <protection hidden="1"/>
    </xf>
    <xf numFmtId="0" fontId="17" fillId="11" borderId="14"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15" xfId="0" applyFont="1" applyFill="1" applyBorder="1" applyAlignment="1" applyProtection="1">
      <alignment horizontal="center" vertical="center" wrapText="1" readingOrder="1"/>
      <protection hidden="1"/>
    </xf>
    <xf numFmtId="0" fontId="17" fillId="12" borderId="14"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15" xfId="0" applyFont="1" applyFill="1" applyBorder="1" applyAlignment="1" applyProtection="1">
      <alignment horizontal="center" wrapText="1" readingOrder="1"/>
      <protection hidden="1"/>
    </xf>
    <xf numFmtId="0" fontId="17" fillId="11" borderId="16" xfId="0" applyFont="1" applyFill="1" applyBorder="1" applyAlignment="1" applyProtection="1">
      <alignment horizontal="center" vertical="center" wrapText="1" readingOrder="1"/>
      <protection hidden="1"/>
    </xf>
    <xf numFmtId="0" fontId="17" fillId="11" borderId="18" xfId="0" applyFont="1" applyFill="1" applyBorder="1" applyAlignment="1" applyProtection="1">
      <alignment horizontal="center" vertical="center" wrapText="1" readingOrder="1"/>
      <protection hidden="1"/>
    </xf>
    <xf numFmtId="0" fontId="17" fillId="11" borderId="17" xfId="0" applyFont="1" applyFill="1" applyBorder="1" applyAlignment="1" applyProtection="1">
      <alignment horizontal="center" vertical="center" wrapText="1" readingOrder="1"/>
      <protection hidden="1"/>
    </xf>
    <xf numFmtId="0" fontId="17" fillId="12" borderId="16" xfId="0" applyFont="1" applyFill="1" applyBorder="1" applyAlignment="1" applyProtection="1">
      <alignment horizontal="center" wrapText="1" readingOrder="1"/>
      <protection hidden="1"/>
    </xf>
    <xf numFmtId="0" fontId="17" fillId="12" borderId="18" xfId="0" applyFont="1" applyFill="1" applyBorder="1" applyAlignment="1" applyProtection="1">
      <alignment horizontal="center" wrapText="1" readingOrder="1"/>
      <protection hidden="1"/>
    </xf>
    <xf numFmtId="0" fontId="17" fillId="12" borderId="17"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19" xfId="0" applyFont="1" applyFill="1" applyBorder="1" applyAlignment="1" applyProtection="1">
      <alignment horizontal="center" wrapText="1" readingOrder="1"/>
      <protection hidden="1"/>
    </xf>
    <xf numFmtId="0" fontId="17" fillId="13" borderId="13" xfId="0" applyFont="1" applyFill="1" applyBorder="1" applyAlignment="1" applyProtection="1">
      <alignment horizontal="center" wrapText="1" readingOrder="1"/>
      <protection hidden="1"/>
    </xf>
    <xf numFmtId="0" fontId="17" fillId="13" borderId="14"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15" xfId="0" applyFont="1" applyFill="1" applyBorder="1" applyAlignment="1" applyProtection="1">
      <alignment horizontal="center" wrapText="1" readingOrder="1"/>
      <protection hidden="1"/>
    </xf>
    <xf numFmtId="0" fontId="17" fillId="13" borderId="16" xfId="0" applyFont="1" applyFill="1" applyBorder="1" applyAlignment="1" applyProtection="1">
      <alignment horizontal="center" wrapText="1" readingOrder="1"/>
      <protection hidden="1"/>
    </xf>
    <xf numFmtId="0" fontId="17" fillId="13" borderId="18" xfId="0" applyFont="1" applyFill="1" applyBorder="1" applyAlignment="1" applyProtection="1">
      <alignment horizontal="center" wrapText="1" readingOrder="1"/>
      <protection hidden="1"/>
    </xf>
    <xf numFmtId="0" fontId="17" fillId="13" borderId="17"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19" xfId="0" applyFont="1" applyFill="1" applyBorder="1" applyAlignment="1" applyProtection="1">
      <alignment horizontal="center" wrapText="1" readingOrder="1"/>
      <protection hidden="1"/>
    </xf>
    <xf numFmtId="0" fontId="17" fillId="5" borderId="13" xfId="0" applyFont="1" applyFill="1" applyBorder="1" applyAlignment="1" applyProtection="1">
      <alignment horizontal="center" wrapText="1" readingOrder="1"/>
      <protection hidden="1"/>
    </xf>
    <xf numFmtId="0" fontId="17" fillId="5" borderId="14"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15" xfId="0" applyFont="1" applyFill="1" applyBorder="1" applyAlignment="1" applyProtection="1">
      <alignment horizontal="center" wrapText="1" readingOrder="1"/>
      <protection hidden="1"/>
    </xf>
    <xf numFmtId="0" fontId="17" fillId="5" borderId="16" xfId="0" applyFont="1" applyFill="1" applyBorder="1" applyAlignment="1" applyProtection="1">
      <alignment horizontal="center" wrapText="1" readingOrder="1"/>
      <protection hidden="1"/>
    </xf>
    <xf numFmtId="0" fontId="17" fillId="5" borderId="18" xfId="0" applyFont="1" applyFill="1" applyBorder="1" applyAlignment="1" applyProtection="1">
      <alignment horizontal="center" wrapText="1" readingOrder="1"/>
      <protection hidden="1"/>
    </xf>
    <xf numFmtId="0" fontId="17" fillId="5" borderId="17"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0" fillId="3" borderId="0" xfId="0" applyFill="1"/>
    <xf numFmtId="0" fontId="38" fillId="3" borderId="51" xfId="2" applyFont="1" applyFill="1" applyBorder="1"/>
    <xf numFmtId="0" fontId="38" fillId="3" borderId="52" xfId="2" applyFont="1" applyFill="1" applyBorder="1"/>
    <xf numFmtId="0" fontId="38" fillId="3" borderId="53" xfId="2" applyFont="1" applyFill="1" applyBorder="1"/>
    <xf numFmtId="0" fontId="14" fillId="3" borderId="0" xfId="0" applyFont="1" applyFill="1" applyAlignment="1">
      <alignment vertical="center"/>
    </xf>
    <xf numFmtId="0" fontId="4" fillId="3" borderId="0" xfId="0" applyFont="1" applyFill="1"/>
    <xf numFmtId="0" fontId="26" fillId="3" borderId="0" xfId="0" applyFont="1" applyFill="1"/>
    <xf numFmtId="0" fontId="27" fillId="3" borderId="34" xfId="0" applyFont="1" applyFill="1" applyBorder="1" applyAlignment="1">
      <alignment horizontal="center" vertical="center" wrapText="1" readingOrder="1"/>
    </xf>
    <xf numFmtId="0" fontId="28" fillId="3" borderId="34" xfId="0" applyFont="1" applyFill="1" applyBorder="1" applyAlignment="1">
      <alignment horizontal="justify" vertical="center" wrapText="1" readingOrder="1"/>
    </xf>
    <xf numFmtId="9" fontId="27" fillId="3" borderId="43" xfId="0" applyNumberFormat="1" applyFont="1" applyFill="1" applyBorder="1" applyAlignment="1">
      <alignment horizontal="center" vertical="center" wrapText="1" readingOrder="1"/>
    </xf>
    <xf numFmtId="0" fontId="27" fillId="3" borderId="33" xfId="0" applyFont="1" applyFill="1" applyBorder="1" applyAlignment="1">
      <alignment horizontal="center" vertical="center" wrapText="1" readingOrder="1"/>
    </xf>
    <xf numFmtId="0" fontId="28" fillId="3" borderId="33" xfId="0" applyFont="1" applyFill="1" applyBorder="1" applyAlignment="1">
      <alignment horizontal="justify" vertical="center" wrapText="1" readingOrder="1"/>
    </xf>
    <xf numFmtId="9" fontId="27" fillId="3" borderId="38" xfId="0" applyNumberFormat="1" applyFont="1" applyFill="1" applyBorder="1" applyAlignment="1">
      <alignment horizontal="center" vertical="center" wrapText="1" readingOrder="1"/>
    </xf>
    <xf numFmtId="0" fontId="28" fillId="3" borderId="38" xfId="0" applyFont="1" applyFill="1" applyBorder="1" applyAlignment="1">
      <alignment horizontal="center" vertical="center" wrapText="1" readingOrder="1"/>
    </xf>
    <xf numFmtId="0" fontId="27" fillId="3" borderId="40" xfId="0" applyFont="1" applyFill="1" applyBorder="1" applyAlignment="1">
      <alignment horizontal="center" vertical="center" wrapText="1" readingOrder="1"/>
    </xf>
    <xf numFmtId="0" fontId="28" fillId="3" borderId="40" xfId="0" applyFont="1" applyFill="1" applyBorder="1" applyAlignment="1">
      <alignment horizontal="justify" vertical="center" wrapText="1" readingOrder="1"/>
    </xf>
    <xf numFmtId="0" fontId="28" fillId="3" borderId="41" xfId="0" applyFont="1" applyFill="1" applyBorder="1" applyAlignment="1">
      <alignment horizontal="center" vertical="center" wrapText="1" readingOrder="1"/>
    </xf>
    <xf numFmtId="0" fontId="35" fillId="3" borderId="0" xfId="0" applyFont="1" applyFill="1"/>
    <xf numFmtId="0" fontId="27" fillId="15" borderId="45" xfId="0" applyFont="1" applyFill="1" applyBorder="1" applyAlignment="1">
      <alignment horizontal="center" vertical="center" wrapText="1" readingOrder="1"/>
    </xf>
    <xf numFmtId="0" fontId="27" fillId="15" borderId="46" xfId="0" applyFont="1" applyFill="1" applyBorder="1" applyAlignment="1">
      <alignment horizontal="center" vertical="center" wrapText="1" readingOrder="1"/>
    </xf>
    <xf numFmtId="0" fontId="11" fillId="3" borderId="0" xfId="0" applyFont="1" applyFill="1"/>
    <xf numFmtId="0" fontId="24" fillId="3" borderId="0" xfId="0" applyFont="1" applyFill="1" applyAlignment="1">
      <alignment horizontal="center" vertical="center" wrapText="1"/>
    </xf>
    <xf numFmtId="0" fontId="13" fillId="3" borderId="0" xfId="0" applyFont="1" applyFill="1"/>
    <xf numFmtId="0" fontId="3" fillId="3" borderId="0" xfId="0" applyFont="1" applyFill="1" applyAlignment="1">
      <alignment horizontal="left" vertical="center"/>
    </xf>
    <xf numFmtId="0" fontId="38" fillId="3" borderId="14" xfId="2" applyFont="1" applyFill="1" applyBorder="1"/>
    <xf numFmtId="0" fontId="43" fillId="3" borderId="0" xfId="0" applyFont="1" applyFill="1" applyAlignment="1">
      <alignment horizontal="left" vertical="center" wrapText="1"/>
    </xf>
    <xf numFmtId="0" fontId="44" fillId="3" borderId="0" xfId="0" applyFont="1" applyFill="1" applyAlignment="1">
      <alignment horizontal="left" vertical="top" wrapText="1"/>
    </xf>
    <xf numFmtId="0" fontId="38" fillId="3" borderId="0" xfId="2" applyFont="1" applyFill="1"/>
    <xf numFmtId="0" fontId="38" fillId="3" borderId="15" xfId="2" applyFont="1" applyFill="1" applyBorder="1"/>
    <xf numFmtId="0" fontId="38" fillId="3" borderId="16" xfId="2" applyFont="1" applyFill="1" applyBorder="1"/>
    <xf numFmtId="0" fontId="38" fillId="3" borderId="18" xfId="2" applyFont="1" applyFill="1" applyBorder="1"/>
    <xf numFmtId="0" fontId="38" fillId="3" borderId="17" xfId="2" applyFont="1" applyFill="1" applyBorder="1"/>
    <xf numFmtId="0" fontId="42" fillId="3" borderId="0" xfId="2" applyFont="1" applyFill="1" applyAlignment="1">
      <alignment horizontal="left" vertical="center" wrapText="1"/>
    </xf>
    <xf numFmtId="0" fontId="38" fillId="3" borderId="0" xfId="2" applyFont="1" applyFill="1" applyAlignment="1">
      <alignment horizontal="left" vertical="center" wrapText="1"/>
    </xf>
    <xf numFmtId="0" fontId="38" fillId="3" borderId="0" xfId="2" quotePrefix="1" applyFont="1" applyFill="1" applyAlignment="1">
      <alignment horizontal="left" vertical="center" wrapText="1"/>
    </xf>
    <xf numFmtId="0" fontId="40" fillId="3" borderId="14" xfId="2" quotePrefix="1" applyFont="1" applyFill="1" applyBorder="1" applyAlignment="1">
      <alignment horizontal="left" vertical="top" wrapText="1"/>
    </xf>
    <xf numFmtId="0" fontId="41" fillId="3" borderId="0" xfId="2" quotePrefix="1" applyFont="1" applyFill="1" applyAlignment="1">
      <alignment horizontal="left" vertical="top" wrapText="1"/>
    </xf>
    <xf numFmtId="0" fontId="41" fillId="3" borderId="15" xfId="2" quotePrefix="1" applyFont="1" applyFill="1" applyBorder="1" applyAlignment="1">
      <alignment horizontal="left" vertical="top" wrapText="1"/>
    </xf>
    <xf numFmtId="0" fontId="5" fillId="0" borderId="2" xfId="0" applyFont="1" applyBorder="1" applyAlignment="1" applyProtection="1">
      <alignment horizontal="justify" vertical="top" wrapText="1"/>
      <protection locked="0"/>
    </xf>
    <xf numFmtId="0" fontId="48" fillId="6" borderId="0" xfId="0" applyFont="1" applyFill="1" applyAlignment="1">
      <alignment horizontal="center" vertical="center" wrapText="1" readingOrder="1"/>
    </xf>
    <xf numFmtId="0" fontId="49" fillId="5" borderId="11" xfId="0" applyFont="1" applyFill="1" applyBorder="1" applyAlignment="1">
      <alignment horizontal="center" vertical="center" wrapText="1" readingOrder="1"/>
    </xf>
    <xf numFmtId="0" fontId="49" fillId="0" borderId="11" xfId="0" applyFont="1" applyBorder="1" applyAlignment="1">
      <alignment horizontal="center" vertical="center" wrapText="1" readingOrder="1"/>
    </xf>
    <xf numFmtId="0" fontId="49" fillId="0" borderId="11" xfId="0" applyFont="1" applyBorder="1" applyAlignment="1">
      <alignment horizontal="justify" vertical="center" wrapText="1" readingOrder="1"/>
    </xf>
    <xf numFmtId="0" fontId="49" fillId="7" borderId="1" xfId="0" applyFont="1" applyFill="1" applyBorder="1" applyAlignment="1">
      <alignment horizontal="center" vertical="center" wrapText="1" readingOrder="1"/>
    </xf>
    <xf numFmtId="0" fontId="49" fillId="0" borderId="1" xfId="0" applyFont="1" applyBorder="1" applyAlignment="1">
      <alignment horizontal="center" vertical="center" wrapText="1" readingOrder="1"/>
    </xf>
    <xf numFmtId="0" fontId="49" fillId="0" borderId="1" xfId="0" applyFont="1" applyBorder="1" applyAlignment="1">
      <alignment horizontal="justify" vertical="center" wrapText="1" readingOrder="1"/>
    </xf>
    <xf numFmtId="0" fontId="49" fillId="4" borderId="1" xfId="0" applyFont="1" applyFill="1" applyBorder="1" applyAlignment="1">
      <alignment horizontal="center" vertical="center" wrapText="1" readingOrder="1"/>
    </xf>
    <xf numFmtId="0" fontId="49" fillId="8" borderId="1" xfId="0" applyFont="1" applyFill="1" applyBorder="1" applyAlignment="1">
      <alignment horizontal="center" vertical="center" wrapText="1" readingOrder="1"/>
    </xf>
    <xf numFmtId="0" fontId="49" fillId="9" borderId="1" xfId="0" applyFont="1" applyFill="1" applyBorder="1" applyAlignment="1">
      <alignment horizontal="center" vertical="center" wrapText="1" readingOrder="1"/>
    </xf>
    <xf numFmtId="0" fontId="50" fillId="3" borderId="0" xfId="0" applyFont="1" applyFill="1" applyAlignment="1">
      <alignment horizontal="justify" vertical="center" wrapText="1" readingOrder="1"/>
    </xf>
    <xf numFmtId="0" fontId="51" fillId="3" borderId="0" xfId="0" applyFont="1" applyFill="1" applyAlignment="1">
      <alignment vertical="center"/>
    </xf>
    <xf numFmtId="0" fontId="50" fillId="0" borderId="0" xfId="0" applyFont="1" applyAlignment="1">
      <alignment horizontal="justify" vertical="center" wrapText="1" readingOrder="1"/>
    </xf>
    <xf numFmtId="0" fontId="50" fillId="0" borderId="0" xfId="0" applyFont="1" applyAlignment="1">
      <alignment vertical="center"/>
    </xf>
    <xf numFmtId="0" fontId="11" fillId="0" borderId="0" xfId="0" pivotButton="1" applyFont="1"/>
    <xf numFmtId="0" fontId="52" fillId="0" borderId="0" xfId="0" applyFont="1" applyAlignment="1">
      <alignment horizontal="center" wrapText="1"/>
    </xf>
    <xf numFmtId="0" fontId="53" fillId="0" borderId="0" xfId="0" applyFont="1"/>
    <xf numFmtId="0" fontId="5" fillId="0" borderId="2" xfId="0" applyFont="1" applyBorder="1" applyAlignment="1" applyProtection="1">
      <alignment horizontal="justify" vertical="center" wrapText="1"/>
      <protection locked="0"/>
    </xf>
    <xf numFmtId="0" fontId="5" fillId="0" borderId="2" xfId="0" applyFont="1" applyBorder="1" applyAlignment="1" applyProtection="1">
      <alignment horizontal="center" vertical="top" wrapText="1"/>
      <protection locked="0"/>
    </xf>
    <xf numFmtId="0" fontId="5" fillId="3" borderId="0" xfId="0" applyFont="1" applyFill="1"/>
    <xf numFmtId="0" fontId="5" fillId="0" borderId="0" xfId="0" applyFont="1"/>
    <xf numFmtId="0" fontId="5" fillId="3" borderId="0" xfId="0" applyFont="1" applyFill="1" applyAlignment="1">
      <alignment horizontal="center" vertical="center"/>
    </xf>
    <xf numFmtId="0" fontId="5" fillId="3" borderId="0" xfId="0" applyFont="1" applyFill="1" applyAlignment="1">
      <alignment horizontal="left" vertical="center"/>
    </xf>
    <xf numFmtId="0" fontId="5" fillId="3" borderId="0" xfId="0" applyFont="1" applyFill="1" applyAlignment="1">
      <alignment horizontal="center"/>
    </xf>
    <xf numFmtId="0" fontId="56" fillId="2" borderId="8" xfId="0" applyFont="1" applyFill="1" applyBorder="1" applyAlignment="1">
      <alignment horizontal="center" vertical="center"/>
    </xf>
    <xf numFmtId="0" fontId="56" fillId="2" borderId="2" xfId="0" applyFont="1" applyFill="1" applyBorder="1" applyAlignment="1">
      <alignment horizontal="center" vertical="center" textRotation="90"/>
    </xf>
    <xf numFmtId="0" fontId="56" fillId="3" borderId="0" xfId="0" applyFont="1" applyFill="1" applyAlignment="1">
      <alignment horizontal="center" vertical="center"/>
    </xf>
    <xf numFmtId="0" fontId="56" fillId="2" borderId="0" xfId="0" applyFont="1" applyFill="1" applyAlignment="1">
      <alignment horizontal="center" vertical="center"/>
    </xf>
    <xf numFmtId="0" fontId="5" fillId="0" borderId="75" xfId="0" applyFont="1" applyBorder="1" applyAlignment="1" applyProtection="1">
      <alignment horizontal="center" vertical="center" wrapText="1"/>
      <protection locked="0"/>
    </xf>
    <xf numFmtId="0" fontId="5" fillId="0" borderId="2" xfId="0" applyFont="1" applyBorder="1" applyAlignment="1">
      <alignment horizontal="center"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textRotation="90"/>
      <protection locked="0"/>
    </xf>
    <xf numFmtId="9" fontId="5" fillId="0" borderId="2" xfId="0" applyNumberFormat="1" applyFont="1" applyBorder="1" applyAlignment="1" applyProtection="1">
      <alignment horizontal="center" vertical="center"/>
      <protection hidden="1"/>
    </xf>
    <xf numFmtId="164" fontId="5" fillId="0" borderId="2" xfId="1" applyNumberFormat="1" applyFont="1" applyBorder="1" applyAlignment="1">
      <alignment horizontal="center" vertical="center"/>
    </xf>
    <xf numFmtId="0" fontId="56" fillId="0" borderId="2" xfId="0" applyFont="1" applyBorder="1" applyAlignment="1" applyProtection="1">
      <alignment horizontal="center" vertical="center" textRotation="90" wrapText="1"/>
      <protection hidden="1"/>
    </xf>
    <xf numFmtId="9" fontId="5" fillId="0" borderId="4" xfId="0" applyNumberFormat="1" applyFont="1" applyBorder="1" applyAlignment="1" applyProtection="1">
      <alignment horizontal="center" vertical="center"/>
      <protection hidden="1"/>
    </xf>
    <xf numFmtId="0" fontId="56" fillId="0" borderId="2" xfId="0" applyFont="1" applyBorder="1" applyAlignment="1" applyProtection="1">
      <alignment horizontal="center" vertical="center" textRotation="90"/>
      <protection hidden="1"/>
    </xf>
    <xf numFmtId="14" fontId="5" fillId="0" borderId="2" xfId="0" applyNumberFormat="1" applyFont="1" applyBorder="1" applyAlignment="1" applyProtection="1">
      <alignment horizontal="center" vertical="top"/>
      <protection locked="0"/>
    </xf>
    <xf numFmtId="0" fontId="5" fillId="0" borderId="2" xfId="0" applyFont="1" applyBorder="1" applyAlignment="1" applyProtection="1">
      <alignment horizontal="center" vertical="top"/>
      <protection locked="0"/>
    </xf>
    <xf numFmtId="0" fontId="5" fillId="3" borderId="0" xfId="0" applyFont="1" applyFill="1" applyAlignment="1">
      <alignment vertical="center"/>
    </xf>
    <xf numFmtId="0" fontId="5" fillId="0" borderId="0" xfId="0" applyFont="1" applyAlignment="1">
      <alignment vertical="center"/>
    </xf>
    <xf numFmtId="0" fontId="5" fillId="0" borderId="2" xfId="0" applyFont="1" applyBorder="1" applyAlignment="1" applyProtection="1">
      <alignment horizontal="justify" vertical="center"/>
      <protection locked="0"/>
    </xf>
    <xf numFmtId="0" fontId="5" fillId="0" borderId="2" xfId="0" applyFont="1" applyBorder="1" applyAlignment="1">
      <alignment horizontal="center" vertical="top"/>
    </xf>
    <xf numFmtId="0" fontId="5" fillId="0" borderId="2" xfId="0" applyFont="1" applyBorder="1" applyAlignment="1" applyProtection="1">
      <alignment horizontal="center" vertical="top" textRotation="90"/>
      <protection locked="0"/>
    </xf>
    <xf numFmtId="9" fontId="5" fillId="0" borderId="2" xfId="0" applyNumberFormat="1" applyFont="1" applyBorder="1" applyAlignment="1" applyProtection="1">
      <alignment horizontal="center" vertical="top"/>
      <protection hidden="1"/>
    </xf>
    <xf numFmtId="164" fontId="5" fillId="0" borderId="2" xfId="1" applyNumberFormat="1" applyFont="1" applyBorder="1" applyAlignment="1">
      <alignment horizontal="center" vertical="top"/>
    </xf>
    <xf numFmtId="0" fontId="56" fillId="0" borderId="2" xfId="0" applyFont="1" applyBorder="1" applyAlignment="1" applyProtection="1">
      <alignment horizontal="center" vertical="top" textRotation="90" wrapText="1"/>
      <protection hidden="1"/>
    </xf>
    <xf numFmtId="9" fontId="5" fillId="0" borderId="4" xfId="0" applyNumberFormat="1" applyFont="1" applyBorder="1" applyAlignment="1" applyProtection="1">
      <alignment horizontal="center" vertical="top"/>
      <protection hidden="1"/>
    </xf>
    <xf numFmtId="0" fontId="56" fillId="0" borderId="2" xfId="0" applyFont="1" applyBorder="1" applyAlignment="1" applyProtection="1">
      <alignment horizontal="center" vertical="top" textRotation="90"/>
      <protection hidden="1"/>
    </xf>
    <xf numFmtId="0" fontId="5" fillId="0" borderId="4" xfId="0" applyFont="1" applyBorder="1" applyAlignment="1" applyProtection="1">
      <alignment horizontal="center" vertical="top" textRotation="90"/>
      <protection locked="0"/>
    </xf>
    <xf numFmtId="0" fontId="5" fillId="0" borderId="75" xfId="0" applyFont="1" applyBorder="1" applyAlignment="1" applyProtection="1">
      <alignment horizontal="center" vertical="top" wrapText="1"/>
      <protection locked="0"/>
    </xf>
    <xf numFmtId="0" fontId="5" fillId="0" borderId="2" xfId="0" applyFont="1" applyBorder="1" applyAlignment="1" applyProtection="1">
      <alignment horizontal="justify" vertical="top"/>
      <protection locked="0"/>
    </xf>
    <xf numFmtId="0" fontId="5" fillId="0" borderId="2" xfId="0" applyFont="1" applyBorder="1" applyAlignment="1" applyProtection="1">
      <alignment horizontal="center" vertical="top"/>
      <protection hidden="1"/>
    </xf>
    <xf numFmtId="0" fontId="5" fillId="0" borderId="2" xfId="0" applyFont="1" applyBorder="1" applyAlignment="1" applyProtection="1">
      <alignment horizontal="center" vertical="center"/>
      <protection locked="0"/>
    </xf>
    <xf numFmtId="14"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38" fillId="0" borderId="75" xfId="0" applyFont="1" applyBorder="1" applyAlignment="1" applyProtection="1">
      <alignment horizontal="center" vertical="top" wrapText="1"/>
      <protection locked="0"/>
    </xf>
    <xf numFmtId="0" fontId="5" fillId="0" borderId="8" xfId="0" applyFont="1" applyBorder="1" applyAlignment="1" applyProtection="1">
      <alignment horizontal="center" vertical="top" wrapText="1"/>
      <protection locked="0"/>
    </xf>
    <xf numFmtId="0" fontId="38" fillId="0" borderId="8" xfId="0" applyFont="1" applyBorder="1" applyAlignment="1" applyProtection="1">
      <alignment horizontal="center" vertical="top" wrapText="1"/>
      <protection locked="0"/>
    </xf>
    <xf numFmtId="0" fontId="5" fillId="0" borderId="5" xfId="0" applyFont="1" applyBorder="1" applyAlignment="1" applyProtection="1">
      <alignment horizontal="center" vertical="top" wrapText="1"/>
      <protection locked="0"/>
    </xf>
    <xf numFmtId="0" fontId="38" fillId="0" borderId="5"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0" fontId="38" fillId="0" borderId="4" xfId="0" applyFont="1" applyBorder="1" applyAlignment="1" applyProtection="1">
      <alignment horizontal="center" vertical="top" wrapText="1"/>
      <protection locked="0"/>
    </xf>
    <xf numFmtId="0" fontId="5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center"/>
    </xf>
    <xf numFmtId="14" fontId="5" fillId="0" borderId="0" xfId="0" applyNumberFormat="1" applyFont="1" applyAlignment="1">
      <alignment horizontal="center" vertical="center"/>
    </xf>
    <xf numFmtId="2" fontId="5" fillId="0" borderId="0" xfId="0" applyNumberFormat="1" applyFont="1" applyAlignment="1">
      <alignment horizontal="center" vertical="center"/>
    </xf>
    <xf numFmtId="0" fontId="5" fillId="13" borderId="2" xfId="0" applyFont="1" applyFill="1" applyBorder="1" applyAlignment="1">
      <alignment horizontal="center" vertical="center"/>
    </xf>
    <xf numFmtId="0" fontId="5" fillId="13" borderId="2" xfId="0" applyFont="1" applyFill="1" applyBorder="1" applyAlignment="1" applyProtection="1">
      <alignment horizontal="justify" vertical="center" wrapText="1"/>
      <protection locked="0"/>
    </xf>
    <xf numFmtId="0" fontId="5" fillId="13" borderId="2" xfId="0" applyFont="1" applyFill="1" applyBorder="1" applyAlignment="1" applyProtection="1">
      <alignment horizontal="justify" vertical="center"/>
      <protection locked="0"/>
    </xf>
    <xf numFmtId="0" fontId="39" fillId="14" borderId="48" xfId="2" applyFont="1" applyFill="1" applyBorder="1" applyAlignment="1">
      <alignment horizontal="center" vertical="center" wrapText="1"/>
    </xf>
    <xf numFmtId="0" fontId="39" fillId="14" borderId="49" xfId="2" applyFont="1" applyFill="1" applyBorder="1" applyAlignment="1">
      <alignment horizontal="center" vertical="center" wrapText="1"/>
    </xf>
    <xf numFmtId="0" fontId="39" fillId="14" borderId="50" xfId="2" applyFont="1" applyFill="1" applyBorder="1" applyAlignment="1">
      <alignment horizontal="center" vertical="center" wrapText="1"/>
    </xf>
    <xf numFmtId="0" fontId="38" fillId="0" borderId="14" xfId="2" quotePrefix="1" applyFont="1" applyBorder="1" applyAlignment="1">
      <alignment horizontal="left" vertical="center" wrapText="1"/>
    </xf>
    <xf numFmtId="0" fontId="38" fillId="0" borderId="0" xfId="2" quotePrefix="1" applyFont="1" applyAlignment="1">
      <alignment horizontal="left" vertical="center" wrapText="1"/>
    </xf>
    <xf numFmtId="0" fontId="38" fillId="0" borderId="15" xfId="2" quotePrefix="1" applyFont="1" applyBorder="1" applyAlignment="1">
      <alignment horizontal="left" vertical="center" wrapText="1"/>
    </xf>
    <xf numFmtId="0" fontId="38" fillId="0" borderId="68" xfId="2" quotePrefix="1" applyFont="1" applyBorder="1" applyAlignment="1">
      <alignment horizontal="left" vertical="center" wrapText="1"/>
    </xf>
    <xf numFmtId="0" fontId="38" fillId="0" borderId="69" xfId="2" quotePrefix="1" applyFont="1" applyBorder="1" applyAlignment="1">
      <alignment horizontal="left" vertical="center" wrapText="1"/>
    </xf>
    <xf numFmtId="0" fontId="38" fillId="0" borderId="70" xfId="2" quotePrefix="1" applyFont="1" applyBorder="1" applyAlignment="1">
      <alignment horizontal="left" vertical="center" wrapText="1"/>
    </xf>
    <xf numFmtId="0" fontId="40" fillId="3" borderId="51" xfId="2" quotePrefix="1" applyFont="1" applyFill="1" applyBorder="1" applyAlignment="1">
      <alignment horizontal="left" vertical="top" wrapText="1"/>
    </xf>
    <xf numFmtId="0" fontId="41" fillId="3" borderId="52" xfId="2" quotePrefix="1" applyFont="1" applyFill="1" applyBorder="1" applyAlignment="1">
      <alignment horizontal="left" vertical="top" wrapText="1"/>
    </xf>
    <xf numFmtId="0" fontId="41" fillId="3" borderId="53" xfId="2" quotePrefix="1" applyFont="1" applyFill="1" applyBorder="1" applyAlignment="1">
      <alignment horizontal="left" vertical="top" wrapText="1"/>
    </xf>
    <xf numFmtId="0" fontId="38" fillId="0" borderId="14" xfId="2" quotePrefix="1" applyFont="1" applyBorder="1" applyAlignment="1">
      <alignment horizontal="left" vertical="top" wrapText="1"/>
    </xf>
    <xf numFmtId="0" fontId="38" fillId="0" borderId="0" xfId="2" quotePrefix="1" applyFont="1" applyAlignment="1">
      <alignment horizontal="left" vertical="top" wrapText="1"/>
    </xf>
    <xf numFmtId="0" fontId="38" fillId="0" borderId="15" xfId="2" quotePrefix="1" applyFont="1" applyBorder="1" applyAlignment="1">
      <alignment horizontal="left" vertical="top" wrapText="1"/>
    </xf>
    <xf numFmtId="0" fontId="43" fillId="14" borderId="54" xfId="3" applyFont="1" applyFill="1" applyBorder="1" applyAlignment="1">
      <alignment horizontal="center" vertical="center" wrapText="1"/>
    </xf>
    <xf numFmtId="0" fontId="43" fillId="14" borderId="55" xfId="3" applyFont="1" applyFill="1" applyBorder="1" applyAlignment="1">
      <alignment horizontal="center" vertical="center" wrapText="1"/>
    </xf>
    <xf numFmtId="0" fontId="43" fillId="14" borderId="56" xfId="2" applyFont="1" applyFill="1" applyBorder="1" applyAlignment="1">
      <alignment horizontal="center" vertical="center"/>
    </xf>
    <xf numFmtId="0" fontId="43" fillId="14" borderId="57" xfId="2" applyFont="1" applyFill="1" applyBorder="1" applyAlignment="1">
      <alignment horizontal="center" vertical="center"/>
    </xf>
    <xf numFmtId="0" fontId="1" fillId="3" borderId="68" xfId="2" quotePrefix="1" applyFont="1" applyFill="1" applyBorder="1" applyAlignment="1">
      <alignment horizontal="justify" vertical="center" wrapText="1"/>
    </xf>
    <xf numFmtId="0" fontId="1" fillId="3" borderId="69" xfId="2" quotePrefix="1" applyFont="1" applyFill="1" applyBorder="1" applyAlignment="1">
      <alignment horizontal="justify" vertical="center" wrapText="1"/>
    </xf>
    <xf numFmtId="0" fontId="1" fillId="3" borderId="70" xfId="2" quotePrefix="1" applyFont="1" applyFill="1" applyBorder="1" applyAlignment="1">
      <alignment horizontal="justify" vertical="center" wrapText="1"/>
    </xf>
    <xf numFmtId="0" fontId="43" fillId="3" borderId="58" xfId="3" applyFont="1" applyFill="1" applyBorder="1" applyAlignment="1">
      <alignment horizontal="left" vertical="top" wrapText="1" readingOrder="1"/>
    </xf>
    <xf numFmtId="0" fontId="43" fillId="3" borderId="59" xfId="3" applyFont="1" applyFill="1" applyBorder="1" applyAlignment="1">
      <alignment horizontal="left" vertical="top" wrapText="1" readingOrder="1"/>
    </xf>
    <xf numFmtId="0" fontId="44" fillId="3" borderId="60" xfId="2" applyFont="1" applyFill="1" applyBorder="1" applyAlignment="1">
      <alignment horizontal="justify" vertical="center" wrapText="1"/>
    </xf>
    <xf numFmtId="0" fontId="44" fillId="3" borderId="61" xfId="2" applyFont="1" applyFill="1" applyBorder="1" applyAlignment="1">
      <alignment horizontal="justify" vertical="center" wrapText="1"/>
    </xf>
    <xf numFmtId="0" fontId="43" fillId="3" borderId="62" xfId="0" applyFont="1" applyFill="1" applyBorder="1" applyAlignment="1">
      <alignment horizontal="left" vertical="center" wrapText="1"/>
    </xf>
    <xf numFmtId="0" fontId="43" fillId="3" borderId="63" xfId="0" applyFont="1" applyFill="1" applyBorder="1" applyAlignment="1">
      <alignment horizontal="left" vertical="center" wrapText="1"/>
    </xf>
    <xf numFmtId="0" fontId="44" fillId="3" borderId="64" xfId="2" applyFont="1" applyFill="1" applyBorder="1" applyAlignment="1">
      <alignment horizontal="justify" vertical="center" wrapText="1"/>
    </xf>
    <xf numFmtId="0" fontId="44" fillId="3" borderId="65" xfId="2" applyFont="1" applyFill="1" applyBorder="1" applyAlignment="1">
      <alignment horizontal="justify" vertical="center" wrapText="1"/>
    </xf>
    <xf numFmtId="0" fontId="38" fillId="3" borderId="14" xfId="2" applyFont="1" applyFill="1" applyBorder="1" applyAlignment="1">
      <alignment horizontal="left" vertical="top" wrapText="1"/>
    </xf>
    <xf numFmtId="0" fontId="38" fillId="3" borderId="0" xfId="2" applyFont="1" applyFill="1" applyAlignment="1">
      <alignment horizontal="left" vertical="top" wrapText="1"/>
    </xf>
    <xf numFmtId="0" fontId="38" fillId="3" borderId="15" xfId="2" applyFont="1" applyFill="1" applyBorder="1" applyAlignment="1">
      <alignment horizontal="left" vertical="top" wrapText="1"/>
    </xf>
    <xf numFmtId="0" fontId="43" fillId="3" borderId="71" xfId="0" applyFont="1" applyFill="1" applyBorder="1" applyAlignment="1">
      <alignment horizontal="left" vertical="center" wrapText="1"/>
    </xf>
    <xf numFmtId="0" fontId="43" fillId="3" borderId="72" xfId="0" applyFont="1" applyFill="1" applyBorder="1" applyAlignment="1">
      <alignment horizontal="left" vertical="center" wrapText="1"/>
    </xf>
    <xf numFmtId="0" fontId="43" fillId="3" borderId="73" xfId="0" applyFont="1" applyFill="1" applyBorder="1" applyAlignment="1">
      <alignment horizontal="left" vertical="center" wrapText="1"/>
    </xf>
    <xf numFmtId="0" fontId="43" fillId="3" borderId="74" xfId="0" applyFont="1" applyFill="1" applyBorder="1" applyAlignment="1">
      <alignment horizontal="left" vertical="center" wrapText="1"/>
    </xf>
    <xf numFmtId="0" fontId="44" fillId="3" borderId="66" xfId="0" applyFont="1" applyFill="1" applyBorder="1" applyAlignment="1">
      <alignment horizontal="justify" vertical="center" wrapText="1"/>
    </xf>
    <xf numFmtId="0" fontId="44" fillId="3" borderId="67" xfId="0" applyFont="1" applyFill="1" applyBorder="1" applyAlignment="1">
      <alignment horizontal="justify" vertical="center" wrapText="1"/>
    </xf>
    <xf numFmtId="14" fontId="5" fillId="0" borderId="4" xfId="0" applyNumberFormat="1" applyFont="1" applyBorder="1" applyAlignment="1" applyProtection="1">
      <alignment horizontal="center" vertical="center"/>
      <protection locked="0"/>
    </xf>
    <xf numFmtId="14" fontId="5" fillId="0" borderId="8" xfId="0" applyNumberFormat="1" applyFont="1" applyBorder="1" applyAlignment="1" applyProtection="1">
      <alignment horizontal="center" vertical="center"/>
      <protection locked="0"/>
    </xf>
    <xf numFmtId="14" fontId="5" fillId="0" borderId="5" xfId="0" applyNumberFormat="1"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79" xfId="0" applyFont="1" applyBorder="1" applyAlignment="1" applyProtection="1">
      <alignment horizontal="center" vertical="center"/>
      <protection locked="0"/>
    </xf>
    <xf numFmtId="0" fontId="5" fillId="0" borderId="80" xfId="0" applyFont="1" applyBorder="1" applyAlignment="1" applyProtection="1">
      <alignment horizontal="center" vertical="center"/>
      <protection locked="0"/>
    </xf>
    <xf numFmtId="0" fontId="5" fillId="0" borderId="81" xfId="0" applyFont="1" applyBorder="1" applyAlignment="1" applyProtection="1">
      <alignment horizontal="center" vertical="center"/>
      <protection locked="0"/>
    </xf>
    <xf numFmtId="0" fontId="5" fillId="0" borderId="2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38" fillId="0" borderId="75" xfId="0" applyFont="1" applyBorder="1" applyAlignment="1" applyProtection="1">
      <alignment horizontal="center" vertical="center" wrapText="1"/>
      <protection locked="0"/>
    </xf>
    <xf numFmtId="0" fontId="56" fillId="0" borderId="4" xfId="0" applyFont="1" applyBorder="1" applyAlignment="1" applyProtection="1">
      <alignment horizontal="center" vertical="center"/>
      <protection hidden="1"/>
    </xf>
    <xf numFmtId="0" fontId="56" fillId="0" borderId="8" xfId="0" applyFont="1" applyBorder="1" applyAlignment="1" applyProtection="1">
      <alignment horizontal="center" vertical="center"/>
      <protection hidden="1"/>
    </xf>
    <xf numFmtId="9" fontId="5" fillId="0" borderId="4" xfId="0" applyNumberFormat="1" applyFont="1" applyBorder="1" applyAlignment="1" applyProtection="1">
      <alignment horizontal="center" vertical="center" wrapText="1"/>
      <protection hidden="1"/>
    </xf>
    <xf numFmtId="9" fontId="5" fillId="0" borderId="8" xfId="0" applyNumberFormat="1" applyFont="1" applyBorder="1" applyAlignment="1" applyProtection="1">
      <alignment horizontal="center" vertical="center" wrapText="1"/>
      <protection hidden="1"/>
    </xf>
    <xf numFmtId="9" fontId="5" fillId="0" borderId="4" xfId="0" applyNumberFormat="1" applyFont="1" applyBorder="1" applyAlignment="1" applyProtection="1">
      <alignment horizontal="center" vertical="center" wrapText="1"/>
      <protection locked="0"/>
    </xf>
    <xf numFmtId="9" fontId="5" fillId="0" borderId="8" xfId="0" applyNumberFormat="1" applyFont="1" applyBorder="1" applyAlignment="1" applyProtection="1">
      <alignment horizontal="center" vertical="center" wrapText="1"/>
      <protection locked="0"/>
    </xf>
    <xf numFmtId="9" fontId="5" fillId="0" borderId="4" xfId="0" applyNumberFormat="1" applyFont="1" applyBorder="1" applyAlignment="1" applyProtection="1">
      <alignment horizontal="center" vertical="top" wrapText="1"/>
      <protection hidden="1"/>
    </xf>
    <xf numFmtId="9" fontId="5" fillId="0" borderId="8" xfId="0" applyNumberFormat="1" applyFont="1" applyBorder="1" applyAlignment="1" applyProtection="1">
      <alignment horizontal="center" vertical="top" wrapText="1"/>
      <protection hidden="1"/>
    </xf>
    <xf numFmtId="0" fontId="56" fillId="0" borderId="4" xfId="0" applyFont="1" applyBorder="1" applyAlignment="1" applyProtection="1">
      <alignment horizontal="center" vertical="center" wrapText="1"/>
      <protection hidden="1"/>
    </xf>
    <xf numFmtId="0" fontId="56" fillId="0" borderId="8" xfId="0" applyFont="1" applyBorder="1" applyAlignment="1" applyProtection="1">
      <alignment horizontal="center" vertical="center" wrapText="1"/>
      <protection hidden="1"/>
    </xf>
    <xf numFmtId="0" fontId="56" fillId="2" borderId="6" xfId="0" applyFont="1" applyFill="1" applyBorder="1" applyAlignment="1">
      <alignment horizontal="left" vertical="center"/>
    </xf>
    <xf numFmtId="0" fontId="56" fillId="2" borderId="10" xfId="0" applyFont="1" applyFill="1" applyBorder="1" applyAlignment="1">
      <alignment horizontal="left" vertical="center"/>
    </xf>
    <xf numFmtId="0" fontId="56" fillId="2" borderId="4" xfId="0" applyFont="1" applyFill="1" applyBorder="1" applyAlignment="1">
      <alignment horizontal="center" vertical="center" textRotation="90"/>
    </xf>
    <xf numFmtId="0" fontId="56" fillId="2" borderId="5" xfId="0" applyFont="1" applyFill="1" applyBorder="1" applyAlignment="1">
      <alignment horizontal="center" vertical="center" textRotation="90"/>
    </xf>
    <xf numFmtId="0" fontId="56" fillId="2" borderId="4" xfId="0" applyFont="1" applyFill="1" applyBorder="1" applyAlignment="1">
      <alignment horizontal="center" vertical="center" wrapText="1"/>
    </xf>
    <xf numFmtId="0" fontId="56" fillId="2" borderId="5" xfId="0" applyFont="1" applyFill="1" applyBorder="1" applyAlignment="1">
      <alignment horizontal="center" vertical="center" wrapText="1"/>
    </xf>
    <xf numFmtId="0" fontId="56" fillId="2" borderId="5" xfId="0" applyFont="1" applyFill="1" applyBorder="1" applyAlignment="1">
      <alignment horizontal="center" vertical="center"/>
    </xf>
    <xf numFmtId="0" fontId="56" fillId="2" borderId="4" xfId="0" applyFont="1" applyFill="1" applyBorder="1" applyAlignment="1">
      <alignment horizontal="center" vertical="center"/>
    </xf>
    <xf numFmtId="0" fontId="56" fillId="2" borderId="2" xfId="0" applyFont="1" applyFill="1" applyBorder="1" applyAlignment="1">
      <alignment horizontal="center" vertical="center" wrapText="1"/>
    </xf>
    <xf numFmtId="0" fontId="56" fillId="2" borderId="4" xfId="0" applyFont="1" applyFill="1" applyBorder="1" applyAlignment="1">
      <alignment horizontal="center" vertical="center" textRotation="90" wrapText="1"/>
    </xf>
    <xf numFmtId="0" fontId="56" fillId="2" borderId="5" xfId="0" applyFont="1" applyFill="1" applyBorder="1" applyAlignment="1">
      <alignment horizontal="center" vertical="center" textRotation="90" wrapText="1"/>
    </xf>
    <xf numFmtId="0" fontId="56" fillId="2" borderId="2" xfId="0" applyFont="1" applyFill="1" applyBorder="1" applyAlignment="1">
      <alignment horizontal="center" vertical="center" textRotation="90" wrapText="1"/>
    </xf>
    <xf numFmtId="0" fontId="56" fillId="2" borderId="8" xfId="0" applyFont="1" applyFill="1" applyBorder="1" applyAlignment="1">
      <alignment horizontal="center" vertical="center" wrapText="1"/>
    </xf>
    <xf numFmtId="0" fontId="56" fillId="2" borderId="9" xfId="0" applyFont="1" applyFill="1" applyBorder="1" applyAlignment="1">
      <alignment horizontal="center" vertical="center"/>
    </xf>
    <xf numFmtId="0" fontId="56" fillId="2" borderId="3" xfId="0" applyFont="1" applyFill="1" applyBorder="1" applyAlignment="1">
      <alignment horizontal="center" vertical="center"/>
    </xf>
    <xf numFmtId="0" fontId="56" fillId="2" borderId="9" xfId="0" applyFont="1" applyFill="1" applyBorder="1" applyAlignment="1">
      <alignment horizontal="center" vertical="center" wrapText="1"/>
    </xf>
    <xf numFmtId="0" fontId="56" fillId="2" borderId="2" xfId="0" applyFont="1" applyFill="1" applyBorder="1" applyAlignment="1">
      <alignment horizontal="center" vertical="center"/>
    </xf>
    <xf numFmtId="14" fontId="5" fillId="0" borderId="4" xfId="0" applyNumberFormat="1" applyFont="1" applyBorder="1" applyAlignment="1" applyProtection="1">
      <alignment horizontal="center" vertical="center" wrapText="1"/>
      <protection locked="0"/>
    </xf>
    <xf numFmtId="14" fontId="5" fillId="0" borderId="8" xfId="0" applyNumberFormat="1"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5" fillId="0" borderId="76"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4" xfId="0" applyFont="1" applyBorder="1" applyAlignment="1" applyProtection="1">
      <alignment horizontal="center" vertical="center" textRotation="90"/>
      <protection locked="0"/>
    </xf>
    <xf numFmtId="0" fontId="5" fillId="0" borderId="8" xfId="0" applyFont="1" applyBorder="1" applyAlignment="1" applyProtection="1">
      <alignment horizontal="center" vertical="center" textRotation="90"/>
      <protection locked="0"/>
    </xf>
    <xf numFmtId="0" fontId="5" fillId="0" borderId="5" xfId="0" applyFont="1" applyBorder="1" applyAlignment="1" applyProtection="1">
      <alignment horizontal="center" vertical="center" textRotation="90"/>
      <protection locked="0"/>
    </xf>
    <xf numFmtId="14" fontId="5" fillId="0" borderId="5" xfId="0" applyNumberFormat="1" applyFont="1" applyBorder="1" applyAlignment="1" applyProtection="1">
      <alignment horizontal="center" vertical="center" wrapText="1"/>
      <protection locked="0"/>
    </xf>
    <xf numFmtId="0" fontId="38" fillId="0" borderId="77" xfId="0" applyFont="1" applyBorder="1" applyAlignment="1" applyProtection="1">
      <alignment horizontal="center" vertical="center" wrapText="1"/>
      <protection locked="0"/>
    </xf>
    <xf numFmtId="0" fontId="38" fillId="0" borderId="78" xfId="0" applyFont="1" applyBorder="1" applyAlignment="1" applyProtection="1">
      <alignment horizontal="center" vertical="center" wrapText="1"/>
      <protection locked="0"/>
    </xf>
    <xf numFmtId="9" fontId="5" fillId="0" borderId="5" xfId="0" applyNumberFormat="1" applyFont="1" applyBorder="1" applyAlignment="1" applyProtection="1">
      <alignment horizontal="center" vertical="top" wrapText="1"/>
      <protection hidden="1"/>
    </xf>
    <xf numFmtId="0" fontId="56" fillId="0" borderId="4" xfId="0" applyFont="1" applyBorder="1" applyAlignment="1" applyProtection="1">
      <alignment horizontal="center" vertical="top"/>
      <protection hidden="1"/>
    </xf>
    <xf numFmtId="0" fontId="56" fillId="0" borderId="8" xfId="0" applyFont="1" applyBorder="1" applyAlignment="1" applyProtection="1">
      <alignment horizontal="center" vertical="top"/>
      <protection hidden="1"/>
    </xf>
    <xf numFmtId="0" fontId="56" fillId="0" borderId="5" xfId="0" applyFont="1" applyBorder="1" applyAlignment="1" applyProtection="1">
      <alignment horizontal="center" vertical="top"/>
      <protection hidden="1"/>
    </xf>
    <xf numFmtId="9" fontId="5" fillId="0" borderId="4" xfId="0" applyNumberFormat="1" applyFont="1" applyBorder="1" applyAlignment="1" applyProtection="1">
      <alignment horizontal="center" vertical="top" wrapText="1"/>
      <protection locked="0"/>
    </xf>
    <xf numFmtId="9" fontId="5" fillId="0" borderId="8" xfId="0" applyNumberFormat="1" applyFont="1" applyBorder="1" applyAlignment="1" applyProtection="1">
      <alignment horizontal="center" vertical="top" wrapText="1"/>
      <protection locked="0"/>
    </xf>
    <xf numFmtId="9" fontId="5" fillId="0" borderId="5" xfId="0" applyNumberFormat="1" applyFont="1" applyBorder="1" applyAlignment="1" applyProtection="1">
      <alignment horizontal="center" vertical="top" wrapText="1"/>
      <protection locked="0"/>
    </xf>
    <xf numFmtId="0" fontId="56" fillId="0" borderId="4" xfId="0" applyFont="1" applyBorder="1" applyAlignment="1" applyProtection="1">
      <alignment horizontal="center" vertical="top" wrapText="1"/>
      <protection hidden="1"/>
    </xf>
    <xf numFmtId="0" fontId="56" fillId="0" borderId="8" xfId="0" applyFont="1" applyBorder="1" applyAlignment="1" applyProtection="1">
      <alignment horizontal="center" vertical="top" wrapText="1"/>
      <protection hidden="1"/>
    </xf>
    <xf numFmtId="0" fontId="56" fillId="0" borderId="5" xfId="0" applyFont="1" applyBorder="1" applyAlignment="1" applyProtection="1">
      <alignment horizontal="center" vertical="top" wrapText="1"/>
      <protection hidden="1"/>
    </xf>
    <xf numFmtId="0" fontId="5" fillId="0" borderId="5" xfId="0" applyFont="1" applyBorder="1" applyAlignment="1">
      <alignment horizontal="center" vertical="center"/>
    </xf>
    <xf numFmtId="0" fontId="5" fillId="0" borderId="4" xfId="0" applyFont="1" applyBorder="1" applyAlignment="1" applyProtection="1">
      <alignment horizontal="center" vertical="top" wrapText="1"/>
      <protection locked="0"/>
    </xf>
    <xf numFmtId="0" fontId="5" fillId="0" borderId="8" xfId="0" applyFont="1" applyBorder="1" applyAlignment="1" applyProtection="1">
      <alignment horizontal="center" vertical="top" wrapText="1"/>
      <protection locked="0"/>
    </xf>
    <xf numFmtId="0" fontId="5" fillId="0" borderId="5" xfId="0" applyFont="1" applyBorder="1" applyAlignment="1" applyProtection="1">
      <alignment horizontal="center" vertical="top" wrapText="1"/>
      <protection locked="0"/>
    </xf>
    <xf numFmtId="0" fontId="5" fillId="0" borderId="28" xfId="0" applyFont="1" applyBorder="1" applyAlignment="1" applyProtection="1">
      <alignment horizontal="center" vertical="top" wrapText="1"/>
      <protection locked="0"/>
    </xf>
    <xf numFmtId="0" fontId="5" fillId="0" borderId="9" xfId="0" applyFont="1" applyBorder="1" applyAlignment="1" applyProtection="1">
      <alignment horizontal="center" vertical="top" wrapText="1"/>
      <protection locked="0"/>
    </xf>
    <xf numFmtId="0" fontId="5" fillId="0" borderId="3" xfId="0" applyFont="1" applyBorder="1" applyAlignment="1" applyProtection="1">
      <alignment horizontal="center" vertical="top" wrapText="1"/>
      <protection locked="0"/>
    </xf>
    <xf numFmtId="0" fontId="38" fillId="0" borderId="75" xfId="0" applyFont="1" applyBorder="1" applyAlignment="1" applyProtection="1">
      <alignment horizontal="center" vertical="top" wrapText="1"/>
      <protection locked="0"/>
    </xf>
    <xf numFmtId="0" fontId="5" fillId="0" borderId="30" xfId="0" applyFont="1" applyBorder="1" applyAlignment="1" applyProtection="1">
      <alignment horizontal="center" vertical="top" wrapText="1"/>
      <protection locked="0"/>
    </xf>
    <xf numFmtId="0" fontId="5" fillId="0" borderId="76" xfId="0" applyFont="1" applyBorder="1" applyAlignment="1" applyProtection="1">
      <alignment horizontal="center" vertical="top" wrapText="1"/>
      <protection locked="0"/>
    </xf>
    <xf numFmtId="0" fontId="5" fillId="0" borderId="32" xfId="0" applyFont="1" applyBorder="1" applyAlignment="1" applyProtection="1">
      <alignment horizontal="center" vertical="top" wrapText="1"/>
      <protection locked="0"/>
    </xf>
    <xf numFmtId="0" fontId="38" fillId="3" borderId="75" xfId="0" applyFont="1" applyFill="1" applyBorder="1" applyAlignment="1" applyProtection="1">
      <alignment horizontal="center" vertical="top" wrapText="1"/>
      <protection locked="0"/>
    </xf>
    <xf numFmtId="0" fontId="5" fillId="0" borderId="4" xfId="0" applyFont="1" applyBorder="1" applyAlignment="1" applyProtection="1">
      <alignment horizontal="center" vertical="top"/>
      <protection locked="0"/>
    </xf>
    <xf numFmtId="0" fontId="5" fillId="0" borderId="8" xfId="0" applyFont="1" applyBorder="1" applyAlignment="1" applyProtection="1">
      <alignment horizontal="center" vertical="top"/>
      <protection locked="0"/>
    </xf>
    <xf numFmtId="0" fontId="5" fillId="0" borderId="5" xfId="0" applyFont="1" applyBorder="1" applyAlignment="1" applyProtection="1">
      <alignment horizontal="center" vertical="top"/>
      <protection locked="0"/>
    </xf>
    <xf numFmtId="0" fontId="38" fillId="0" borderId="4" xfId="0" applyFont="1" applyBorder="1" applyAlignment="1" applyProtection="1">
      <alignment horizontal="center" vertical="top" wrapText="1"/>
      <protection locked="0"/>
    </xf>
    <xf numFmtId="0" fontId="38" fillId="0" borderId="8" xfId="0" applyFont="1" applyBorder="1" applyAlignment="1" applyProtection="1">
      <alignment horizontal="center" vertical="top" wrapText="1"/>
      <protection locked="0"/>
    </xf>
    <xf numFmtId="0" fontId="38" fillId="0" borderId="5" xfId="0" applyFont="1" applyBorder="1" applyAlignment="1" applyProtection="1">
      <alignment horizontal="center" vertical="top" wrapText="1"/>
      <protection locked="0"/>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7" xfId="0" applyFont="1" applyBorder="1" applyAlignment="1">
      <alignment horizontal="left" vertical="center" wrapText="1"/>
    </xf>
    <xf numFmtId="0" fontId="5" fillId="3" borderId="75" xfId="0" applyFont="1" applyFill="1" applyBorder="1" applyAlignment="1" applyProtection="1">
      <alignment horizontal="left" vertical="center"/>
      <protection locked="0"/>
    </xf>
    <xf numFmtId="0" fontId="5" fillId="3" borderId="75" xfId="0" applyFont="1" applyFill="1" applyBorder="1" applyAlignment="1" applyProtection="1">
      <alignment horizontal="left" vertical="center" wrapText="1"/>
      <protection locked="0"/>
    </xf>
    <xf numFmtId="0" fontId="56" fillId="2" borderId="28" xfId="0" applyFont="1" applyFill="1" applyBorder="1" applyAlignment="1">
      <alignment horizontal="center" vertical="center"/>
    </xf>
    <xf numFmtId="0" fontId="56" fillId="2" borderId="29" xfId="0" applyFont="1" applyFill="1" applyBorder="1" applyAlignment="1">
      <alignment horizontal="center" vertical="center"/>
    </xf>
    <xf numFmtId="0" fontId="56" fillId="2" borderId="30" xfId="0" applyFont="1" applyFill="1" applyBorder="1" applyAlignment="1">
      <alignment horizontal="center" vertical="center"/>
    </xf>
    <xf numFmtId="0" fontId="56" fillId="2" borderId="31" xfId="0" applyFont="1" applyFill="1" applyBorder="1" applyAlignment="1">
      <alignment horizontal="center" vertical="center"/>
    </xf>
    <xf numFmtId="0" fontId="56" fillId="2" borderId="32" xfId="0" applyFont="1" applyFill="1" applyBorder="1" applyAlignment="1">
      <alignment horizontal="center" vertical="center"/>
    </xf>
    <xf numFmtId="0" fontId="56" fillId="2" borderId="6" xfId="0" applyFont="1" applyFill="1" applyBorder="1" applyAlignment="1">
      <alignment horizontal="center" vertical="center"/>
    </xf>
    <xf numFmtId="0" fontId="56" fillId="2" borderId="10" xfId="0" applyFont="1" applyFill="1" applyBorder="1" applyAlignment="1">
      <alignment horizontal="center" vertical="center"/>
    </xf>
    <xf numFmtId="0" fontId="23" fillId="0" borderId="0" xfId="0" applyFont="1" applyAlignment="1">
      <alignment horizontal="center" vertical="center" wrapText="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6" fillId="10" borderId="0" xfId="0" applyFont="1" applyFill="1" applyAlignment="1">
      <alignment horizontal="center" vertical="center" wrapText="1" readingOrder="1"/>
    </xf>
    <xf numFmtId="0" fontId="15" fillId="0" borderId="12" xfId="0" applyFont="1" applyBorder="1" applyAlignment="1">
      <alignment horizontal="center" vertical="center" wrapText="1"/>
    </xf>
    <xf numFmtId="0" fontId="15" fillId="0" borderId="19"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8" xfId="0" applyFont="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center" vertical="center" wrapText="1"/>
    </xf>
    <xf numFmtId="0" fontId="16" fillId="10" borderId="0" xfId="0" applyFont="1" applyFill="1" applyAlignment="1">
      <alignment horizontal="center" vertical="center" textRotation="90" wrapText="1" readingOrder="1"/>
    </xf>
    <xf numFmtId="0" fontId="16" fillId="10" borderId="15" xfId="0" applyFont="1" applyFill="1" applyBorder="1" applyAlignment="1">
      <alignment horizontal="center" vertical="center" textRotation="90" wrapText="1" readingOrder="1"/>
    </xf>
    <xf numFmtId="0" fontId="19" fillId="12" borderId="20" xfId="0" applyFont="1" applyFill="1" applyBorder="1" applyAlignment="1">
      <alignment horizontal="center" vertical="center" wrapText="1" readingOrder="1"/>
    </xf>
    <xf numFmtId="0" fontId="19" fillId="12" borderId="21" xfId="0" applyFont="1" applyFill="1" applyBorder="1" applyAlignment="1">
      <alignment horizontal="center" vertical="center" wrapText="1" readingOrder="1"/>
    </xf>
    <xf numFmtId="0" fontId="19" fillId="12" borderId="22" xfId="0" applyFont="1" applyFill="1" applyBorder="1" applyAlignment="1">
      <alignment horizontal="center" vertical="center" wrapText="1" readingOrder="1"/>
    </xf>
    <xf numFmtId="0" fontId="19" fillId="12" borderId="23"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24" xfId="0" applyFont="1" applyFill="1" applyBorder="1" applyAlignment="1">
      <alignment horizontal="center" vertical="center" wrapText="1" readingOrder="1"/>
    </xf>
    <xf numFmtId="0" fontId="19" fillId="12" borderId="25" xfId="0" applyFont="1" applyFill="1" applyBorder="1" applyAlignment="1">
      <alignment horizontal="center" vertical="center" wrapText="1" readingOrder="1"/>
    </xf>
    <xf numFmtId="0" fontId="19" fillId="12" borderId="26" xfId="0" applyFont="1" applyFill="1" applyBorder="1" applyAlignment="1">
      <alignment horizontal="center" vertical="center" wrapText="1" readingOrder="1"/>
    </xf>
    <xf numFmtId="0" fontId="19" fillId="12" borderId="27"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1" borderId="21" xfId="0" applyFont="1" applyFill="1" applyBorder="1" applyAlignment="1">
      <alignment horizontal="center" vertical="center" wrapText="1" readingOrder="1"/>
    </xf>
    <xf numFmtId="0" fontId="19" fillId="11" borderId="22" xfId="0" applyFont="1" applyFill="1" applyBorder="1" applyAlignment="1">
      <alignment horizontal="center" vertical="center" wrapText="1" readingOrder="1"/>
    </xf>
    <xf numFmtId="0" fontId="19" fillId="11" borderId="23"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24" xfId="0" applyFont="1" applyFill="1" applyBorder="1" applyAlignment="1">
      <alignment horizontal="center" vertical="center" wrapText="1" readingOrder="1"/>
    </xf>
    <xf numFmtId="0" fontId="19" fillId="11" borderId="25" xfId="0" applyFont="1" applyFill="1" applyBorder="1" applyAlignment="1">
      <alignment horizontal="center" vertical="center" wrapText="1" readingOrder="1"/>
    </xf>
    <xf numFmtId="0" fontId="19" fillId="11" borderId="26" xfId="0" applyFont="1" applyFill="1" applyBorder="1" applyAlignment="1">
      <alignment horizontal="center" vertical="center" wrapText="1" readingOrder="1"/>
    </xf>
    <xf numFmtId="0" fontId="19" fillId="11" borderId="27"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13" borderId="21" xfId="0" applyFont="1" applyFill="1" applyBorder="1" applyAlignment="1">
      <alignment horizontal="center" vertical="center" wrapText="1" readingOrder="1"/>
    </xf>
    <xf numFmtId="0" fontId="19" fillId="13" borderId="22" xfId="0" applyFont="1" applyFill="1" applyBorder="1" applyAlignment="1">
      <alignment horizontal="center" vertical="center" wrapText="1" readingOrder="1"/>
    </xf>
    <xf numFmtId="0" fontId="19" fillId="13" borderId="23"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24" xfId="0" applyFont="1" applyFill="1" applyBorder="1" applyAlignment="1">
      <alignment horizontal="center" vertical="center" wrapText="1" readingOrder="1"/>
    </xf>
    <xf numFmtId="0" fontId="19" fillId="13" borderId="25" xfId="0" applyFont="1" applyFill="1" applyBorder="1" applyAlignment="1">
      <alignment horizontal="center" vertical="center" wrapText="1" readingOrder="1"/>
    </xf>
    <xf numFmtId="0" fontId="19" fillId="13" borderId="26" xfId="0" applyFont="1" applyFill="1" applyBorder="1" applyAlignment="1">
      <alignment horizontal="center" vertical="center" wrapText="1" readingOrder="1"/>
    </xf>
    <xf numFmtId="0" fontId="19" fillId="13" borderId="27"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9" fillId="5" borderId="21" xfId="0" applyFont="1" applyFill="1" applyBorder="1" applyAlignment="1">
      <alignment horizontal="center" vertical="center" wrapText="1" readingOrder="1"/>
    </xf>
    <xf numFmtId="0" fontId="19" fillId="5" borderId="22" xfId="0" applyFont="1" applyFill="1" applyBorder="1" applyAlignment="1">
      <alignment horizontal="center" vertical="center" wrapText="1" readingOrder="1"/>
    </xf>
    <xf numFmtId="0" fontId="19" fillId="5" borderId="23"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24" xfId="0" applyFont="1" applyFill="1" applyBorder="1" applyAlignment="1">
      <alignment horizontal="center" vertical="center" wrapText="1" readingOrder="1"/>
    </xf>
    <xf numFmtId="0" fontId="19" fillId="5" borderId="25" xfId="0" applyFont="1" applyFill="1" applyBorder="1" applyAlignment="1">
      <alignment horizontal="center" vertical="center" wrapText="1" readingOrder="1"/>
    </xf>
    <xf numFmtId="0" fontId="19" fillId="5" borderId="26" xfId="0" applyFont="1" applyFill="1" applyBorder="1" applyAlignment="1">
      <alignment horizontal="center" vertical="center" wrapText="1" readingOrder="1"/>
    </xf>
    <xf numFmtId="0" fontId="19" fillId="5" borderId="27" xfId="0" applyFont="1" applyFill="1" applyBorder="1" applyAlignment="1">
      <alignment horizontal="center" vertical="center" wrapText="1" readingOrder="1"/>
    </xf>
    <xf numFmtId="0" fontId="33" fillId="0" borderId="12" xfId="0" applyFont="1" applyBorder="1" applyAlignment="1">
      <alignment horizontal="center" vertical="center" wrapText="1"/>
    </xf>
    <xf numFmtId="0" fontId="33" fillId="0" borderId="19" xfId="0" applyFont="1" applyBorder="1" applyAlignment="1">
      <alignment horizontal="center" vertical="center"/>
    </xf>
    <xf numFmtId="0" fontId="33" fillId="0" borderId="13" xfId="0" applyFont="1" applyBorder="1" applyAlignment="1">
      <alignment horizontal="center" vertical="center"/>
    </xf>
    <xf numFmtId="0" fontId="33" fillId="0" borderId="14" xfId="0" applyFont="1" applyBorder="1" applyAlignment="1">
      <alignment horizontal="center" vertical="center"/>
    </xf>
    <xf numFmtId="0" fontId="33" fillId="0" borderId="0" xfId="0" applyFont="1" applyAlignment="1">
      <alignment horizontal="center" vertical="center"/>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33" fillId="0" borderId="18" xfId="0" applyFont="1" applyBorder="1" applyAlignment="1">
      <alignment horizontal="center" vertical="center"/>
    </xf>
    <xf numFmtId="0" fontId="33" fillId="0" borderId="17" xfId="0" applyFont="1" applyBorder="1" applyAlignment="1">
      <alignment horizontal="center" vertical="center"/>
    </xf>
    <xf numFmtId="0" fontId="33" fillId="0" borderId="19" xfId="0" applyFont="1" applyBorder="1" applyAlignment="1">
      <alignment horizontal="center" vertical="center" wrapText="1"/>
    </xf>
    <xf numFmtId="0" fontId="32" fillId="11" borderId="20" xfId="0" applyFont="1" applyFill="1" applyBorder="1" applyAlignment="1">
      <alignment horizontal="center" vertical="center" wrapText="1" readingOrder="1"/>
    </xf>
    <xf numFmtId="0" fontId="32" fillId="11" borderId="21" xfId="0" applyFont="1" applyFill="1" applyBorder="1" applyAlignment="1">
      <alignment horizontal="center" vertical="center" wrapText="1" readingOrder="1"/>
    </xf>
    <xf numFmtId="0" fontId="32" fillId="11" borderId="22" xfId="0" applyFont="1" applyFill="1" applyBorder="1" applyAlignment="1">
      <alignment horizontal="center" vertical="center" wrapText="1" readingOrder="1"/>
    </xf>
    <xf numFmtId="0" fontId="32" fillId="11" borderId="23" xfId="0" applyFont="1" applyFill="1" applyBorder="1" applyAlignment="1">
      <alignment horizontal="center" vertical="center" wrapText="1" readingOrder="1"/>
    </xf>
    <xf numFmtId="0" fontId="32" fillId="11" borderId="0" xfId="0" applyFont="1" applyFill="1" applyAlignment="1">
      <alignment horizontal="center" vertical="center" wrapText="1" readingOrder="1"/>
    </xf>
    <xf numFmtId="0" fontId="32" fillId="11" borderId="24" xfId="0" applyFont="1" applyFill="1" applyBorder="1" applyAlignment="1">
      <alignment horizontal="center" vertical="center" wrapText="1" readingOrder="1"/>
    </xf>
    <xf numFmtId="0" fontId="32" fillId="11" borderId="25" xfId="0" applyFont="1" applyFill="1" applyBorder="1" applyAlignment="1">
      <alignment horizontal="center" vertical="center" wrapText="1" readingOrder="1"/>
    </xf>
    <xf numFmtId="0" fontId="32" fillId="11" borderId="26" xfId="0" applyFont="1" applyFill="1" applyBorder="1" applyAlignment="1">
      <alignment horizontal="center" vertical="center" wrapText="1" readingOrder="1"/>
    </xf>
    <xf numFmtId="0" fontId="32" fillId="11" borderId="27" xfId="0" applyFont="1" applyFill="1" applyBorder="1" applyAlignment="1">
      <alignment horizontal="center" vertical="center" wrapText="1" readingOrder="1"/>
    </xf>
    <xf numFmtId="0" fontId="33" fillId="0" borderId="14" xfId="0" applyFont="1" applyBorder="1" applyAlignment="1">
      <alignment horizontal="center" vertical="center" wrapText="1"/>
    </xf>
    <xf numFmtId="0" fontId="32" fillId="12" borderId="20" xfId="0" applyFont="1" applyFill="1" applyBorder="1" applyAlignment="1">
      <alignment horizontal="center" vertical="center" wrapText="1" readingOrder="1"/>
    </xf>
    <xf numFmtId="0" fontId="32" fillId="12" borderId="21" xfId="0" applyFont="1" applyFill="1" applyBorder="1" applyAlignment="1">
      <alignment horizontal="center" vertical="center" wrapText="1" readingOrder="1"/>
    </xf>
    <xf numFmtId="0" fontId="32" fillId="12" borderId="22" xfId="0" applyFont="1" applyFill="1" applyBorder="1" applyAlignment="1">
      <alignment horizontal="center" vertical="center" wrapText="1" readingOrder="1"/>
    </xf>
    <xf numFmtId="0" fontId="32" fillId="12" borderId="23" xfId="0" applyFont="1" applyFill="1" applyBorder="1" applyAlignment="1">
      <alignment horizontal="center" vertical="center" wrapText="1" readingOrder="1"/>
    </xf>
    <xf numFmtId="0" fontId="32" fillId="12" borderId="0" xfId="0" applyFont="1" applyFill="1" applyAlignment="1">
      <alignment horizontal="center" vertical="center" wrapText="1" readingOrder="1"/>
    </xf>
    <xf numFmtId="0" fontId="32" fillId="12" borderId="24" xfId="0" applyFont="1" applyFill="1" applyBorder="1" applyAlignment="1">
      <alignment horizontal="center" vertical="center" wrapText="1" readingOrder="1"/>
    </xf>
    <xf numFmtId="0" fontId="32" fillId="12" borderId="25" xfId="0" applyFont="1" applyFill="1" applyBorder="1" applyAlignment="1">
      <alignment horizontal="center" vertical="center" wrapText="1" readingOrder="1"/>
    </xf>
    <xf numFmtId="0" fontId="32" fillId="12" borderId="26" xfId="0" applyFont="1" applyFill="1" applyBorder="1" applyAlignment="1">
      <alignment horizontal="center" vertical="center" wrapText="1" readingOrder="1"/>
    </xf>
    <xf numFmtId="0" fontId="32" fillId="12" borderId="27" xfId="0" applyFont="1" applyFill="1" applyBorder="1" applyAlignment="1">
      <alignment horizontal="center" vertical="center" wrapText="1" readingOrder="1"/>
    </xf>
    <xf numFmtId="0" fontId="31" fillId="0" borderId="0" xfId="0" applyFont="1" applyAlignment="1">
      <alignment horizontal="center" vertical="center" wrapText="1"/>
    </xf>
    <xf numFmtId="0" fontId="20" fillId="0" borderId="0" xfId="0" applyFont="1" applyAlignment="1">
      <alignment horizontal="center" vertical="center" wrapText="1"/>
    </xf>
    <xf numFmtId="0" fontId="32" fillId="5" borderId="20" xfId="0" applyFont="1" applyFill="1" applyBorder="1" applyAlignment="1">
      <alignment horizontal="center" vertical="center" wrapText="1" readingOrder="1"/>
    </xf>
    <xf numFmtId="0" fontId="32" fillId="5" borderId="21" xfId="0" applyFont="1" applyFill="1" applyBorder="1" applyAlignment="1">
      <alignment horizontal="center" vertical="center" wrapText="1" readingOrder="1"/>
    </xf>
    <xf numFmtId="0" fontId="32" fillId="5" borderId="22" xfId="0" applyFont="1" applyFill="1" applyBorder="1" applyAlignment="1">
      <alignment horizontal="center" vertical="center" wrapText="1" readingOrder="1"/>
    </xf>
    <xf numFmtId="0" fontId="32" fillId="5" borderId="23" xfId="0" applyFont="1" applyFill="1" applyBorder="1" applyAlignment="1">
      <alignment horizontal="center" vertical="center" wrapText="1" readingOrder="1"/>
    </xf>
    <xf numFmtId="0" fontId="32" fillId="5" borderId="0" xfId="0" applyFont="1" applyFill="1" applyAlignment="1">
      <alignment horizontal="center" vertical="center" wrapText="1" readingOrder="1"/>
    </xf>
    <xf numFmtId="0" fontId="32" fillId="5" borderId="24" xfId="0" applyFont="1" applyFill="1" applyBorder="1" applyAlignment="1">
      <alignment horizontal="center" vertical="center" wrapText="1" readingOrder="1"/>
    </xf>
    <xf numFmtId="0" fontId="32" fillId="5" borderId="25" xfId="0" applyFont="1" applyFill="1" applyBorder="1" applyAlignment="1">
      <alignment horizontal="center" vertical="center" wrapText="1" readingOrder="1"/>
    </xf>
    <xf numFmtId="0" fontId="32" fillId="5" borderId="26" xfId="0" applyFont="1" applyFill="1" applyBorder="1" applyAlignment="1">
      <alignment horizontal="center" vertical="center" wrapText="1" readingOrder="1"/>
    </xf>
    <xf numFmtId="0" fontId="32" fillId="5" borderId="27" xfId="0" applyFont="1" applyFill="1" applyBorder="1" applyAlignment="1">
      <alignment horizontal="center" vertical="center" wrapText="1" readingOrder="1"/>
    </xf>
    <xf numFmtId="0" fontId="32" fillId="13" borderId="20" xfId="0" applyFont="1" applyFill="1" applyBorder="1" applyAlignment="1">
      <alignment horizontal="center" vertical="center" wrapText="1" readingOrder="1"/>
    </xf>
    <xf numFmtId="0" fontId="32" fillId="13" borderId="21" xfId="0" applyFont="1" applyFill="1" applyBorder="1" applyAlignment="1">
      <alignment horizontal="center" vertical="center" wrapText="1" readingOrder="1"/>
    </xf>
    <xf numFmtId="0" fontId="32" fillId="13" borderId="22" xfId="0" applyFont="1" applyFill="1" applyBorder="1" applyAlignment="1">
      <alignment horizontal="center" vertical="center" wrapText="1" readingOrder="1"/>
    </xf>
    <xf numFmtId="0" fontId="32" fillId="13" borderId="23" xfId="0" applyFont="1" applyFill="1" applyBorder="1" applyAlignment="1">
      <alignment horizontal="center" vertical="center" wrapText="1" readingOrder="1"/>
    </xf>
    <xf numFmtId="0" fontId="32" fillId="13" borderId="0" xfId="0" applyFont="1" applyFill="1" applyAlignment="1">
      <alignment horizontal="center" vertical="center" wrapText="1" readingOrder="1"/>
    </xf>
    <xf numFmtId="0" fontId="32" fillId="13" borderId="24" xfId="0" applyFont="1" applyFill="1" applyBorder="1" applyAlignment="1">
      <alignment horizontal="center" vertical="center" wrapText="1" readingOrder="1"/>
    </xf>
    <xf numFmtId="0" fontId="32" fillId="13" borderId="25" xfId="0" applyFont="1" applyFill="1" applyBorder="1" applyAlignment="1">
      <alignment horizontal="center" vertical="center" wrapText="1" readingOrder="1"/>
    </xf>
    <xf numFmtId="0" fontId="32" fillId="13" borderId="26" xfId="0" applyFont="1" applyFill="1" applyBorder="1" applyAlignment="1">
      <alignment horizontal="center" vertical="center" wrapText="1" readingOrder="1"/>
    </xf>
    <xf numFmtId="0" fontId="32" fillId="13" borderId="27" xfId="0" applyFont="1" applyFill="1" applyBorder="1" applyAlignment="1">
      <alignment horizontal="center" vertical="center" wrapText="1" readingOrder="1"/>
    </xf>
    <xf numFmtId="0" fontId="22" fillId="0" borderId="0" xfId="0" applyFont="1" applyAlignment="1">
      <alignment horizontal="center" vertical="center"/>
    </xf>
    <xf numFmtId="0" fontId="47" fillId="0" borderId="0" xfId="0" applyFont="1" applyAlignment="1">
      <alignment horizontal="center" vertical="center"/>
    </xf>
    <xf numFmtId="0" fontId="30" fillId="15" borderId="35" xfId="0" applyFont="1" applyFill="1" applyBorder="1" applyAlignment="1">
      <alignment horizontal="center" vertical="center" wrapText="1" readingOrder="1"/>
    </xf>
    <xf numFmtId="0" fontId="30" fillId="15" borderId="36" xfId="0" applyFont="1" applyFill="1" applyBorder="1" applyAlignment="1">
      <alignment horizontal="center" vertical="center" wrapText="1" readingOrder="1"/>
    </xf>
    <xf numFmtId="0" fontId="30" fillId="15" borderId="47" xfId="0" applyFont="1" applyFill="1" applyBorder="1" applyAlignment="1">
      <alignment horizontal="center" vertical="center" wrapText="1" readingOrder="1"/>
    </xf>
    <xf numFmtId="0" fontId="25" fillId="3" borderId="0" xfId="0" applyFont="1" applyFill="1" applyAlignment="1">
      <alignment horizontal="justify" vertical="center" wrapText="1"/>
    </xf>
    <xf numFmtId="0" fontId="27" fillId="15" borderId="44" xfId="0" applyFont="1" applyFill="1" applyBorder="1" applyAlignment="1">
      <alignment horizontal="center" vertical="center" wrapText="1" readingOrder="1"/>
    </xf>
    <xf numFmtId="0" fontId="27" fillId="15" borderId="45" xfId="0" applyFont="1" applyFill="1" applyBorder="1" applyAlignment="1">
      <alignment horizontal="center" vertical="center" wrapText="1" readingOrder="1"/>
    </xf>
    <xf numFmtId="0" fontId="27" fillId="3" borderId="42" xfId="0" applyFont="1" applyFill="1" applyBorder="1" applyAlignment="1">
      <alignment horizontal="center" vertical="center" wrapText="1" readingOrder="1"/>
    </xf>
    <xf numFmtId="0" fontId="27" fillId="3" borderId="37" xfId="0" applyFont="1" applyFill="1" applyBorder="1" applyAlignment="1">
      <alignment horizontal="center" vertical="center" wrapText="1" readingOrder="1"/>
    </xf>
    <xf numFmtId="0" fontId="27" fillId="3" borderId="34" xfId="0" applyFont="1" applyFill="1" applyBorder="1" applyAlignment="1">
      <alignment horizontal="center" vertical="center" wrapText="1" readingOrder="1"/>
    </xf>
    <xf numFmtId="0" fontId="27" fillId="3" borderId="33" xfId="0" applyFont="1" applyFill="1" applyBorder="1" applyAlignment="1">
      <alignment horizontal="center" vertical="center" wrapText="1" readingOrder="1"/>
    </xf>
    <xf numFmtId="0" fontId="27" fillId="3" borderId="39" xfId="0" applyFont="1" applyFill="1" applyBorder="1" applyAlignment="1">
      <alignment horizontal="center" vertical="center" wrapText="1" readingOrder="1"/>
    </xf>
    <xf numFmtId="0" fontId="27" fillId="3" borderId="40" xfId="0" applyFont="1" applyFill="1" applyBorder="1" applyAlignment="1">
      <alignment horizontal="center" vertical="center" wrapText="1" readingOrder="1"/>
    </xf>
    <xf numFmtId="0" fontId="56" fillId="2" borderId="82" xfId="0" applyFont="1" applyFill="1" applyBorder="1" applyAlignment="1">
      <alignment horizontal="center"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5">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34">
      <pivotArea type="all" dataOnly="0" outline="0" fieldPosition="0"/>
    </format>
    <format dxfId="33">
      <pivotArea field="0" type="button" dataOnly="0" labelOnly="1" outline="0" axis="axisRow" fieldPosition="0"/>
    </format>
    <format dxfId="32">
      <pivotArea field="1" type="button" dataOnly="0" labelOnly="1" outline="0" axis="axisRow" fieldPosition="1"/>
    </format>
    <format dxfId="31">
      <pivotArea dataOnly="0" labelOnly="1" outline="0" fieldPosition="0">
        <references count="1">
          <reference field="0" count="0"/>
        </references>
      </pivotArea>
    </format>
    <format dxfId="30">
      <pivotArea dataOnly="0" labelOnly="1" outline="0" fieldPosition="0">
        <references count="2">
          <reference field="0" count="1" selected="0">
            <x v="0"/>
          </reference>
          <reference field="1" count="5">
            <x v="0"/>
            <x v="6"/>
            <x v="7"/>
            <x v="8"/>
            <x v="9"/>
          </reference>
        </references>
      </pivotArea>
    </format>
    <format dxfId="29">
      <pivotArea dataOnly="0" labelOnly="1" outline="0" fieldPosition="0">
        <references count="2">
          <reference field="0" count="1" selected="0">
            <x v="1"/>
          </reference>
          <reference field="1" count="5">
            <x v="1"/>
            <x v="2"/>
            <x v="3"/>
            <x v="4"/>
            <x v="5"/>
          </reference>
        </references>
      </pivotArea>
    </format>
    <format dxfId="28">
      <pivotArea type="all" dataOnly="0" outline="0" fieldPosition="0"/>
    </format>
    <format dxfId="27">
      <pivotArea field="0" type="button" dataOnly="0" labelOnly="1" outline="0" axis="axisRow" fieldPosition="0"/>
    </format>
    <format dxfId="26">
      <pivotArea field="1" type="button" dataOnly="0" labelOnly="1" outline="0" axis="axisRow" fieldPosition="1"/>
    </format>
    <format dxfId="25">
      <pivotArea dataOnly="0" labelOnly="1" outline="0" fieldPosition="0">
        <references count="1">
          <reference field="0" count="0"/>
        </references>
      </pivotArea>
    </format>
    <format dxfId="24">
      <pivotArea dataOnly="0" labelOnly="1" outline="0" fieldPosition="0">
        <references count="2">
          <reference field="0" count="1" selected="0">
            <x v="0"/>
          </reference>
          <reference field="1" count="5">
            <x v="10"/>
            <x v="11"/>
            <x v="12"/>
            <x v="13"/>
            <x v="14"/>
          </reference>
        </references>
      </pivotArea>
    </format>
    <format dxfId="23">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2" dataDxfId="21">
  <autoFilter ref="B209:C219" xr:uid="{00000000-0009-0000-0100-000001000000}"/>
  <tableColumns count="2">
    <tableColumn id="1" xr3:uid="{00000000-0010-0000-0000-000001000000}" name="Criterios" dataDxfId="20"/>
    <tableColumn id="2" xr3:uid="{00000000-0010-0000-0000-000002000000}" name="Subcriterios" dataDxfId="1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workbookViewId="0"/>
  </sheetViews>
  <sheetFormatPr baseColWidth="10" defaultColWidth="11.44140625" defaultRowHeight="14.4" x14ac:dyDescent="0.3"/>
  <cols>
    <col min="1" max="1" width="2.88671875" style="53" customWidth="1"/>
    <col min="2" max="3" width="24.6640625" style="53" customWidth="1"/>
    <col min="4" max="4" width="16" style="53" customWidth="1"/>
    <col min="5" max="5" width="24.6640625" style="53" customWidth="1"/>
    <col min="6" max="6" width="27.6640625" style="53" customWidth="1"/>
    <col min="7" max="8" width="24.6640625" style="53" customWidth="1"/>
    <col min="9" max="16384" width="11.44140625" style="53"/>
  </cols>
  <sheetData>
    <row r="1" spans="2:8" ht="15" thickBot="1" x14ac:dyDescent="0.35"/>
    <row r="2" spans="2:8" ht="18" x14ac:dyDescent="0.3">
      <c r="B2" s="163" t="s">
        <v>154</v>
      </c>
      <c r="C2" s="164"/>
      <c r="D2" s="164"/>
      <c r="E2" s="164"/>
      <c r="F2" s="164"/>
      <c r="G2" s="164"/>
      <c r="H2" s="165"/>
    </row>
    <row r="3" spans="2:8" x14ac:dyDescent="0.3">
      <c r="B3" s="54"/>
      <c r="C3" s="55"/>
      <c r="D3" s="55"/>
      <c r="E3" s="55"/>
      <c r="F3" s="55"/>
      <c r="G3" s="55"/>
      <c r="H3" s="56"/>
    </row>
    <row r="4" spans="2:8" ht="63" customHeight="1" x14ac:dyDescent="0.3">
      <c r="B4" s="166" t="s">
        <v>197</v>
      </c>
      <c r="C4" s="167"/>
      <c r="D4" s="167"/>
      <c r="E4" s="167"/>
      <c r="F4" s="167"/>
      <c r="G4" s="167"/>
      <c r="H4" s="168"/>
    </row>
    <row r="5" spans="2:8" ht="63" customHeight="1" x14ac:dyDescent="0.3">
      <c r="B5" s="169"/>
      <c r="C5" s="170"/>
      <c r="D5" s="170"/>
      <c r="E5" s="170"/>
      <c r="F5" s="170"/>
      <c r="G5" s="170"/>
      <c r="H5" s="171"/>
    </row>
    <row r="6" spans="2:8" x14ac:dyDescent="0.3">
      <c r="B6" s="172" t="s">
        <v>152</v>
      </c>
      <c r="C6" s="173"/>
      <c r="D6" s="173"/>
      <c r="E6" s="173"/>
      <c r="F6" s="173"/>
      <c r="G6" s="173"/>
      <c r="H6" s="174"/>
    </row>
    <row r="7" spans="2:8" ht="95.25" customHeight="1" x14ac:dyDescent="0.3">
      <c r="B7" s="182" t="s">
        <v>157</v>
      </c>
      <c r="C7" s="183"/>
      <c r="D7" s="183"/>
      <c r="E7" s="183"/>
      <c r="F7" s="183"/>
      <c r="G7" s="183"/>
      <c r="H7" s="184"/>
    </row>
    <row r="8" spans="2:8" x14ac:dyDescent="0.3">
      <c r="B8" s="88"/>
      <c r="C8" s="89"/>
      <c r="D8" s="89"/>
      <c r="E8" s="89"/>
      <c r="F8" s="89"/>
      <c r="G8" s="89"/>
      <c r="H8" s="90"/>
    </row>
    <row r="9" spans="2:8" ht="16.5" customHeight="1" x14ac:dyDescent="0.3">
      <c r="B9" s="175" t="s">
        <v>190</v>
      </c>
      <c r="C9" s="176"/>
      <c r="D9" s="176"/>
      <c r="E9" s="176"/>
      <c r="F9" s="176"/>
      <c r="G9" s="176"/>
      <c r="H9" s="177"/>
    </row>
    <row r="10" spans="2:8" ht="44.25" customHeight="1" x14ac:dyDescent="0.3">
      <c r="B10" s="175"/>
      <c r="C10" s="176"/>
      <c r="D10" s="176"/>
      <c r="E10" s="176"/>
      <c r="F10" s="176"/>
      <c r="G10" s="176"/>
      <c r="H10" s="177"/>
    </row>
    <row r="11" spans="2:8" ht="15" thickBot="1" x14ac:dyDescent="0.35">
      <c r="B11" s="77"/>
      <c r="C11" s="80"/>
      <c r="D11" s="85"/>
      <c r="E11" s="86"/>
      <c r="F11" s="86"/>
      <c r="G11" s="87"/>
      <c r="H11" s="81"/>
    </row>
    <row r="12" spans="2:8" ht="15" thickTop="1" x14ac:dyDescent="0.3">
      <c r="B12" s="77"/>
      <c r="C12" s="178" t="s">
        <v>153</v>
      </c>
      <c r="D12" s="179"/>
      <c r="E12" s="180" t="s">
        <v>191</v>
      </c>
      <c r="F12" s="181"/>
      <c r="G12" s="80"/>
      <c r="H12" s="81"/>
    </row>
    <row r="13" spans="2:8" ht="35.25" customHeight="1" x14ac:dyDescent="0.3">
      <c r="B13" s="77"/>
      <c r="C13" s="185" t="s">
        <v>184</v>
      </c>
      <c r="D13" s="186"/>
      <c r="E13" s="187" t="s">
        <v>189</v>
      </c>
      <c r="F13" s="188"/>
      <c r="G13" s="80"/>
      <c r="H13" s="81"/>
    </row>
    <row r="14" spans="2:8" ht="17.25" customHeight="1" x14ac:dyDescent="0.3">
      <c r="B14" s="77"/>
      <c r="C14" s="185" t="s">
        <v>185</v>
      </c>
      <c r="D14" s="186"/>
      <c r="E14" s="187" t="s">
        <v>187</v>
      </c>
      <c r="F14" s="188"/>
      <c r="G14" s="80"/>
      <c r="H14" s="81"/>
    </row>
    <row r="15" spans="2:8" ht="19.5" customHeight="1" x14ac:dyDescent="0.3">
      <c r="B15" s="77"/>
      <c r="C15" s="185" t="s">
        <v>186</v>
      </c>
      <c r="D15" s="186"/>
      <c r="E15" s="187" t="s">
        <v>188</v>
      </c>
      <c r="F15" s="188"/>
      <c r="G15" s="80"/>
      <c r="H15" s="81"/>
    </row>
    <row r="16" spans="2:8" ht="69.75" customHeight="1" x14ac:dyDescent="0.3">
      <c r="B16" s="77"/>
      <c r="C16" s="185" t="s">
        <v>155</v>
      </c>
      <c r="D16" s="186"/>
      <c r="E16" s="187" t="s">
        <v>156</v>
      </c>
      <c r="F16" s="188"/>
      <c r="G16" s="80"/>
      <c r="H16" s="81"/>
    </row>
    <row r="17" spans="2:8" ht="34.5" customHeight="1" x14ac:dyDescent="0.3">
      <c r="B17" s="77"/>
      <c r="C17" s="189" t="s">
        <v>2</v>
      </c>
      <c r="D17" s="190"/>
      <c r="E17" s="191" t="s">
        <v>198</v>
      </c>
      <c r="F17" s="192"/>
      <c r="G17" s="80"/>
      <c r="H17" s="81"/>
    </row>
    <row r="18" spans="2:8" ht="27.75" customHeight="1" x14ac:dyDescent="0.3">
      <c r="B18" s="77"/>
      <c r="C18" s="189" t="s">
        <v>3</v>
      </c>
      <c r="D18" s="190"/>
      <c r="E18" s="191" t="s">
        <v>199</v>
      </c>
      <c r="F18" s="192"/>
      <c r="G18" s="80"/>
      <c r="H18" s="81"/>
    </row>
    <row r="19" spans="2:8" ht="28.5" customHeight="1" x14ac:dyDescent="0.3">
      <c r="B19" s="77"/>
      <c r="C19" s="189" t="s">
        <v>42</v>
      </c>
      <c r="D19" s="190"/>
      <c r="E19" s="191" t="s">
        <v>200</v>
      </c>
      <c r="F19" s="192"/>
      <c r="G19" s="80"/>
      <c r="H19" s="81"/>
    </row>
    <row r="20" spans="2:8" ht="72.75" customHeight="1" x14ac:dyDescent="0.3">
      <c r="B20" s="77"/>
      <c r="C20" s="189" t="s">
        <v>1</v>
      </c>
      <c r="D20" s="190"/>
      <c r="E20" s="191" t="s">
        <v>201</v>
      </c>
      <c r="F20" s="192"/>
      <c r="G20" s="80"/>
      <c r="H20" s="81"/>
    </row>
    <row r="21" spans="2:8" ht="64.5" customHeight="1" x14ac:dyDescent="0.3">
      <c r="B21" s="77"/>
      <c r="C21" s="189" t="s">
        <v>50</v>
      </c>
      <c r="D21" s="190"/>
      <c r="E21" s="191" t="s">
        <v>159</v>
      </c>
      <c r="F21" s="192"/>
      <c r="G21" s="80"/>
      <c r="H21" s="81"/>
    </row>
    <row r="22" spans="2:8" ht="71.25" customHeight="1" x14ac:dyDescent="0.3">
      <c r="B22" s="77"/>
      <c r="C22" s="189" t="s">
        <v>158</v>
      </c>
      <c r="D22" s="190"/>
      <c r="E22" s="191" t="s">
        <v>160</v>
      </c>
      <c r="F22" s="192"/>
      <c r="G22" s="80"/>
      <c r="H22" s="81"/>
    </row>
    <row r="23" spans="2:8" ht="55.5" customHeight="1" x14ac:dyDescent="0.3">
      <c r="B23" s="77"/>
      <c r="C23" s="196" t="s">
        <v>161</v>
      </c>
      <c r="D23" s="197"/>
      <c r="E23" s="191" t="s">
        <v>162</v>
      </c>
      <c r="F23" s="192"/>
      <c r="G23" s="80"/>
      <c r="H23" s="81"/>
    </row>
    <row r="24" spans="2:8" ht="42" customHeight="1" x14ac:dyDescent="0.3">
      <c r="B24" s="77"/>
      <c r="C24" s="196" t="s">
        <v>48</v>
      </c>
      <c r="D24" s="197"/>
      <c r="E24" s="191" t="s">
        <v>163</v>
      </c>
      <c r="F24" s="192"/>
      <c r="G24" s="80"/>
      <c r="H24" s="81"/>
    </row>
    <row r="25" spans="2:8" ht="59.25" customHeight="1" x14ac:dyDescent="0.3">
      <c r="B25" s="77"/>
      <c r="C25" s="196" t="s">
        <v>151</v>
      </c>
      <c r="D25" s="197"/>
      <c r="E25" s="191" t="s">
        <v>164</v>
      </c>
      <c r="F25" s="192"/>
      <c r="G25" s="80"/>
      <c r="H25" s="81"/>
    </row>
    <row r="26" spans="2:8" ht="23.25" customHeight="1" x14ac:dyDescent="0.3">
      <c r="B26" s="77"/>
      <c r="C26" s="196" t="s">
        <v>12</v>
      </c>
      <c r="D26" s="197"/>
      <c r="E26" s="191" t="s">
        <v>165</v>
      </c>
      <c r="F26" s="192"/>
      <c r="G26" s="80"/>
      <c r="H26" s="81"/>
    </row>
    <row r="27" spans="2:8" ht="30.75" customHeight="1" x14ac:dyDescent="0.3">
      <c r="B27" s="77"/>
      <c r="C27" s="196" t="s">
        <v>169</v>
      </c>
      <c r="D27" s="197"/>
      <c r="E27" s="191" t="s">
        <v>166</v>
      </c>
      <c r="F27" s="192"/>
      <c r="G27" s="80"/>
      <c r="H27" s="81"/>
    </row>
    <row r="28" spans="2:8" ht="35.25" customHeight="1" x14ac:dyDescent="0.3">
      <c r="B28" s="77"/>
      <c r="C28" s="196" t="s">
        <v>170</v>
      </c>
      <c r="D28" s="197"/>
      <c r="E28" s="191" t="s">
        <v>167</v>
      </c>
      <c r="F28" s="192"/>
      <c r="G28" s="80"/>
      <c r="H28" s="81"/>
    </row>
    <row r="29" spans="2:8" ht="33" customHeight="1" x14ac:dyDescent="0.3">
      <c r="B29" s="77"/>
      <c r="C29" s="196" t="s">
        <v>170</v>
      </c>
      <c r="D29" s="197"/>
      <c r="E29" s="191" t="s">
        <v>167</v>
      </c>
      <c r="F29" s="192"/>
      <c r="G29" s="80"/>
      <c r="H29" s="81"/>
    </row>
    <row r="30" spans="2:8" ht="30" customHeight="1" x14ac:dyDescent="0.3">
      <c r="B30" s="77"/>
      <c r="C30" s="196" t="s">
        <v>171</v>
      </c>
      <c r="D30" s="197"/>
      <c r="E30" s="191" t="s">
        <v>168</v>
      </c>
      <c r="F30" s="192"/>
      <c r="G30" s="80"/>
      <c r="H30" s="81"/>
    </row>
    <row r="31" spans="2:8" ht="35.25" customHeight="1" x14ac:dyDescent="0.3">
      <c r="B31" s="77"/>
      <c r="C31" s="196" t="s">
        <v>172</v>
      </c>
      <c r="D31" s="197"/>
      <c r="E31" s="191" t="s">
        <v>173</v>
      </c>
      <c r="F31" s="192"/>
      <c r="G31" s="80"/>
      <c r="H31" s="81"/>
    </row>
    <row r="32" spans="2:8" ht="31.5" customHeight="1" x14ac:dyDescent="0.3">
      <c r="B32" s="77"/>
      <c r="C32" s="196" t="s">
        <v>174</v>
      </c>
      <c r="D32" s="197"/>
      <c r="E32" s="191" t="s">
        <v>175</v>
      </c>
      <c r="F32" s="192"/>
      <c r="G32" s="80"/>
      <c r="H32" s="81"/>
    </row>
    <row r="33" spans="2:8" ht="35.25" customHeight="1" x14ac:dyDescent="0.3">
      <c r="B33" s="77"/>
      <c r="C33" s="196" t="s">
        <v>176</v>
      </c>
      <c r="D33" s="197"/>
      <c r="E33" s="191" t="s">
        <v>177</v>
      </c>
      <c r="F33" s="192"/>
      <c r="G33" s="80"/>
      <c r="H33" s="81"/>
    </row>
    <row r="34" spans="2:8" ht="59.25" customHeight="1" x14ac:dyDescent="0.3">
      <c r="B34" s="77"/>
      <c r="C34" s="196" t="s">
        <v>178</v>
      </c>
      <c r="D34" s="197"/>
      <c r="E34" s="191" t="s">
        <v>179</v>
      </c>
      <c r="F34" s="192"/>
      <c r="G34" s="80"/>
      <c r="H34" s="81"/>
    </row>
    <row r="35" spans="2:8" ht="29.25" customHeight="1" x14ac:dyDescent="0.3">
      <c r="B35" s="77"/>
      <c r="C35" s="196" t="s">
        <v>29</v>
      </c>
      <c r="D35" s="197"/>
      <c r="E35" s="191" t="s">
        <v>180</v>
      </c>
      <c r="F35" s="192"/>
      <c r="G35" s="80"/>
      <c r="H35" s="81"/>
    </row>
    <row r="36" spans="2:8" ht="82.5" customHeight="1" x14ac:dyDescent="0.3">
      <c r="B36" s="77"/>
      <c r="C36" s="196" t="s">
        <v>182</v>
      </c>
      <c r="D36" s="197"/>
      <c r="E36" s="191" t="s">
        <v>181</v>
      </c>
      <c r="F36" s="192"/>
      <c r="G36" s="80"/>
      <c r="H36" s="81"/>
    </row>
    <row r="37" spans="2:8" ht="46.5" customHeight="1" x14ac:dyDescent="0.3">
      <c r="B37" s="77"/>
      <c r="C37" s="196" t="s">
        <v>39</v>
      </c>
      <c r="D37" s="197"/>
      <c r="E37" s="191" t="s">
        <v>183</v>
      </c>
      <c r="F37" s="192"/>
      <c r="G37" s="80"/>
      <c r="H37" s="81"/>
    </row>
    <row r="38" spans="2:8" ht="6.75" customHeight="1" thickBot="1" x14ac:dyDescent="0.35">
      <c r="B38" s="77"/>
      <c r="C38" s="198"/>
      <c r="D38" s="199"/>
      <c r="E38" s="200"/>
      <c r="F38" s="201"/>
      <c r="G38" s="80"/>
      <c r="H38" s="81"/>
    </row>
    <row r="39" spans="2:8" ht="15" thickTop="1" x14ac:dyDescent="0.3">
      <c r="B39" s="77"/>
      <c r="C39" s="78"/>
      <c r="D39" s="78"/>
      <c r="E39" s="79"/>
      <c r="F39" s="79"/>
      <c r="G39" s="80"/>
      <c r="H39" s="81"/>
    </row>
    <row r="40" spans="2:8" ht="21" customHeight="1" x14ac:dyDescent="0.3">
      <c r="B40" s="193" t="s">
        <v>192</v>
      </c>
      <c r="C40" s="194"/>
      <c r="D40" s="194"/>
      <c r="E40" s="194"/>
      <c r="F40" s="194"/>
      <c r="G40" s="194"/>
      <c r="H40" s="195"/>
    </row>
    <row r="41" spans="2:8" ht="20.25" customHeight="1" x14ac:dyDescent="0.3">
      <c r="B41" s="193" t="s">
        <v>193</v>
      </c>
      <c r="C41" s="194"/>
      <c r="D41" s="194"/>
      <c r="E41" s="194"/>
      <c r="F41" s="194"/>
      <c r="G41" s="194"/>
      <c r="H41" s="195"/>
    </row>
    <row r="42" spans="2:8" ht="20.25" customHeight="1" x14ac:dyDescent="0.3">
      <c r="B42" s="193" t="s">
        <v>194</v>
      </c>
      <c r="C42" s="194"/>
      <c r="D42" s="194"/>
      <c r="E42" s="194"/>
      <c r="F42" s="194"/>
      <c r="G42" s="194"/>
      <c r="H42" s="195"/>
    </row>
    <row r="43" spans="2:8" ht="20.25" customHeight="1" x14ac:dyDescent="0.3">
      <c r="B43" s="193" t="s">
        <v>195</v>
      </c>
      <c r="C43" s="194"/>
      <c r="D43" s="194"/>
      <c r="E43" s="194"/>
      <c r="F43" s="194"/>
      <c r="G43" s="194"/>
      <c r="H43" s="195"/>
    </row>
    <row r="44" spans="2:8" x14ac:dyDescent="0.3">
      <c r="B44" s="193" t="s">
        <v>196</v>
      </c>
      <c r="C44" s="194"/>
      <c r="D44" s="194"/>
      <c r="E44" s="194"/>
      <c r="F44" s="194"/>
      <c r="G44" s="194"/>
      <c r="H44" s="195"/>
    </row>
    <row r="45" spans="2:8" ht="15" thickBot="1" x14ac:dyDescent="0.35">
      <c r="B45" s="82"/>
      <c r="C45" s="83"/>
      <c r="D45" s="83"/>
      <c r="E45" s="83"/>
      <c r="F45" s="83"/>
      <c r="G45" s="83"/>
      <c r="H45" s="84"/>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N69"/>
  <sheetViews>
    <sheetView tabSelected="1" topLeftCell="A7" zoomScale="90" zoomScaleNormal="90" workbookViewId="0">
      <pane xSplit="1" ySplit="3" topLeftCell="B10" activePane="bottomRight" state="frozenSplit"/>
      <selection activeCell="A7" sqref="A7"/>
      <selection pane="topRight" activeCell="B7" sqref="B7"/>
      <selection pane="bottomLeft" activeCell="A10" sqref="A10"/>
      <selection pane="bottomRight" activeCell="A8" sqref="A8:A9"/>
    </sheetView>
  </sheetViews>
  <sheetFormatPr baseColWidth="10" defaultColWidth="11.44140625" defaultRowHeight="13.8" x14ac:dyDescent="0.3"/>
  <cols>
    <col min="1" max="1" width="4" style="156" bestFit="1" customWidth="1"/>
    <col min="2" max="2" width="14.109375" style="156" customWidth="1"/>
    <col min="3" max="3" width="16.5546875" style="156" customWidth="1"/>
    <col min="4" max="4" width="16.109375" style="156" customWidth="1"/>
    <col min="5" max="5" width="30.33203125" style="156" customWidth="1"/>
    <col min="6" max="7" width="35" style="112" customWidth="1"/>
    <col min="8" max="8" width="18.109375" style="157" customWidth="1"/>
    <col min="9" max="9" width="14.33203125" style="112" customWidth="1"/>
    <col min="10" max="10" width="12" style="112" customWidth="1"/>
    <col min="11" max="11" width="6.33203125" style="112" customWidth="1"/>
    <col min="12" max="12" width="24.44140625" style="112" customWidth="1"/>
    <col min="13" max="13" width="28.33203125" style="112" customWidth="1"/>
    <col min="14" max="14" width="17.5546875" style="112" customWidth="1"/>
    <col min="15" max="15" width="6.33203125" style="112" customWidth="1"/>
    <col min="16" max="16" width="16" style="112" customWidth="1"/>
    <col min="17" max="17" width="5.88671875" style="112" customWidth="1"/>
    <col min="18" max="18" width="55" style="112" customWidth="1"/>
    <col min="19" max="19" width="15.109375" style="112" customWidth="1"/>
    <col min="20" max="20" width="6.88671875" style="112" customWidth="1"/>
    <col min="21" max="21" width="5" style="112" customWidth="1"/>
    <col min="22" max="22" width="5.5546875" style="112" customWidth="1"/>
    <col min="23" max="23" width="7.109375" style="112" customWidth="1"/>
    <col min="24" max="24" width="6.6640625" style="112" customWidth="1"/>
    <col min="25" max="25" width="4.6640625" style="112" customWidth="1"/>
    <col min="26" max="26" width="38.5546875" style="112" customWidth="1"/>
    <col min="27" max="27" width="8.6640625" style="112" customWidth="1"/>
    <col min="28" max="28" width="10.44140625" style="112" customWidth="1"/>
    <col min="29" max="29" width="9.33203125" style="112" customWidth="1"/>
    <col min="30" max="30" width="9.109375" style="112" customWidth="1"/>
    <col min="31" max="31" width="8.44140625" style="112" customWidth="1"/>
    <col min="32" max="32" width="7.33203125" style="112" customWidth="1"/>
    <col min="33" max="33" width="28.6640625" style="112" customWidth="1"/>
    <col min="34" max="34" width="18.88671875" style="112" customWidth="1"/>
    <col min="35" max="35" width="16.88671875" style="112" customWidth="1"/>
    <col min="36" max="36" width="14.88671875" style="112" customWidth="1"/>
    <col min="37" max="37" width="18.5546875" style="112" customWidth="1"/>
    <col min="38" max="38" width="21" style="112" customWidth="1"/>
    <col min="39" max="16384" width="11.44140625" style="112"/>
  </cols>
  <sheetData>
    <row r="1" spans="1:66" ht="16.5" customHeight="1" x14ac:dyDescent="0.3">
      <c r="A1" s="288" t="s">
        <v>138</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90"/>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row>
    <row r="2" spans="1:66" ht="24" customHeight="1" x14ac:dyDescent="0.3">
      <c r="A2" s="240"/>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2"/>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row>
    <row r="3" spans="1:66" x14ac:dyDescent="0.3">
      <c r="A3" s="113"/>
      <c r="B3" s="114"/>
      <c r="C3" s="113"/>
      <c r="D3" s="113"/>
      <c r="E3" s="113"/>
      <c r="F3" s="111"/>
      <c r="G3" s="111"/>
      <c r="H3" s="115"/>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row>
    <row r="4" spans="1:66" ht="26.25" customHeight="1" x14ac:dyDescent="0.3">
      <c r="A4" s="226" t="s">
        <v>43</v>
      </c>
      <c r="B4" s="227"/>
      <c r="C4" s="286" t="s">
        <v>222</v>
      </c>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row>
    <row r="5" spans="1:66" ht="30" customHeight="1" x14ac:dyDescent="0.3">
      <c r="A5" s="226" t="s">
        <v>125</v>
      </c>
      <c r="B5" s="227"/>
      <c r="C5" s="287" t="s">
        <v>221</v>
      </c>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row>
    <row r="6" spans="1:66" ht="49.5" customHeight="1" x14ac:dyDescent="0.3">
      <c r="A6" s="226" t="s">
        <v>44</v>
      </c>
      <c r="B6" s="227"/>
      <c r="C6" s="287" t="s">
        <v>223</v>
      </c>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row>
    <row r="7" spans="1:66" x14ac:dyDescent="0.3">
      <c r="A7" s="293" t="s">
        <v>133</v>
      </c>
      <c r="B7" s="294"/>
      <c r="C7" s="291"/>
      <c r="D7" s="291"/>
      <c r="E7" s="291"/>
      <c r="F7" s="291"/>
      <c r="G7" s="291"/>
      <c r="H7" s="291"/>
      <c r="I7" s="292"/>
      <c r="J7" s="240" t="s">
        <v>134</v>
      </c>
      <c r="K7" s="291"/>
      <c r="L7" s="291"/>
      <c r="M7" s="291"/>
      <c r="N7" s="291"/>
      <c r="O7" s="291"/>
      <c r="P7" s="292"/>
      <c r="Q7" s="240" t="s">
        <v>135</v>
      </c>
      <c r="R7" s="291"/>
      <c r="S7" s="291"/>
      <c r="T7" s="291"/>
      <c r="U7" s="291"/>
      <c r="V7" s="291"/>
      <c r="W7" s="291"/>
      <c r="X7" s="291"/>
      <c r="Y7" s="292"/>
      <c r="Z7" s="240" t="s">
        <v>136</v>
      </c>
      <c r="AA7" s="291"/>
      <c r="AB7" s="291"/>
      <c r="AC7" s="291"/>
      <c r="AD7" s="291"/>
      <c r="AE7" s="291"/>
      <c r="AF7" s="292"/>
      <c r="AG7" s="240" t="s">
        <v>34</v>
      </c>
      <c r="AH7" s="291"/>
      <c r="AI7" s="291"/>
      <c r="AJ7" s="291"/>
      <c r="AK7" s="291"/>
      <c r="AL7" s="292"/>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row>
    <row r="8" spans="1:66" ht="16.5" customHeight="1" x14ac:dyDescent="0.3">
      <c r="A8" s="228" t="s">
        <v>0</v>
      </c>
      <c r="B8" s="242" t="s">
        <v>2</v>
      </c>
      <c r="C8" s="231" t="s">
        <v>3</v>
      </c>
      <c r="D8" s="231" t="s">
        <v>42</v>
      </c>
      <c r="E8" s="230" t="s">
        <v>202</v>
      </c>
      <c r="F8" s="232" t="s">
        <v>1</v>
      </c>
      <c r="G8" s="116"/>
      <c r="H8" s="230" t="s">
        <v>50</v>
      </c>
      <c r="I8" s="231" t="s">
        <v>129</v>
      </c>
      <c r="J8" s="238" t="s">
        <v>33</v>
      </c>
      <c r="K8" s="239" t="s">
        <v>5</v>
      </c>
      <c r="L8" s="230" t="s">
        <v>86</v>
      </c>
      <c r="M8" s="230" t="s">
        <v>91</v>
      </c>
      <c r="N8" s="241" t="s">
        <v>45</v>
      </c>
      <c r="O8" s="239" t="s">
        <v>5</v>
      </c>
      <c r="P8" s="231" t="s">
        <v>48</v>
      </c>
      <c r="Q8" s="235" t="s">
        <v>11</v>
      </c>
      <c r="R8" s="234" t="s">
        <v>151</v>
      </c>
      <c r="S8" s="230" t="s">
        <v>12</v>
      </c>
      <c r="T8" s="234" t="s">
        <v>8</v>
      </c>
      <c r="U8" s="234"/>
      <c r="V8" s="234"/>
      <c r="W8" s="234"/>
      <c r="X8" s="234"/>
      <c r="Y8" s="234"/>
      <c r="Z8" s="237" t="s">
        <v>132</v>
      </c>
      <c r="AA8" s="237" t="s">
        <v>46</v>
      </c>
      <c r="AB8" s="237" t="s">
        <v>5</v>
      </c>
      <c r="AC8" s="237" t="s">
        <v>47</v>
      </c>
      <c r="AD8" s="237" t="s">
        <v>5</v>
      </c>
      <c r="AE8" s="237" t="s">
        <v>49</v>
      </c>
      <c r="AF8" s="235" t="s">
        <v>29</v>
      </c>
      <c r="AG8" s="234" t="s">
        <v>34</v>
      </c>
      <c r="AH8" s="234" t="s">
        <v>35</v>
      </c>
      <c r="AI8" s="234" t="s">
        <v>36</v>
      </c>
      <c r="AJ8" s="234" t="s">
        <v>38</v>
      </c>
      <c r="AK8" s="234" t="s">
        <v>37</v>
      </c>
      <c r="AL8" s="444" t="s">
        <v>39</v>
      </c>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row>
    <row r="9" spans="1:66" s="119" customFormat="1" ht="55.2" customHeight="1" x14ac:dyDescent="0.3">
      <c r="A9" s="229"/>
      <c r="B9" s="242"/>
      <c r="C9" s="234"/>
      <c r="D9" s="234"/>
      <c r="E9" s="238"/>
      <c r="F9" s="233"/>
      <c r="G9" s="116" t="s">
        <v>203</v>
      </c>
      <c r="H9" s="231"/>
      <c r="I9" s="234"/>
      <c r="J9" s="231"/>
      <c r="K9" s="240"/>
      <c r="L9" s="231"/>
      <c r="M9" s="231"/>
      <c r="N9" s="240"/>
      <c r="O9" s="240"/>
      <c r="P9" s="234"/>
      <c r="Q9" s="236"/>
      <c r="R9" s="234"/>
      <c r="S9" s="231"/>
      <c r="T9" s="117" t="s">
        <v>13</v>
      </c>
      <c r="U9" s="117" t="s">
        <v>17</v>
      </c>
      <c r="V9" s="117" t="s">
        <v>28</v>
      </c>
      <c r="W9" s="117" t="s">
        <v>18</v>
      </c>
      <c r="X9" s="117" t="s">
        <v>21</v>
      </c>
      <c r="Y9" s="117" t="s">
        <v>24</v>
      </c>
      <c r="Z9" s="237"/>
      <c r="AA9" s="237"/>
      <c r="AB9" s="237"/>
      <c r="AC9" s="237"/>
      <c r="AD9" s="237"/>
      <c r="AE9" s="237"/>
      <c r="AF9" s="236"/>
      <c r="AG9" s="234"/>
      <c r="AH9" s="234"/>
      <c r="AI9" s="234"/>
      <c r="AJ9" s="234"/>
      <c r="AK9" s="234"/>
      <c r="AL9" s="444"/>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row>
    <row r="10" spans="1:66" s="132" customFormat="1" ht="73.5" customHeight="1" x14ac:dyDescent="0.3">
      <c r="A10" s="213">
        <v>1</v>
      </c>
      <c r="B10" s="205" t="s">
        <v>126</v>
      </c>
      <c r="C10" s="205" t="s">
        <v>217</v>
      </c>
      <c r="D10" s="211" t="s">
        <v>214</v>
      </c>
      <c r="E10" s="120" t="s">
        <v>224</v>
      </c>
      <c r="F10" s="215" t="s">
        <v>216</v>
      </c>
      <c r="G10" s="215" t="s">
        <v>248</v>
      </c>
      <c r="H10" s="245" t="s">
        <v>118</v>
      </c>
      <c r="I10" s="247">
        <v>57</v>
      </c>
      <c r="J10" s="224" t="str">
        <f>IF(I10&lt;=0,"",IF(I10&lt;=2,"Muy Baja",IF(I10&lt;=24,"Baja",IF(I10&lt;=500,"Media",IF(I10&lt;=5000,"Alta","Muy Alta")))))</f>
        <v>Media</v>
      </c>
      <c r="K10" s="218">
        <f>IF(J10="","",IF(J10="Muy Baja",0.2,IF(J10="Baja",0.4,IF(J10="Media",0.6,IF(J10="Alta",0.8,IF(J10="Muy Alta",1,))))))</f>
        <v>0.6</v>
      </c>
      <c r="L10" s="220" t="s">
        <v>145</v>
      </c>
      <c r="M10" s="222" t="str">
        <f ca="1">IF(NOT(ISERROR(MATCH(L10,'Tabla Impacto'!$B$221:$B$223,0))),'Tabla Impacto'!$F$223&amp;"Por favor no seleccionar los criterios de impacto(Afectación Económica o presupuestal y Pérdida Reputacional)",L10)</f>
        <v xml:space="preserve">     El riesgo afecta la imagen de de la entidad con efecto publicitario sostenido a nivel de sector administrativo, nivel departamental o municipal</v>
      </c>
      <c r="N10" s="224" t="str">
        <f ca="1">IF(OR(M10='Tabla Impacto'!$C$11,M10='Tabla Impacto'!$D$11),"Leve",IF(OR(M10='Tabla Impacto'!$C$12,M10='Tabla Impacto'!$D$12),"Menor",IF(OR(M10='Tabla Impacto'!$C$13,M10='Tabla Impacto'!$D$13),"Moderado",IF(OR(M10='Tabla Impacto'!$C$14,M10='Tabla Impacto'!$D$14),"Mayor",IF(OR(M10='Tabla Impacto'!$C$15,M10='Tabla Impacto'!$D$15),"Catastrófico","")))))</f>
        <v>Mayor</v>
      </c>
      <c r="O10" s="218">
        <f ca="1">IF(N10="","",IF(N10="Leve",0.2,IF(N10="Menor",0.4,IF(N10="Moderado",0.6,IF(N10="Mayor",0.8,IF(N10="Catastrófico",1,))))))</f>
        <v>0.8</v>
      </c>
      <c r="P10" s="216"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Alto</v>
      </c>
      <c r="Q10" s="121">
        <v>1</v>
      </c>
      <c r="R10" s="109" t="s">
        <v>226</v>
      </c>
      <c r="S10" s="122" t="str">
        <f>IF(OR(T10="Preventivo",T10="Detectivo"),"Probabilidad",IF(T10="Correctivo","Impacto",""))</f>
        <v>Probabilidad</v>
      </c>
      <c r="T10" s="123" t="s">
        <v>15</v>
      </c>
      <c r="U10" s="123" t="s">
        <v>9</v>
      </c>
      <c r="V10" s="124" t="str">
        <f>IF(AND(T10="Preventivo",U10="Automático"),"50%",IF(AND(T10="Preventivo",U10="Manual"),"40%",IF(AND(T10="Detectivo",U10="Automático"),"40%",IF(AND(T10="Detectivo",U10="Manual"),"30%",IF(AND(T10="Correctivo",U10="Automático"),"35%",IF(AND(T10="Correctivo",U10="Manual"),"25%",""))))))</f>
        <v>30%</v>
      </c>
      <c r="W10" s="123" t="s">
        <v>20</v>
      </c>
      <c r="X10" s="123" t="s">
        <v>22</v>
      </c>
      <c r="Y10" s="123" t="s">
        <v>114</v>
      </c>
      <c r="Z10" s="125">
        <f>IFERROR(IF(S10="Probabilidad",(K10-(+K10*V10)),IF(S10="Impacto",K10,"")),"")</f>
        <v>0.42</v>
      </c>
      <c r="AA10" s="126" t="str">
        <f>IFERROR(IF(Z10="","",IF(Z10&lt;=0.2,"Muy Baja",IF(Z10&lt;=0.4,"Baja",IF(Z10&lt;=0.6,"Media",IF(Z10&lt;=0.8,"Alta","Muy Alta"))))),"")</f>
        <v>Media</v>
      </c>
      <c r="AB10" s="127">
        <f>+Z10</f>
        <v>0.42</v>
      </c>
      <c r="AC10" s="126" t="str">
        <f ca="1">IFERROR(IF(AD10="","",IF(AD10&lt;=0.2,"Leve",IF(AD10&lt;=0.4,"Menor",IF(AD10&lt;=0.6,"Moderado",IF(AD10&lt;=0.8,"Mayor","Catastrófico"))))),"")</f>
        <v>Mayor</v>
      </c>
      <c r="AD10" s="127">
        <f ca="1">IFERROR(IF(S10="Impacto",(O10-(+O10*V10)),IF(S10="Probabilidad",O10,"")),"")</f>
        <v>0.8</v>
      </c>
      <c r="AE10" s="128"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Alto</v>
      </c>
      <c r="AF10" s="249" t="s">
        <v>130</v>
      </c>
      <c r="AG10" s="205" t="s">
        <v>230</v>
      </c>
      <c r="AH10" s="205" t="s">
        <v>231</v>
      </c>
      <c r="AI10" s="243" t="s">
        <v>257</v>
      </c>
      <c r="AJ10" s="202" t="s">
        <v>258</v>
      </c>
      <c r="AK10" s="205" t="s">
        <v>241</v>
      </c>
      <c r="AL10" s="208" t="s">
        <v>41</v>
      </c>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row>
    <row r="11" spans="1:66" ht="69" customHeight="1" x14ac:dyDescent="0.3">
      <c r="A11" s="214"/>
      <c r="B11" s="206"/>
      <c r="C11" s="206"/>
      <c r="D11" s="212"/>
      <c r="E11" s="120" t="s">
        <v>215</v>
      </c>
      <c r="F11" s="215"/>
      <c r="G11" s="215"/>
      <c r="H11" s="246"/>
      <c r="I11" s="248"/>
      <c r="J11" s="225"/>
      <c r="K11" s="219"/>
      <c r="L11" s="221"/>
      <c r="M11" s="223">
        <f ca="1">IF(NOT(ISERROR(MATCH(L11,_xlfn.ANCHORARRAY(#REF!),0))),#REF!&amp;"Por favor no seleccionar los criterios de impacto",L11)</f>
        <v>0</v>
      </c>
      <c r="N11" s="225"/>
      <c r="O11" s="219"/>
      <c r="P11" s="217"/>
      <c r="Q11" s="121">
        <v>2</v>
      </c>
      <c r="R11" s="109" t="s">
        <v>229</v>
      </c>
      <c r="S11" s="122" t="str">
        <f>IF(OR(T11="Preventivo",T11="Detectivo"),"Probabilidad",IF(T11="Correctivo","Impacto",""))</f>
        <v>Probabilidad</v>
      </c>
      <c r="T11" s="123" t="s">
        <v>14</v>
      </c>
      <c r="U11" s="123" t="s">
        <v>9</v>
      </c>
      <c r="V11" s="124" t="str">
        <f t="shared" ref="V11" si="0">IF(AND(T11="Preventivo",U11="Automático"),"50%",IF(AND(T11="Preventivo",U11="Manual"),"40%",IF(AND(T11="Detectivo",U11="Automático"),"40%",IF(AND(T11="Detectivo",U11="Manual"),"30%",IF(AND(T11="Correctivo",U11="Automático"),"35%",IF(AND(T11="Correctivo",U11="Manual"),"25%",""))))))</f>
        <v>40%</v>
      </c>
      <c r="W11" s="123" t="s">
        <v>19</v>
      </c>
      <c r="X11" s="123" t="s">
        <v>22</v>
      </c>
      <c r="Y11" s="123" t="s">
        <v>114</v>
      </c>
      <c r="Z11" s="125">
        <f>IFERROR(IF(AND(S10="Probabilidad",S11="Probabilidad"),(AB10-(+AB10*V11)),IF(AND(S10="Impacto",S11="Probabilidad"),(K10-(+K10*V11)),IF(S11="Impacto",AB10,""))),"")</f>
        <v>0.252</v>
      </c>
      <c r="AA11" s="126" t="str">
        <f t="shared" ref="AA11" si="1">IFERROR(IF(Z11="","",IF(Z11&lt;=0.2,"Muy Baja",IF(Z11&lt;=0.4,"Baja",IF(Z11&lt;=0.6,"Media",IF(Z11&lt;=0.8,"Alta","Muy Alta"))))),"")</f>
        <v>Baja</v>
      </c>
      <c r="AB11" s="127">
        <f>+Z11</f>
        <v>0.252</v>
      </c>
      <c r="AC11" s="126" t="str">
        <f t="shared" ref="AC11" ca="1" si="2">IFERROR(IF(AD11="","",IF(AD11&lt;=0.2,"Leve",IF(AD11&lt;=0.4,"Menor",IF(AD11&lt;=0.6,"Moderado",IF(AD11&lt;=0.8,"Mayor","Catastrófico"))))),"")</f>
        <v>Mayor</v>
      </c>
      <c r="AD11" s="127">
        <f ca="1">IFERROR(IF(AND(S10="Impacto",S11="Impacto"),(AD10-(+AD10*V11)),IF(AND(S10="Probabilidad",S11="Impacto"),(O10-(+O10*V11)),IF(S11="Probabilidad",AD10,""))),"")</f>
        <v>0.8</v>
      </c>
      <c r="AE11" s="128" t="str">
        <f t="shared" ref="AE11" ca="1" si="3">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Alto</v>
      </c>
      <c r="AF11" s="250"/>
      <c r="AG11" s="206"/>
      <c r="AH11" s="206"/>
      <c r="AI11" s="244"/>
      <c r="AJ11" s="203"/>
      <c r="AK11" s="206"/>
      <c r="AL11" s="209"/>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row>
    <row r="12" spans="1:66" ht="124.2" x14ac:dyDescent="0.3">
      <c r="A12" s="214"/>
      <c r="B12" s="206"/>
      <c r="C12" s="206"/>
      <c r="D12" s="212"/>
      <c r="E12" s="120" t="s">
        <v>218</v>
      </c>
      <c r="F12" s="215"/>
      <c r="G12" s="215"/>
      <c r="H12" s="246"/>
      <c r="I12" s="248"/>
      <c r="J12" s="225"/>
      <c r="K12" s="219"/>
      <c r="L12" s="221"/>
      <c r="M12" s="223">
        <f ca="1">IF(NOT(ISERROR(MATCH(L12,_xlfn.ANCHORARRAY(#REF!),0))),#REF!&amp;"Por favor no seleccionar los criterios de impacto",L12)</f>
        <v>0</v>
      </c>
      <c r="N12" s="225"/>
      <c r="O12" s="219"/>
      <c r="P12" s="217"/>
      <c r="Q12" s="121">
        <v>3</v>
      </c>
      <c r="R12" s="133" t="s">
        <v>249</v>
      </c>
      <c r="S12" s="122" t="str">
        <f t="shared" ref="S12:S14" si="4">IF(OR(T12="Preventivo",T12="Detectivo"),"Probabilidad",IF(T12="Correctivo","Impacto",""))</f>
        <v>Probabilidad</v>
      </c>
      <c r="T12" s="123" t="s">
        <v>14</v>
      </c>
      <c r="U12" s="123" t="s">
        <v>9</v>
      </c>
      <c r="V12" s="124" t="str">
        <f t="shared" ref="V12:V14" si="5">IF(AND(T12="Preventivo",U12="Automático"),"50%",IF(AND(T12="Preventivo",U12="Manual"),"40%",IF(AND(T12="Detectivo",U12="Automático"),"40%",IF(AND(T12="Detectivo",U12="Manual"),"30%",IF(AND(T12="Correctivo",U12="Automático"),"35%",IF(AND(T12="Correctivo",U12="Manual"),"25%",""))))))</f>
        <v>40%</v>
      </c>
      <c r="W12" s="123" t="s">
        <v>19</v>
      </c>
      <c r="X12" s="123" t="s">
        <v>22</v>
      </c>
      <c r="Y12" s="123" t="s">
        <v>114</v>
      </c>
      <c r="Z12" s="125">
        <f>IFERROR(IF(AND(S11="Probabilidad",S12="Probabilidad"),(AB11-(+AB11*V12)),IF(AND(S11="Impacto",S12="Probabilidad"),(AB10-(+AB10*V12)),IF(S12="Impacto",AB11,""))),"")</f>
        <v>0.1512</v>
      </c>
      <c r="AA12" s="126" t="str">
        <f t="shared" ref="AA12:AA14" si="6">IFERROR(IF(Z12="","",IF(Z12&lt;=0.2,"Muy Baja",IF(Z12&lt;=0.4,"Baja",IF(Z12&lt;=0.6,"Media",IF(Z12&lt;=0.8,"Alta","Muy Alta"))))),"")</f>
        <v>Muy Baja</v>
      </c>
      <c r="AB12" s="127">
        <f t="shared" ref="AB12:AB14" si="7">+Z12</f>
        <v>0.1512</v>
      </c>
      <c r="AC12" s="126" t="str">
        <f t="shared" ref="AC12:AC14" ca="1" si="8">IFERROR(IF(AD12="","",IF(AD12&lt;=0.2,"Leve",IF(AD12&lt;=0.4,"Menor",IF(AD12&lt;=0.6,"Moderado",IF(AD12&lt;=0.8,"Mayor","Catastrófico"))))),"")</f>
        <v>Mayor</v>
      </c>
      <c r="AD12" s="127">
        <f t="shared" ref="AD12:AD14" ca="1" si="9">IFERROR(IF(AND(S11="Impacto",S12="Impacto"),(AD11-(+AD11*V12)),IF(AND(S11="Probabilidad",S12="Impacto"),(AD10-(+AD10*V12)),IF(S12="Probabilidad",AD11,""))),"")</f>
        <v>0.8</v>
      </c>
      <c r="AE12" s="128" t="str">
        <f t="shared" ref="AE12:AE14" ca="1" si="10">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Alto</v>
      </c>
      <c r="AF12" s="250"/>
      <c r="AG12" s="206"/>
      <c r="AH12" s="206"/>
      <c r="AI12" s="244"/>
      <c r="AJ12" s="203"/>
      <c r="AK12" s="206"/>
      <c r="AL12" s="209"/>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row>
    <row r="13" spans="1:66" ht="57.6" x14ac:dyDescent="0.3">
      <c r="A13" s="214"/>
      <c r="B13" s="206"/>
      <c r="C13" s="206"/>
      <c r="D13" s="212"/>
      <c r="E13" s="120" t="s">
        <v>225</v>
      </c>
      <c r="F13" s="215"/>
      <c r="G13" s="215"/>
      <c r="H13" s="246"/>
      <c r="I13" s="248"/>
      <c r="J13" s="225"/>
      <c r="K13" s="219"/>
      <c r="L13" s="221"/>
      <c r="M13" s="223">
        <f ca="1">IF(NOT(ISERROR(MATCH(L13,_xlfn.ANCHORARRAY(#REF!),0))),#REF!&amp;"Por favor no seleccionar los criterios de impacto",L13)</f>
        <v>0</v>
      </c>
      <c r="N13" s="225"/>
      <c r="O13" s="219"/>
      <c r="P13" s="217"/>
      <c r="Q13" s="121">
        <v>4</v>
      </c>
      <c r="R13" s="109" t="s">
        <v>227</v>
      </c>
      <c r="S13" s="122" t="str">
        <f t="shared" si="4"/>
        <v>Probabilidad</v>
      </c>
      <c r="T13" s="123" t="s">
        <v>14</v>
      </c>
      <c r="U13" s="123" t="s">
        <v>9</v>
      </c>
      <c r="V13" s="124" t="str">
        <f t="shared" si="5"/>
        <v>40%</v>
      </c>
      <c r="W13" s="123" t="s">
        <v>19</v>
      </c>
      <c r="X13" s="123" t="s">
        <v>22</v>
      </c>
      <c r="Y13" s="123" t="s">
        <v>114</v>
      </c>
      <c r="Z13" s="125">
        <f t="shared" ref="Z13:Z14" si="11">IFERROR(IF(AND(S12="Probabilidad",S13="Probabilidad"),(AB12-(+AB12*V13)),IF(AND(S12="Impacto",S13="Probabilidad"),(AB11-(+AB11*V13)),IF(S13="Impacto",AB12,""))),"")</f>
        <v>9.0719999999999995E-2</v>
      </c>
      <c r="AA13" s="126" t="str">
        <f t="shared" si="6"/>
        <v>Muy Baja</v>
      </c>
      <c r="AB13" s="127">
        <f t="shared" si="7"/>
        <v>9.0719999999999995E-2</v>
      </c>
      <c r="AC13" s="126" t="str">
        <f t="shared" ca="1" si="8"/>
        <v>Mayor</v>
      </c>
      <c r="AD13" s="127">
        <f t="shared" ca="1" si="9"/>
        <v>0.8</v>
      </c>
      <c r="AE13" s="128" t="str">
        <f t="shared" ca="1" si="10"/>
        <v>Alto</v>
      </c>
      <c r="AF13" s="250"/>
      <c r="AG13" s="206"/>
      <c r="AH13" s="206"/>
      <c r="AI13" s="244"/>
      <c r="AJ13" s="203"/>
      <c r="AK13" s="206"/>
      <c r="AL13" s="209"/>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row>
    <row r="14" spans="1:66" ht="57.6" x14ac:dyDescent="0.3">
      <c r="A14" s="214"/>
      <c r="B14" s="206"/>
      <c r="C14" s="206"/>
      <c r="D14" s="212"/>
      <c r="E14" s="120" t="s">
        <v>219</v>
      </c>
      <c r="F14" s="215"/>
      <c r="G14" s="215"/>
      <c r="H14" s="246"/>
      <c r="I14" s="248"/>
      <c r="J14" s="225"/>
      <c r="K14" s="219"/>
      <c r="L14" s="221"/>
      <c r="M14" s="223">
        <f ca="1">IF(NOT(ISERROR(MATCH(L14,_xlfn.ANCHORARRAY(#REF!),0))),#REF!&amp;"Por favor no seleccionar los criterios de impacto",L14)</f>
        <v>0</v>
      </c>
      <c r="N14" s="225"/>
      <c r="O14" s="219"/>
      <c r="P14" s="217"/>
      <c r="Q14" s="121">
        <v>5</v>
      </c>
      <c r="R14" s="109" t="s">
        <v>228</v>
      </c>
      <c r="S14" s="122" t="str">
        <f t="shared" si="4"/>
        <v>Probabilidad</v>
      </c>
      <c r="T14" s="123" t="s">
        <v>15</v>
      </c>
      <c r="U14" s="123" t="s">
        <v>9</v>
      </c>
      <c r="V14" s="124" t="str">
        <f t="shared" si="5"/>
        <v>30%</v>
      </c>
      <c r="W14" s="123" t="s">
        <v>19</v>
      </c>
      <c r="X14" s="123" t="s">
        <v>22</v>
      </c>
      <c r="Y14" s="123" t="s">
        <v>114</v>
      </c>
      <c r="Z14" s="125">
        <f t="shared" si="11"/>
        <v>6.3504000000000005E-2</v>
      </c>
      <c r="AA14" s="126" t="str">
        <f t="shared" si="6"/>
        <v>Muy Baja</v>
      </c>
      <c r="AB14" s="127">
        <f t="shared" si="7"/>
        <v>6.3504000000000005E-2</v>
      </c>
      <c r="AC14" s="126" t="str">
        <f t="shared" ca="1" si="8"/>
        <v>Mayor</v>
      </c>
      <c r="AD14" s="127">
        <f t="shared" ca="1" si="9"/>
        <v>0.8</v>
      </c>
      <c r="AE14" s="128" t="str">
        <f t="shared" ca="1" si="10"/>
        <v>Alto</v>
      </c>
      <c r="AF14" s="251"/>
      <c r="AG14" s="207"/>
      <c r="AH14" s="207"/>
      <c r="AI14" s="252"/>
      <c r="AJ14" s="204"/>
      <c r="AK14" s="207"/>
      <c r="AL14" s="210"/>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row>
    <row r="15" spans="1:66" ht="91.5" customHeight="1" x14ac:dyDescent="0.3">
      <c r="A15" s="213">
        <v>2</v>
      </c>
      <c r="B15" s="205" t="s">
        <v>128</v>
      </c>
      <c r="C15" s="205" t="s">
        <v>220</v>
      </c>
      <c r="D15" s="211" t="s">
        <v>236</v>
      </c>
      <c r="E15" s="120" t="s">
        <v>232</v>
      </c>
      <c r="F15" s="215" t="s">
        <v>250</v>
      </c>
      <c r="G15" s="253" t="s">
        <v>235</v>
      </c>
      <c r="H15" s="245" t="s">
        <v>118</v>
      </c>
      <c r="I15" s="247">
        <v>360</v>
      </c>
      <c r="J15" s="224" t="str">
        <f>IF(I15&lt;=0,"",IF(I15&lt;=2,"Muy Baja",IF(I15&lt;=24,"Baja",IF(I15&lt;=500,"Media",IF(I15&lt;=5000,"Alta","Muy Alta")))))</f>
        <v>Media</v>
      </c>
      <c r="K15" s="218">
        <f>IF(J15="","",IF(J15="Muy Baja",0.2,IF(J15="Baja",0.4,IF(J15="Media",0.6,IF(J15="Alta",0.8,IF(J15="Muy Alta",1,))))))</f>
        <v>0.6</v>
      </c>
      <c r="L15" s="220" t="s">
        <v>145</v>
      </c>
      <c r="M15" s="218" t="str">
        <f ca="1">IF(NOT(ISERROR(MATCH(L15,'Tabla Impacto'!$B$221:$B$223,0))),'Tabla Impacto'!$F$223&amp;"Por favor no seleccionar los criterios de impacto(Afectación Económica o presupuestal y Pérdida Reputacional)",L15)</f>
        <v xml:space="preserve">     El riesgo afecta la imagen de de la entidad con efecto publicitario sostenido a nivel de sector administrativo, nivel departamental o municipal</v>
      </c>
      <c r="N15" s="224" t="str">
        <f ca="1">IF(OR(M15='Tabla Impacto'!$C$11,M15='Tabla Impacto'!$D$11),"Leve",IF(OR(M15='Tabla Impacto'!$C$12,M15='Tabla Impacto'!$D$12),"Menor",IF(OR(M15='Tabla Impacto'!$C$13,M15='Tabla Impacto'!$D$13),"Moderado",IF(OR(M15='Tabla Impacto'!$C$14,M15='Tabla Impacto'!$D$14),"Mayor",IF(OR(M15='Tabla Impacto'!$C$15,M15='Tabla Impacto'!$D$15),"Catastrófico","")))))</f>
        <v>Mayor</v>
      </c>
      <c r="O15" s="218">
        <f ca="1">IF(N15="","",IF(N15="Leve",0.2,IF(N15="Menor",0.4,IF(N15="Moderado",0.6,IF(N15="Mayor",0.8,IF(N15="Catastrófico",1,))))))</f>
        <v>0.8</v>
      </c>
      <c r="P15" s="216" t="str">
        <f ca="1">IF(OR(AND(J15="Muy Baja",N15="Leve"),AND(J15="Muy Baja",N15="Menor"),AND(J15="Baja",N15="Leve")),"Bajo",IF(OR(AND(J15="Muy baja",N15="Moderado"),AND(J15="Baja",N15="Menor"),AND(J15="Baja",N15="Moderado"),AND(J15="Media",N15="Leve"),AND(J15="Media",N15="Menor"),AND(J15="Media",N15="Moderado"),AND(J15="Alta",N15="Leve"),AND(J15="Alta",N15="Menor")),"Moderado",IF(OR(AND(J15="Muy Baja",N15="Mayor"),AND(J15="Baja",N15="Mayor"),AND(J15="Media",N15="Mayor"),AND(J15="Alta",N15="Moderado"),AND(J15="Alta",N15="Mayor"),AND(J15="Muy Alta",N15="Leve"),AND(J15="Muy Alta",N15="Menor"),AND(J15="Muy Alta",N15="Moderado"),AND(J15="Muy Alta",N15="Mayor")),"Alto",IF(OR(AND(J15="Muy Baja",N15="Catastrófico"),AND(J15="Baja",N15="Catastrófico"),AND(J15="Media",N15="Catastrófico"),AND(J15="Alta",N15="Catastrófico"),AND(J15="Muy Alta",N15="Catastrófico")),"Extremo",""))))</f>
        <v>Alto</v>
      </c>
      <c r="Q15" s="160">
        <v>1</v>
      </c>
      <c r="R15" s="161" t="s">
        <v>252</v>
      </c>
      <c r="S15" s="122" t="str">
        <f>IF(OR(T15="Preventivo",T15="Detectivo"),"Probabilidad",IF(T15="Correctivo","Impacto",""))</f>
        <v>Probabilidad</v>
      </c>
      <c r="T15" s="123" t="s">
        <v>14</v>
      </c>
      <c r="U15" s="123" t="s">
        <v>9</v>
      </c>
      <c r="V15" s="124" t="str">
        <f>IF(AND(T15="Preventivo",U15="Automático"),"50%",IF(AND(T15="Preventivo",U15="Manual"),"40%",IF(AND(T15="Detectivo",U15="Automático"),"40%",IF(AND(T15="Detectivo",U15="Manual"),"30%",IF(AND(T15="Correctivo",U15="Automático"),"35%",IF(AND(T15="Correctivo",U15="Manual"),"25%",""))))))</f>
        <v>40%</v>
      </c>
      <c r="W15" s="123" t="s">
        <v>20</v>
      </c>
      <c r="X15" s="123" t="s">
        <v>22</v>
      </c>
      <c r="Y15" s="123" t="s">
        <v>114</v>
      </c>
      <c r="Z15" s="137">
        <f>IFERROR(IF(S15="Probabilidad",(K15-(+K15*V15)),IF(S15="Impacto",K15,"")),"")</f>
        <v>0.36</v>
      </c>
      <c r="AA15" s="138" t="str">
        <f>IFERROR(IF(Z15="","",IF(Z15&lt;=0.2,"Muy Baja",IF(Z15&lt;=0.4,"Baja",IF(Z15&lt;=0.6,"Media",IF(Z15&lt;=0.8,"Alta","Muy Alta"))))),"")</f>
        <v>Baja</v>
      </c>
      <c r="AB15" s="139">
        <f t="shared" ref="AB15:AB18" si="12">+Z15</f>
        <v>0.36</v>
      </c>
      <c r="AC15" s="138" t="str">
        <f ca="1">IFERROR(IF(AD15="","",IF(AD15&lt;=0.2,"Leve",IF(AD15&lt;=0.4,"Menor",IF(AD15&lt;=0.6,"Moderado",IF(AD15&lt;=0.8,"Mayor","Catastrófico"))))),"")</f>
        <v>Mayor</v>
      </c>
      <c r="AD15" s="139">
        <f ca="1">IFERROR(IF(S15="Impacto",(O15-(+O15*V15)),IF(S15="Probabilidad",O15,"")),"")</f>
        <v>0.8</v>
      </c>
      <c r="AE15" s="140" t="str">
        <f ca="1">IFERROR(IF(OR(AND(AA15="Muy Baja",AC15="Leve"),AND(AA15="Muy Baja",AC15="Menor"),AND(AA15="Baja",AC15="Leve")),"Bajo",IF(OR(AND(AA15="Muy baja",AC15="Moderado"),AND(AA15="Baja",AC15="Menor"),AND(AA15="Baja",AC15="Moderado"),AND(AA15="Media",AC15="Leve"),AND(AA15="Media",AC15="Menor"),AND(AA15="Media",AC15="Moderado"),AND(AA15="Alta",AC15="Leve"),AND(AA15="Alta",AC15="Menor")),"Moderado",IF(OR(AND(AA15="Muy Baja",AC15="Mayor"),AND(AA15="Baja",AC15="Mayor"),AND(AA15="Media",AC15="Mayor"),AND(AA15="Alta",AC15="Moderado"),AND(AA15="Alta",AC15="Mayor"),AND(AA15="Muy Alta",AC15="Leve"),AND(AA15="Muy Alta",AC15="Menor"),AND(AA15="Muy Alta",AC15="Moderado"),AND(AA15="Muy Alta",AC15="Mayor")),"Alto",IF(OR(AND(AA15="Muy Baja",AC15="Catastrófico"),AND(AA15="Baja",AC15="Catastrófico"),AND(AA15="Media",AC15="Catastrófico"),AND(AA15="Alta",AC15="Catastrófico"),AND(AA15="Muy Alta",AC15="Catastrófico")),"Extremo","")))),"")</f>
        <v>Alto</v>
      </c>
      <c r="AF15" s="249" t="s">
        <v>130</v>
      </c>
      <c r="AG15" s="205" t="s">
        <v>239</v>
      </c>
      <c r="AH15" s="205" t="s">
        <v>240</v>
      </c>
      <c r="AI15" s="243" t="s">
        <v>256</v>
      </c>
      <c r="AJ15" s="202" t="s">
        <v>258</v>
      </c>
      <c r="AK15" s="205" t="s">
        <v>255</v>
      </c>
      <c r="AL15" s="208" t="s">
        <v>41</v>
      </c>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row>
    <row r="16" spans="1:66" ht="104.25" customHeight="1" x14ac:dyDescent="0.3">
      <c r="A16" s="214"/>
      <c r="B16" s="206"/>
      <c r="C16" s="206"/>
      <c r="D16" s="212"/>
      <c r="E16" s="120" t="s">
        <v>237</v>
      </c>
      <c r="F16" s="215"/>
      <c r="G16" s="254"/>
      <c r="H16" s="246"/>
      <c r="I16" s="248"/>
      <c r="J16" s="225"/>
      <c r="K16" s="219"/>
      <c r="L16" s="221"/>
      <c r="M16" s="219">
        <f ca="1">IF(NOT(ISERROR(MATCH(L16,_xlfn.ANCHORARRAY(F15),0))),#REF!&amp;"Por favor no seleccionar los criterios de impacto",L16)</f>
        <v>0</v>
      </c>
      <c r="N16" s="225"/>
      <c r="O16" s="219"/>
      <c r="P16" s="217"/>
      <c r="Q16" s="160">
        <v>2</v>
      </c>
      <c r="R16" s="161" t="s">
        <v>251</v>
      </c>
      <c r="S16" s="122" t="str">
        <f>IF(OR(T16="Preventivo",T16="Detectivo"),"Probabilidad",IF(T16="Correctivo","Impacto",""))</f>
        <v>Probabilidad</v>
      </c>
      <c r="T16" s="123" t="s">
        <v>14</v>
      </c>
      <c r="U16" s="123" t="s">
        <v>9</v>
      </c>
      <c r="V16" s="124" t="str">
        <f t="shared" ref="V16" si="13">IF(AND(T16="Preventivo",U16="Automático"),"50%",IF(AND(T16="Preventivo",U16="Manual"),"40%",IF(AND(T16="Detectivo",U16="Automático"),"40%",IF(AND(T16="Detectivo",U16="Manual"),"30%",IF(AND(T16="Correctivo",U16="Automático"),"35%",IF(AND(T16="Correctivo",U16="Manual"),"25%",""))))))</f>
        <v>40%</v>
      </c>
      <c r="W16" s="123" t="s">
        <v>20</v>
      </c>
      <c r="X16" s="123" t="s">
        <v>23</v>
      </c>
      <c r="Y16" s="123" t="s">
        <v>114</v>
      </c>
      <c r="Z16" s="137">
        <f>IFERROR(IF(AND(S15="Probabilidad",S16="Probabilidad"),(AB15-(+AB15*V16)),IF(AND(S15="Impacto",S16="Probabilidad"),(K15-(+K15*V16)),IF(S16="Impacto",AB15,""))),"")</f>
        <v>0.216</v>
      </c>
      <c r="AA16" s="138" t="str">
        <f t="shared" ref="AA16" si="14">IFERROR(IF(Z16="","",IF(Z16&lt;=0.2,"Muy Baja",IF(Z16&lt;=0.4,"Baja",IF(Z16&lt;=0.6,"Media",IF(Z16&lt;=0.8,"Alta","Muy Alta"))))),"")</f>
        <v>Baja</v>
      </c>
      <c r="AB16" s="139">
        <f t="shared" si="12"/>
        <v>0.216</v>
      </c>
      <c r="AC16" s="138" t="str">
        <f t="shared" ref="AC16" ca="1" si="15">IFERROR(IF(AD16="","",IF(AD16&lt;=0.2,"Leve",IF(AD16&lt;=0.4,"Menor",IF(AD16&lt;=0.6,"Moderado",IF(AD16&lt;=0.8,"Mayor","Catastrófico"))))),"")</f>
        <v>Mayor</v>
      </c>
      <c r="AD16" s="139">
        <f ca="1">IFERROR(IF(AND(S15="Impacto",S16="Impacto"),(AD15-(+AD15*V16)),IF(AND(S15="Probabilidad",S16="Impacto"),(O15-(+O15*V16)),IF(S16="Probabilidad",AD15,""))),"")</f>
        <v>0.8</v>
      </c>
      <c r="AE16" s="140" t="str">
        <f t="shared" ref="AE16" ca="1" si="16">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Alto</v>
      </c>
      <c r="AF16" s="250"/>
      <c r="AG16" s="206"/>
      <c r="AH16" s="206"/>
      <c r="AI16" s="244"/>
      <c r="AJ16" s="203"/>
      <c r="AK16" s="206"/>
      <c r="AL16" s="209"/>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row>
    <row r="17" spans="1:66" ht="85.5" customHeight="1" x14ac:dyDescent="0.3">
      <c r="A17" s="214"/>
      <c r="B17" s="206"/>
      <c r="C17" s="206"/>
      <c r="D17" s="212"/>
      <c r="E17" s="120" t="s">
        <v>238</v>
      </c>
      <c r="F17" s="215"/>
      <c r="G17" s="254"/>
      <c r="H17" s="246"/>
      <c r="I17" s="248"/>
      <c r="J17" s="225"/>
      <c r="K17" s="219"/>
      <c r="L17" s="221"/>
      <c r="M17" s="219"/>
      <c r="N17" s="225"/>
      <c r="O17" s="219"/>
      <c r="P17" s="217"/>
      <c r="Q17" s="160">
        <v>3</v>
      </c>
      <c r="R17" s="162" t="s">
        <v>253</v>
      </c>
      <c r="S17" s="122" t="str">
        <f t="shared" ref="S17:S18" si="17">IF(OR(T17="Preventivo",T17="Detectivo"),"Probabilidad",IF(T17="Correctivo","Impacto",""))</f>
        <v>Probabilidad</v>
      </c>
      <c r="T17" s="123" t="s">
        <v>15</v>
      </c>
      <c r="U17" s="123" t="s">
        <v>10</v>
      </c>
      <c r="V17" s="124" t="str">
        <f t="shared" ref="V17:V18" si="18">IF(AND(T17="Preventivo",U17="Automático"),"50%",IF(AND(T17="Preventivo",U17="Manual"),"40%",IF(AND(T17="Detectivo",U17="Automático"),"40%",IF(AND(T17="Detectivo",U17="Manual"),"30%",IF(AND(T17="Correctivo",U17="Automático"),"35%",IF(AND(T17="Correctivo",U17="Manual"),"25%",""))))))</f>
        <v>40%</v>
      </c>
      <c r="W17" s="123" t="s">
        <v>19</v>
      </c>
      <c r="X17" s="123" t="s">
        <v>22</v>
      </c>
      <c r="Y17" s="123" t="s">
        <v>114</v>
      </c>
      <c r="Z17" s="137">
        <f>IFERROR(IF(AND(S16="Probabilidad",S17="Probabilidad"),(AB16-(+AB16*V17)),IF(AND(S16="Impacto",S17="Probabilidad"),(K16-(+K16*V17)),IF(S17="Impacto",AB16,""))),"")</f>
        <v>0.12959999999999999</v>
      </c>
      <c r="AA17" s="138" t="str">
        <f t="shared" ref="AA17" si="19">IFERROR(IF(Z17="","",IF(Z17&lt;=0.2,"Muy Baja",IF(Z17&lt;=0.4,"Baja",IF(Z17&lt;=0.6,"Media",IF(Z17&lt;=0.8,"Alta","Muy Alta"))))),"")</f>
        <v>Muy Baja</v>
      </c>
      <c r="AB17" s="139">
        <f t="shared" si="12"/>
        <v>0.12959999999999999</v>
      </c>
      <c r="AC17" s="138" t="str">
        <f t="shared" ref="AC17" ca="1" si="20">IFERROR(IF(AD17="","",IF(AD17&lt;=0.2,"Leve",IF(AD17&lt;=0.4,"Menor",IF(AD17&lt;=0.6,"Moderado",IF(AD17&lt;=0.8,"Mayor","Catastrófico"))))),"")</f>
        <v>Mayor</v>
      </c>
      <c r="AD17" s="139">
        <f ca="1">IFERROR(IF(AND(S16="Impacto",S17="Impacto"),(AD16-(+AD16*V17)),IF(AND(S16="Probabilidad",S17="Impacto"),(O16-(+O16*V17)),IF(S17="Probabilidad",AD16,""))),"")</f>
        <v>0.8</v>
      </c>
      <c r="AE17" s="140" t="str">
        <f t="shared" ref="AE17" ca="1" si="21">IFERROR(IF(OR(AND(AA17="Muy Baja",AC17="Leve"),AND(AA17="Muy Baja",AC17="Menor"),AND(AA17="Baja",AC17="Leve")),"Bajo",IF(OR(AND(AA17="Muy baja",AC17="Moderado"),AND(AA17="Baja",AC17="Menor"),AND(AA17="Baja",AC17="Moderado"),AND(AA17="Media",AC17="Leve"),AND(AA17="Media",AC17="Menor"),AND(AA17="Media",AC17="Moderado"),AND(AA17="Alta",AC17="Leve"),AND(AA17="Alta",AC17="Menor")),"Moderado",IF(OR(AND(AA17="Muy Baja",AC17="Mayor"),AND(AA17="Baja",AC17="Mayor"),AND(AA17="Media",AC17="Mayor"),AND(AA17="Alta",AC17="Moderado"),AND(AA17="Alta",AC17="Mayor"),AND(AA17="Muy Alta",AC17="Leve"),AND(AA17="Muy Alta",AC17="Menor"),AND(AA17="Muy Alta",AC17="Moderado"),AND(AA17="Muy Alta",AC17="Mayor")),"Alto",IF(OR(AND(AA17="Muy Baja",AC17="Catastrófico"),AND(AA17="Baja",AC17="Catastrófico"),AND(AA17="Media",AC17="Catastrófico"),AND(AA17="Alta",AC17="Catastrófico"),AND(AA17="Muy Alta",AC17="Catastrófico")),"Extremo","")))),"")</f>
        <v>Alto</v>
      </c>
      <c r="AF17" s="250"/>
      <c r="AG17" s="206"/>
      <c r="AH17" s="206"/>
      <c r="AI17" s="244"/>
      <c r="AJ17" s="203"/>
      <c r="AK17" s="206"/>
      <c r="AL17" s="209"/>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row>
    <row r="18" spans="1:66" ht="69.599999999999994" customHeight="1" x14ac:dyDescent="0.3">
      <c r="A18" s="214"/>
      <c r="B18" s="206"/>
      <c r="C18" s="206"/>
      <c r="D18" s="212"/>
      <c r="E18" s="120" t="s">
        <v>234</v>
      </c>
      <c r="F18" s="215"/>
      <c r="G18" s="254"/>
      <c r="H18" s="246"/>
      <c r="I18" s="248"/>
      <c r="J18" s="225"/>
      <c r="K18" s="219"/>
      <c r="L18" s="221"/>
      <c r="M18" s="219"/>
      <c r="N18" s="225"/>
      <c r="O18" s="219"/>
      <c r="P18" s="217"/>
      <c r="Q18" s="160">
        <v>4</v>
      </c>
      <c r="R18" s="162" t="s">
        <v>254</v>
      </c>
      <c r="S18" s="122" t="str">
        <f t="shared" si="17"/>
        <v>Probabilidad</v>
      </c>
      <c r="T18" s="123" t="s">
        <v>14</v>
      </c>
      <c r="U18" s="123" t="s">
        <v>9</v>
      </c>
      <c r="V18" s="124" t="str">
        <f t="shared" si="18"/>
        <v>40%</v>
      </c>
      <c r="W18" s="123" t="s">
        <v>20</v>
      </c>
      <c r="X18" s="123" t="s">
        <v>23</v>
      </c>
      <c r="Y18" s="123" t="s">
        <v>114</v>
      </c>
      <c r="Z18" s="137">
        <f>IFERROR(IF(AND(S17="Probabilidad",S18="Probabilidad"),(AB17-(+AB17*V18)),IF(AND(S17="Impacto",S18="Probabilidad"),(K17-(+K17*V18)),IF(S18="Impacto",AB17,""))),"")</f>
        <v>7.7759999999999996E-2</v>
      </c>
      <c r="AA18" s="138" t="str">
        <f t="shared" ref="AA18" si="22">IFERROR(IF(Z18="","",IF(Z18&lt;=0.2,"Muy Baja",IF(Z18&lt;=0.4,"Baja",IF(Z18&lt;=0.6,"Media",IF(Z18&lt;=0.8,"Alta","Muy Alta"))))),"")</f>
        <v>Muy Baja</v>
      </c>
      <c r="AB18" s="139">
        <f t="shared" si="12"/>
        <v>7.7759999999999996E-2</v>
      </c>
      <c r="AC18" s="138" t="str">
        <f t="shared" ref="AC18" ca="1" si="23">IFERROR(IF(AD18="","",IF(AD18&lt;=0.2,"Leve",IF(AD18&lt;=0.4,"Menor",IF(AD18&lt;=0.6,"Moderado",IF(AD18&lt;=0.8,"Mayor","Catastrófico"))))),"")</f>
        <v>Mayor</v>
      </c>
      <c r="AD18" s="139">
        <f ca="1">IFERROR(IF(AND(S17="Impacto",S18="Impacto"),(AD17-(+AD17*V18)),IF(AND(S17="Probabilidad",S18="Impacto"),(O17-(+O17*V18)),IF(S18="Probabilidad",AD17,""))),"")</f>
        <v>0.8</v>
      </c>
      <c r="AE18" s="140" t="str">
        <f t="shared" ref="AE18" ca="1" si="24">IFERROR(IF(OR(AND(AA18="Muy Baja",AC18="Leve"),AND(AA18="Muy Baja",AC18="Menor"),AND(AA18="Baja",AC18="Leve")),"Bajo",IF(OR(AND(AA18="Muy baja",AC18="Moderado"),AND(AA18="Baja",AC18="Menor"),AND(AA18="Baja",AC18="Moderado"),AND(AA18="Media",AC18="Leve"),AND(AA18="Media",AC18="Menor"),AND(AA18="Media",AC18="Moderado"),AND(AA18="Alta",AC18="Leve"),AND(AA18="Alta",AC18="Menor")),"Moderado",IF(OR(AND(AA18="Muy Baja",AC18="Mayor"),AND(AA18="Baja",AC18="Mayor"),AND(AA18="Media",AC18="Mayor"),AND(AA18="Alta",AC18="Moderado"),AND(AA18="Alta",AC18="Mayor"),AND(AA18="Muy Alta",AC18="Leve"),AND(AA18="Muy Alta",AC18="Menor"),AND(AA18="Muy Alta",AC18="Moderado"),AND(AA18="Muy Alta",AC18="Mayor")),"Alto",IF(OR(AND(AA18="Muy Baja",AC18="Catastrófico"),AND(AA18="Baja",AC18="Catastrófico"),AND(AA18="Media",AC18="Catastrófico"),AND(AA18="Alta",AC18="Catastrófico"),AND(AA18="Muy Alta",AC18="Catastrófico")),"Extremo","")))),"")</f>
        <v>Alto</v>
      </c>
      <c r="AF18" s="250"/>
      <c r="AG18" s="206"/>
      <c r="AH18" s="206"/>
      <c r="AI18" s="244"/>
      <c r="AJ18" s="204"/>
      <c r="AK18" s="207"/>
      <c r="AL18" s="210"/>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row>
    <row r="19" spans="1:66" ht="26.25" customHeight="1" x14ac:dyDescent="0.3">
      <c r="A19" s="213"/>
      <c r="B19" s="266"/>
      <c r="C19" s="266"/>
      <c r="D19" s="269"/>
      <c r="E19" s="142"/>
      <c r="F19" s="276"/>
      <c r="G19" s="148"/>
      <c r="H19" s="273"/>
      <c r="I19" s="277"/>
      <c r="J19" s="262" t="str">
        <f t="shared" ref="J19" si="25">IF(I19&lt;=0,"",IF(I19&lt;=2,"Muy Baja",IF(I19&lt;=24,"Baja",IF(I19&lt;=500,"Media",IF(I19&lt;=5000,"Alta","Muy Alta")))))</f>
        <v/>
      </c>
      <c r="K19" s="222" t="str">
        <f t="shared" ref="K19" si="26">IF(J19="","",IF(J19="Muy Baja",0.2,IF(J19="Baja",0.4,IF(J19="Media",0.6,IF(J19="Alta",0.8,IF(J19="Muy Alta",1,))))))</f>
        <v/>
      </c>
      <c r="L19" s="259"/>
      <c r="M19" s="222">
        <f ca="1">IF(NOT(ISERROR(MATCH(L19,'Tabla Impacto'!$B$221:$B$223,0))),'Tabla Impacto'!$F$223&amp;"Por favor no seleccionar los criterios de impacto(Afectación Económica o presupuestal y Pérdida Reputacional)",L19)</f>
        <v>0</v>
      </c>
      <c r="N19" s="262" t="str">
        <f ca="1">IF(OR(M19='Tabla Impacto'!$C$11,M19='Tabla Impacto'!$D$11),"Leve",IF(OR(M19='Tabla Impacto'!$C$12,M19='Tabla Impacto'!$D$12),"Menor",IF(OR(M19='Tabla Impacto'!$C$13,M19='Tabla Impacto'!$D$13),"Moderado",IF(OR(M19='Tabla Impacto'!$C$14,M19='Tabla Impacto'!$D$14),"Mayor",IF(OR(M19='Tabla Impacto'!$C$15,M19='Tabla Impacto'!$D$15),"Catastrófico","")))))</f>
        <v/>
      </c>
      <c r="O19" s="222" t="str">
        <f t="shared" ref="O19" ca="1" si="27">IF(N19="","",IF(N19="Leve",0.2,IF(N19="Menor",0.4,IF(N19="Moderado",0.6,IF(N19="Mayor",0.8,IF(N19="Catastrófico",1,))))))</f>
        <v/>
      </c>
      <c r="P19" s="256" t="str">
        <f t="shared" ref="P19" ca="1" si="28">IF(OR(AND(J19="Muy Baja",N19="Leve"),AND(J19="Muy Baja",N19="Menor"),AND(J19="Baja",N19="Leve")),"Bajo",IF(OR(AND(J19="Muy baja",N19="Moderado"),AND(J19="Baja",N19="Menor"),AND(J19="Baja",N19="Moderado"),AND(J19="Media",N19="Leve"),AND(J19="Media",N19="Menor"),AND(J19="Media",N19="Moderado"),AND(J19="Alta",N19="Leve"),AND(J19="Alta",N19="Menor")),"Moderado",IF(OR(AND(J19="Muy Baja",N19="Mayor"),AND(J19="Baja",N19="Mayor"),AND(J19="Media",N19="Mayor"),AND(J19="Alta",N19="Moderado"),AND(J19="Alta",N19="Mayor"),AND(J19="Muy Alta",N19="Leve"),AND(J19="Muy Alta",N19="Menor"),AND(J19="Muy Alta",N19="Moderado"),AND(J19="Muy Alta",N19="Mayor")),"Alto",IF(OR(AND(J19="Muy Baja",N19="Catastrófico"),AND(J19="Baja",N19="Catastrófico"),AND(J19="Media",N19="Catastrófico"),AND(J19="Alta",N19="Catastrófico"),AND(J19="Muy Alta",N19="Catastrófico")),"Extremo",""))))</f>
        <v/>
      </c>
      <c r="Q19" s="134">
        <v>1</v>
      </c>
      <c r="R19" s="91"/>
      <c r="S19" s="144" t="str">
        <f>IF(OR(T19="Preventivo",T19="Detectivo"),"Probabilidad",IF(T19="Correctivo","Impacto",""))</f>
        <v/>
      </c>
      <c r="T19" s="135"/>
      <c r="U19" s="135"/>
      <c r="V19" s="136" t="str">
        <f>IF(AND(T19="Preventivo",U19="Automático"),"50%",IF(AND(T19="Preventivo",U19="Manual"),"40%",IF(AND(T19="Detectivo",U19="Automático"),"40%",IF(AND(T19="Detectivo",U19="Manual"),"30%",IF(AND(T19="Correctivo",U19="Automático"),"35%",IF(AND(T19="Correctivo",U19="Manual"),"25%",""))))))</f>
        <v/>
      </c>
      <c r="W19" s="135"/>
      <c r="X19" s="135"/>
      <c r="Y19" s="135"/>
      <c r="Z19" s="137" t="str">
        <f>IFERROR(IF(S19="Probabilidad",(K19-(+K19*V19)),IF(S19="Impacto",K19,"")),"")</f>
        <v/>
      </c>
      <c r="AA19" s="138" t="str">
        <f>IFERROR(IF(Z19="","",IF(Z19&lt;=0.2,"Muy Baja",IF(Z19&lt;=0.4,"Baja",IF(Z19&lt;=0.6,"Media",IF(Z19&lt;=0.8,"Alta","Muy Alta"))))),"")</f>
        <v/>
      </c>
      <c r="AB19" s="139" t="str">
        <f>+Z19</f>
        <v/>
      </c>
      <c r="AC19" s="138" t="str">
        <f>IFERROR(IF(AD19="","",IF(AD19&lt;=0.2,"Leve",IF(AD19&lt;=0.4,"Menor",IF(AD19&lt;=0.6,"Moderado",IF(AD19&lt;=0.8,"Mayor","Catastrófico"))))),"")</f>
        <v/>
      </c>
      <c r="AD19" s="139" t="str">
        <f>IFERROR(IF(S19="Impacto",(O19-(+O19*V19)),IF(S19="Probabilidad",O19,"")),"")</f>
        <v/>
      </c>
      <c r="AE19" s="140" t="str">
        <f>IFERROR(IF(OR(AND(AA19="Muy Baja",AC19="Leve"),AND(AA19="Muy Baja",AC19="Menor"),AND(AA19="Baja",AC19="Leve")),"Bajo",IF(OR(AND(AA19="Muy baja",AC19="Moderado"),AND(AA19="Baja",AC19="Menor"),AND(AA19="Baja",AC19="Moderado"),AND(AA19="Media",AC19="Leve"),AND(AA19="Media",AC19="Menor"),AND(AA19="Media",AC19="Moderado"),AND(AA19="Alta",AC19="Leve"),AND(AA19="Alta",AC19="Menor")),"Moderado",IF(OR(AND(AA19="Muy Baja",AC19="Mayor"),AND(AA19="Baja",AC19="Mayor"),AND(AA19="Media",AC19="Mayor"),AND(AA19="Alta",AC19="Moderado"),AND(AA19="Alta",AC19="Mayor"),AND(AA19="Muy Alta",AC19="Leve"),AND(AA19="Muy Alta",AC19="Menor"),AND(AA19="Muy Alta",AC19="Moderado"),AND(AA19="Muy Alta",AC19="Mayor")),"Alto",IF(OR(AND(AA19="Muy Baja",AC19="Catastrófico"),AND(AA19="Baja",AC19="Catastrófico"),AND(AA19="Media",AC19="Catastrófico"),AND(AA19="Alta",AC19="Catastrófico"),AND(AA19="Muy Alta",AC19="Catastrófico")),"Extremo","")))),"")</f>
        <v/>
      </c>
      <c r="AF19" s="141"/>
      <c r="AG19" s="110"/>
      <c r="AH19" s="130"/>
      <c r="AI19" s="129"/>
      <c r="AJ19" s="146"/>
      <c r="AK19" s="147"/>
      <c r="AL19" s="145"/>
      <c r="AM19" s="111"/>
      <c r="AN19" s="111"/>
      <c r="AO19" s="111"/>
      <c r="AP19" s="111"/>
      <c r="AQ19" s="111"/>
      <c r="AR19" s="111"/>
      <c r="AS19" s="111"/>
      <c r="AT19" s="111"/>
      <c r="AU19" s="111"/>
      <c r="AV19" s="111"/>
      <c r="AW19" s="111"/>
      <c r="AX19" s="111"/>
      <c r="AY19" s="111"/>
      <c r="AZ19" s="111"/>
      <c r="BA19" s="111"/>
      <c r="BB19" s="111"/>
      <c r="BC19" s="111"/>
      <c r="BD19" s="111"/>
      <c r="BE19" s="111"/>
      <c r="BF19" s="111"/>
      <c r="BG19" s="111"/>
      <c r="BH19" s="111"/>
      <c r="BI19" s="111"/>
      <c r="BJ19" s="111"/>
      <c r="BK19" s="111"/>
      <c r="BL19" s="111"/>
      <c r="BM19" s="111"/>
      <c r="BN19" s="111"/>
    </row>
    <row r="20" spans="1:66" ht="26.25" customHeight="1" x14ac:dyDescent="0.3">
      <c r="A20" s="214"/>
      <c r="B20" s="267"/>
      <c r="C20" s="267"/>
      <c r="D20" s="270"/>
      <c r="E20" s="142"/>
      <c r="F20" s="276"/>
      <c r="G20" s="148"/>
      <c r="H20" s="274"/>
      <c r="I20" s="278"/>
      <c r="J20" s="263"/>
      <c r="K20" s="223"/>
      <c r="L20" s="260"/>
      <c r="M20" s="223">
        <f ca="1">IF(NOT(ISERROR(MATCH(L20,_xlfn.ANCHORARRAY(F31),0))),K33&amp;"Por favor no seleccionar los criterios de impacto",L20)</f>
        <v>0</v>
      </c>
      <c r="N20" s="263"/>
      <c r="O20" s="223"/>
      <c r="P20" s="257"/>
      <c r="Q20" s="134">
        <v>2</v>
      </c>
      <c r="R20" s="91"/>
      <c r="S20" s="144" t="str">
        <f>IF(OR(T20="Preventivo",T20="Detectivo"),"Probabilidad",IF(T20="Correctivo","Impacto",""))</f>
        <v/>
      </c>
      <c r="T20" s="135"/>
      <c r="U20" s="135"/>
      <c r="V20" s="136" t="str">
        <f t="shared" ref="V20:V24" si="29">IF(AND(T20="Preventivo",U20="Automático"),"50%",IF(AND(T20="Preventivo",U20="Manual"),"40%",IF(AND(T20="Detectivo",U20="Automático"),"40%",IF(AND(T20="Detectivo",U20="Manual"),"30%",IF(AND(T20="Correctivo",U20="Automático"),"35%",IF(AND(T20="Correctivo",U20="Manual"),"25%",""))))))</f>
        <v/>
      </c>
      <c r="W20" s="135"/>
      <c r="X20" s="135"/>
      <c r="Y20" s="135"/>
      <c r="Z20" s="137" t="str">
        <f>IFERROR(IF(AND(S19="Probabilidad",S20="Probabilidad"),(AB19-(+AB19*V20)),IF(AND(S19="Impacto",S20="Probabilidad"),(K19-(+K19*V20)),IF(S20="Impacto",AB19,""))),"")</f>
        <v/>
      </c>
      <c r="AA20" s="138" t="str">
        <f t="shared" ref="AA20:AA24" si="30">IFERROR(IF(Z20="","",IF(Z20&lt;=0.2,"Muy Baja",IF(Z20&lt;=0.4,"Baja",IF(Z20&lt;=0.6,"Media",IF(Z20&lt;=0.8,"Alta","Muy Alta"))))),"")</f>
        <v/>
      </c>
      <c r="AB20" s="139" t="str">
        <f>+Z20</f>
        <v/>
      </c>
      <c r="AC20" s="138" t="str">
        <f t="shared" ref="AC20:AC24" si="31">IFERROR(IF(AD20="","",IF(AD20&lt;=0.2,"Leve",IF(AD20&lt;=0.4,"Menor",IF(AD20&lt;=0.6,"Moderado",IF(AD20&lt;=0.8,"Mayor","Catastrófico"))))),"")</f>
        <v/>
      </c>
      <c r="AD20" s="139" t="str">
        <f>IFERROR(IF(AND(S19="Impacto",S20="Impacto"),(AD19-(+AD19*V20)),IF(AND(S19="Probabilidad",S20="Impacto"),(O19-(+O19*V20)),IF(S20="Probabilidad",AD19,""))),"")</f>
        <v/>
      </c>
      <c r="AE20" s="140" t="str">
        <f t="shared" ref="AE20:AE24" si="32">IFERROR(IF(OR(AND(AA20="Muy Baja",AC20="Leve"),AND(AA20="Muy Baja",AC20="Menor"),AND(AA20="Baja",AC20="Leve")),"Bajo",IF(OR(AND(AA20="Muy baja",AC20="Moderado"),AND(AA20="Baja",AC20="Menor"),AND(AA20="Baja",AC20="Moderado"),AND(AA20="Media",AC20="Leve"),AND(AA20="Media",AC20="Menor"),AND(AA20="Media",AC20="Moderado"),AND(AA20="Alta",AC20="Leve"),AND(AA20="Alta",AC20="Menor")),"Moderado",IF(OR(AND(AA20="Muy Baja",AC20="Mayor"),AND(AA20="Baja",AC20="Mayor"),AND(AA20="Media",AC20="Mayor"),AND(AA20="Alta",AC20="Moderado"),AND(AA20="Alta",AC20="Mayor"),AND(AA20="Muy Alta",AC20="Leve"),AND(AA20="Muy Alta",AC20="Menor"),AND(AA20="Muy Alta",AC20="Moderado"),AND(AA20="Muy Alta",AC20="Mayor")),"Alto",IF(OR(AND(AA20="Muy Baja",AC20="Catastrófico"),AND(AA20="Baja",AC20="Catastrófico"),AND(AA20="Media",AC20="Catastrófico"),AND(AA20="Alta",AC20="Catastrófico"),AND(AA20="Muy Alta",AC20="Catastrófico")),"Extremo","")))),"")</f>
        <v/>
      </c>
      <c r="AF20" s="141"/>
      <c r="AG20" s="110"/>
      <c r="AH20" s="130"/>
      <c r="AI20" s="129"/>
      <c r="AJ20" s="129"/>
      <c r="AK20" s="110"/>
      <c r="AL20" s="130"/>
      <c r="AM20" s="111"/>
      <c r="AN20" s="111"/>
      <c r="AO20" s="111"/>
      <c r="AP20" s="111"/>
      <c r="AQ20" s="111"/>
      <c r="AR20" s="111"/>
      <c r="AS20" s="111"/>
      <c r="AT20" s="111"/>
      <c r="AU20" s="111"/>
      <c r="AV20" s="111"/>
      <c r="AW20" s="111"/>
      <c r="AX20" s="111"/>
      <c r="AY20" s="111"/>
      <c r="AZ20" s="111"/>
      <c r="BA20" s="111"/>
      <c r="BB20" s="111"/>
      <c r="BC20" s="111"/>
      <c r="BD20" s="111"/>
      <c r="BE20" s="111"/>
      <c r="BF20" s="111"/>
      <c r="BG20" s="111"/>
      <c r="BH20" s="111"/>
      <c r="BI20" s="111"/>
      <c r="BJ20" s="111"/>
      <c r="BK20" s="111"/>
      <c r="BL20" s="111"/>
      <c r="BM20" s="111"/>
      <c r="BN20" s="111"/>
    </row>
    <row r="21" spans="1:66" ht="26.25" customHeight="1" x14ac:dyDescent="0.3">
      <c r="A21" s="214"/>
      <c r="B21" s="267"/>
      <c r="C21" s="267"/>
      <c r="D21" s="270"/>
      <c r="E21" s="142"/>
      <c r="F21" s="276"/>
      <c r="G21" s="148"/>
      <c r="H21" s="274"/>
      <c r="I21" s="278"/>
      <c r="J21" s="263"/>
      <c r="K21" s="223"/>
      <c r="L21" s="260"/>
      <c r="M21" s="223">
        <f ca="1">IF(NOT(ISERROR(MATCH(L21,_xlfn.ANCHORARRAY(F32),0))),K34&amp;"Por favor no seleccionar los criterios de impacto",L21)</f>
        <v>0</v>
      </c>
      <c r="N21" s="263"/>
      <c r="O21" s="223"/>
      <c r="P21" s="257"/>
      <c r="Q21" s="134">
        <v>3</v>
      </c>
      <c r="R21" s="143"/>
      <c r="S21" s="144" t="str">
        <f t="shared" ref="S21:S24" si="33">IF(OR(T21="Preventivo",T21="Detectivo"),"Probabilidad",IF(T21="Correctivo","Impacto",""))</f>
        <v/>
      </c>
      <c r="T21" s="135"/>
      <c r="U21" s="135"/>
      <c r="V21" s="136" t="str">
        <f t="shared" si="29"/>
        <v/>
      </c>
      <c r="W21" s="135"/>
      <c r="X21" s="135"/>
      <c r="Y21" s="135"/>
      <c r="Z21" s="137" t="str">
        <f>IFERROR(IF(AND(S20="Probabilidad",S21="Probabilidad"),(AB20-(+AB20*V21)),IF(AND(S20="Impacto",S21="Probabilidad"),(AB19-(+AB19*V21)),IF(S21="Impacto",AB20,""))),"")</f>
        <v/>
      </c>
      <c r="AA21" s="138" t="str">
        <f t="shared" si="30"/>
        <v/>
      </c>
      <c r="AB21" s="139" t="str">
        <f t="shared" ref="AB21:AB24" si="34">+Z21</f>
        <v/>
      </c>
      <c r="AC21" s="138" t="str">
        <f t="shared" si="31"/>
        <v/>
      </c>
      <c r="AD21" s="139" t="str">
        <f t="shared" ref="AD21:AD24" si="35">IFERROR(IF(AND(S20="Impacto",S21="Impacto"),(AD20-(+AD20*V21)),IF(AND(S20="Probabilidad",S21="Impacto"),(AD19-(+AD19*V21)),IF(S21="Probabilidad",AD20,""))),"")</f>
        <v/>
      </c>
      <c r="AE21" s="140" t="str">
        <f t="shared" si="32"/>
        <v/>
      </c>
      <c r="AF21" s="141"/>
      <c r="AG21" s="110"/>
      <c r="AH21" s="130"/>
      <c r="AI21" s="129"/>
      <c r="AJ21" s="129"/>
      <c r="AK21" s="110"/>
      <c r="AL21" s="130"/>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1"/>
    </row>
    <row r="22" spans="1:66" ht="26.25" customHeight="1" x14ac:dyDescent="0.3">
      <c r="A22" s="214"/>
      <c r="B22" s="267"/>
      <c r="C22" s="267"/>
      <c r="D22" s="270"/>
      <c r="E22" s="142"/>
      <c r="F22" s="276"/>
      <c r="G22" s="148"/>
      <c r="H22" s="274"/>
      <c r="I22" s="278"/>
      <c r="J22" s="263"/>
      <c r="K22" s="223"/>
      <c r="L22" s="260"/>
      <c r="M22" s="223">
        <f ca="1">IF(NOT(ISERROR(MATCH(L22,_xlfn.ANCHORARRAY(F33),0))),K35&amp;"Por favor no seleccionar los criterios de impacto",L22)</f>
        <v>0</v>
      </c>
      <c r="N22" s="263"/>
      <c r="O22" s="223"/>
      <c r="P22" s="257"/>
      <c r="Q22" s="134">
        <v>4</v>
      </c>
      <c r="R22" s="91"/>
      <c r="S22" s="144" t="str">
        <f t="shared" si="33"/>
        <v/>
      </c>
      <c r="T22" s="135"/>
      <c r="U22" s="135"/>
      <c r="V22" s="136" t="str">
        <f t="shared" si="29"/>
        <v/>
      </c>
      <c r="W22" s="135"/>
      <c r="X22" s="135"/>
      <c r="Y22" s="135"/>
      <c r="Z22" s="137" t="str">
        <f t="shared" ref="Z22:Z24" si="36">IFERROR(IF(AND(S21="Probabilidad",S22="Probabilidad"),(AB21-(+AB21*V22)),IF(AND(S21="Impacto",S22="Probabilidad"),(AB20-(+AB20*V22)),IF(S22="Impacto",AB21,""))),"")</f>
        <v/>
      </c>
      <c r="AA22" s="138" t="str">
        <f t="shared" si="30"/>
        <v/>
      </c>
      <c r="AB22" s="139" t="str">
        <f t="shared" si="34"/>
        <v/>
      </c>
      <c r="AC22" s="138" t="str">
        <f t="shared" si="31"/>
        <v/>
      </c>
      <c r="AD22" s="139" t="str">
        <f t="shared" si="35"/>
        <v/>
      </c>
      <c r="AE22" s="140" t="str">
        <f t="shared" si="32"/>
        <v/>
      </c>
      <c r="AF22" s="141"/>
      <c r="AG22" s="110"/>
      <c r="AH22" s="130"/>
      <c r="AI22" s="129"/>
      <c r="AJ22" s="129"/>
      <c r="AK22" s="110"/>
      <c r="AL22" s="130"/>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row>
    <row r="23" spans="1:66" ht="26.25" customHeight="1" x14ac:dyDescent="0.3">
      <c r="A23" s="214"/>
      <c r="B23" s="267"/>
      <c r="C23" s="267"/>
      <c r="D23" s="270"/>
      <c r="E23" s="142"/>
      <c r="F23" s="276"/>
      <c r="G23" s="148"/>
      <c r="H23" s="274"/>
      <c r="I23" s="278"/>
      <c r="J23" s="263"/>
      <c r="K23" s="223"/>
      <c r="L23" s="260"/>
      <c r="M23" s="223">
        <f ca="1">IF(NOT(ISERROR(MATCH(L23,_xlfn.ANCHORARRAY(F34),0))),K36&amp;"Por favor no seleccionar los criterios de impacto",L23)</f>
        <v>0</v>
      </c>
      <c r="N23" s="263"/>
      <c r="O23" s="223"/>
      <c r="P23" s="257"/>
      <c r="Q23" s="134">
        <v>5</v>
      </c>
      <c r="R23" s="91"/>
      <c r="S23" s="144" t="str">
        <f t="shared" si="33"/>
        <v/>
      </c>
      <c r="T23" s="135"/>
      <c r="U23" s="135"/>
      <c r="V23" s="136" t="str">
        <f t="shared" si="29"/>
        <v/>
      </c>
      <c r="W23" s="135"/>
      <c r="X23" s="135"/>
      <c r="Y23" s="135"/>
      <c r="Z23" s="137" t="str">
        <f t="shared" si="36"/>
        <v/>
      </c>
      <c r="AA23" s="138" t="str">
        <f t="shared" si="30"/>
        <v/>
      </c>
      <c r="AB23" s="139" t="str">
        <f t="shared" si="34"/>
        <v/>
      </c>
      <c r="AC23" s="138" t="str">
        <f t="shared" si="31"/>
        <v/>
      </c>
      <c r="AD23" s="139" t="str">
        <f t="shared" si="35"/>
        <v/>
      </c>
      <c r="AE23" s="140" t="str">
        <f t="shared" si="32"/>
        <v/>
      </c>
      <c r="AF23" s="141"/>
      <c r="AG23" s="110"/>
      <c r="AH23" s="130"/>
      <c r="AI23" s="129"/>
      <c r="AJ23" s="129"/>
      <c r="AK23" s="110"/>
      <c r="AL23" s="130"/>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row>
    <row r="24" spans="1:66" ht="26.25" customHeight="1" x14ac:dyDescent="0.3">
      <c r="A24" s="265"/>
      <c r="B24" s="268"/>
      <c r="C24" s="268"/>
      <c r="D24" s="271"/>
      <c r="E24" s="142"/>
      <c r="F24" s="276"/>
      <c r="G24" s="148"/>
      <c r="H24" s="275"/>
      <c r="I24" s="279"/>
      <c r="J24" s="264"/>
      <c r="K24" s="255"/>
      <c r="L24" s="261"/>
      <c r="M24" s="255">
        <f ca="1">IF(NOT(ISERROR(MATCH(L24,_xlfn.ANCHORARRAY(F35),0))),K37&amp;"Por favor no seleccionar los criterios de impacto",L24)</f>
        <v>0</v>
      </c>
      <c r="N24" s="264"/>
      <c r="O24" s="255"/>
      <c r="P24" s="258"/>
      <c r="Q24" s="134">
        <v>6</v>
      </c>
      <c r="R24" s="91"/>
      <c r="S24" s="144" t="str">
        <f t="shared" si="33"/>
        <v/>
      </c>
      <c r="T24" s="135"/>
      <c r="U24" s="135"/>
      <c r="V24" s="136" t="str">
        <f t="shared" si="29"/>
        <v/>
      </c>
      <c r="W24" s="135"/>
      <c r="X24" s="135"/>
      <c r="Y24" s="135"/>
      <c r="Z24" s="137" t="str">
        <f t="shared" si="36"/>
        <v/>
      </c>
      <c r="AA24" s="138" t="str">
        <f t="shared" si="30"/>
        <v/>
      </c>
      <c r="AB24" s="139" t="str">
        <f t="shared" si="34"/>
        <v/>
      </c>
      <c r="AC24" s="138" t="str">
        <f t="shared" si="31"/>
        <v/>
      </c>
      <c r="AD24" s="139" t="str">
        <f t="shared" si="35"/>
        <v/>
      </c>
      <c r="AE24" s="140" t="str">
        <f t="shared" si="32"/>
        <v/>
      </c>
      <c r="AF24" s="141"/>
      <c r="AG24" s="110"/>
      <c r="AH24" s="130"/>
      <c r="AI24" s="129"/>
      <c r="AJ24" s="129"/>
      <c r="AK24" s="110"/>
      <c r="AL24" s="130"/>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row>
    <row r="25" spans="1:66" ht="26.25" customHeight="1" x14ac:dyDescent="0.3">
      <c r="A25" s="213">
        <v>6</v>
      </c>
      <c r="B25" s="266"/>
      <c r="C25" s="266"/>
      <c r="D25" s="269"/>
      <c r="E25" s="142"/>
      <c r="F25" s="272"/>
      <c r="G25" s="148"/>
      <c r="H25" s="273"/>
      <c r="I25" s="277"/>
      <c r="J25" s="262" t="str">
        <f t="shared" ref="J25" si="37">IF(I25&lt;=0,"",IF(I25&lt;=2,"Muy Baja",IF(I25&lt;=24,"Baja",IF(I25&lt;=500,"Media",IF(I25&lt;=5000,"Alta","Muy Alta")))))</f>
        <v/>
      </c>
      <c r="K25" s="222" t="str">
        <f t="shared" ref="K25" si="38">IF(J25="","",IF(J25="Muy Baja",0.2,IF(J25="Baja",0.4,IF(J25="Media",0.6,IF(J25="Alta",0.8,IF(J25="Muy Alta",1,))))))</f>
        <v/>
      </c>
      <c r="L25" s="259"/>
      <c r="M25" s="222">
        <f ca="1">IF(NOT(ISERROR(MATCH(L25,'Tabla Impacto'!$B$221:$B$223,0))),'Tabla Impacto'!$F$223&amp;"Por favor no seleccionar los criterios de impacto(Afectación Económica o presupuestal y Pérdida Reputacional)",L25)</f>
        <v>0</v>
      </c>
      <c r="N25" s="262" t="str">
        <f ca="1">IF(OR(M25='Tabla Impacto'!$C$11,M25='Tabla Impacto'!$D$11),"Leve",IF(OR(M25='Tabla Impacto'!$C$12,M25='Tabla Impacto'!$D$12),"Menor",IF(OR(M25='Tabla Impacto'!$C$13,M25='Tabla Impacto'!$D$13),"Moderado",IF(OR(M25='Tabla Impacto'!$C$14,M25='Tabla Impacto'!$D$14),"Mayor",IF(OR(M25='Tabla Impacto'!$C$15,M25='Tabla Impacto'!$D$15),"Catastrófico","")))))</f>
        <v/>
      </c>
      <c r="O25" s="222" t="str">
        <f t="shared" ref="O25" ca="1" si="39">IF(N25="","",IF(N25="Leve",0.2,IF(N25="Menor",0.4,IF(N25="Moderado",0.6,IF(N25="Mayor",0.8,IF(N25="Catastrófico",1,))))))</f>
        <v/>
      </c>
      <c r="P25" s="256" t="str">
        <f t="shared" ref="P25" ca="1" si="40">IF(OR(AND(J25="Muy Baja",N25="Leve"),AND(J25="Muy Baja",N25="Menor"),AND(J25="Baja",N25="Leve")),"Bajo",IF(OR(AND(J25="Muy baja",N25="Moderado"),AND(J25="Baja",N25="Menor"),AND(J25="Baja",N25="Moderado"),AND(J25="Media",N25="Leve"),AND(J25="Media",N25="Menor"),AND(J25="Media",N25="Moderado"),AND(J25="Alta",N25="Leve"),AND(J25="Alta",N25="Menor")),"Moderado",IF(OR(AND(J25="Muy Baja",N25="Mayor"),AND(J25="Baja",N25="Mayor"),AND(J25="Media",N25="Mayor"),AND(J25="Alta",N25="Moderado"),AND(J25="Alta",N25="Mayor"),AND(J25="Muy Alta",N25="Leve"),AND(J25="Muy Alta",N25="Menor"),AND(J25="Muy Alta",N25="Moderado"),AND(J25="Muy Alta",N25="Mayor")),"Alto",IF(OR(AND(J25="Muy Baja",N25="Catastrófico"),AND(J25="Baja",N25="Catastrófico"),AND(J25="Media",N25="Catastrófico"),AND(J25="Alta",N25="Catastrófico"),AND(J25="Muy Alta",N25="Catastrófico")),"Extremo",""))))</f>
        <v/>
      </c>
      <c r="Q25" s="134">
        <v>1</v>
      </c>
      <c r="R25" s="91"/>
      <c r="S25" s="144" t="str">
        <f>IF(OR(T25="Preventivo",T25="Detectivo"),"Probabilidad",IF(T25="Correctivo","Impacto",""))</f>
        <v/>
      </c>
      <c r="T25" s="135"/>
      <c r="U25" s="135"/>
      <c r="V25" s="136" t="str">
        <f>IF(AND(T25="Preventivo",U25="Automático"),"50%",IF(AND(T25="Preventivo",U25="Manual"),"40%",IF(AND(T25="Detectivo",U25="Automático"),"40%",IF(AND(T25="Detectivo",U25="Manual"),"30%",IF(AND(T25="Correctivo",U25="Automático"),"35%",IF(AND(T25="Correctivo",U25="Manual"),"25%",""))))))</f>
        <v/>
      </c>
      <c r="W25" s="135"/>
      <c r="X25" s="135"/>
      <c r="Y25" s="135"/>
      <c r="Z25" s="137" t="str">
        <f>IFERROR(IF(S25="Probabilidad",(K25-(+K25*V25)),IF(S25="Impacto",K25,"")),"")</f>
        <v/>
      </c>
      <c r="AA25" s="138" t="str">
        <f>IFERROR(IF(Z25="","",IF(Z25&lt;=0.2,"Muy Baja",IF(Z25&lt;=0.4,"Baja",IF(Z25&lt;=0.6,"Media",IF(Z25&lt;=0.8,"Alta","Muy Alta"))))),"")</f>
        <v/>
      </c>
      <c r="AB25" s="139" t="str">
        <f>+Z25</f>
        <v/>
      </c>
      <c r="AC25" s="138" t="str">
        <f>IFERROR(IF(AD25="","",IF(AD25&lt;=0.2,"Leve",IF(AD25&lt;=0.4,"Menor",IF(AD25&lt;=0.6,"Moderado",IF(AD25&lt;=0.8,"Mayor","Catastrófico"))))),"")</f>
        <v/>
      </c>
      <c r="AD25" s="139" t="str">
        <f>IFERROR(IF(S25="Impacto",(O25-(+O25*V25)),IF(S25="Probabilidad",O25,"")),"")</f>
        <v/>
      </c>
      <c r="AE25" s="140" t="str">
        <f>IFERROR(IF(OR(AND(AA25="Muy Baja",AC25="Leve"),AND(AA25="Muy Baja",AC25="Menor"),AND(AA25="Baja",AC25="Leve")),"Bajo",IF(OR(AND(AA25="Muy baja",AC25="Moderado"),AND(AA25="Baja",AC25="Menor"),AND(AA25="Baja",AC25="Moderado"),AND(AA25="Media",AC25="Leve"),AND(AA25="Media",AC25="Menor"),AND(AA25="Media",AC25="Moderado"),AND(AA25="Alta",AC25="Leve"),AND(AA25="Alta",AC25="Menor")),"Moderado",IF(OR(AND(AA25="Muy Baja",AC25="Mayor"),AND(AA25="Baja",AC25="Mayor"),AND(AA25="Media",AC25="Mayor"),AND(AA25="Alta",AC25="Moderado"),AND(AA25="Alta",AC25="Mayor"),AND(AA25="Muy Alta",AC25="Leve"),AND(AA25="Muy Alta",AC25="Menor"),AND(AA25="Muy Alta",AC25="Moderado"),AND(AA25="Muy Alta",AC25="Mayor")),"Alto",IF(OR(AND(AA25="Muy Baja",AC25="Catastrófico"),AND(AA25="Baja",AC25="Catastrófico"),AND(AA25="Media",AC25="Catastrófico"),AND(AA25="Alta",AC25="Catastrófico"),AND(AA25="Muy Alta",AC25="Catastrófico")),"Extremo","")))),"")</f>
        <v/>
      </c>
      <c r="AF25" s="141"/>
      <c r="AG25" s="110"/>
      <c r="AH25" s="130"/>
      <c r="AI25" s="129"/>
      <c r="AJ25" s="129"/>
      <c r="AK25" s="110"/>
      <c r="AL25" s="130"/>
      <c r="AM25" s="111"/>
      <c r="AN25" s="111"/>
      <c r="AO25" s="111"/>
      <c r="AP25" s="111"/>
      <c r="AQ25" s="111"/>
      <c r="AR25" s="111"/>
      <c r="AS25" s="111"/>
      <c r="AT25" s="111"/>
      <c r="AU25" s="111"/>
      <c r="AV25" s="111"/>
      <c r="AW25" s="111"/>
      <c r="AX25" s="111"/>
      <c r="AY25" s="111"/>
      <c r="AZ25" s="111"/>
      <c r="BA25" s="111"/>
      <c r="BB25" s="111"/>
      <c r="BC25" s="111"/>
      <c r="BD25" s="111"/>
      <c r="BE25" s="111"/>
      <c r="BF25" s="111"/>
      <c r="BG25" s="111"/>
      <c r="BH25" s="111"/>
      <c r="BI25" s="111"/>
      <c r="BJ25" s="111"/>
      <c r="BK25" s="111"/>
      <c r="BL25" s="111"/>
      <c r="BM25" s="111"/>
      <c r="BN25" s="111"/>
    </row>
    <row r="26" spans="1:66" ht="26.25" customHeight="1" x14ac:dyDescent="0.3">
      <c r="A26" s="214"/>
      <c r="B26" s="267"/>
      <c r="C26" s="267"/>
      <c r="D26" s="270"/>
      <c r="E26" s="142"/>
      <c r="F26" s="272"/>
      <c r="G26" s="148"/>
      <c r="H26" s="274"/>
      <c r="I26" s="278"/>
      <c r="J26" s="263"/>
      <c r="K26" s="223"/>
      <c r="L26" s="260"/>
      <c r="M26" s="223">
        <f ca="1">IF(NOT(ISERROR(MATCH(L26,_xlfn.ANCHORARRAY(F37),0))),K39&amp;"Por favor no seleccionar los criterios de impacto",L26)</f>
        <v>0</v>
      </c>
      <c r="N26" s="263"/>
      <c r="O26" s="223"/>
      <c r="P26" s="257"/>
      <c r="Q26" s="134">
        <v>2</v>
      </c>
      <c r="R26" s="91"/>
      <c r="S26" s="144" t="str">
        <f>IF(OR(T26="Preventivo",T26="Detectivo"),"Probabilidad",IF(T26="Correctivo","Impacto",""))</f>
        <v/>
      </c>
      <c r="T26" s="135"/>
      <c r="U26" s="135"/>
      <c r="V26" s="136" t="str">
        <f t="shared" ref="V26:V30" si="41">IF(AND(T26="Preventivo",U26="Automático"),"50%",IF(AND(T26="Preventivo",U26="Manual"),"40%",IF(AND(T26="Detectivo",U26="Automático"),"40%",IF(AND(T26="Detectivo",U26="Manual"),"30%",IF(AND(T26="Correctivo",U26="Automático"),"35%",IF(AND(T26="Correctivo",U26="Manual"),"25%",""))))))</f>
        <v/>
      </c>
      <c r="W26" s="135"/>
      <c r="X26" s="135"/>
      <c r="Y26" s="135"/>
      <c r="Z26" s="137" t="str">
        <f>IFERROR(IF(AND(S25="Probabilidad",S26="Probabilidad"),(AB25-(+AB25*V26)),IF(AND(S25="Impacto",S26="Probabilidad"),(K25-(+K25*V26)),IF(S26="Impacto",AB25,""))),"")</f>
        <v/>
      </c>
      <c r="AA26" s="138" t="str">
        <f t="shared" ref="AA26:AA30" si="42">IFERROR(IF(Z26="","",IF(Z26&lt;=0.2,"Muy Baja",IF(Z26&lt;=0.4,"Baja",IF(Z26&lt;=0.6,"Media",IF(Z26&lt;=0.8,"Alta","Muy Alta"))))),"")</f>
        <v/>
      </c>
      <c r="AB26" s="139" t="str">
        <f>+Z26</f>
        <v/>
      </c>
      <c r="AC26" s="138" t="str">
        <f t="shared" ref="AC26:AC30" si="43">IFERROR(IF(AD26="","",IF(AD26&lt;=0.2,"Leve",IF(AD26&lt;=0.4,"Menor",IF(AD26&lt;=0.6,"Moderado",IF(AD26&lt;=0.8,"Mayor","Catastrófico"))))),"")</f>
        <v/>
      </c>
      <c r="AD26" s="139" t="str">
        <f>IFERROR(IF(AND(S25="Impacto",S26="Impacto"),(AD25-(+AD25*V26)),IF(AND(S25="Probabilidad",S26="Impacto"),(O25-(+O25*V26)),IF(S26="Probabilidad",AD25,""))),"")</f>
        <v/>
      </c>
      <c r="AE26" s="140" t="str">
        <f t="shared" ref="AE26:AE30" si="44">IFERROR(IF(OR(AND(AA26="Muy Baja",AC26="Leve"),AND(AA26="Muy Baja",AC26="Menor"),AND(AA26="Baja",AC26="Leve")),"Bajo",IF(OR(AND(AA26="Muy baja",AC26="Moderado"),AND(AA26="Baja",AC26="Menor"),AND(AA26="Baja",AC26="Moderado"),AND(AA26="Media",AC26="Leve"),AND(AA26="Media",AC26="Menor"),AND(AA26="Media",AC26="Moderado"),AND(AA26="Alta",AC26="Leve"),AND(AA26="Alta",AC26="Menor")),"Moderado",IF(OR(AND(AA26="Muy Baja",AC26="Mayor"),AND(AA26="Baja",AC26="Mayor"),AND(AA26="Media",AC26="Mayor"),AND(AA26="Alta",AC26="Moderado"),AND(AA26="Alta",AC26="Mayor"),AND(AA26="Muy Alta",AC26="Leve"),AND(AA26="Muy Alta",AC26="Menor"),AND(AA26="Muy Alta",AC26="Moderado"),AND(AA26="Muy Alta",AC26="Mayor")),"Alto",IF(OR(AND(AA26="Muy Baja",AC26="Catastrófico"),AND(AA26="Baja",AC26="Catastrófico"),AND(AA26="Media",AC26="Catastrófico"),AND(AA26="Alta",AC26="Catastrófico"),AND(AA26="Muy Alta",AC26="Catastrófico")),"Extremo","")))),"")</f>
        <v/>
      </c>
      <c r="AF26" s="141"/>
      <c r="AG26" s="110"/>
      <c r="AH26" s="130"/>
      <c r="AI26" s="129"/>
      <c r="AJ26" s="129"/>
      <c r="AK26" s="110"/>
      <c r="AL26" s="130"/>
      <c r="AM26" s="111"/>
      <c r="AN26" s="111"/>
      <c r="AO26" s="111"/>
      <c r="AP26" s="111"/>
      <c r="AQ26" s="111"/>
      <c r="AR26" s="111"/>
      <c r="AS26" s="111"/>
      <c r="AT26" s="111"/>
      <c r="AU26" s="111"/>
      <c r="AV26" s="111"/>
      <c r="AW26" s="111"/>
      <c r="AX26" s="111"/>
      <c r="AY26" s="111"/>
      <c r="AZ26" s="111"/>
      <c r="BA26" s="111"/>
      <c r="BB26" s="111"/>
      <c r="BC26" s="111"/>
      <c r="BD26" s="111"/>
      <c r="BE26" s="111"/>
      <c r="BF26" s="111"/>
      <c r="BG26" s="111"/>
      <c r="BH26" s="111"/>
      <c r="BI26" s="111"/>
      <c r="BJ26" s="111"/>
      <c r="BK26" s="111"/>
      <c r="BL26" s="111"/>
      <c r="BM26" s="111"/>
      <c r="BN26" s="111"/>
    </row>
    <row r="27" spans="1:66" ht="26.25" customHeight="1" x14ac:dyDescent="0.3">
      <c r="A27" s="214"/>
      <c r="B27" s="267"/>
      <c r="C27" s="267"/>
      <c r="D27" s="270"/>
      <c r="E27" s="142"/>
      <c r="F27" s="272"/>
      <c r="G27" s="148"/>
      <c r="H27" s="274"/>
      <c r="I27" s="278"/>
      <c r="J27" s="263"/>
      <c r="K27" s="223"/>
      <c r="L27" s="260"/>
      <c r="M27" s="223">
        <f ca="1">IF(NOT(ISERROR(MATCH(L27,_xlfn.ANCHORARRAY(F38),0))),K40&amp;"Por favor no seleccionar los criterios de impacto",L27)</f>
        <v>0</v>
      </c>
      <c r="N27" s="263"/>
      <c r="O27" s="223"/>
      <c r="P27" s="257"/>
      <c r="Q27" s="134">
        <v>3</v>
      </c>
      <c r="R27" s="143"/>
      <c r="S27" s="144" t="str">
        <f t="shared" ref="S27:S30" si="45">IF(OR(T27="Preventivo",T27="Detectivo"),"Probabilidad",IF(T27="Correctivo","Impacto",""))</f>
        <v/>
      </c>
      <c r="T27" s="135"/>
      <c r="U27" s="135"/>
      <c r="V27" s="136" t="str">
        <f t="shared" si="41"/>
        <v/>
      </c>
      <c r="W27" s="135"/>
      <c r="X27" s="135"/>
      <c r="Y27" s="135"/>
      <c r="Z27" s="137" t="str">
        <f>IFERROR(IF(AND(S26="Probabilidad",S27="Probabilidad"),(AB26-(+AB26*V27)),IF(AND(S26="Impacto",S27="Probabilidad"),(AB25-(+AB25*V27)),IF(S27="Impacto",AB26,""))),"")</f>
        <v/>
      </c>
      <c r="AA27" s="138" t="str">
        <f t="shared" si="42"/>
        <v/>
      </c>
      <c r="AB27" s="139" t="str">
        <f t="shared" ref="AB27:AB30" si="46">+Z27</f>
        <v/>
      </c>
      <c r="AC27" s="138" t="str">
        <f t="shared" si="43"/>
        <v/>
      </c>
      <c r="AD27" s="139" t="str">
        <f t="shared" ref="AD27:AD30" si="47">IFERROR(IF(AND(S26="Impacto",S27="Impacto"),(AD26-(+AD26*V27)),IF(AND(S26="Probabilidad",S27="Impacto"),(AD25-(+AD25*V27)),IF(S27="Probabilidad",AD26,""))),"")</f>
        <v/>
      </c>
      <c r="AE27" s="140" t="str">
        <f t="shared" si="44"/>
        <v/>
      </c>
      <c r="AF27" s="141"/>
      <c r="AG27" s="110"/>
      <c r="AH27" s="130"/>
      <c r="AI27" s="129"/>
      <c r="AJ27" s="129"/>
      <c r="AK27" s="110"/>
      <c r="AL27" s="130"/>
      <c r="AM27" s="111"/>
      <c r="AN27" s="111"/>
      <c r="AO27" s="111"/>
      <c r="AP27" s="111"/>
      <c r="AQ27" s="111"/>
      <c r="AR27" s="111"/>
      <c r="AS27" s="111"/>
      <c r="AT27" s="111"/>
      <c r="AU27" s="111"/>
      <c r="AV27" s="111"/>
      <c r="AW27" s="111"/>
      <c r="AX27" s="111"/>
      <c r="AY27" s="111"/>
      <c r="AZ27" s="111"/>
      <c r="BA27" s="111"/>
      <c r="BB27" s="111"/>
      <c r="BC27" s="111"/>
      <c r="BD27" s="111"/>
      <c r="BE27" s="111"/>
      <c r="BF27" s="111"/>
      <c r="BG27" s="111"/>
      <c r="BH27" s="111"/>
      <c r="BI27" s="111"/>
      <c r="BJ27" s="111"/>
      <c r="BK27" s="111"/>
      <c r="BL27" s="111"/>
      <c r="BM27" s="111"/>
      <c r="BN27" s="111"/>
    </row>
    <row r="28" spans="1:66" ht="26.25" customHeight="1" x14ac:dyDescent="0.3">
      <c r="A28" s="214"/>
      <c r="B28" s="267"/>
      <c r="C28" s="267"/>
      <c r="D28" s="270"/>
      <c r="E28" s="142"/>
      <c r="F28" s="272"/>
      <c r="G28" s="148"/>
      <c r="H28" s="274"/>
      <c r="I28" s="278"/>
      <c r="J28" s="263"/>
      <c r="K28" s="223"/>
      <c r="L28" s="260"/>
      <c r="M28" s="223">
        <f ca="1">IF(NOT(ISERROR(MATCH(L28,_xlfn.ANCHORARRAY(F39),0))),K41&amp;"Por favor no seleccionar los criterios de impacto",L28)</f>
        <v>0</v>
      </c>
      <c r="N28" s="263"/>
      <c r="O28" s="223"/>
      <c r="P28" s="257"/>
      <c r="Q28" s="134">
        <v>4</v>
      </c>
      <c r="R28" s="91"/>
      <c r="S28" s="144" t="str">
        <f t="shared" si="45"/>
        <v/>
      </c>
      <c r="T28" s="135"/>
      <c r="U28" s="135"/>
      <c r="V28" s="136" t="str">
        <f t="shared" si="41"/>
        <v/>
      </c>
      <c r="W28" s="135"/>
      <c r="X28" s="135"/>
      <c r="Y28" s="135"/>
      <c r="Z28" s="137" t="str">
        <f t="shared" ref="Z28:Z30" si="48">IFERROR(IF(AND(S27="Probabilidad",S28="Probabilidad"),(AB27-(+AB27*V28)),IF(AND(S27="Impacto",S28="Probabilidad"),(AB26-(+AB26*V28)),IF(S28="Impacto",AB27,""))),"")</f>
        <v/>
      </c>
      <c r="AA28" s="138" t="str">
        <f t="shared" si="42"/>
        <v/>
      </c>
      <c r="AB28" s="139" t="str">
        <f t="shared" si="46"/>
        <v/>
      </c>
      <c r="AC28" s="138" t="str">
        <f t="shared" si="43"/>
        <v/>
      </c>
      <c r="AD28" s="139" t="str">
        <f t="shared" si="47"/>
        <v/>
      </c>
      <c r="AE28" s="140" t="str">
        <f t="shared" si="44"/>
        <v/>
      </c>
      <c r="AF28" s="141"/>
      <c r="AG28" s="110"/>
      <c r="AH28" s="130"/>
      <c r="AI28" s="129"/>
      <c r="AJ28" s="129"/>
      <c r="AK28" s="110"/>
      <c r="AL28" s="130"/>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111"/>
      <c r="BI28" s="111"/>
      <c r="BJ28" s="111"/>
      <c r="BK28" s="111"/>
      <c r="BL28" s="111"/>
      <c r="BM28" s="111"/>
      <c r="BN28" s="111"/>
    </row>
    <row r="29" spans="1:66" ht="26.25" customHeight="1" x14ac:dyDescent="0.3">
      <c r="A29" s="214"/>
      <c r="B29" s="267"/>
      <c r="C29" s="267"/>
      <c r="D29" s="270"/>
      <c r="E29" s="142"/>
      <c r="F29" s="272"/>
      <c r="G29" s="148"/>
      <c r="H29" s="274"/>
      <c r="I29" s="278"/>
      <c r="J29" s="263"/>
      <c r="K29" s="223"/>
      <c r="L29" s="260"/>
      <c r="M29" s="223">
        <f ca="1">IF(NOT(ISERROR(MATCH(L29,_xlfn.ANCHORARRAY(F40),0))),K42&amp;"Por favor no seleccionar los criterios de impacto",L29)</f>
        <v>0</v>
      </c>
      <c r="N29" s="263"/>
      <c r="O29" s="223"/>
      <c r="P29" s="257"/>
      <c r="Q29" s="134">
        <v>5</v>
      </c>
      <c r="R29" s="91"/>
      <c r="S29" s="144" t="str">
        <f t="shared" si="45"/>
        <v/>
      </c>
      <c r="T29" s="135"/>
      <c r="U29" s="135"/>
      <c r="V29" s="136" t="str">
        <f t="shared" si="41"/>
        <v/>
      </c>
      <c r="W29" s="135"/>
      <c r="X29" s="135"/>
      <c r="Y29" s="135"/>
      <c r="Z29" s="137" t="str">
        <f t="shared" si="48"/>
        <v/>
      </c>
      <c r="AA29" s="138" t="str">
        <f t="shared" si="42"/>
        <v/>
      </c>
      <c r="AB29" s="139" t="str">
        <f t="shared" si="46"/>
        <v/>
      </c>
      <c r="AC29" s="138" t="str">
        <f t="shared" si="43"/>
        <v/>
      </c>
      <c r="AD29" s="139" t="str">
        <f t="shared" si="47"/>
        <v/>
      </c>
      <c r="AE29" s="140" t="str">
        <f t="shared" si="44"/>
        <v/>
      </c>
      <c r="AF29" s="141"/>
      <c r="AG29" s="110"/>
      <c r="AH29" s="130"/>
      <c r="AI29" s="129"/>
      <c r="AJ29" s="129"/>
      <c r="AK29" s="110"/>
      <c r="AL29" s="130"/>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row>
    <row r="30" spans="1:66" ht="26.25" customHeight="1" x14ac:dyDescent="0.3">
      <c r="A30" s="265"/>
      <c r="B30" s="268"/>
      <c r="C30" s="268"/>
      <c r="D30" s="271"/>
      <c r="E30" s="142"/>
      <c r="F30" s="272"/>
      <c r="G30" s="148"/>
      <c r="H30" s="275"/>
      <c r="I30" s="279"/>
      <c r="J30" s="264"/>
      <c r="K30" s="255"/>
      <c r="L30" s="261"/>
      <c r="M30" s="255">
        <f ca="1">IF(NOT(ISERROR(MATCH(L30,_xlfn.ANCHORARRAY(F41),0))),K43&amp;"Por favor no seleccionar los criterios de impacto",L30)</f>
        <v>0</v>
      </c>
      <c r="N30" s="264"/>
      <c r="O30" s="255"/>
      <c r="P30" s="258"/>
      <c r="Q30" s="134">
        <v>6</v>
      </c>
      <c r="R30" s="91"/>
      <c r="S30" s="144" t="str">
        <f t="shared" si="45"/>
        <v/>
      </c>
      <c r="T30" s="135"/>
      <c r="U30" s="135"/>
      <c r="V30" s="136" t="str">
        <f t="shared" si="41"/>
        <v/>
      </c>
      <c r="W30" s="135"/>
      <c r="X30" s="135"/>
      <c r="Y30" s="135"/>
      <c r="Z30" s="137" t="str">
        <f t="shared" si="48"/>
        <v/>
      </c>
      <c r="AA30" s="138" t="str">
        <f t="shared" si="42"/>
        <v/>
      </c>
      <c r="AB30" s="139" t="str">
        <f t="shared" si="46"/>
        <v/>
      </c>
      <c r="AC30" s="138" t="str">
        <f t="shared" si="43"/>
        <v/>
      </c>
      <c r="AD30" s="139" t="str">
        <f t="shared" si="47"/>
        <v/>
      </c>
      <c r="AE30" s="140" t="str">
        <f t="shared" si="44"/>
        <v/>
      </c>
      <c r="AF30" s="141"/>
      <c r="AG30" s="110"/>
      <c r="AH30" s="130"/>
      <c r="AI30" s="129"/>
      <c r="AJ30" s="129"/>
      <c r="AK30" s="110"/>
      <c r="AL30" s="130"/>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row>
    <row r="31" spans="1:66" ht="26.25" customHeight="1" x14ac:dyDescent="0.3">
      <c r="A31" s="213">
        <v>7</v>
      </c>
      <c r="B31" s="266"/>
      <c r="C31" s="266"/>
      <c r="D31" s="266"/>
      <c r="E31" s="149"/>
      <c r="F31" s="281"/>
      <c r="G31" s="150"/>
      <c r="H31" s="266"/>
      <c r="I31" s="277"/>
      <c r="J31" s="262" t="str">
        <f t="shared" ref="J31" si="49">IF(I31&lt;=0,"",IF(I31&lt;=2,"Muy Baja",IF(I31&lt;=24,"Baja",IF(I31&lt;=500,"Media",IF(I31&lt;=5000,"Alta","Muy Alta")))))</f>
        <v/>
      </c>
      <c r="K31" s="222" t="str">
        <f t="shared" ref="K31" si="50">IF(J31="","",IF(J31="Muy Baja",0.2,IF(J31="Baja",0.4,IF(J31="Media",0.6,IF(J31="Alta",0.8,IF(J31="Muy Alta",1,))))))</f>
        <v/>
      </c>
      <c r="L31" s="259"/>
      <c r="M31" s="222">
        <f ca="1">IF(NOT(ISERROR(MATCH(L31,'Tabla Impacto'!$B$221:$B$223,0))),'Tabla Impacto'!$F$223&amp;"Por favor no seleccionar los criterios de impacto(Afectación Económica o presupuestal y Pérdida Reputacional)",L31)</f>
        <v>0</v>
      </c>
      <c r="N31" s="262" t="str">
        <f ca="1">IF(OR(M31='Tabla Impacto'!$C$11,M31='Tabla Impacto'!$D$11),"Leve",IF(OR(M31='Tabla Impacto'!$C$12,M31='Tabla Impacto'!$D$12),"Menor",IF(OR(M31='Tabla Impacto'!$C$13,M31='Tabla Impacto'!$D$13),"Moderado",IF(OR(M31='Tabla Impacto'!$C$14,M31='Tabla Impacto'!$D$14),"Mayor",IF(OR(M31='Tabla Impacto'!$C$15,M31='Tabla Impacto'!$D$15),"Catastrófico","")))))</f>
        <v/>
      </c>
      <c r="O31" s="222" t="str">
        <f t="shared" ref="O31" ca="1" si="51">IF(N31="","",IF(N31="Leve",0.2,IF(N31="Menor",0.4,IF(N31="Moderado",0.6,IF(N31="Mayor",0.8,IF(N31="Catastrófico",1,))))))</f>
        <v/>
      </c>
      <c r="P31" s="256" t="str">
        <f t="shared" ref="P31" ca="1" si="52">IF(OR(AND(J31="Muy Baja",N31="Leve"),AND(J31="Muy Baja",N31="Menor"),AND(J31="Baja",N31="Leve")),"Bajo",IF(OR(AND(J31="Muy baja",N31="Moderado"),AND(J31="Baja",N31="Menor"),AND(J31="Baja",N31="Moderado"),AND(J31="Media",N31="Leve"),AND(J31="Media",N31="Menor"),AND(J31="Media",N31="Moderado"),AND(J31="Alta",N31="Leve"),AND(J31="Alta",N31="Menor")),"Moderado",IF(OR(AND(J31="Muy Baja",N31="Mayor"),AND(J31="Baja",N31="Mayor"),AND(J31="Media",N31="Mayor"),AND(J31="Alta",N31="Moderado"),AND(J31="Alta",N31="Mayor"),AND(J31="Muy Alta",N31="Leve"),AND(J31="Muy Alta",N31="Menor"),AND(J31="Muy Alta",N31="Moderado"),AND(J31="Muy Alta",N31="Mayor")),"Alto",IF(OR(AND(J31="Muy Baja",N31="Catastrófico"),AND(J31="Baja",N31="Catastrófico"),AND(J31="Media",N31="Catastrófico"),AND(J31="Alta",N31="Catastrófico"),AND(J31="Muy Alta",N31="Catastrófico")),"Extremo",""))))</f>
        <v/>
      </c>
      <c r="Q31" s="134">
        <v>1</v>
      </c>
      <c r="R31" s="91"/>
      <c r="S31" s="144" t="str">
        <f>IF(OR(T31="Preventivo",T31="Detectivo"),"Probabilidad",IF(T31="Correctivo","Impacto",""))</f>
        <v/>
      </c>
      <c r="T31" s="135"/>
      <c r="U31" s="135"/>
      <c r="V31" s="136" t="str">
        <f>IF(AND(T31="Preventivo",U31="Automático"),"50%",IF(AND(T31="Preventivo",U31="Manual"),"40%",IF(AND(T31="Detectivo",U31="Automático"),"40%",IF(AND(T31="Detectivo",U31="Manual"),"30%",IF(AND(T31="Correctivo",U31="Automático"),"35%",IF(AND(T31="Correctivo",U31="Manual"),"25%",""))))))</f>
        <v/>
      </c>
      <c r="W31" s="135"/>
      <c r="X31" s="135"/>
      <c r="Y31" s="135"/>
      <c r="Z31" s="137" t="str">
        <f>IFERROR(IF(S31="Probabilidad",(K31-(+K31*V31)),IF(S31="Impacto",K31,"")),"")</f>
        <v/>
      </c>
      <c r="AA31" s="138" t="str">
        <f>IFERROR(IF(Z31="","",IF(Z31&lt;=0.2,"Muy Baja",IF(Z31&lt;=0.4,"Baja",IF(Z31&lt;=0.6,"Media",IF(Z31&lt;=0.8,"Alta","Muy Alta"))))),"")</f>
        <v/>
      </c>
      <c r="AB31" s="139" t="str">
        <f>+Z31</f>
        <v/>
      </c>
      <c r="AC31" s="138" t="str">
        <f>IFERROR(IF(AD31="","",IF(AD31&lt;=0.2,"Leve",IF(AD31&lt;=0.4,"Menor",IF(AD31&lt;=0.6,"Moderado",IF(AD31&lt;=0.8,"Mayor","Catastrófico"))))),"")</f>
        <v/>
      </c>
      <c r="AD31" s="139" t="str">
        <f>IFERROR(IF(S31="Impacto",(O31-(+O31*V31)),IF(S31="Probabilidad",O31,"")),"")</f>
        <v/>
      </c>
      <c r="AE31" s="140" t="str">
        <f>IFERROR(IF(OR(AND(AA31="Muy Baja",AC31="Leve"),AND(AA31="Muy Baja",AC31="Menor"),AND(AA31="Baja",AC31="Leve")),"Bajo",IF(OR(AND(AA31="Muy baja",AC31="Moderado"),AND(AA31="Baja",AC31="Menor"),AND(AA31="Baja",AC31="Moderado"),AND(AA31="Media",AC31="Leve"),AND(AA31="Media",AC31="Menor"),AND(AA31="Media",AC31="Moderado"),AND(AA31="Alta",AC31="Leve"),AND(AA31="Alta",AC31="Menor")),"Moderado",IF(OR(AND(AA31="Muy Baja",AC31="Mayor"),AND(AA31="Baja",AC31="Mayor"),AND(AA31="Media",AC31="Mayor"),AND(AA31="Alta",AC31="Moderado"),AND(AA31="Alta",AC31="Mayor"),AND(AA31="Muy Alta",AC31="Leve"),AND(AA31="Muy Alta",AC31="Menor"),AND(AA31="Muy Alta",AC31="Moderado"),AND(AA31="Muy Alta",AC31="Mayor")),"Alto",IF(OR(AND(AA31="Muy Baja",AC31="Catastrófico"),AND(AA31="Baja",AC31="Catastrófico"),AND(AA31="Media",AC31="Catastrófico"),AND(AA31="Alta",AC31="Catastrófico"),AND(AA31="Muy Alta",AC31="Catastrófico")),"Extremo","")))),"")</f>
        <v/>
      </c>
      <c r="AF31" s="141"/>
      <c r="AG31" s="110"/>
      <c r="AH31" s="130"/>
      <c r="AI31" s="129"/>
      <c r="AJ31" s="129"/>
      <c r="AK31" s="110"/>
      <c r="AL31" s="130"/>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row>
    <row r="32" spans="1:66" ht="26.25" customHeight="1" x14ac:dyDescent="0.3">
      <c r="A32" s="214"/>
      <c r="B32" s="267"/>
      <c r="C32" s="267"/>
      <c r="D32" s="267"/>
      <c r="E32" s="149"/>
      <c r="F32" s="281"/>
      <c r="G32" s="150"/>
      <c r="H32" s="267"/>
      <c r="I32" s="278"/>
      <c r="J32" s="263"/>
      <c r="K32" s="223"/>
      <c r="L32" s="260"/>
      <c r="M32" s="223">
        <f ca="1">IF(NOT(ISERROR(MATCH(L32,_xlfn.ANCHORARRAY(F43),0))),K45&amp;"Por favor no seleccionar los criterios de impacto",L32)</f>
        <v>0</v>
      </c>
      <c r="N32" s="263"/>
      <c r="O32" s="223"/>
      <c r="P32" s="257"/>
      <c r="Q32" s="134">
        <v>2</v>
      </c>
      <c r="R32" s="91"/>
      <c r="S32" s="144" t="str">
        <f>IF(OR(T32="Preventivo",T32="Detectivo"),"Probabilidad",IF(T32="Correctivo","Impacto",""))</f>
        <v/>
      </c>
      <c r="T32" s="135"/>
      <c r="U32" s="135"/>
      <c r="V32" s="136" t="str">
        <f t="shared" ref="V32:V36" si="53">IF(AND(T32="Preventivo",U32="Automático"),"50%",IF(AND(T32="Preventivo",U32="Manual"),"40%",IF(AND(T32="Detectivo",U32="Automático"),"40%",IF(AND(T32="Detectivo",U32="Manual"),"30%",IF(AND(T32="Correctivo",U32="Automático"),"35%",IF(AND(T32="Correctivo",U32="Manual"),"25%",""))))))</f>
        <v/>
      </c>
      <c r="W32" s="135"/>
      <c r="X32" s="135"/>
      <c r="Y32" s="135"/>
      <c r="Z32" s="137" t="str">
        <f>IFERROR(IF(AND(S31="Probabilidad",S32="Probabilidad"),(AB31-(+AB31*V32)),IF(AND(S31="Impacto",S32="Probabilidad"),(K31-(+K31*V32)),IF(S32="Impacto",AB31,""))),"")</f>
        <v/>
      </c>
      <c r="AA32" s="138" t="str">
        <f t="shared" ref="AA32:AA36" si="54">IFERROR(IF(Z32="","",IF(Z32&lt;=0.2,"Muy Baja",IF(Z32&lt;=0.4,"Baja",IF(Z32&lt;=0.6,"Media",IF(Z32&lt;=0.8,"Alta","Muy Alta"))))),"")</f>
        <v/>
      </c>
      <c r="AB32" s="139" t="str">
        <f>+Z32</f>
        <v/>
      </c>
      <c r="AC32" s="138" t="str">
        <f t="shared" ref="AC32:AC36" si="55">IFERROR(IF(AD32="","",IF(AD32&lt;=0.2,"Leve",IF(AD32&lt;=0.4,"Menor",IF(AD32&lt;=0.6,"Moderado",IF(AD32&lt;=0.8,"Mayor","Catastrófico"))))),"")</f>
        <v/>
      </c>
      <c r="AD32" s="139" t="str">
        <f>IFERROR(IF(AND(S31="Impacto",S32="Impacto"),(AD31-(+AD31*V32)),IF(AND(S31="Probabilidad",S32="Impacto"),(O31-(+O31*V32)),IF(S32="Probabilidad",AD31,""))),"")</f>
        <v/>
      </c>
      <c r="AE32" s="140" t="str">
        <f t="shared" ref="AE32:AE36" si="56">IFERROR(IF(OR(AND(AA32="Muy Baja",AC32="Leve"),AND(AA32="Muy Baja",AC32="Menor"),AND(AA32="Baja",AC32="Leve")),"Bajo",IF(OR(AND(AA32="Muy baja",AC32="Moderado"),AND(AA32="Baja",AC32="Menor"),AND(AA32="Baja",AC32="Moderado"),AND(AA32="Media",AC32="Leve"),AND(AA32="Media",AC32="Menor"),AND(AA32="Media",AC32="Moderado"),AND(AA32="Alta",AC32="Leve"),AND(AA32="Alta",AC32="Menor")),"Moderado",IF(OR(AND(AA32="Muy Baja",AC32="Mayor"),AND(AA32="Baja",AC32="Mayor"),AND(AA32="Media",AC32="Mayor"),AND(AA32="Alta",AC32="Moderado"),AND(AA32="Alta",AC32="Mayor"),AND(AA32="Muy Alta",AC32="Leve"),AND(AA32="Muy Alta",AC32="Menor"),AND(AA32="Muy Alta",AC32="Moderado"),AND(AA32="Muy Alta",AC32="Mayor")),"Alto",IF(OR(AND(AA32="Muy Baja",AC32="Catastrófico"),AND(AA32="Baja",AC32="Catastrófico"),AND(AA32="Media",AC32="Catastrófico"),AND(AA32="Alta",AC32="Catastrófico"),AND(AA32="Muy Alta",AC32="Catastrófico")),"Extremo","")))),"")</f>
        <v/>
      </c>
      <c r="AF32" s="141"/>
      <c r="AG32" s="110"/>
      <c r="AH32" s="130"/>
      <c r="AI32" s="129"/>
      <c r="AJ32" s="129"/>
      <c r="AK32" s="110"/>
      <c r="AL32" s="130"/>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row>
    <row r="33" spans="1:66" ht="26.25" customHeight="1" x14ac:dyDescent="0.3">
      <c r="A33" s="214"/>
      <c r="B33" s="267"/>
      <c r="C33" s="267"/>
      <c r="D33" s="267"/>
      <c r="E33" s="149"/>
      <c r="F33" s="281"/>
      <c r="G33" s="150"/>
      <c r="H33" s="267"/>
      <c r="I33" s="278"/>
      <c r="J33" s="263"/>
      <c r="K33" s="223"/>
      <c r="L33" s="260"/>
      <c r="M33" s="223">
        <f ca="1">IF(NOT(ISERROR(MATCH(L33,_xlfn.ANCHORARRAY(F44),0))),K46&amp;"Por favor no seleccionar los criterios de impacto",L33)</f>
        <v>0</v>
      </c>
      <c r="N33" s="263"/>
      <c r="O33" s="223"/>
      <c r="P33" s="257"/>
      <c r="Q33" s="134">
        <v>3</v>
      </c>
      <c r="R33" s="143"/>
      <c r="S33" s="144" t="str">
        <f t="shared" ref="S33:S36" si="57">IF(OR(T33="Preventivo",T33="Detectivo"),"Probabilidad",IF(T33="Correctivo","Impacto",""))</f>
        <v/>
      </c>
      <c r="T33" s="135"/>
      <c r="U33" s="135"/>
      <c r="V33" s="136" t="str">
        <f t="shared" si="53"/>
        <v/>
      </c>
      <c r="W33" s="135"/>
      <c r="X33" s="135"/>
      <c r="Y33" s="135"/>
      <c r="Z33" s="137" t="str">
        <f>IFERROR(IF(AND(S32="Probabilidad",S33="Probabilidad"),(AB32-(+AB32*V33)),IF(AND(S32="Impacto",S33="Probabilidad"),(AB31-(+AB31*V33)),IF(S33="Impacto",AB32,""))),"")</f>
        <v/>
      </c>
      <c r="AA33" s="138" t="str">
        <f t="shared" si="54"/>
        <v/>
      </c>
      <c r="AB33" s="139" t="str">
        <f t="shared" ref="AB33:AB36" si="58">+Z33</f>
        <v/>
      </c>
      <c r="AC33" s="138" t="str">
        <f t="shared" si="55"/>
        <v/>
      </c>
      <c r="AD33" s="139" t="str">
        <f t="shared" ref="AD33:AD36" si="59">IFERROR(IF(AND(S32="Impacto",S33="Impacto"),(AD32-(+AD32*V33)),IF(AND(S32="Probabilidad",S33="Impacto"),(AD31-(+AD31*V33)),IF(S33="Probabilidad",AD32,""))),"")</f>
        <v/>
      </c>
      <c r="AE33" s="140" t="str">
        <f t="shared" si="56"/>
        <v/>
      </c>
      <c r="AF33" s="141"/>
      <c r="AG33" s="110"/>
      <c r="AH33" s="130"/>
      <c r="AI33" s="129"/>
      <c r="AJ33" s="129"/>
      <c r="AK33" s="110"/>
      <c r="AL33" s="130"/>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row>
    <row r="34" spans="1:66" ht="26.25" customHeight="1" x14ac:dyDescent="0.3">
      <c r="A34" s="214"/>
      <c r="B34" s="267"/>
      <c r="C34" s="267"/>
      <c r="D34" s="267"/>
      <c r="E34" s="149"/>
      <c r="F34" s="281"/>
      <c r="G34" s="150"/>
      <c r="H34" s="267"/>
      <c r="I34" s="278"/>
      <c r="J34" s="263"/>
      <c r="K34" s="223"/>
      <c r="L34" s="260"/>
      <c r="M34" s="223">
        <f ca="1">IF(NOT(ISERROR(MATCH(L34,_xlfn.ANCHORARRAY(F45),0))),K47&amp;"Por favor no seleccionar los criterios de impacto",L34)</f>
        <v>0</v>
      </c>
      <c r="N34" s="263"/>
      <c r="O34" s="223"/>
      <c r="P34" s="257"/>
      <c r="Q34" s="134">
        <v>4</v>
      </c>
      <c r="R34" s="91"/>
      <c r="S34" s="144" t="str">
        <f t="shared" si="57"/>
        <v/>
      </c>
      <c r="T34" s="135"/>
      <c r="U34" s="135"/>
      <c r="V34" s="136" t="str">
        <f t="shared" si="53"/>
        <v/>
      </c>
      <c r="W34" s="135"/>
      <c r="X34" s="135"/>
      <c r="Y34" s="135"/>
      <c r="Z34" s="137" t="str">
        <f t="shared" ref="Z34:Z36" si="60">IFERROR(IF(AND(S33="Probabilidad",S34="Probabilidad"),(AB33-(+AB33*V34)),IF(AND(S33="Impacto",S34="Probabilidad"),(AB32-(+AB32*V34)),IF(S34="Impacto",AB33,""))),"")</f>
        <v/>
      </c>
      <c r="AA34" s="138" t="str">
        <f t="shared" si="54"/>
        <v/>
      </c>
      <c r="AB34" s="139" t="str">
        <f t="shared" si="58"/>
        <v/>
      </c>
      <c r="AC34" s="138" t="str">
        <f t="shared" si="55"/>
        <v/>
      </c>
      <c r="AD34" s="139" t="str">
        <f t="shared" si="59"/>
        <v/>
      </c>
      <c r="AE34" s="140" t="str">
        <f t="shared" si="56"/>
        <v/>
      </c>
      <c r="AF34" s="141"/>
      <c r="AG34" s="110"/>
      <c r="AH34" s="130"/>
      <c r="AI34" s="129"/>
      <c r="AJ34" s="129"/>
      <c r="AK34" s="110"/>
      <c r="AL34" s="130"/>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row>
    <row r="35" spans="1:66" ht="26.25" customHeight="1" x14ac:dyDescent="0.3">
      <c r="A35" s="214"/>
      <c r="B35" s="267"/>
      <c r="C35" s="267"/>
      <c r="D35" s="267"/>
      <c r="E35" s="149"/>
      <c r="F35" s="281"/>
      <c r="G35" s="150"/>
      <c r="H35" s="267"/>
      <c r="I35" s="278"/>
      <c r="J35" s="263"/>
      <c r="K35" s="223"/>
      <c r="L35" s="260"/>
      <c r="M35" s="223">
        <f ca="1">IF(NOT(ISERROR(MATCH(L35,_xlfn.ANCHORARRAY(F46),0))),K48&amp;"Por favor no seleccionar los criterios de impacto",L35)</f>
        <v>0</v>
      </c>
      <c r="N35" s="263"/>
      <c r="O35" s="223"/>
      <c r="P35" s="257"/>
      <c r="Q35" s="134">
        <v>5</v>
      </c>
      <c r="R35" s="91"/>
      <c r="S35" s="144" t="str">
        <f t="shared" si="57"/>
        <v/>
      </c>
      <c r="T35" s="135"/>
      <c r="U35" s="135"/>
      <c r="V35" s="136" t="str">
        <f t="shared" si="53"/>
        <v/>
      </c>
      <c r="W35" s="135"/>
      <c r="X35" s="135"/>
      <c r="Y35" s="135"/>
      <c r="Z35" s="137" t="str">
        <f t="shared" si="60"/>
        <v/>
      </c>
      <c r="AA35" s="138" t="str">
        <f t="shared" si="54"/>
        <v/>
      </c>
      <c r="AB35" s="139" t="str">
        <f t="shared" si="58"/>
        <v/>
      </c>
      <c r="AC35" s="138" t="str">
        <f t="shared" si="55"/>
        <v/>
      </c>
      <c r="AD35" s="139" t="str">
        <f t="shared" si="59"/>
        <v/>
      </c>
      <c r="AE35" s="140" t="str">
        <f t="shared" si="56"/>
        <v/>
      </c>
      <c r="AF35" s="141"/>
      <c r="AG35" s="110"/>
      <c r="AH35" s="130"/>
      <c r="AI35" s="129"/>
      <c r="AJ35" s="129"/>
      <c r="AK35" s="110"/>
      <c r="AL35" s="130"/>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row>
    <row r="36" spans="1:66" ht="26.25" customHeight="1" x14ac:dyDescent="0.3">
      <c r="A36" s="265"/>
      <c r="B36" s="268"/>
      <c r="C36" s="268"/>
      <c r="D36" s="268"/>
      <c r="E36" s="151"/>
      <c r="F36" s="282"/>
      <c r="G36" s="152"/>
      <c r="H36" s="268"/>
      <c r="I36" s="279"/>
      <c r="J36" s="264"/>
      <c r="K36" s="255"/>
      <c r="L36" s="261"/>
      <c r="M36" s="255">
        <f ca="1">IF(NOT(ISERROR(MATCH(L36,_xlfn.ANCHORARRAY(F47),0))),K49&amp;"Por favor no seleccionar los criterios de impacto",L36)</f>
        <v>0</v>
      </c>
      <c r="N36" s="264"/>
      <c r="O36" s="255"/>
      <c r="P36" s="258"/>
      <c r="Q36" s="134">
        <v>6</v>
      </c>
      <c r="R36" s="91"/>
      <c r="S36" s="144" t="str">
        <f t="shared" si="57"/>
        <v/>
      </c>
      <c r="T36" s="135"/>
      <c r="U36" s="135"/>
      <c r="V36" s="136" t="str">
        <f t="shared" si="53"/>
        <v/>
      </c>
      <c r="W36" s="135"/>
      <c r="X36" s="135"/>
      <c r="Y36" s="135"/>
      <c r="Z36" s="137" t="str">
        <f t="shared" si="60"/>
        <v/>
      </c>
      <c r="AA36" s="138" t="str">
        <f t="shared" si="54"/>
        <v/>
      </c>
      <c r="AB36" s="139" t="str">
        <f t="shared" si="58"/>
        <v/>
      </c>
      <c r="AC36" s="138" t="str">
        <f t="shared" si="55"/>
        <v/>
      </c>
      <c r="AD36" s="139" t="str">
        <f t="shared" si="59"/>
        <v/>
      </c>
      <c r="AE36" s="140" t="str">
        <f t="shared" si="56"/>
        <v/>
      </c>
      <c r="AF36" s="141"/>
      <c r="AG36" s="110"/>
      <c r="AH36" s="130"/>
      <c r="AI36" s="129"/>
      <c r="AJ36" s="129"/>
      <c r="AK36" s="110"/>
      <c r="AL36" s="130"/>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row>
    <row r="37" spans="1:66" ht="26.25" customHeight="1" x14ac:dyDescent="0.3">
      <c r="A37" s="213">
        <v>8</v>
      </c>
      <c r="B37" s="266"/>
      <c r="C37" s="266"/>
      <c r="D37" s="266"/>
      <c r="E37" s="153"/>
      <c r="F37" s="280"/>
      <c r="G37" s="154"/>
      <c r="H37" s="266"/>
      <c r="I37" s="277"/>
      <c r="J37" s="262" t="str">
        <f t="shared" ref="J37" si="61">IF(I37&lt;=0,"",IF(I37&lt;=2,"Muy Baja",IF(I37&lt;=24,"Baja",IF(I37&lt;=500,"Media",IF(I37&lt;=5000,"Alta","Muy Alta")))))</f>
        <v/>
      </c>
      <c r="K37" s="222" t="str">
        <f t="shared" ref="K37" si="62">IF(J37="","",IF(J37="Muy Baja",0.2,IF(J37="Baja",0.4,IF(J37="Media",0.6,IF(J37="Alta",0.8,IF(J37="Muy Alta",1,))))))</f>
        <v/>
      </c>
      <c r="L37" s="259"/>
      <c r="M37" s="222">
        <f ca="1">IF(NOT(ISERROR(MATCH(L37,'Tabla Impacto'!$B$221:$B$223,0))),'Tabla Impacto'!$F$223&amp;"Por favor no seleccionar los criterios de impacto(Afectación Económica o presupuestal y Pérdida Reputacional)",L37)</f>
        <v>0</v>
      </c>
      <c r="N37" s="262" t="str">
        <f ca="1">IF(OR(M37='Tabla Impacto'!$C$11,M37='Tabla Impacto'!$D$11),"Leve",IF(OR(M37='Tabla Impacto'!$C$12,M37='Tabla Impacto'!$D$12),"Menor",IF(OR(M37='Tabla Impacto'!$C$13,M37='Tabla Impacto'!$D$13),"Moderado",IF(OR(M37='Tabla Impacto'!$C$14,M37='Tabla Impacto'!$D$14),"Mayor",IF(OR(M37='Tabla Impacto'!$C$15,M37='Tabla Impacto'!$D$15),"Catastrófico","")))))</f>
        <v/>
      </c>
      <c r="O37" s="222" t="str">
        <f t="shared" ref="O37" ca="1" si="63">IF(N37="","",IF(N37="Leve",0.2,IF(N37="Menor",0.4,IF(N37="Moderado",0.6,IF(N37="Mayor",0.8,IF(N37="Catastrófico",1,))))))</f>
        <v/>
      </c>
      <c r="P37" s="256" t="str">
        <f t="shared" ref="P37" ca="1" si="64">IF(OR(AND(J37="Muy Baja",N37="Leve"),AND(J37="Muy Baja",N37="Menor"),AND(J37="Baja",N37="Leve")),"Bajo",IF(OR(AND(J37="Muy baja",N37="Moderado"),AND(J37="Baja",N37="Menor"),AND(J37="Baja",N37="Moderado"),AND(J37="Media",N37="Leve"),AND(J37="Media",N37="Menor"),AND(J37="Media",N37="Moderado"),AND(J37="Alta",N37="Leve"),AND(J37="Alta",N37="Menor")),"Moderado",IF(OR(AND(J37="Muy Baja",N37="Mayor"),AND(J37="Baja",N37="Mayor"),AND(J37="Media",N37="Mayor"),AND(J37="Alta",N37="Moderado"),AND(J37="Alta",N37="Mayor"),AND(J37="Muy Alta",N37="Leve"),AND(J37="Muy Alta",N37="Menor"),AND(J37="Muy Alta",N37="Moderado"),AND(J37="Muy Alta",N37="Mayor")),"Alto",IF(OR(AND(J37="Muy Baja",N37="Catastrófico"),AND(J37="Baja",N37="Catastrófico"),AND(J37="Media",N37="Catastrófico"),AND(J37="Alta",N37="Catastrófico"),AND(J37="Muy Alta",N37="Catastrófico")),"Extremo",""))))</f>
        <v/>
      </c>
      <c r="Q37" s="134">
        <v>1</v>
      </c>
      <c r="R37" s="91"/>
      <c r="S37" s="144" t="str">
        <f>IF(OR(T37="Preventivo",T37="Detectivo"),"Probabilidad",IF(T37="Correctivo","Impacto",""))</f>
        <v/>
      </c>
      <c r="T37" s="135"/>
      <c r="U37" s="135"/>
      <c r="V37" s="136" t="str">
        <f>IF(AND(T37="Preventivo",U37="Automático"),"50%",IF(AND(T37="Preventivo",U37="Manual"),"40%",IF(AND(T37="Detectivo",U37="Automático"),"40%",IF(AND(T37="Detectivo",U37="Manual"),"30%",IF(AND(T37="Correctivo",U37="Automático"),"35%",IF(AND(T37="Correctivo",U37="Manual"),"25%",""))))))</f>
        <v/>
      </c>
      <c r="W37" s="135"/>
      <c r="X37" s="135"/>
      <c r="Y37" s="135"/>
      <c r="Z37" s="137" t="str">
        <f>IFERROR(IF(S37="Probabilidad",(K37-(+K37*V37)),IF(S37="Impacto",K37,"")),"")</f>
        <v/>
      </c>
      <c r="AA37" s="138" t="str">
        <f>IFERROR(IF(Z37="","",IF(Z37&lt;=0.2,"Muy Baja",IF(Z37&lt;=0.4,"Baja",IF(Z37&lt;=0.6,"Media",IF(Z37&lt;=0.8,"Alta","Muy Alta"))))),"")</f>
        <v/>
      </c>
      <c r="AB37" s="139" t="str">
        <f>+Z37</f>
        <v/>
      </c>
      <c r="AC37" s="138" t="str">
        <f>IFERROR(IF(AD37="","",IF(AD37&lt;=0.2,"Leve",IF(AD37&lt;=0.4,"Menor",IF(AD37&lt;=0.6,"Moderado",IF(AD37&lt;=0.8,"Mayor","Catastrófico"))))),"")</f>
        <v/>
      </c>
      <c r="AD37" s="139" t="str">
        <f>IFERROR(IF(S37="Impacto",(O37-(+O37*V37)),IF(S37="Probabilidad",O37,"")),"")</f>
        <v/>
      </c>
      <c r="AE37" s="140" t="str">
        <f>IFERROR(IF(OR(AND(AA37="Muy Baja",AC37="Leve"),AND(AA37="Muy Baja",AC37="Menor"),AND(AA37="Baja",AC37="Leve")),"Bajo",IF(OR(AND(AA37="Muy baja",AC37="Moderado"),AND(AA37="Baja",AC37="Menor"),AND(AA37="Baja",AC37="Moderado"),AND(AA37="Media",AC37="Leve"),AND(AA37="Media",AC37="Menor"),AND(AA37="Media",AC37="Moderado"),AND(AA37="Alta",AC37="Leve"),AND(AA37="Alta",AC37="Menor")),"Moderado",IF(OR(AND(AA37="Muy Baja",AC37="Mayor"),AND(AA37="Baja",AC37="Mayor"),AND(AA37="Media",AC37="Mayor"),AND(AA37="Alta",AC37="Moderado"),AND(AA37="Alta",AC37="Mayor"),AND(AA37="Muy Alta",AC37="Leve"),AND(AA37="Muy Alta",AC37="Menor"),AND(AA37="Muy Alta",AC37="Moderado"),AND(AA37="Muy Alta",AC37="Mayor")),"Alto",IF(OR(AND(AA37="Muy Baja",AC37="Catastrófico"),AND(AA37="Baja",AC37="Catastrófico"),AND(AA37="Media",AC37="Catastrófico"),AND(AA37="Alta",AC37="Catastrófico"),AND(AA37="Muy Alta",AC37="Catastrófico")),"Extremo","")))),"")</f>
        <v/>
      </c>
      <c r="AF37" s="141"/>
      <c r="AG37" s="110"/>
      <c r="AH37" s="130"/>
      <c r="AI37" s="129"/>
      <c r="AJ37" s="129"/>
      <c r="AK37" s="110"/>
      <c r="AL37" s="130"/>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row>
    <row r="38" spans="1:66" ht="26.25" customHeight="1" x14ac:dyDescent="0.3">
      <c r="A38" s="214"/>
      <c r="B38" s="267"/>
      <c r="C38" s="267"/>
      <c r="D38" s="267"/>
      <c r="E38" s="149"/>
      <c r="F38" s="281"/>
      <c r="G38" s="150"/>
      <c r="H38" s="267"/>
      <c r="I38" s="278"/>
      <c r="J38" s="263"/>
      <c r="K38" s="223"/>
      <c r="L38" s="260"/>
      <c r="M38" s="223">
        <f ca="1">IF(NOT(ISERROR(MATCH(L38,_xlfn.ANCHORARRAY(F49),0))),K51&amp;"Por favor no seleccionar los criterios de impacto",L38)</f>
        <v>0</v>
      </c>
      <c r="N38" s="263"/>
      <c r="O38" s="223"/>
      <c r="P38" s="257"/>
      <c r="Q38" s="134">
        <v>2</v>
      </c>
      <c r="R38" s="91"/>
      <c r="S38" s="144" t="str">
        <f>IF(OR(T38="Preventivo",T38="Detectivo"),"Probabilidad",IF(T38="Correctivo","Impacto",""))</f>
        <v/>
      </c>
      <c r="T38" s="135"/>
      <c r="U38" s="135"/>
      <c r="V38" s="136" t="str">
        <f t="shared" ref="V38:V42" si="65">IF(AND(T38="Preventivo",U38="Automático"),"50%",IF(AND(T38="Preventivo",U38="Manual"),"40%",IF(AND(T38="Detectivo",U38="Automático"),"40%",IF(AND(T38="Detectivo",U38="Manual"),"30%",IF(AND(T38="Correctivo",U38="Automático"),"35%",IF(AND(T38="Correctivo",U38="Manual"),"25%",""))))))</f>
        <v/>
      </c>
      <c r="W38" s="135"/>
      <c r="X38" s="135"/>
      <c r="Y38" s="135"/>
      <c r="Z38" s="137" t="str">
        <f>IFERROR(IF(AND(S37="Probabilidad",S38="Probabilidad"),(AB37-(+AB37*V38)),IF(AND(S37="Impacto",S38="Probabilidad"),(K37-(+K37*V38)),IF(S38="Impacto",AB37,""))),"")</f>
        <v/>
      </c>
      <c r="AA38" s="138" t="str">
        <f t="shared" ref="AA38:AA42" si="66">IFERROR(IF(Z38="","",IF(Z38&lt;=0.2,"Muy Baja",IF(Z38&lt;=0.4,"Baja",IF(Z38&lt;=0.6,"Media",IF(Z38&lt;=0.8,"Alta","Muy Alta"))))),"")</f>
        <v/>
      </c>
      <c r="AB38" s="139" t="str">
        <f>+Z38</f>
        <v/>
      </c>
      <c r="AC38" s="138" t="str">
        <f t="shared" ref="AC38:AC42" si="67">IFERROR(IF(AD38="","",IF(AD38&lt;=0.2,"Leve",IF(AD38&lt;=0.4,"Menor",IF(AD38&lt;=0.6,"Moderado",IF(AD38&lt;=0.8,"Mayor","Catastrófico"))))),"")</f>
        <v/>
      </c>
      <c r="AD38" s="139" t="str">
        <f>IFERROR(IF(AND(S37="Impacto",S38="Impacto"),(AD37-(+AD37*V38)),IF(AND(S37="Probabilidad",S38="Impacto"),(O37-(+O37*V38)),IF(S38="Probabilidad",AD37,""))),"")</f>
        <v/>
      </c>
      <c r="AE38" s="140" t="str">
        <f t="shared" ref="AE38:AE42" si="68">IFERROR(IF(OR(AND(AA38="Muy Baja",AC38="Leve"),AND(AA38="Muy Baja",AC38="Menor"),AND(AA38="Baja",AC38="Leve")),"Bajo",IF(OR(AND(AA38="Muy baja",AC38="Moderado"),AND(AA38="Baja",AC38="Menor"),AND(AA38="Baja",AC38="Moderado"),AND(AA38="Media",AC38="Leve"),AND(AA38="Media",AC38="Menor"),AND(AA38="Media",AC38="Moderado"),AND(AA38="Alta",AC38="Leve"),AND(AA38="Alta",AC38="Menor")),"Moderado",IF(OR(AND(AA38="Muy Baja",AC38="Mayor"),AND(AA38="Baja",AC38="Mayor"),AND(AA38="Media",AC38="Mayor"),AND(AA38="Alta",AC38="Moderado"),AND(AA38="Alta",AC38="Mayor"),AND(AA38="Muy Alta",AC38="Leve"),AND(AA38="Muy Alta",AC38="Menor"),AND(AA38="Muy Alta",AC38="Moderado"),AND(AA38="Muy Alta",AC38="Mayor")),"Alto",IF(OR(AND(AA38="Muy Baja",AC38="Catastrófico"),AND(AA38="Baja",AC38="Catastrófico"),AND(AA38="Media",AC38="Catastrófico"),AND(AA38="Alta",AC38="Catastrófico"),AND(AA38="Muy Alta",AC38="Catastrófico")),"Extremo","")))),"")</f>
        <v/>
      </c>
      <c r="AF38" s="141"/>
      <c r="AG38" s="110"/>
      <c r="AH38" s="130"/>
      <c r="AI38" s="129"/>
      <c r="AJ38" s="129"/>
      <c r="AK38" s="110"/>
      <c r="AL38" s="130"/>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row>
    <row r="39" spans="1:66" ht="26.25" customHeight="1" x14ac:dyDescent="0.3">
      <c r="A39" s="214"/>
      <c r="B39" s="267"/>
      <c r="C39" s="267"/>
      <c r="D39" s="267"/>
      <c r="E39" s="149"/>
      <c r="F39" s="281"/>
      <c r="G39" s="150"/>
      <c r="H39" s="267"/>
      <c r="I39" s="278"/>
      <c r="J39" s="263"/>
      <c r="K39" s="223"/>
      <c r="L39" s="260"/>
      <c r="M39" s="223">
        <f ca="1">IF(NOT(ISERROR(MATCH(L39,_xlfn.ANCHORARRAY(F50),0))),K52&amp;"Por favor no seleccionar los criterios de impacto",L39)</f>
        <v>0</v>
      </c>
      <c r="N39" s="263"/>
      <c r="O39" s="223"/>
      <c r="P39" s="257"/>
      <c r="Q39" s="134">
        <v>3</v>
      </c>
      <c r="R39" s="143"/>
      <c r="S39" s="144" t="str">
        <f t="shared" ref="S39:S42" si="69">IF(OR(T39="Preventivo",T39="Detectivo"),"Probabilidad",IF(T39="Correctivo","Impacto",""))</f>
        <v/>
      </c>
      <c r="T39" s="135"/>
      <c r="U39" s="135"/>
      <c r="V39" s="136" t="str">
        <f t="shared" si="65"/>
        <v/>
      </c>
      <c r="W39" s="135"/>
      <c r="X39" s="135"/>
      <c r="Y39" s="135"/>
      <c r="Z39" s="137" t="str">
        <f>IFERROR(IF(AND(S38="Probabilidad",S39="Probabilidad"),(AB38-(+AB38*V39)),IF(AND(S38="Impacto",S39="Probabilidad"),(AB37-(+AB37*V39)),IF(S39="Impacto",AB38,""))),"")</f>
        <v/>
      </c>
      <c r="AA39" s="138" t="str">
        <f t="shared" si="66"/>
        <v/>
      </c>
      <c r="AB39" s="139" t="str">
        <f t="shared" ref="AB39:AB42" si="70">+Z39</f>
        <v/>
      </c>
      <c r="AC39" s="138" t="str">
        <f t="shared" si="67"/>
        <v/>
      </c>
      <c r="AD39" s="139" t="str">
        <f t="shared" ref="AD39:AD42" si="71">IFERROR(IF(AND(S38="Impacto",S39="Impacto"),(AD38-(+AD38*V39)),IF(AND(S38="Probabilidad",S39="Impacto"),(AD37-(+AD37*V39)),IF(S39="Probabilidad",AD38,""))),"")</f>
        <v/>
      </c>
      <c r="AE39" s="140" t="str">
        <f t="shared" si="68"/>
        <v/>
      </c>
      <c r="AF39" s="141"/>
      <c r="AG39" s="110"/>
      <c r="AH39" s="130"/>
      <c r="AI39" s="129"/>
      <c r="AJ39" s="129"/>
      <c r="AK39" s="110"/>
      <c r="AL39" s="130"/>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row>
    <row r="40" spans="1:66" ht="26.25" customHeight="1" x14ac:dyDescent="0.3">
      <c r="A40" s="214"/>
      <c r="B40" s="267"/>
      <c r="C40" s="267"/>
      <c r="D40" s="267"/>
      <c r="E40" s="149"/>
      <c r="F40" s="281"/>
      <c r="G40" s="150"/>
      <c r="H40" s="267"/>
      <c r="I40" s="278"/>
      <c r="J40" s="263"/>
      <c r="K40" s="223"/>
      <c r="L40" s="260"/>
      <c r="M40" s="223">
        <f ca="1">IF(NOT(ISERROR(MATCH(L40,_xlfn.ANCHORARRAY(F51),0))),K53&amp;"Por favor no seleccionar los criterios de impacto",L40)</f>
        <v>0</v>
      </c>
      <c r="N40" s="263"/>
      <c r="O40" s="223"/>
      <c r="P40" s="257"/>
      <c r="Q40" s="134">
        <v>4</v>
      </c>
      <c r="R40" s="91"/>
      <c r="S40" s="144" t="str">
        <f t="shared" si="69"/>
        <v/>
      </c>
      <c r="T40" s="135"/>
      <c r="U40" s="135"/>
      <c r="V40" s="136" t="str">
        <f t="shared" si="65"/>
        <v/>
      </c>
      <c r="W40" s="135"/>
      <c r="X40" s="135"/>
      <c r="Y40" s="135"/>
      <c r="Z40" s="137" t="str">
        <f t="shared" ref="Z40:Z42" si="72">IFERROR(IF(AND(S39="Probabilidad",S40="Probabilidad"),(AB39-(+AB39*V40)),IF(AND(S39="Impacto",S40="Probabilidad"),(AB38-(+AB38*V40)),IF(S40="Impacto",AB39,""))),"")</f>
        <v/>
      </c>
      <c r="AA40" s="138" t="str">
        <f t="shared" si="66"/>
        <v/>
      </c>
      <c r="AB40" s="139" t="str">
        <f t="shared" si="70"/>
        <v/>
      </c>
      <c r="AC40" s="138" t="str">
        <f t="shared" si="67"/>
        <v/>
      </c>
      <c r="AD40" s="139" t="str">
        <f t="shared" si="71"/>
        <v/>
      </c>
      <c r="AE40" s="140" t="str">
        <f t="shared" si="68"/>
        <v/>
      </c>
      <c r="AF40" s="141"/>
      <c r="AG40" s="110"/>
      <c r="AH40" s="130"/>
      <c r="AI40" s="129"/>
      <c r="AJ40" s="129"/>
      <c r="AK40" s="110"/>
      <c r="AL40" s="130"/>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row>
    <row r="41" spans="1:66" ht="26.25" customHeight="1" x14ac:dyDescent="0.3">
      <c r="A41" s="214"/>
      <c r="B41" s="267"/>
      <c r="C41" s="267"/>
      <c r="D41" s="267"/>
      <c r="E41" s="149"/>
      <c r="F41" s="281"/>
      <c r="G41" s="150"/>
      <c r="H41" s="267"/>
      <c r="I41" s="278"/>
      <c r="J41" s="263"/>
      <c r="K41" s="223"/>
      <c r="L41" s="260"/>
      <c r="M41" s="223">
        <f ca="1">IF(NOT(ISERROR(MATCH(L41,_xlfn.ANCHORARRAY(F52),0))),K54&amp;"Por favor no seleccionar los criterios de impacto",L41)</f>
        <v>0</v>
      </c>
      <c r="N41" s="263"/>
      <c r="O41" s="223"/>
      <c r="P41" s="257"/>
      <c r="Q41" s="134">
        <v>5</v>
      </c>
      <c r="R41" s="91"/>
      <c r="S41" s="144" t="str">
        <f t="shared" si="69"/>
        <v/>
      </c>
      <c r="T41" s="135"/>
      <c r="U41" s="135"/>
      <c r="V41" s="136" t="str">
        <f t="shared" si="65"/>
        <v/>
      </c>
      <c r="W41" s="135"/>
      <c r="X41" s="135"/>
      <c r="Y41" s="135"/>
      <c r="Z41" s="137" t="str">
        <f t="shared" si="72"/>
        <v/>
      </c>
      <c r="AA41" s="138" t="str">
        <f t="shared" si="66"/>
        <v/>
      </c>
      <c r="AB41" s="139" t="str">
        <f t="shared" si="70"/>
        <v/>
      </c>
      <c r="AC41" s="138" t="str">
        <f t="shared" si="67"/>
        <v/>
      </c>
      <c r="AD41" s="139" t="str">
        <f t="shared" si="71"/>
        <v/>
      </c>
      <c r="AE41" s="140" t="str">
        <f t="shared" si="68"/>
        <v/>
      </c>
      <c r="AF41" s="141"/>
      <c r="AG41" s="110"/>
      <c r="AH41" s="130"/>
      <c r="AI41" s="129"/>
      <c r="AJ41" s="129"/>
      <c r="AK41" s="110"/>
      <c r="AL41" s="130"/>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row>
    <row r="42" spans="1:66" ht="26.25" customHeight="1" x14ac:dyDescent="0.3">
      <c r="A42" s="265"/>
      <c r="B42" s="268"/>
      <c r="C42" s="268"/>
      <c r="D42" s="268"/>
      <c r="E42" s="151"/>
      <c r="F42" s="282"/>
      <c r="G42" s="152"/>
      <c r="H42" s="268"/>
      <c r="I42" s="279"/>
      <c r="J42" s="264"/>
      <c r="K42" s="255"/>
      <c r="L42" s="261"/>
      <c r="M42" s="255">
        <f ca="1">IF(NOT(ISERROR(MATCH(L42,_xlfn.ANCHORARRAY(F53),0))),K55&amp;"Por favor no seleccionar los criterios de impacto",L42)</f>
        <v>0</v>
      </c>
      <c r="N42" s="264"/>
      <c r="O42" s="255"/>
      <c r="P42" s="258"/>
      <c r="Q42" s="134">
        <v>6</v>
      </c>
      <c r="R42" s="91"/>
      <c r="S42" s="144" t="str">
        <f t="shared" si="69"/>
        <v/>
      </c>
      <c r="T42" s="135"/>
      <c r="U42" s="135"/>
      <c r="V42" s="136" t="str">
        <f t="shared" si="65"/>
        <v/>
      </c>
      <c r="W42" s="135"/>
      <c r="X42" s="135"/>
      <c r="Y42" s="135"/>
      <c r="Z42" s="137" t="str">
        <f t="shared" si="72"/>
        <v/>
      </c>
      <c r="AA42" s="138" t="str">
        <f t="shared" si="66"/>
        <v/>
      </c>
      <c r="AB42" s="139" t="str">
        <f t="shared" si="70"/>
        <v/>
      </c>
      <c r="AC42" s="138" t="str">
        <f t="shared" si="67"/>
        <v/>
      </c>
      <c r="AD42" s="139" t="str">
        <f t="shared" si="71"/>
        <v/>
      </c>
      <c r="AE42" s="140" t="str">
        <f t="shared" si="68"/>
        <v/>
      </c>
      <c r="AF42" s="141"/>
      <c r="AG42" s="110"/>
      <c r="AH42" s="130"/>
      <c r="AI42" s="129"/>
      <c r="AJ42" s="129"/>
      <c r="AK42" s="110"/>
      <c r="AL42" s="130"/>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row>
    <row r="43" spans="1:66" ht="26.25" customHeight="1" x14ac:dyDescent="0.3">
      <c r="A43" s="213">
        <v>9</v>
      </c>
      <c r="B43" s="266"/>
      <c r="C43" s="266"/>
      <c r="D43" s="266"/>
      <c r="E43" s="153"/>
      <c r="F43" s="280"/>
      <c r="G43" s="154"/>
      <c r="H43" s="266"/>
      <c r="I43" s="277"/>
      <c r="J43" s="262" t="str">
        <f t="shared" ref="J43" si="73">IF(I43&lt;=0,"",IF(I43&lt;=2,"Muy Baja",IF(I43&lt;=24,"Baja",IF(I43&lt;=500,"Media",IF(I43&lt;=5000,"Alta","Muy Alta")))))</f>
        <v/>
      </c>
      <c r="K43" s="222" t="str">
        <f t="shared" ref="K43" si="74">IF(J43="","",IF(J43="Muy Baja",0.2,IF(J43="Baja",0.4,IF(J43="Media",0.6,IF(J43="Alta",0.8,IF(J43="Muy Alta",1,))))))</f>
        <v/>
      </c>
      <c r="L43" s="259"/>
      <c r="M43" s="222">
        <f ca="1">IF(NOT(ISERROR(MATCH(L43,'Tabla Impacto'!$B$221:$B$223,0))),'Tabla Impacto'!$F$223&amp;"Por favor no seleccionar los criterios de impacto(Afectación Económica o presupuestal y Pérdida Reputacional)",L43)</f>
        <v>0</v>
      </c>
      <c r="N43" s="262" t="str">
        <f ca="1">IF(OR(M43='Tabla Impacto'!$C$11,M43='Tabla Impacto'!$D$11),"Leve",IF(OR(M43='Tabla Impacto'!$C$12,M43='Tabla Impacto'!$D$12),"Menor",IF(OR(M43='Tabla Impacto'!$C$13,M43='Tabla Impacto'!$D$13),"Moderado",IF(OR(M43='Tabla Impacto'!$C$14,M43='Tabla Impacto'!$D$14),"Mayor",IF(OR(M43='Tabla Impacto'!$C$15,M43='Tabla Impacto'!$D$15),"Catastrófico","")))))</f>
        <v/>
      </c>
      <c r="O43" s="222" t="str">
        <f t="shared" ref="O43" ca="1" si="75">IF(N43="","",IF(N43="Leve",0.2,IF(N43="Menor",0.4,IF(N43="Moderado",0.6,IF(N43="Mayor",0.8,IF(N43="Catastrófico",1,))))))</f>
        <v/>
      </c>
      <c r="P43" s="256" t="str">
        <f t="shared" ref="P43" ca="1" si="76">IF(OR(AND(J43="Muy Baja",N43="Leve"),AND(J43="Muy Baja",N43="Menor"),AND(J43="Baja",N43="Leve")),"Bajo",IF(OR(AND(J43="Muy baja",N43="Moderado"),AND(J43="Baja",N43="Menor"),AND(J43="Baja",N43="Moderado"),AND(J43="Media",N43="Leve"),AND(J43="Media",N43="Menor"),AND(J43="Media",N43="Moderado"),AND(J43="Alta",N43="Leve"),AND(J43="Alta",N43="Menor")),"Moderado",IF(OR(AND(J43="Muy Baja",N43="Mayor"),AND(J43="Baja",N43="Mayor"),AND(J43="Media",N43="Mayor"),AND(J43="Alta",N43="Moderado"),AND(J43="Alta",N43="Mayor"),AND(J43="Muy Alta",N43="Leve"),AND(J43="Muy Alta",N43="Menor"),AND(J43="Muy Alta",N43="Moderado"),AND(J43="Muy Alta",N43="Mayor")),"Alto",IF(OR(AND(J43="Muy Baja",N43="Catastrófico"),AND(J43="Baja",N43="Catastrófico"),AND(J43="Media",N43="Catastrófico"),AND(J43="Alta",N43="Catastrófico"),AND(J43="Muy Alta",N43="Catastrófico")),"Extremo",""))))</f>
        <v/>
      </c>
      <c r="Q43" s="134">
        <v>1</v>
      </c>
      <c r="R43" s="91"/>
      <c r="S43" s="144" t="str">
        <f>IF(OR(T43="Preventivo",T43="Detectivo"),"Probabilidad",IF(T43="Correctivo","Impacto",""))</f>
        <v/>
      </c>
      <c r="T43" s="135"/>
      <c r="U43" s="135"/>
      <c r="V43" s="136" t="str">
        <f>IF(AND(T43="Preventivo",U43="Automático"),"50%",IF(AND(T43="Preventivo",U43="Manual"),"40%",IF(AND(T43="Detectivo",U43="Automático"),"40%",IF(AND(T43="Detectivo",U43="Manual"),"30%",IF(AND(T43="Correctivo",U43="Automático"),"35%",IF(AND(T43="Correctivo",U43="Manual"),"25%",""))))))</f>
        <v/>
      </c>
      <c r="W43" s="135"/>
      <c r="X43" s="135"/>
      <c r="Y43" s="135"/>
      <c r="Z43" s="137" t="str">
        <f>IFERROR(IF(S43="Probabilidad",(K43-(+K43*V43)),IF(S43="Impacto",K43,"")),"")</f>
        <v/>
      </c>
      <c r="AA43" s="138" t="str">
        <f>IFERROR(IF(Z43="","",IF(Z43&lt;=0.2,"Muy Baja",IF(Z43&lt;=0.4,"Baja",IF(Z43&lt;=0.6,"Media",IF(Z43&lt;=0.8,"Alta","Muy Alta"))))),"")</f>
        <v/>
      </c>
      <c r="AB43" s="139" t="str">
        <f>+Z43</f>
        <v/>
      </c>
      <c r="AC43" s="138" t="str">
        <f>IFERROR(IF(AD43="","",IF(AD43&lt;=0.2,"Leve",IF(AD43&lt;=0.4,"Menor",IF(AD43&lt;=0.6,"Moderado",IF(AD43&lt;=0.8,"Mayor","Catastrófico"))))),"")</f>
        <v/>
      </c>
      <c r="AD43" s="139" t="str">
        <f>IFERROR(IF(S43="Impacto",(O43-(+O43*V43)),IF(S43="Probabilidad",O43,"")),"")</f>
        <v/>
      </c>
      <c r="AE43" s="140" t="str">
        <f>IFERROR(IF(OR(AND(AA43="Muy Baja",AC43="Leve"),AND(AA43="Muy Baja",AC43="Menor"),AND(AA43="Baja",AC43="Leve")),"Bajo",IF(OR(AND(AA43="Muy baja",AC43="Moderado"),AND(AA43="Baja",AC43="Menor"),AND(AA43="Baja",AC43="Moderado"),AND(AA43="Media",AC43="Leve"),AND(AA43="Media",AC43="Menor"),AND(AA43="Media",AC43="Moderado"),AND(AA43="Alta",AC43="Leve"),AND(AA43="Alta",AC43="Menor")),"Moderado",IF(OR(AND(AA43="Muy Baja",AC43="Mayor"),AND(AA43="Baja",AC43="Mayor"),AND(AA43="Media",AC43="Mayor"),AND(AA43="Alta",AC43="Moderado"),AND(AA43="Alta",AC43="Mayor"),AND(AA43="Muy Alta",AC43="Leve"),AND(AA43="Muy Alta",AC43="Menor"),AND(AA43="Muy Alta",AC43="Moderado"),AND(AA43="Muy Alta",AC43="Mayor")),"Alto",IF(OR(AND(AA43="Muy Baja",AC43="Catastrófico"),AND(AA43="Baja",AC43="Catastrófico"),AND(AA43="Media",AC43="Catastrófico"),AND(AA43="Alta",AC43="Catastrófico"),AND(AA43="Muy Alta",AC43="Catastrófico")),"Extremo","")))),"")</f>
        <v/>
      </c>
      <c r="AF43" s="141"/>
      <c r="AG43" s="110"/>
      <c r="AH43" s="130"/>
      <c r="AI43" s="129"/>
      <c r="AJ43" s="129"/>
      <c r="AK43" s="110"/>
      <c r="AL43" s="130"/>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row>
    <row r="44" spans="1:66" ht="26.25" customHeight="1" x14ac:dyDescent="0.3">
      <c r="A44" s="214"/>
      <c r="B44" s="267"/>
      <c r="C44" s="267"/>
      <c r="D44" s="267"/>
      <c r="E44" s="149"/>
      <c r="F44" s="281"/>
      <c r="G44" s="150"/>
      <c r="H44" s="267"/>
      <c r="I44" s="278"/>
      <c r="J44" s="263"/>
      <c r="K44" s="223"/>
      <c r="L44" s="260"/>
      <c r="M44" s="223">
        <f ca="1">IF(NOT(ISERROR(MATCH(L44,_xlfn.ANCHORARRAY(F55),0))),K57&amp;"Por favor no seleccionar los criterios de impacto",L44)</f>
        <v>0</v>
      </c>
      <c r="N44" s="263"/>
      <c r="O44" s="223"/>
      <c r="P44" s="257"/>
      <c r="Q44" s="134">
        <v>2</v>
      </c>
      <c r="R44" s="91"/>
      <c r="S44" s="144" t="str">
        <f>IF(OR(T44="Preventivo",T44="Detectivo"),"Probabilidad",IF(T44="Correctivo","Impacto",""))</f>
        <v/>
      </c>
      <c r="T44" s="135"/>
      <c r="U44" s="135"/>
      <c r="V44" s="136" t="str">
        <f t="shared" ref="V44:V48" si="77">IF(AND(T44="Preventivo",U44="Automático"),"50%",IF(AND(T44="Preventivo",U44="Manual"),"40%",IF(AND(T44="Detectivo",U44="Automático"),"40%",IF(AND(T44="Detectivo",U44="Manual"),"30%",IF(AND(T44="Correctivo",U44="Automático"),"35%",IF(AND(T44="Correctivo",U44="Manual"),"25%",""))))))</f>
        <v/>
      </c>
      <c r="W44" s="135"/>
      <c r="X44" s="135"/>
      <c r="Y44" s="135"/>
      <c r="Z44" s="137" t="str">
        <f>IFERROR(IF(AND(S43="Probabilidad",S44="Probabilidad"),(AB43-(+AB43*V44)),IF(AND(S43="Impacto",S44="Probabilidad"),(K43-(+K43*V44)),IF(S44="Impacto",AB43,""))),"")</f>
        <v/>
      </c>
      <c r="AA44" s="138" t="str">
        <f t="shared" ref="AA44:AA48" si="78">IFERROR(IF(Z44="","",IF(Z44&lt;=0.2,"Muy Baja",IF(Z44&lt;=0.4,"Baja",IF(Z44&lt;=0.6,"Media",IF(Z44&lt;=0.8,"Alta","Muy Alta"))))),"")</f>
        <v/>
      </c>
      <c r="AB44" s="139" t="str">
        <f>+Z44</f>
        <v/>
      </c>
      <c r="AC44" s="138" t="str">
        <f t="shared" ref="AC44:AC48" si="79">IFERROR(IF(AD44="","",IF(AD44&lt;=0.2,"Leve",IF(AD44&lt;=0.4,"Menor",IF(AD44&lt;=0.6,"Moderado",IF(AD44&lt;=0.8,"Mayor","Catastrófico"))))),"")</f>
        <v/>
      </c>
      <c r="AD44" s="139" t="str">
        <f>IFERROR(IF(AND(S43="Impacto",S44="Impacto"),(AD43-(+AD43*V44)),IF(AND(S43="Probabilidad",S44="Impacto"),(O43-(+O43*V44)),IF(S44="Probabilidad",AD43,""))),"")</f>
        <v/>
      </c>
      <c r="AE44" s="140" t="str">
        <f t="shared" ref="AE44:AE48" si="80">IFERROR(IF(OR(AND(AA44="Muy Baja",AC44="Leve"),AND(AA44="Muy Baja",AC44="Menor"),AND(AA44="Baja",AC44="Leve")),"Bajo",IF(OR(AND(AA44="Muy baja",AC44="Moderado"),AND(AA44="Baja",AC44="Menor"),AND(AA44="Baja",AC44="Moderado"),AND(AA44="Media",AC44="Leve"),AND(AA44="Media",AC44="Menor"),AND(AA44="Media",AC44="Moderado"),AND(AA44="Alta",AC44="Leve"),AND(AA44="Alta",AC44="Menor")),"Moderado",IF(OR(AND(AA44="Muy Baja",AC44="Mayor"),AND(AA44="Baja",AC44="Mayor"),AND(AA44="Media",AC44="Mayor"),AND(AA44="Alta",AC44="Moderado"),AND(AA44="Alta",AC44="Mayor"),AND(AA44="Muy Alta",AC44="Leve"),AND(AA44="Muy Alta",AC44="Menor"),AND(AA44="Muy Alta",AC44="Moderado"),AND(AA44="Muy Alta",AC44="Mayor")),"Alto",IF(OR(AND(AA44="Muy Baja",AC44="Catastrófico"),AND(AA44="Baja",AC44="Catastrófico"),AND(AA44="Media",AC44="Catastrófico"),AND(AA44="Alta",AC44="Catastrófico"),AND(AA44="Muy Alta",AC44="Catastrófico")),"Extremo","")))),"")</f>
        <v/>
      </c>
      <c r="AF44" s="141"/>
      <c r="AG44" s="110"/>
      <c r="AH44" s="130"/>
      <c r="AI44" s="129"/>
      <c r="AJ44" s="129"/>
      <c r="AK44" s="110"/>
      <c r="AL44" s="130"/>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row>
    <row r="45" spans="1:66" ht="26.25" customHeight="1" x14ac:dyDescent="0.3">
      <c r="A45" s="214"/>
      <c r="B45" s="267"/>
      <c r="C45" s="267"/>
      <c r="D45" s="267"/>
      <c r="E45" s="149"/>
      <c r="F45" s="281"/>
      <c r="G45" s="150"/>
      <c r="H45" s="267"/>
      <c r="I45" s="278"/>
      <c r="J45" s="263"/>
      <c r="K45" s="223"/>
      <c r="L45" s="260"/>
      <c r="M45" s="223">
        <f ca="1">IF(NOT(ISERROR(MATCH(L45,_xlfn.ANCHORARRAY(F56),0))),K58&amp;"Por favor no seleccionar los criterios de impacto",L45)</f>
        <v>0</v>
      </c>
      <c r="N45" s="263"/>
      <c r="O45" s="223"/>
      <c r="P45" s="257"/>
      <c r="Q45" s="134">
        <v>3</v>
      </c>
      <c r="R45" s="143"/>
      <c r="S45" s="144" t="str">
        <f t="shared" ref="S45:S48" si="81">IF(OR(T45="Preventivo",T45="Detectivo"),"Probabilidad",IF(T45="Correctivo","Impacto",""))</f>
        <v/>
      </c>
      <c r="T45" s="135"/>
      <c r="U45" s="135"/>
      <c r="V45" s="136" t="str">
        <f t="shared" si="77"/>
        <v/>
      </c>
      <c r="W45" s="135"/>
      <c r="X45" s="135"/>
      <c r="Y45" s="135"/>
      <c r="Z45" s="137" t="str">
        <f>IFERROR(IF(AND(S44="Probabilidad",S45="Probabilidad"),(AB44-(+AB44*V45)),IF(AND(S44="Impacto",S45="Probabilidad"),(AB43-(+AB43*V45)),IF(S45="Impacto",AB44,""))),"")</f>
        <v/>
      </c>
      <c r="AA45" s="138" t="str">
        <f t="shared" si="78"/>
        <v/>
      </c>
      <c r="AB45" s="139" t="str">
        <f t="shared" ref="AB45:AB48" si="82">+Z45</f>
        <v/>
      </c>
      <c r="AC45" s="138" t="str">
        <f t="shared" si="79"/>
        <v/>
      </c>
      <c r="AD45" s="139" t="str">
        <f t="shared" ref="AD45:AD48" si="83">IFERROR(IF(AND(S44="Impacto",S45="Impacto"),(AD44-(+AD44*V45)),IF(AND(S44="Probabilidad",S45="Impacto"),(AD43-(+AD43*V45)),IF(S45="Probabilidad",AD44,""))),"")</f>
        <v/>
      </c>
      <c r="AE45" s="140" t="str">
        <f t="shared" si="80"/>
        <v/>
      </c>
      <c r="AF45" s="141"/>
      <c r="AG45" s="110"/>
      <c r="AH45" s="130"/>
      <c r="AI45" s="129"/>
      <c r="AJ45" s="129"/>
      <c r="AK45" s="110"/>
      <c r="AL45" s="130"/>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row>
    <row r="46" spans="1:66" ht="26.25" customHeight="1" x14ac:dyDescent="0.3">
      <c r="A46" s="214"/>
      <c r="B46" s="267"/>
      <c r="C46" s="267"/>
      <c r="D46" s="267"/>
      <c r="E46" s="149"/>
      <c r="F46" s="281"/>
      <c r="G46" s="150"/>
      <c r="H46" s="267"/>
      <c r="I46" s="278"/>
      <c r="J46" s="263"/>
      <c r="K46" s="223"/>
      <c r="L46" s="260"/>
      <c r="M46" s="223">
        <f ca="1">IF(NOT(ISERROR(MATCH(L46,_xlfn.ANCHORARRAY(F57),0))),K59&amp;"Por favor no seleccionar los criterios de impacto",L46)</f>
        <v>0</v>
      </c>
      <c r="N46" s="263"/>
      <c r="O46" s="223"/>
      <c r="P46" s="257"/>
      <c r="Q46" s="134">
        <v>4</v>
      </c>
      <c r="R46" s="91"/>
      <c r="S46" s="144" t="str">
        <f t="shared" si="81"/>
        <v/>
      </c>
      <c r="T46" s="135"/>
      <c r="U46" s="135"/>
      <c r="V46" s="136" t="str">
        <f t="shared" si="77"/>
        <v/>
      </c>
      <c r="W46" s="135"/>
      <c r="X46" s="135"/>
      <c r="Y46" s="135"/>
      <c r="Z46" s="137" t="str">
        <f t="shared" ref="Z46:Z48" si="84">IFERROR(IF(AND(S45="Probabilidad",S46="Probabilidad"),(AB45-(+AB45*V46)),IF(AND(S45="Impacto",S46="Probabilidad"),(AB44-(+AB44*V46)),IF(S46="Impacto",AB45,""))),"")</f>
        <v/>
      </c>
      <c r="AA46" s="138" t="str">
        <f t="shared" si="78"/>
        <v/>
      </c>
      <c r="AB46" s="139" t="str">
        <f t="shared" si="82"/>
        <v/>
      </c>
      <c r="AC46" s="138" t="str">
        <f t="shared" si="79"/>
        <v/>
      </c>
      <c r="AD46" s="139" t="str">
        <f t="shared" si="83"/>
        <v/>
      </c>
      <c r="AE46" s="140" t="str">
        <f t="shared" si="80"/>
        <v/>
      </c>
      <c r="AF46" s="141"/>
      <c r="AG46" s="110"/>
      <c r="AH46" s="130"/>
      <c r="AI46" s="129"/>
      <c r="AJ46" s="129"/>
      <c r="AK46" s="110"/>
      <c r="AL46" s="130"/>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row>
    <row r="47" spans="1:66" ht="26.25" customHeight="1" x14ac:dyDescent="0.3">
      <c r="A47" s="214"/>
      <c r="B47" s="267"/>
      <c r="C47" s="267"/>
      <c r="D47" s="267"/>
      <c r="E47" s="149"/>
      <c r="F47" s="281"/>
      <c r="G47" s="150"/>
      <c r="H47" s="267"/>
      <c r="I47" s="278"/>
      <c r="J47" s="263"/>
      <c r="K47" s="223"/>
      <c r="L47" s="260"/>
      <c r="M47" s="223">
        <f ca="1">IF(NOT(ISERROR(MATCH(L47,_xlfn.ANCHORARRAY(F58),0))),K60&amp;"Por favor no seleccionar los criterios de impacto",L47)</f>
        <v>0</v>
      </c>
      <c r="N47" s="263"/>
      <c r="O47" s="223"/>
      <c r="P47" s="257"/>
      <c r="Q47" s="134">
        <v>5</v>
      </c>
      <c r="R47" s="91"/>
      <c r="S47" s="144" t="str">
        <f t="shared" si="81"/>
        <v/>
      </c>
      <c r="T47" s="135"/>
      <c r="U47" s="135"/>
      <c r="V47" s="136" t="str">
        <f t="shared" si="77"/>
        <v/>
      </c>
      <c r="W47" s="135"/>
      <c r="X47" s="135"/>
      <c r="Y47" s="135"/>
      <c r="Z47" s="137" t="str">
        <f t="shared" si="84"/>
        <v/>
      </c>
      <c r="AA47" s="138" t="str">
        <f t="shared" si="78"/>
        <v/>
      </c>
      <c r="AB47" s="139" t="str">
        <f t="shared" si="82"/>
        <v/>
      </c>
      <c r="AC47" s="138" t="str">
        <f t="shared" si="79"/>
        <v/>
      </c>
      <c r="AD47" s="139" t="str">
        <f t="shared" si="83"/>
        <v/>
      </c>
      <c r="AE47" s="140" t="str">
        <f t="shared" si="80"/>
        <v/>
      </c>
      <c r="AF47" s="141"/>
      <c r="AG47" s="110"/>
      <c r="AH47" s="130"/>
      <c r="AI47" s="129"/>
      <c r="AJ47" s="129"/>
      <c r="AK47" s="110"/>
      <c r="AL47" s="130"/>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row>
    <row r="48" spans="1:66" ht="26.25" customHeight="1" x14ac:dyDescent="0.3">
      <c r="A48" s="265"/>
      <c r="B48" s="268"/>
      <c r="C48" s="268"/>
      <c r="D48" s="268"/>
      <c r="E48" s="151"/>
      <c r="F48" s="282"/>
      <c r="G48" s="152"/>
      <c r="H48" s="268"/>
      <c r="I48" s="279"/>
      <c r="J48" s="264"/>
      <c r="K48" s="255"/>
      <c r="L48" s="261"/>
      <c r="M48" s="255">
        <f ca="1">IF(NOT(ISERROR(MATCH(L48,_xlfn.ANCHORARRAY(F59),0))),K61&amp;"Por favor no seleccionar los criterios de impacto",L48)</f>
        <v>0</v>
      </c>
      <c r="N48" s="264"/>
      <c r="O48" s="255"/>
      <c r="P48" s="258"/>
      <c r="Q48" s="134">
        <v>6</v>
      </c>
      <c r="R48" s="91"/>
      <c r="S48" s="144" t="str">
        <f t="shared" si="81"/>
        <v/>
      </c>
      <c r="T48" s="135"/>
      <c r="U48" s="135"/>
      <c r="V48" s="136" t="str">
        <f t="shared" si="77"/>
        <v/>
      </c>
      <c r="W48" s="135"/>
      <c r="X48" s="135"/>
      <c r="Y48" s="135"/>
      <c r="Z48" s="137" t="str">
        <f t="shared" si="84"/>
        <v/>
      </c>
      <c r="AA48" s="138" t="str">
        <f t="shared" si="78"/>
        <v/>
      </c>
      <c r="AB48" s="139" t="str">
        <f t="shared" si="82"/>
        <v/>
      </c>
      <c r="AC48" s="138" t="str">
        <f t="shared" si="79"/>
        <v/>
      </c>
      <c r="AD48" s="139" t="str">
        <f t="shared" si="83"/>
        <v/>
      </c>
      <c r="AE48" s="140" t="str">
        <f t="shared" si="80"/>
        <v/>
      </c>
      <c r="AF48" s="141"/>
      <c r="AG48" s="110"/>
      <c r="AH48" s="130"/>
      <c r="AI48" s="129"/>
      <c r="AJ48" s="129"/>
      <c r="AK48" s="110"/>
      <c r="AL48" s="130"/>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row>
    <row r="49" spans="1:66" ht="19.5" customHeight="1" x14ac:dyDescent="0.3">
      <c r="A49" s="213">
        <v>10</v>
      </c>
      <c r="B49" s="266"/>
      <c r="C49" s="266"/>
      <c r="D49" s="266"/>
      <c r="E49" s="153"/>
      <c r="F49" s="280"/>
      <c r="G49" s="154"/>
      <c r="H49" s="266"/>
      <c r="I49" s="277"/>
      <c r="J49" s="262" t="str">
        <f t="shared" ref="J49" si="85">IF(I49&lt;=0,"",IF(I49&lt;=2,"Muy Baja",IF(I49&lt;=24,"Baja",IF(I49&lt;=500,"Media",IF(I49&lt;=5000,"Alta","Muy Alta")))))</f>
        <v/>
      </c>
      <c r="K49" s="222" t="str">
        <f t="shared" ref="K49" si="86">IF(J49="","",IF(J49="Muy Baja",0.2,IF(J49="Baja",0.4,IF(J49="Media",0.6,IF(J49="Alta",0.8,IF(J49="Muy Alta",1,))))))</f>
        <v/>
      </c>
      <c r="L49" s="259"/>
      <c r="M49" s="222">
        <f ca="1">IF(NOT(ISERROR(MATCH(L49,'Tabla Impacto'!$B$221:$B$223,0))),'Tabla Impacto'!$F$223&amp;"Por favor no seleccionar los criterios de impacto(Afectación Económica o presupuestal y Pérdida Reputacional)",L49)</f>
        <v>0</v>
      </c>
      <c r="N49" s="262" t="str">
        <f ca="1">IF(OR(M49='Tabla Impacto'!$C$11,M49='Tabla Impacto'!$D$11),"Leve",IF(OR(M49='Tabla Impacto'!$C$12,M49='Tabla Impacto'!$D$12),"Menor",IF(OR(M49='Tabla Impacto'!$C$13,M49='Tabla Impacto'!$D$13),"Moderado",IF(OR(M49='Tabla Impacto'!$C$14,M49='Tabla Impacto'!$D$14),"Mayor",IF(OR(M49='Tabla Impacto'!$C$15,M49='Tabla Impacto'!$D$15),"Catastrófico","")))))</f>
        <v/>
      </c>
      <c r="O49" s="222" t="str">
        <f t="shared" ref="O49" ca="1" si="87">IF(N49="","",IF(N49="Leve",0.2,IF(N49="Menor",0.4,IF(N49="Moderado",0.6,IF(N49="Mayor",0.8,IF(N49="Catastrófico",1,))))))</f>
        <v/>
      </c>
      <c r="P49" s="256" t="str">
        <f t="shared" ref="P49" ca="1" si="88">IF(OR(AND(J49="Muy Baja",N49="Leve"),AND(J49="Muy Baja",N49="Menor"),AND(J49="Baja",N49="Leve")),"Bajo",IF(OR(AND(J49="Muy baja",N49="Moderado"),AND(J49="Baja",N49="Menor"),AND(J49="Baja",N49="Moderado"),AND(J49="Media",N49="Leve"),AND(J49="Media",N49="Menor"),AND(J49="Media",N49="Moderado"),AND(J49="Alta",N49="Leve"),AND(J49="Alta",N49="Menor")),"Moderado",IF(OR(AND(J49="Muy Baja",N49="Mayor"),AND(J49="Baja",N49="Mayor"),AND(J49="Media",N49="Mayor"),AND(J49="Alta",N49="Moderado"),AND(J49="Alta",N49="Mayor"),AND(J49="Muy Alta",N49="Leve"),AND(J49="Muy Alta",N49="Menor"),AND(J49="Muy Alta",N49="Moderado"),AND(J49="Muy Alta",N49="Mayor")),"Alto",IF(OR(AND(J49="Muy Baja",N49="Catastrófico"),AND(J49="Baja",N49="Catastrófico"),AND(J49="Media",N49="Catastrófico"),AND(J49="Alta",N49="Catastrófico"),AND(J49="Muy Alta",N49="Catastrófico")),"Extremo",""))))</f>
        <v/>
      </c>
      <c r="Q49" s="134">
        <v>1</v>
      </c>
      <c r="R49" s="91"/>
      <c r="S49" s="144" t="str">
        <f>IF(OR(T49="Preventivo",T49="Detectivo"),"Probabilidad",IF(T49="Correctivo","Impacto",""))</f>
        <v/>
      </c>
      <c r="T49" s="135"/>
      <c r="U49" s="135"/>
      <c r="V49" s="136" t="str">
        <f>IF(AND(T49="Preventivo",U49="Automático"),"50%",IF(AND(T49="Preventivo",U49="Manual"),"40%",IF(AND(T49="Detectivo",U49="Automático"),"40%",IF(AND(T49="Detectivo",U49="Manual"),"30%",IF(AND(T49="Correctivo",U49="Automático"),"35%",IF(AND(T49="Correctivo",U49="Manual"),"25%",""))))))</f>
        <v/>
      </c>
      <c r="W49" s="135"/>
      <c r="X49" s="135"/>
      <c r="Y49" s="135"/>
      <c r="Z49" s="137" t="str">
        <f>IFERROR(IF(S49="Probabilidad",(K49-(+K49*V49)),IF(S49="Impacto",K49,"")),"")</f>
        <v/>
      </c>
      <c r="AA49" s="138" t="str">
        <f>IFERROR(IF(Z49="","",IF(Z49&lt;=0.2,"Muy Baja",IF(Z49&lt;=0.4,"Baja",IF(Z49&lt;=0.6,"Media",IF(Z49&lt;=0.8,"Alta","Muy Alta"))))),"")</f>
        <v/>
      </c>
      <c r="AB49" s="139" t="str">
        <f>+Z49</f>
        <v/>
      </c>
      <c r="AC49" s="138" t="str">
        <f>IFERROR(IF(AD49="","",IF(AD49&lt;=0.2,"Leve",IF(AD49&lt;=0.4,"Menor",IF(AD49&lt;=0.6,"Moderado",IF(AD49&lt;=0.8,"Mayor","Catastrófico"))))),"")</f>
        <v/>
      </c>
      <c r="AD49" s="139" t="str">
        <f>IFERROR(IF(S49="Impacto",(O49-(+O49*V49)),IF(S49="Probabilidad",O49,"")),"")</f>
        <v/>
      </c>
      <c r="AE49" s="140" t="str">
        <f>IFERROR(IF(OR(AND(AA49="Muy Baja",AC49="Leve"),AND(AA49="Muy Baja",AC49="Menor"),AND(AA49="Baja",AC49="Leve")),"Bajo",IF(OR(AND(AA49="Muy baja",AC49="Moderado"),AND(AA49="Baja",AC49="Menor"),AND(AA49="Baja",AC49="Moderado"),AND(AA49="Media",AC49="Leve"),AND(AA49="Media",AC49="Menor"),AND(AA49="Media",AC49="Moderado"),AND(AA49="Alta",AC49="Leve"),AND(AA49="Alta",AC49="Menor")),"Moderado",IF(OR(AND(AA49="Muy Baja",AC49="Mayor"),AND(AA49="Baja",AC49="Mayor"),AND(AA49="Media",AC49="Mayor"),AND(AA49="Alta",AC49="Moderado"),AND(AA49="Alta",AC49="Mayor"),AND(AA49="Muy Alta",AC49="Leve"),AND(AA49="Muy Alta",AC49="Menor"),AND(AA49="Muy Alta",AC49="Moderado"),AND(AA49="Muy Alta",AC49="Mayor")),"Alto",IF(OR(AND(AA49="Muy Baja",AC49="Catastrófico"),AND(AA49="Baja",AC49="Catastrófico"),AND(AA49="Media",AC49="Catastrófico"),AND(AA49="Alta",AC49="Catastrófico"),AND(AA49="Muy Alta",AC49="Catastrófico")),"Extremo","")))),"")</f>
        <v/>
      </c>
      <c r="AF49" s="141"/>
      <c r="AG49" s="110"/>
      <c r="AH49" s="130"/>
      <c r="AI49" s="129"/>
      <c r="AJ49" s="129"/>
      <c r="AK49" s="110"/>
      <c r="AL49" s="130"/>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row>
    <row r="50" spans="1:66" ht="19.5" customHeight="1" x14ac:dyDescent="0.3">
      <c r="A50" s="214"/>
      <c r="B50" s="267"/>
      <c r="C50" s="267"/>
      <c r="D50" s="267"/>
      <c r="E50" s="149"/>
      <c r="F50" s="281"/>
      <c r="G50" s="150"/>
      <c r="H50" s="267"/>
      <c r="I50" s="278"/>
      <c r="J50" s="263"/>
      <c r="K50" s="223"/>
      <c r="L50" s="260"/>
      <c r="M50" s="223">
        <f ca="1">IF(NOT(ISERROR(MATCH(L50,_xlfn.ANCHORARRAY(F61),0))),K63&amp;"Por favor no seleccionar los criterios de impacto",L50)</f>
        <v>0</v>
      </c>
      <c r="N50" s="263"/>
      <c r="O50" s="223"/>
      <c r="P50" s="257"/>
      <c r="Q50" s="134">
        <v>2</v>
      </c>
      <c r="R50" s="91"/>
      <c r="S50" s="144" t="str">
        <f>IF(OR(T50="Preventivo",T50="Detectivo"),"Probabilidad",IF(T50="Correctivo","Impacto",""))</f>
        <v/>
      </c>
      <c r="T50" s="135"/>
      <c r="U50" s="135"/>
      <c r="V50" s="136" t="str">
        <f t="shared" ref="V50:V54" si="89">IF(AND(T50="Preventivo",U50="Automático"),"50%",IF(AND(T50="Preventivo",U50="Manual"),"40%",IF(AND(T50="Detectivo",U50="Automático"),"40%",IF(AND(T50="Detectivo",U50="Manual"),"30%",IF(AND(T50="Correctivo",U50="Automático"),"35%",IF(AND(T50="Correctivo",U50="Manual"),"25%",""))))))</f>
        <v/>
      </c>
      <c r="W50" s="135"/>
      <c r="X50" s="135"/>
      <c r="Y50" s="135"/>
      <c r="Z50" s="137" t="str">
        <f>IFERROR(IF(AND(S49="Probabilidad",S50="Probabilidad"),(AB49-(+AB49*V50)),IF(AND(S49="Impacto",S50="Probabilidad"),(K49-(+K49*V50)),IF(S50="Impacto",AB49,""))),"")</f>
        <v/>
      </c>
      <c r="AA50" s="138" t="str">
        <f t="shared" ref="AA50:AA54" si="90">IFERROR(IF(Z50="","",IF(Z50&lt;=0.2,"Muy Baja",IF(Z50&lt;=0.4,"Baja",IF(Z50&lt;=0.6,"Media",IF(Z50&lt;=0.8,"Alta","Muy Alta"))))),"")</f>
        <v/>
      </c>
      <c r="AB50" s="139" t="str">
        <f>+Z50</f>
        <v/>
      </c>
      <c r="AC50" s="138" t="str">
        <f t="shared" ref="AC50:AC54" si="91">IFERROR(IF(AD50="","",IF(AD50&lt;=0.2,"Leve",IF(AD50&lt;=0.4,"Menor",IF(AD50&lt;=0.6,"Moderado",IF(AD50&lt;=0.8,"Mayor","Catastrófico"))))),"")</f>
        <v/>
      </c>
      <c r="AD50" s="139" t="str">
        <f>IFERROR(IF(AND(S49="Impacto",S50="Impacto"),(AD49-(+AD49*V50)),IF(AND(S49="Probabilidad",S50="Impacto"),(O49-(+O49*V50)),IF(S50="Probabilidad",AD49,""))),"")</f>
        <v/>
      </c>
      <c r="AE50" s="140" t="str">
        <f t="shared" ref="AE50:AE54" si="92">IFERROR(IF(OR(AND(AA50="Muy Baja",AC50="Leve"),AND(AA50="Muy Baja",AC50="Menor"),AND(AA50="Baja",AC50="Leve")),"Bajo",IF(OR(AND(AA50="Muy baja",AC50="Moderado"),AND(AA50="Baja",AC50="Menor"),AND(AA50="Baja",AC50="Moderado"),AND(AA50="Media",AC50="Leve"),AND(AA50="Media",AC50="Menor"),AND(AA50="Media",AC50="Moderado"),AND(AA50="Alta",AC50="Leve"),AND(AA50="Alta",AC50="Menor")),"Moderado",IF(OR(AND(AA50="Muy Baja",AC50="Mayor"),AND(AA50="Baja",AC50="Mayor"),AND(AA50="Media",AC50="Mayor"),AND(AA50="Alta",AC50="Moderado"),AND(AA50="Alta",AC50="Mayor"),AND(AA50="Muy Alta",AC50="Leve"),AND(AA50="Muy Alta",AC50="Menor"),AND(AA50="Muy Alta",AC50="Moderado"),AND(AA50="Muy Alta",AC50="Mayor")),"Alto",IF(OR(AND(AA50="Muy Baja",AC50="Catastrófico"),AND(AA50="Baja",AC50="Catastrófico"),AND(AA50="Media",AC50="Catastrófico"),AND(AA50="Alta",AC50="Catastrófico"),AND(AA50="Muy Alta",AC50="Catastrófico")),"Extremo","")))),"")</f>
        <v/>
      </c>
      <c r="AF50" s="141"/>
      <c r="AG50" s="110"/>
      <c r="AH50" s="130"/>
      <c r="AI50" s="129"/>
      <c r="AJ50" s="129"/>
      <c r="AK50" s="110"/>
      <c r="AL50" s="130"/>
    </row>
    <row r="51" spans="1:66" ht="19.5" customHeight="1" x14ac:dyDescent="0.3">
      <c r="A51" s="214"/>
      <c r="B51" s="267"/>
      <c r="C51" s="267"/>
      <c r="D51" s="267"/>
      <c r="E51" s="149"/>
      <c r="F51" s="281"/>
      <c r="G51" s="150"/>
      <c r="H51" s="267"/>
      <c r="I51" s="278"/>
      <c r="J51" s="263"/>
      <c r="K51" s="223"/>
      <c r="L51" s="260"/>
      <c r="M51" s="223">
        <f ca="1">IF(NOT(ISERROR(MATCH(L51,_xlfn.ANCHORARRAY(F62),0))),K64&amp;"Por favor no seleccionar los criterios de impacto",L51)</f>
        <v>0</v>
      </c>
      <c r="N51" s="263"/>
      <c r="O51" s="223"/>
      <c r="P51" s="257"/>
      <c r="Q51" s="134">
        <v>3</v>
      </c>
      <c r="R51" s="143"/>
      <c r="S51" s="144" t="str">
        <f t="shared" ref="S51:S54" si="93">IF(OR(T51="Preventivo",T51="Detectivo"),"Probabilidad",IF(T51="Correctivo","Impacto",""))</f>
        <v/>
      </c>
      <c r="T51" s="135"/>
      <c r="U51" s="135"/>
      <c r="V51" s="136" t="str">
        <f t="shared" si="89"/>
        <v/>
      </c>
      <c r="W51" s="135"/>
      <c r="X51" s="135"/>
      <c r="Y51" s="135"/>
      <c r="Z51" s="137" t="str">
        <f>IFERROR(IF(AND(S50="Probabilidad",S51="Probabilidad"),(AB50-(+AB50*V51)),IF(AND(S50="Impacto",S51="Probabilidad"),(AB49-(+AB49*V51)),IF(S51="Impacto",AB50,""))),"")</f>
        <v/>
      </c>
      <c r="AA51" s="138" t="str">
        <f t="shared" si="90"/>
        <v/>
      </c>
      <c r="AB51" s="139" t="str">
        <f t="shared" ref="AB51:AB54" si="94">+Z51</f>
        <v/>
      </c>
      <c r="AC51" s="138" t="str">
        <f t="shared" si="91"/>
        <v/>
      </c>
      <c r="AD51" s="139" t="str">
        <f t="shared" ref="AD51:AD54" si="95">IFERROR(IF(AND(S50="Impacto",S51="Impacto"),(AD50-(+AD50*V51)),IF(AND(S50="Probabilidad",S51="Impacto"),(AD49-(+AD49*V51)),IF(S51="Probabilidad",AD50,""))),"")</f>
        <v/>
      </c>
      <c r="AE51" s="140" t="str">
        <f t="shared" si="92"/>
        <v/>
      </c>
      <c r="AF51" s="141"/>
      <c r="AG51" s="110"/>
      <c r="AH51" s="130"/>
      <c r="AI51" s="129"/>
      <c r="AJ51" s="129"/>
      <c r="AK51" s="110"/>
      <c r="AL51" s="130"/>
    </row>
    <row r="52" spans="1:66" ht="19.5" customHeight="1" x14ac:dyDescent="0.3">
      <c r="A52" s="214"/>
      <c r="B52" s="267"/>
      <c r="C52" s="267"/>
      <c r="D52" s="267"/>
      <c r="E52" s="149"/>
      <c r="F52" s="281"/>
      <c r="G52" s="150"/>
      <c r="H52" s="267"/>
      <c r="I52" s="278"/>
      <c r="J52" s="263"/>
      <c r="K52" s="223"/>
      <c r="L52" s="260"/>
      <c r="M52" s="223">
        <f ca="1">IF(NOT(ISERROR(MATCH(L52,_xlfn.ANCHORARRAY(F63),0))),K65&amp;"Por favor no seleccionar los criterios de impacto",L52)</f>
        <v>0</v>
      </c>
      <c r="N52" s="263"/>
      <c r="O52" s="223"/>
      <c r="P52" s="257"/>
      <c r="Q52" s="134">
        <v>4</v>
      </c>
      <c r="R52" s="91"/>
      <c r="S52" s="144" t="str">
        <f t="shared" si="93"/>
        <v/>
      </c>
      <c r="T52" s="135"/>
      <c r="U52" s="135"/>
      <c r="V52" s="136" t="str">
        <f t="shared" si="89"/>
        <v/>
      </c>
      <c r="W52" s="135"/>
      <c r="X52" s="135"/>
      <c r="Y52" s="135"/>
      <c r="Z52" s="137" t="str">
        <f t="shared" ref="Z52:Z54" si="96">IFERROR(IF(AND(S51="Probabilidad",S52="Probabilidad"),(AB51-(+AB51*V52)),IF(AND(S51="Impacto",S52="Probabilidad"),(AB50-(+AB50*V52)),IF(S52="Impacto",AB51,""))),"")</f>
        <v/>
      </c>
      <c r="AA52" s="138" t="str">
        <f t="shared" si="90"/>
        <v/>
      </c>
      <c r="AB52" s="139" t="str">
        <f t="shared" si="94"/>
        <v/>
      </c>
      <c r="AC52" s="138" t="str">
        <f t="shared" si="91"/>
        <v/>
      </c>
      <c r="AD52" s="139" t="str">
        <f t="shared" si="95"/>
        <v/>
      </c>
      <c r="AE52" s="140" t="str">
        <f t="shared" si="92"/>
        <v/>
      </c>
      <c r="AF52" s="141"/>
      <c r="AG52" s="110"/>
      <c r="AH52" s="130"/>
      <c r="AI52" s="129"/>
      <c r="AJ52" s="129"/>
      <c r="AK52" s="110"/>
      <c r="AL52" s="130"/>
    </row>
    <row r="53" spans="1:66" ht="19.5" customHeight="1" x14ac:dyDescent="0.3">
      <c r="A53" s="214"/>
      <c r="B53" s="267"/>
      <c r="C53" s="267"/>
      <c r="D53" s="267"/>
      <c r="E53" s="149"/>
      <c r="F53" s="281"/>
      <c r="G53" s="150"/>
      <c r="H53" s="267"/>
      <c r="I53" s="278"/>
      <c r="J53" s="263"/>
      <c r="K53" s="223"/>
      <c r="L53" s="260"/>
      <c r="M53" s="223">
        <f ca="1">IF(NOT(ISERROR(MATCH(L53,_xlfn.ANCHORARRAY(F64),0))),K66&amp;"Por favor no seleccionar los criterios de impacto",L53)</f>
        <v>0</v>
      </c>
      <c r="N53" s="263"/>
      <c r="O53" s="223"/>
      <c r="P53" s="257"/>
      <c r="Q53" s="134">
        <v>5</v>
      </c>
      <c r="R53" s="91"/>
      <c r="S53" s="144" t="str">
        <f t="shared" si="93"/>
        <v/>
      </c>
      <c r="T53" s="135"/>
      <c r="U53" s="135"/>
      <c r="V53" s="136" t="str">
        <f t="shared" si="89"/>
        <v/>
      </c>
      <c r="W53" s="135"/>
      <c r="X53" s="135"/>
      <c r="Y53" s="135"/>
      <c r="Z53" s="137" t="str">
        <f t="shared" si="96"/>
        <v/>
      </c>
      <c r="AA53" s="138" t="str">
        <f t="shared" si="90"/>
        <v/>
      </c>
      <c r="AB53" s="139" t="str">
        <f t="shared" si="94"/>
        <v/>
      </c>
      <c r="AC53" s="138" t="str">
        <f t="shared" si="91"/>
        <v/>
      </c>
      <c r="AD53" s="139" t="str">
        <f t="shared" si="95"/>
        <v/>
      </c>
      <c r="AE53" s="140" t="str">
        <f t="shared" si="92"/>
        <v/>
      </c>
      <c r="AF53" s="141"/>
      <c r="AG53" s="110"/>
      <c r="AH53" s="130"/>
      <c r="AI53" s="129"/>
      <c r="AJ53" s="129"/>
      <c r="AK53" s="110"/>
      <c r="AL53" s="130"/>
    </row>
    <row r="54" spans="1:66" ht="19.5" customHeight="1" x14ac:dyDescent="0.3">
      <c r="A54" s="265"/>
      <c r="B54" s="268"/>
      <c r="C54" s="268"/>
      <c r="D54" s="268"/>
      <c r="E54" s="151"/>
      <c r="F54" s="282"/>
      <c r="G54" s="152"/>
      <c r="H54" s="268"/>
      <c r="I54" s="279"/>
      <c r="J54" s="264"/>
      <c r="K54" s="255"/>
      <c r="L54" s="261"/>
      <c r="M54" s="255">
        <f ca="1">IF(NOT(ISERROR(MATCH(L54,_xlfn.ANCHORARRAY(F65),0))),K67&amp;"Por favor no seleccionar los criterios de impacto",L54)</f>
        <v>0</v>
      </c>
      <c r="N54" s="264"/>
      <c r="O54" s="255"/>
      <c r="P54" s="258"/>
      <c r="Q54" s="134">
        <v>6</v>
      </c>
      <c r="R54" s="91"/>
      <c r="S54" s="144" t="str">
        <f t="shared" si="93"/>
        <v/>
      </c>
      <c r="T54" s="135"/>
      <c r="U54" s="135"/>
      <c r="V54" s="136" t="str">
        <f t="shared" si="89"/>
        <v/>
      </c>
      <c r="W54" s="135"/>
      <c r="X54" s="135"/>
      <c r="Y54" s="135"/>
      <c r="Z54" s="137" t="str">
        <f t="shared" si="96"/>
        <v/>
      </c>
      <c r="AA54" s="138" t="str">
        <f t="shared" si="90"/>
        <v/>
      </c>
      <c r="AB54" s="139" t="str">
        <f t="shared" si="94"/>
        <v/>
      </c>
      <c r="AC54" s="138" t="str">
        <f t="shared" si="91"/>
        <v/>
      </c>
      <c r="AD54" s="139" t="str">
        <f t="shared" si="95"/>
        <v/>
      </c>
      <c r="AE54" s="140" t="str">
        <f t="shared" si="92"/>
        <v/>
      </c>
      <c r="AF54" s="141"/>
      <c r="AG54" s="110"/>
      <c r="AH54" s="130"/>
      <c r="AI54" s="129"/>
      <c r="AJ54" s="129"/>
      <c r="AK54" s="110"/>
      <c r="AL54" s="130"/>
    </row>
    <row r="55" spans="1:66" ht="49.5" customHeight="1" x14ac:dyDescent="0.3">
      <c r="A55" s="121"/>
      <c r="B55" s="283" t="s">
        <v>233</v>
      </c>
      <c r="C55" s="284"/>
      <c r="D55" s="284"/>
      <c r="E55" s="284"/>
      <c r="F55" s="284"/>
      <c r="G55" s="284"/>
      <c r="H55" s="284"/>
      <c r="I55" s="284"/>
      <c r="J55" s="284"/>
      <c r="K55" s="284"/>
      <c r="L55" s="284"/>
      <c r="M55" s="284"/>
      <c r="N55" s="284"/>
      <c r="O55" s="284"/>
      <c r="P55" s="284"/>
      <c r="Q55" s="284"/>
      <c r="R55" s="284"/>
      <c r="S55" s="284"/>
      <c r="T55" s="284"/>
      <c r="U55" s="284"/>
      <c r="V55" s="284"/>
      <c r="W55" s="284"/>
      <c r="X55" s="284"/>
      <c r="Y55" s="284"/>
      <c r="Z55" s="284"/>
      <c r="AA55" s="284"/>
      <c r="AB55" s="284"/>
      <c r="AC55" s="284"/>
      <c r="AD55" s="284"/>
      <c r="AE55" s="284"/>
      <c r="AF55" s="284"/>
      <c r="AG55" s="284"/>
      <c r="AH55" s="284"/>
      <c r="AI55" s="284"/>
      <c r="AJ55" s="284"/>
      <c r="AK55" s="284"/>
      <c r="AL55" s="285"/>
    </row>
    <row r="57" spans="1:66" x14ac:dyDescent="0.3">
      <c r="A57" s="112"/>
      <c r="B57" s="155" t="s">
        <v>137</v>
      </c>
      <c r="C57" s="112"/>
      <c r="D57" s="112"/>
      <c r="E57" s="112"/>
      <c r="H57" s="112"/>
    </row>
    <row r="63" spans="1:66" x14ac:dyDescent="0.3">
      <c r="F63" s="112" t="s">
        <v>242</v>
      </c>
      <c r="G63" s="112">
        <v>4</v>
      </c>
    </row>
    <row r="64" spans="1:66" x14ac:dyDescent="0.3">
      <c r="F64" s="112" t="s">
        <v>243</v>
      </c>
      <c r="G64" s="112">
        <v>6</v>
      </c>
    </row>
    <row r="65" spans="4:7" x14ac:dyDescent="0.3">
      <c r="F65" s="112" t="s">
        <v>244</v>
      </c>
      <c r="G65" s="112">
        <v>6</v>
      </c>
    </row>
    <row r="66" spans="4:7" x14ac:dyDescent="0.3">
      <c r="F66" s="112" t="s">
        <v>245</v>
      </c>
      <c r="G66" s="112">
        <v>4</v>
      </c>
    </row>
    <row r="67" spans="4:7" x14ac:dyDescent="0.3">
      <c r="D67" s="158"/>
      <c r="F67" s="112" t="s">
        <v>246</v>
      </c>
      <c r="G67" s="112">
        <v>4</v>
      </c>
    </row>
    <row r="68" spans="4:7" x14ac:dyDescent="0.3">
      <c r="D68" s="158"/>
      <c r="F68" s="112" t="s">
        <v>247</v>
      </c>
      <c r="G68" s="112">
        <v>33</v>
      </c>
    </row>
    <row r="69" spans="4:7" x14ac:dyDescent="0.3">
      <c r="D69" s="159"/>
      <c r="G69" s="112">
        <f>SUM(G63:G68)</f>
        <v>57</v>
      </c>
    </row>
  </sheetData>
  <dataConsolidate/>
  <mergeCells count="173">
    <mergeCell ref="C4:AL4"/>
    <mergeCell ref="C5:AL5"/>
    <mergeCell ref="C6:AL6"/>
    <mergeCell ref="A1:AL2"/>
    <mergeCell ref="A7:I7"/>
    <mergeCell ref="J7:P7"/>
    <mergeCell ref="Q7:Y7"/>
    <mergeCell ref="Z7:AF7"/>
    <mergeCell ref="AG7:AL7"/>
    <mergeCell ref="B55:AL55"/>
    <mergeCell ref="O43:O48"/>
    <mergeCell ref="P43:P48"/>
    <mergeCell ref="A49:A54"/>
    <mergeCell ref="B49:B54"/>
    <mergeCell ref="C49:C54"/>
    <mergeCell ref="D49:D54"/>
    <mergeCell ref="F49:F54"/>
    <mergeCell ref="H49:H54"/>
    <mergeCell ref="I49:I54"/>
    <mergeCell ref="J49:J54"/>
    <mergeCell ref="K49:K54"/>
    <mergeCell ref="L49:L54"/>
    <mergeCell ref="M49:M54"/>
    <mergeCell ref="N49:N54"/>
    <mergeCell ref="O49:O54"/>
    <mergeCell ref="P49:P54"/>
    <mergeCell ref="L43:L48"/>
    <mergeCell ref="M43:M48"/>
    <mergeCell ref="N43:N48"/>
    <mergeCell ref="A43:A48"/>
    <mergeCell ref="B43:B48"/>
    <mergeCell ref="C43:C48"/>
    <mergeCell ref="D43:D48"/>
    <mergeCell ref="F43:F48"/>
    <mergeCell ref="H43:H48"/>
    <mergeCell ref="I43:I48"/>
    <mergeCell ref="J43:J48"/>
    <mergeCell ref="K43:K48"/>
    <mergeCell ref="O31:O36"/>
    <mergeCell ref="P31:P36"/>
    <mergeCell ref="H37:H42"/>
    <mergeCell ref="I37:I42"/>
    <mergeCell ref="J37:J42"/>
    <mergeCell ref="K37:K42"/>
    <mergeCell ref="L37:L42"/>
    <mergeCell ref="H31:H36"/>
    <mergeCell ref="I31:I36"/>
    <mergeCell ref="J31:J36"/>
    <mergeCell ref="K31:K36"/>
    <mergeCell ref="M37:M42"/>
    <mergeCell ref="N37:N42"/>
    <mergeCell ref="O37:O42"/>
    <mergeCell ref="P37:P42"/>
    <mergeCell ref="K19:K24"/>
    <mergeCell ref="L19:L24"/>
    <mergeCell ref="I25:I30"/>
    <mergeCell ref="J25:J30"/>
    <mergeCell ref="K25:K30"/>
    <mergeCell ref="M19:M24"/>
    <mergeCell ref="N19:N24"/>
    <mergeCell ref="A37:A42"/>
    <mergeCell ref="B37:B42"/>
    <mergeCell ref="C37:C42"/>
    <mergeCell ref="D37:D42"/>
    <mergeCell ref="F37:F42"/>
    <mergeCell ref="A31:A36"/>
    <mergeCell ref="B31:B36"/>
    <mergeCell ref="C31:C36"/>
    <mergeCell ref="D31:D36"/>
    <mergeCell ref="F31:F36"/>
    <mergeCell ref="O19:O24"/>
    <mergeCell ref="P19:P24"/>
    <mergeCell ref="O25:O30"/>
    <mergeCell ref="P25:P30"/>
    <mergeCell ref="L31:L36"/>
    <mergeCell ref="M31:M36"/>
    <mergeCell ref="N31:N36"/>
    <mergeCell ref="A19:A24"/>
    <mergeCell ref="B19:B24"/>
    <mergeCell ref="C19:C24"/>
    <mergeCell ref="A25:A30"/>
    <mergeCell ref="B25:B30"/>
    <mergeCell ref="C25:C30"/>
    <mergeCell ref="D25:D30"/>
    <mergeCell ref="F25:F30"/>
    <mergeCell ref="H25:H30"/>
    <mergeCell ref="D19:D24"/>
    <mergeCell ref="F19:F24"/>
    <mergeCell ref="L25:L30"/>
    <mergeCell ref="M25:M30"/>
    <mergeCell ref="N25:N30"/>
    <mergeCell ref="H19:H24"/>
    <mergeCell ref="I19:I24"/>
    <mergeCell ref="J19:J24"/>
    <mergeCell ref="E8:E9"/>
    <mergeCell ref="H10:H14"/>
    <mergeCell ref="I10:I14"/>
    <mergeCell ref="J10:J14"/>
    <mergeCell ref="AF10:AF14"/>
    <mergeCell ref="AG10:AG14"/>
    <mergeCell ref="AH10:AH14"/>
    <mergeCell ref="AI10:AI14"/>
    <mergeCell ref="G15:G18"/>
    <mergeCell ref="AF15:AF18"/>
    <mergeCell ref="AG8:AG9"/>
    <mergeCell ref="N15:N18"/>
    <mergeCell ref="O15:O18"/>
    <mergeCell ref="P15:P18"/>
    <mergeCell ref="H15:H18"/>
    <mergeCell ref="I15:I18"/>
    <mergeCell ref="J15:J18"/>
    <mergeCell ref="K15:K18"/>
    <mergeCell ref="L15:L18"/>
    <mergeCell ref="F15:F18"/>
    <mergeCell ref="AI8:AI9"/>
    <mergeCell ref="AH8:AH9"/>
    <mergeCell ref="M15:M18"/>
    <mergeCell ref="L8:L9"/>
    <mergeCell ref="M8:M9"/>
    <mergeCell ref="S8:S9"/>
    <mergeCell ref="T8:Y8"/>
    <mergeCell ref="AG15:AG18"/>
    <mergeCell ref="AH15:AH18"/>
    <mergeCell ref="AI15:AI18"/>
    <mergeCell ref="A4:B4"/>
    <mergeCell ref="A5:B5"/>
    <mergeCell ref="A6:B6"/>
    <mergeCell ref="A8:A9"/>
    <mergeCell ref="H8:H9"/>
    <mergeCell ref="F8:F9"/>
    <mergeCell ref="D8:D9"/>
    <mergeCell ref="C8:C9"/>
    <mergeCell ref="AF8:AF9"/>
    <mergeCell ref="Q8:Q9"/>
    <mergeCell ref="AE8:AE9"/>
    <mergeCell ref="AD8:AD9"/>
    <mergeCell ref="Z8:Z9"/>
    <mergeCell ref="R8:R9"/>
    <mergeCell ref="AC8:AC9"/>
    <mergeCell ref="AA8:AA9"/>
    <mergeCell ref="AB8:AB9"/>
    <mergeCell ref="I8:I9"/>
    <mergeCell ref="J8:J9"/>
    <mergeCell ref="K8:K9"/>
    <mergeCell ref="N8:N9"/>
    <mergeCell ref="O8:O9"/>
    <mergeCell ref="B8:B9"/>
    <mergeCell ref="P8:P9"/>
    <mergeCell ref="B15:B18"/>
    <mergeCell ref="C15:C18"/>
    <mergeCell ref="D15:D18"/>
    <mergeCell ref="A10:A14"/>
    <mergeCell ref="B10:B14"/>
    <mergeCell ref="C10:C14"/>
    <mergeCell ref="D10:D14"/>
    <mergeCell ref="F10:F14"/>
    <mergeCell ref="P10:P14"/>
    <mergeCell ref="K10:K14"/>
    <mergeCell ref="L10:L14"/>
    <mergeCell ref="M10:M14"/>
    <mergeCell ref="N10:N14"/>
    <mergeCell ref="O10:O14"/>
    <mergeCell ref="G10:G14"/>
    <mergeCell ref="A15:A18"/>
    <mergeCell ref="AJ15:AJ18"/>
    <mergeCell ref="AK15:AK18"/>
    <mergeCell ref="AL15:AL18"/>
    <mergeCell ref="AL8:AL9"/>
    <mergeCell ref="AK8:AK9"/>
    <mergeCell ref="AJ8:AJ9"/>
    <mergeCell ref="AJ10:AJ14"/>
    <mergeCell ref="AK10:AK14"/>
    <mergeCell ref="AL10:AL14"/>
  </mergeCells>
  <conditionalFormatting sqref="J10 AA10:AA54 J15 J19 J25 J31 J37 J43 J49">
    <cfRule type="cellIs" dxfId="18" priority="683" operator="equal">
      <formula>"Muy Alta"</formula>
    </cfRule>
    <cfRule type="cellIs" dxfId="17" priority="684" operator="equal">
      <formula>"Alta"</formula>
    </cfRule>
    <cfRule type="cellIs" dxfId="16" priority="685" operator="equal">
      <formula>"Media"</formula>
    </cfRule>
    <cfRule type="cellIs" dxfId="15" priority="686" operator="equal">
      <formula>"Baja"</formula>
    </cfRule>
    <cfRule type="cellIs" dxfId="14" priority="687" operator="equal">
      <formula>"Muy Baja"</formula>
    </cfRule>
  </conditionalFormatting>
  <conditionalFormatting sqref="M10:M54">
    <cfRule type="containsText" dxfId="13" priority="365" operator="containsText" text="❌">
      <formula>NOT(ISERROR(SEARCH("❌",M10)))</formula>
    </cfRule>
  </conditionalFormatting>
  <conditionalFormatting sqref="N10 AC10:AC54 N15 N19 N25 N31 N37 N43 N49">
    <cfRule type="cellIs" dxfId="12" priority="678" operator="equal">
      <formula>"Catastrófico"</formula>
    </cfRule>
    <cfRule type="cellIs" dxfId="11" priority="679" operator="equal">
      <formula>"Mayor"</formula>
    </cfRule>
    <cfRule type="cellIs" dxfId="10" priority="680" operator="equal">
      <formula>"Moderado"</formula>
    </cfRule>
    <cfRule type="cellIs" dxfId="9" priority="681" operator="equal">
      <formula>"Menor"</formula>
    </cfRule>
    <cfRule type="cellIs" dxfId="8" priority="682" operator="equal">
      <formula>"Leve"</formula>
    </cfRule>
  </conditionalFormatting>
  <conditionalFormatting sqref="P10 AE10:AE54">
    <cfRule type="cellIs" dxfId="7" priority="674" operator="equal">
      <formula>"Extremo"</formula>
    </cfRule>
    <cfRule type="cellIs" dxfId="6" priority="675" operator="equal">
      <formula>"Alto"</formula>
    </cfRule>
    <cfRule type="cellIs" dxfId="5" priority="676" operator="equal">
      <formula>"Moderado"</formula>
    </cfRule>
    <cfRule type="cellIs" dxfId="4" priority="677" operator="equal">
      <formula>"Bajo"</formula>
    </cfRule>
  </conditionalFormatting>
  <conditionalFormatting sqref="P15 P19 P25 P31 P37 P43 P49">
    <cfRule type="cellIs" dxfId="3" priority="604" operator="equal">
      <formula>"Extremo"</formula>
    </cfRule>
    <cfRule type="cellIs" dxfId="2" priority="605" operator="equal">
      <formula>"Alto"</formula>
    </cfRule>
    <cfRule type="cellIs" dxfId="1" priority="606" operator="equal">
      <formula>"Moderado"</formula>
    </cfRule>
    <cfRule type="cellIs" dxfId="0" priority="607" operator="equal">
      <formula>"Bajo"</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100-000000000000}">
          <x14:formula1>
            <xm:f>'Opciones Tratamiento'!$B$9:$B$10</xm:f>
          </x14:formula1>
          <xm:sqref>AL52:AL53 AL22:AL23 AL25:AL26 AL28:AL29 AL31:AL32 AL34:AL35 AL37:AL38 AL40:AL41 AL43:AL44 AL46:AL47 AL49:AL50 AL10 AL15 AL19:AL20</xm:sqref>
        </x14:dataValidation>
        <x14:dataValidation type="list" allowBlank="1" showInputMessage="1" showErrorMessage="1" xr:uid="{00000000-0002-0000-0100-000001000000}">
          <x14:formula1>
            <xm:f>'Opciones Tratamiento'!$B$2:$B$5</xm:f>
          </x14:formula1>
          <xm:sqref>AF10 AF51:AF54 AF21:AF25 AF27:AF31 AF33:AF37 AF39:AF43 AF45:AF49 AF19 AF15</xm:sqref>
        </x14:dataValidation>
        <x14:dataValidation type="list" allowBlank="1" showInputMessage="1" showErrorMessage="1" xr:uid="{00000000-0002-0000-0100-000002000000}">
          <x14:formula1>
            <xm:f>'C:\Users\HOME\Downloads\[Formato Matriz de Riesgos 2021 (1).xlsx]Opciones Tratamiento'!#REF!</xm:f>
          </x14:formula1>
          <xm:sqref>AF44 AF38 AF50 AF20 AF26 AF32</xm:sqref>
        </x14:dataValidation>
        <x14:dataValidation type="custom" allowBlank="1" showInputMessage="1" showErrorMessage="1" error="Recuerde que las acciones se generan bajo la medida de mitigar el riesgo" xr:uid="{00000000-0002-0000-0100-000003000000}">
          <x14:formula1>
            <xm:f>IF(OR(AF10='Opciones Tratamiento'!$B$2,AF10='Opciones Tratamiento'!$B$3,AF10='Opciones Tratamiento'!$B$4),ISBLANK(AF10),ISTEXT(AF10))</xm:f>
          </x14:formula1>
          <xm:sqref>AG10 AG15 AG19:AG54</xm:sqref>
        </x14:dataValidation>
        <x14:dataValidation type="custom" allowBlank="1" showInputMessage="1" showErrorMessage="1" error="Recuerde que las acciones se generan bajo la medida de mitigar el riesgo" xr:uid="{00000000-0002-0000-0100-000004000000}">
          <x14:formula1>
            <xm:f>IF(OR(AF10='Opciones Tratamiento'!$B$2,AF10='Opciones Tratamiento'!$B$3,AF10='Opciones Tratamiento'!$B$4),ISBLANK(AF10),ISTEXT(AF10))</xm:f>
          </x14:formula1>
          <xm:sqref>AH10 AH15 AH19:AH54</xm:sqref>
        </x14:dataValidation>
        <x14:dataValidation type="custom" allowBlank="1" showInputMessage="1" showErrorMessage="1" error="Recuerde que las acciones se generan bajo la medida de mitigar el riesgo" xr:uid="{00000000-0002-0000-0100-000005000000}">
          <x14:formula1>
            <xm:f>IF(OR(AF10='Opciones Tratamiento'!$B$2,AF10='Opciones Tratamiento'!$B$3,AF10='Opciones Tratamiento'!$B$4),ISBLANK(AF10),ISTEXT(AF10))</xm:f>
          </x14:formula1>
          <xm:sqref>AI10 AI15 AI19:AI54</xm:sqref>
        </x14:dataValidation>
        <x14:dataValidation type="custom" allowBlank="1" showInputMessage="1" showErrorMessage="1" error="Recuerde que las acciones se generan bajo la medida de mitigar el riesgo" xr:uid="{00000000-0002-0000-0100-00000E000000}">
          <x14:formula1>
            <xm:f>IF(OR(AF10='Opciones Tratamiento'!$B$2,AF10='Opciones Tratamiento'!$B$3,AF10='Opciones Tratamiento'!$B$4),ISBLANK(AF10),ISTEXT(AF10))</xm:f>
          </x14:formula1>
          <xm:sqref>AJ10 AJ15 AJ19:AJ54</xm:sqref>
        </x14:dataValidation>
        <x14:dataValidation type="custom" allowBlank="1" showInputMessage="1" showErrorMessage="1" error="Recuerde que las acciones se generan bajo la medida de mitigar el riesgo" xr:uid="{00000000-0002-0000-0100-00000F000000}">
          <x14:formula1>
            <xm:f>IF(OR(AF10='Opciones Tratamiento'!$B$2,AF10='Opciones Tratamiento'!$B$3,AF10='Opciones Tratamiento'!$B$4),ISBLANK(AF10),ISTEXT(AF10))</xm:f>
          </x14:formula1>
          <xm:sqref>AK10 AK15 AK19:AK54</xm:sqref>
        </x14:dataValidation>
        <x14:dataValidation type="list" allowBlank="1" showInputMessage="1" showErrorMessage="1" xr:uid="{00000000-0002-0000-0100-000006000000}">
          <x14:formula1>
            <xm:f>'Tabla Valoración controles'!$D$4:$D$6</xm:f>
          </x14:formula1>
          <xm:sqref>T10:T54</xm:sqref>
        </x14:dataValidation>
        <x14:dataValidation type="list" allowBlank="1" showInputMessage="1" showErrorMessage="1" xr:uid="{00000000-0002-0000-0100-000007000000}">
          <x14:formula1>
            <xm:f>'Tabla Valoración controles'!$D$7:$D$8</xm:f>
          </x14:formula1>
          <xm:sqref>U10:U54</xm:sqref>
        </x14:dataValidation>
        <x14:dataValidation type="list" allowBlank="1" showInputMessage="1" showErrorMessage="1" xr:uid="{00000000-0002-0000-0100-000008000000}">
          <x14:formula1>
            <xm:f>'Tabla Valoración controles'!$D$9:$D$10</xm:f>
          </x14:formula1>
          <xm:sqref>W10:W54</xm:sqref>
        </x14:dataValidation>
        <x14:dataValidation type="list" allowBlank="1" showInputMessage="1" showErrorMessage="1" xr:uid="{00000000-0002-0000-0100-000009000000}">
          <x14:formula1>
            <xm:f>'Tabla Valoración controles'!$D$11:$D$12</xm:f>
          </x14:formula1>
          <xm:sqref>X10:X54</xm:sqref>
        </x14:dataValidation>
        <x14:dataValidation type="list" allowBlank="1" showInputMessage="1" showErrorMessage="1" xr:uid="{00000000-0002-0000-0100-00000A000000}">
          <x14:formula1>
            <xm:f>'Tabla Valoración controles'!$D$13:$D$14</xm:f>
          </x14:formula1>
          <xm:sqref>Y10:Y54</xm:sqref>
        </x14:dataValidation>
        <x14:dataValidation type="list" allowBlank="1" showInputMessage="1" showErrorMessage="1" xr:uid="{00000000-0002-0000-0100-00000B000000}">
          <x14:formula1>
            <xm:f>'Opciones Tratamiento'!$B$13:$B$19</xm:f>
          </x14:formula1>
          <xm:sqref>H10:H54</xm:sqref>
        </x14:dataValidation>
        <x14:dataValidation type="list" allowBlank="1" showInputMessage="1" showErrorMessage="1" xr:uid="{00000000-0002-0000-0100-00000C000000}">
          <x14:formula1>
            <xm:f>'Opciones Tratamiento'!$E$2:$E$4</xm:f>
          </x14:formula1>
          <xm:sqref>B10:B54</xm:sqref>
        </x14:dataValidation>
        <x14:dataValidation type="list" allowBlank="1" showInputMessage="1" showErrorMessage="1" xr:uid="{00000000-0002-0000-0100-00000D000000}">
          <x14:formula1>
            <xm:f>'Tabla Impacto'!$F$210:$F$221</xm:f>
          </x14:formula1>
          <xm:sqref>L10:L54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70" zoomScaleNormal="70" workbookViewId="0"/>
  </sheetViews>
  <sheetFormatPr baseColWidth="10" defaultColWidth="11.5546875" defaultRowHeight="14.4" x14ac:dyDescent="0.3"/>
  <cols>
    <col min="2" max="39" width="5.6640625" customWidth="1"/>
    <col min="41" max="46" width="5.6640625" customWidth="1"/>
  </cols>
  <sheetData>
    <row r="1" spans="1:99" x14ac:dyDescent="0.3">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row>
    <row r="2" spans="1:99" ht="18" customHeight="1" x14ac:dyDescent="0.3">
      <c r="A2" s="53"/>
      <c r="B2" s="295" t="s">
        <v>149</v>
      </c>
      <c r="C2" s="295"/>
      <c r="D2" s="295"/>
      <c r="E2" s="295"/>
      <c r="F2" s="295"/>
      <c r="G2" s="295"/>
      <c r="H2" s="295"/>
      <c r="I2" s="295"/>
      <c r="J2" s="332" t="s">
        <v>2</v>
      </c>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row>
    <row r="3" spans="1:99" ht="18.75" customHeight="1" x14ac:dyDescent="0.3">
      <c r="A3" s="53"/>
      <c r="B3" s="295"/>
      <c r="C3" s="295"/>
      <c r="D3" s="295"/>
      <c r="E3" s="295"/>
      <c r="F3" s="295"/>
      <c r="G3" s="295"/>
      <c r="H3" s="295"/>
      <c r="I3" s="295"/>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row>
    <row r="4" spans="1:99" ht="15" customHeight="1" x14ac:dyDescent="0.3">
      <c r="A4" s="53"/>
      <c r="B4" s="295"/>
      <c r="C4" s="295"/>
      <c r="D4" s="295"/>
      <c r="E4" s="295"/>
      <c r="F4" s="295"/>
      <c r="G4" s="295"/>
      <c r="H4" s="295"/>
      <c r="I4" s="295"/>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c r="AL4" s="332"/>
      <c r="AM4" s="332"/>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row>
    <row r="5" spans="1:99" ht="15" thickBot="1" x14ac:dyDescent="0.35">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row>
    <row r="6" spans="1:99" ht="15" customHeight="1" x14ac:dyDescent="0.3">
      <c r="A6" s="53"/>
      <c r="B6" s="343" t="s">
        <v>4</v>
      </c>
      <c r="C6" s="343"/>
      <c r="D6" s="344"/>
      <c r="E6" s="333" t="s">
        <v>111</v>
      </c>
      <c r="F6" s="334"/>
      <c r="G6" s="334"/>
      <c r="H6" s="334"/>
      <c r="I6" s="335"/>
      <c r="J6" s="329" t="str">
        <f ca="1">IF(AND('Mapa final'!$J$10="Muy Alta",'Mapa final'!$N$10="Leve"),CONCATENATE("R",'Mapa final'!$A$10),"")</f>
        <v/>
      </c>
      <c r="K6" s="330"/>
      <c r="L6" s="330" t="str">
        <f ca="1">IF(AND('Mapa final'!$J$15="Muy Alta",'Mapa final'!$N$15="Leve"),CONCATENATE("R",'Mapa final'!$A$15),"")</f>
        <v/>
      </c>
      <c r="M6" s="330"/>
      <c r="N6" s="330" t="e">
        <f>IF(AND('Mapa final'!#REF!="Muy Alta",'Mapa final'!#REF!="Leve"),CONCATENATE("R",'Mapa final'!#REF!),"")</f>
        <v>#REF!</v>
      </c>
      <c r="O6" s="331"/>
      <c r="P6" s="329" t="str">
        <f ca="1">IF(AND('Mapa final'!$J$10="Muy Alta",'Mapa final'!$N$10="Menor"),CONCATENATE("R",'Mapa final'!$A$10),"")</f>
        <v/>
      </c>
      <c r="Q6" s="330"/>
      <c r="R6" s="330" t="str">
        <f ca="1">IF(AND('Mapa final'!$J$15="Muy Alta",'Mapa final'!$N$15="Menor"),CONCATENATE("R",'Mapa final'!$A$15),"")</f>
        <v/>
      </c>
      <c r="S6" s="330"/>
      <c r="T6" s="330" t="e">
        <f>IF(AND('Mapa final'!#REF!="Muy Alta",'Mapa final'!#REF!="Menor"),CONCATENATE("R",'Mapa final'!#REF!),"")</f>
        <v>#REF!</v>
      </c>
      <c r="U6" s="331"/>
      <c r="V6" s="329" t="str">
        <f ca="1">IF(AND('Mapa final'!$J$10="Muy Alta",'Mapa final'!$N$10="Moderado"),CONCATENATE("R",'Mapa final'!$A$10),"")</f>
        <v/>
      </c>
      <c r="W6" s="330"/>
      <c r="X6" s="330" t="str">
        <f ca="1">IF(AND('Mapa final'!$J$15="Muy Alta",'Mapa final'!$N$15="Moderado"),CONCATENATE("R",'Mapa final'!$A$15),"")</f>
        <v/>
      </c>
      <c r="Y6" s="330"/>
      <c r="Z6" s="330" t="e">
        <f>IF(AND('Mapa final'!#REF!="Muy Alta",'Mapa final'!#REF!="Moderado"),CONCATENATE("R",'Mapa final'!#REF!),"")</f>
        <v>#REF!</v>
      </c>
      <c r="AA6" s="331"/>
      <c r="AB6" s="329" t="str">
        <f ca="1">IF(AND('Mapa final'!$J$10="Muy Alta",'Mapa final'!$N$10="Mayor"),CONCATENATE("R",'Mapa final'!$A$10),"")</f>
        <v/>
      </c>
      <c r="AC6" s="330"/>
      <c r="AD6" s="330" t="str">
        <f ca="1">IF(AND('Mapa final'!$J$15="Muy Alta",'Mapa final'!$N$15="Mayor"),CONCATENATE("R",'Mapa final'!$A$15),"")</f>
        <v/>
      </c>
      <c r="AE6" s="330"/>
      <c r="AF6" s="330" t="e">
        <f>IF(AND('Mapa final'!#REF!="Muy Alta",'Mapa final'!#REF!="Mayor"),CONCATENATE("R",'Mapa final'!#REF!),"")</f>
        <v>#REF!</v>
      </c>
      <c r="AG6" s="331"/>
      <c r="AH6" s="320" t="str">
        <f ca="1">IF(AND('Mapa final'!$J$10="Muy Alta",'Mapa final'!$N$10="Catastrófico"),CONCATENATE("R",'Mapa final'!$A$10),"")</f>
        <v/>
      </c>
      <c r="AI6" s="321"/>
      <c r="AJ6" s="321" t="str">
        <f ca="1">IF(AND('Mapa final'!$J$15="Muy Alta",'Mapa final'!$N$15="Catastrófico"),CONCATENATE("R",'Mapa final'!$A$15),"")</f>
        <v/>
      </c>
      <c r="AK6" s="321"/>
      <c r="AL6" s="321" t="e">
        <f>IF(AND('Mapa final'!#REF!="Muy Alta",'Mapa final'!#REF!="Catastrófico"),CONCATENATE("R",'Mapa final'!#REF!),"")</f>
        <v>#REF!</v>
      </c>
      <c r="AM6" s="322"/>
      <c r="AO6" s="345" t="s">
        <v>78</v>
      </c>
      <c r="AP6" s="346"/>
      <c r="AQ6" s="346"/>
      <c r="AR6" s="346"/>
      <c r="AS6" s="346"/>
      <c r="AT6" s="347"/>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row>
    <row r="7" spans="1:99" ht="15" customHeight="1" x14ac:dyDescent="0.3">
      <c r="A7" s="53"/>
      <c r="B7" s="343"/>
      <c r="C7" s="343"/>
      <c r="D7" s="344"/>
      <c r="E7" s="336"/>
      <c r="F7" s="337"/>
      <c r="G7" s="337"/>
      <c r="H7" s="337"/>
      <c r="I7" s="338"/>
      <c r="J7" s="323"/>
      <c r="K7" s="324"/>
      <c r="L7" s="324"/>
      <c r="M7" s="324"/>
      <c r="N7" s="324"/>
      <c r="O7" s="325"/>
      <c r="P7" s="323"/>
      <c r="Q7" s="324"/>
      <c r="R7" s="324"/>
      <c r="S7" s="324"/>
      <c r="T7" s="324"/>
      <c r="U7" s="325"/>
      <c r="V7" s="323"/>
      <c r="W7" s="324"/>
      <c r="X7" s="324"/>
      <c r="Y7" s="324"/>
      <c r="Z7" s="324"/>
      <c r="AA7" s="325"/>
      <c r="AB7" s="323"/>
      <c r="AC7" s="324"/>
      <c r="AD7" s="324"/>
      <c r="AE7" s="324"/>
      <c r="AF7" s="324"/>
      <c r="AG7" s="325"/>
      <c r="AH7" s="314"/>
      <c r="AI7" s="315"/>
      <c r="AJ7" s="315"/>
      <c r="AK7" s="315"/>
      <c r="AL7" s="315"/>
      <c r="AM7" s="316"/>
      <c r="AN7" s="53"/>
      <c r="AO7" s="348"/>
      <c r="AP7" s="349"/>
      <c r="AQ7" s="349"/>
      <c r="AR7" s="349"/>
      <c r="AS7" s="349"/>
      <c r="AT7" s="350"/>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row>
    <row r="8" spans="1:99" ht="15" customHeight="1" x14ac:dyDescent="0.3">
      <c r="A8" s="53"/>
      <c r="B8" s="343"/>
      <c r="C8" s="343"/>
      <c r="D8" s="344"/>
      <c r="E8" s="336"/>
      <c r="F8" s="337"/>
      <c r="G8" s="337"/>
      <c r="H8" s="337"/>
      <c r="I8" s="338"/>
      <c r="J8" s="323" t="e">
        <f>IF(AND('Mapa final'!#REF!="Muy Alta",'Mapa final'!#REF!="Leve"),CONCATENATE("R",'Mapa final'!#REF!),"")</f>
        <v>#REF!</v>
      </c>
      <c r="K8" s="324"/>
      <c r="L8" s="324" t="str">
        <f ca="1">IF(AND('Mapa final'!$J$19="Muy Alta",'Mapa final'!$N$19="Leve"),CONCATENATE("R",'Mapa final'!$A$19),"")</f>
        <v/>
      </c>
      <c r="M8" s="324"/>
      <c r="N8" s="324" t="str">
        <f ca="1">IF(AND('Mapa final'!$J$25="Muy Alta",'Mapa final'!$N$25="Leve"),CONCATENATE("R",'Mapa final'!$A$25),"")</f>
        <v/>
      </c>
      <c r="O8" s="325"/>
      <c r="P8" s="323" t="e">
        <f>IF(AND('Mapa final'!#REF!="Muy Alta",'Mapa final'!#REF!="Menor"),CONCATENATE("R",'Mapa final'!#REF!),"")</f>
        <v>#REF!</v>
      </c>
      <c r="Q8" s="324"/>
      <c r="R8" s="324" t="str">
        <f ca="1">IF(AND('Mapa final'!$J$19="Muy Alta",'Mapa final'!$N$19="Menor"),CONCATENATE("R",'Mapa final'!$A$19),"")</f>
        <v/>
      </c>
      <c r="S8" s="324"/>
      <c r="T8" s="324" t="str">
        <f ca="1">IF(AND('Mapa final'!$J$25="Muy Alta",'Mapa final'!$N$25="Menor"),CONCATENATE("R",'Mapa final'!$A$25),"")</f>
        <v/>
      </c>
      <c r="U8" s="325"/>
      <c r="V8" s="323" t="e">
        <f>IF(AND('Mapa final'!#REF!="Muy Alta",'Mapa final'!#REF!="Moderado"),CONCATENATE("R",'Mapa final'!#REF!),"")</f>
        <v>#REF!</v>
      </c>
      <c r="W8" s="324"/>
      <c r="X8" s="324" t="str">
        <f ca="1">IF(AND('Mapa final'!$J$19="Muy Alta",'Mapa final'!$N$19="Moderado"),CONCATENATE("R",'Mapa final'!$A$19),"")</f>
        <v/>
      </c>
      <c r="Y8" s="324"/>
      <c r="Z8" s="324" t="str">
        <f ca="1">IF(AND('Mapa final'!$J$25="Muy Alta",'Mapa final'!$N$25="Moderado"),CONCATENATE("R",'Mapa final'!$A$25),"")</f>
        <v/>
      </c>
      <c r="AA8" s="325"/>
      <c r="AB8" s="323" t="e">
        <f>IF(AND('Mapa final'!#REF!="Muy Alta",'Mapa final'!#REF!="Mayor"),CONCATENATE("R",'Mapa final'!#REF!),"")</f>
        <v>#REF!</v>
      </c>
      <c r="AC8" s="324"/>
      <c r="AD8" s="324" t="str">
        <f ca="1">IF(AND('Mapa final'!$J$19="Muy Alta",'Mapa final'!$N$19="Mayor"),CONCATENATE("R",'Mapa final'!$A$19),"")</f>
        <v/>
      </c>
      <c r="AE8" s="324"/>
      <c r="AF8" s="324" t="str">
        <f ca="1">IF(AND('Mapa final'!$J$25="Muy Alta",'Mapa final'!$N$25="Mayor"),CONCATENATE("R",'Mapa final'!$A$25),"")</f>
        <v/>
      </c>
      <c r="AG8" s="325"/>
      <c r="AH8" s="314" t="e">
        <f>IF(AND('Mapa final'!#REF!="Muy Alta",'Mapa final'!#REF!="Catastrófico"),CONCATENATE("R",'Mapa final'!#REF!),"")</f>
        <v>#REF!</v>
      </c>
      <c r="AI8" s="315"/>
      <c r="AJ8" s="315" t="str">
        <f ca="1">IF(AND('Mapa final'!$J$19="Muy Alta",'Mapa final'!$N$19="Catastrófico"),CONCATENATE("R",'Mapa final'!$A$19),"")</f>
        <v/>
      </c>
      <c r="AK8" s="315"/>
      <c r="AL8" s="315" t="str">
        <f ca="1">IF(AND('Mapa final'!$J$25="Muy Alta",'Mapa final'!$N$25="Catastrófico"),CONCATENATE("R",'Mapa final'!$A$25),"")</f>
        <v/>
      </c>
      <c r="AM8" s="316"/>
      <c r="AN8" s="53"/>
      <c r="AO8" s="348"/>
      <c r="AP8" s="349"/>
      <c r="AQ8" s="349"/>
      <c r="AR8" s="349"/>
      <c r="AS8" s="349"/>
      <c r="AT8" s="350"/>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row>
    <row r="9" spans="1:99" ht="15" customHeight="1" x14ac:dyDescent="0.3">
      <c r="A9" s="53"/>
      <c r="B9" s="343"/>
      <c r="C9" s="343"/>
      <c r="D9" s="344"/>
      <c r="E9" s="336"/>
      <c r="F9" s="337"/>
      <c r="G9" s="337"/>
      <c r="H9" s="337"/>
      <c r="I9" s="338"/>
      <c r="J9" s="323"/>
      <c r="K9" s="324"/>
      <c r="L9" s="324"/>
      <c r="M9" s="324"/>
      <c r="N9" s="324"/>
      <c r="O9" s="325"/>
      <c r="P9" s="323"/>
      <c r="Q9" s="324"/>
      <c r="R9" s="324"/>
      <c r="S9" s="324"/>
      <c r="T9" s="324"/>
      <c r="U9" s="325"/>
      <c r="V9" s="323"/>
      <c r="W9" s="324"/>
      <c r="X9" s="324"/>
      <c r="Y9" s="324"/>
      <c r="Z9" s="324"/>
      <c r="AA9" s="325"/>
      <c r="AB9" s="323"/>
      <c r="AC9" s="324"/>
      <c r="AD9" s="324"/>
      <c r="AE9" s="324"/>
      <c r="AF9" s="324"/>
      <c r="AG9" s="325"/>
      <c r="AH9" s="314"/>
      <c r="AI9" s="315"/>
      <c r="AJ9" s="315"/>
      <c r="AK9" s="315"/>
      <c r="AL9" s="315"/>
      <c r="AM9" s="316"/>
      <c r="AN9" s="53"/>
      <c r="AO9" s="348"/>
      <c r="AP9" s="349"/>
      <c r="AQ9" s="349"/>
      <c r="AR9" s="349"/>
      <c r="AS9" s="349"/>
      <c r="AT9" s="350"/>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row>
    <row r="10" spans="1:99" ht="15" customHeight="1" x14ac:dyDescent="0.3">
      <c r="A10" s="53"/>
      <c r="B10" s="343"/>
      <c r="C10" s="343"/>
      <c r="D10" s="344"/>
      <c r="E10" s="336"/>
      <c r="F10" s="337"/>
      <c r="G10" s="337"/>
      <c r="H10" s="337"/>
      <c r="I10" s="338"/>
      <c r="J10" s="323" t="str">
        <f ca="1">IF(AND('Mapa final'!$J$31="Muy Alta",'Mapa final'!$N$31="Leve"),CONCATENATE("R",'Mapa final'!$A$31),"")</f>
        <v/>
      </c>
      <c r="K10" s="324"/>
      <c r="L10" s="324" t="str">
        <f ca="1">IF(AND('Mapa final'!$J$37="Muy Alta",'Mapa final'!$N$37="Leve"),CONCATENATE("R",'Mapa final'!$A$37),"")</f>
        <v/>
      </c>
      <c r="M10" s="324"/>
      <c r="N10" s="324" t="str">
        <f ca="1">IF(AND('Mapa final'!$J$43="Muy Alta",'Mapa final'!$N$43="Leve"),CONCATENATE("R",'Mapa final'!$A$43),"")</f>
        <v/>
      </c>
      <c r="O10" s="325"/>
      <c r="P10" s="323" t="str">
        <f ca="1">IF(AND('Mapa final'!$J$31="Muy Alta",'Mapa final'!$N$31="Menor"),CONCATENATE("R",'Mapa final'!$A$31),"")</f>
        <v/>
      </c>
      <c r="Q10" s="324"/>
      <c r="R10" s="324" t="str">
        <f ca="1">IF(AND('Mapa final'!$J$37="Muy Alta",'Mapa final'!$N$37="Menor"),CONCATENATE("R",'Mapa final'!$A$37),"")</f>
        <v/>
      </c>
      <c r="S10" s="324"/>
      <c r="T10" s="324" t="str">
        <f ca="1">IF(AND('Mapa final'!$J$43="Muy Alta",'Mapa final'!$N$43="Menor"),CONCATENATE("R",'Mapa final'!$A$43),"")</f>
        <v/>
      </c>
      <c r="U10" s="325"/>
      <c r="V10" s="323" t="str">
        <f ca="1">IF(AND('Mapa final'!$J$31="Muy Alta",'Mapa final'!$N$31="Moderado"),CONCATENATE("R",'Mapa final'!$A$31),"")</f>
        <v/>
      </c>
      <c r="W10" s="324"/>
      <c r="X10" s="324" t="str">
        <f ca="1">IF(AND('Mapa final'!$J$37="Muy Alta",'Mapa final'!$N$37="Moderado"),CONCATENATE("R",'Mapa final'!$A$37),"")</f>
        <v/>
      </c>
      <c r="Y10" s="324"/>
      <c r="Z10" s="324" t="str">
        <f ca="1">IF(AND('Mapa final'!$J$43="Muy Alta",'Mapa final'!$N$43="Moderado"),CONCATENATE("R",'Mapa final'!$A$43),"")</f>
        <v/>
      </c>
      <c r="AA10" s="325"/>
      <c r="AB10" s="323" t="str">
        <f ca="1">IF(AND('Mapa final'!$J$31="Muy Alta",'Mapa final'!$N$31="Mayor"),CONCATENATE("R",'Mapa final'!$A$31),"")</f>
        <v/>
      </c>
      <c r="AC10" s="324"/>
      <c r="AD10" s="324" t="str">
        <f ca="1">IF(AND('Mapa final'!$J$37="Muy Alta",'Mapa final'!$N$37="Mayor"),CONCATENATE("R",'Mapa final'!$A$37),"")</f>
        <v/>
      </c>
      <c r="AE10" s="324"/>
      <c r="AF10" s="324" t="str">
        <f ca="1">IF(AND('Mapa final'!$J$43="Muy Alta",'Mapa final'!$N$43="Mayor"),CONCATENATE("R",'Mapa final'!$A$43),"")</f>
        <v/>
      </c>
      <c r="AG10" s="325"/>
      <c r="AH10" s="314" t="str">
        <f ca="1">IF(AND('Mapa final'!$J$31="Muy Alta",'Mapa final'!$N$31="Catastrófico"),CONCATENATE("R",'Mapa final'!$A$31),"")</f>
        <v/>
      </c>
      <c r="AI10" s="315"/>
      <c r="AJ10" s="315" t="str">
        <f ca="1">IF(AND('Mapa final'!$J$37="Muy Alta",'Mapa final'!$N$37="Catastrófico"),CONCATENATE("R",'Mapa final'!$A$37),"")</f>
        <v/>
      </c>
      <c r="AK10" s="315"/>
      <c r="AL10" s="315" t="str">
        <f ca="1">IF(AND('Mapa final'!$J$43="Muy Alta",'Mapa final'!$N$43="Catastrófico"),CONCATENATE("R",'Mapa final'!$A$43),"")</f>
        <v/>
      </c>
      <c r="AM10" s="316"/>
      <c r="AN10" s="53"/>
      <c r="AO10" s="348"/>
      <c r="AP10" s="349"/>
      <c r="AQ10" s="349"/>
      <c r="AR10" s="349"/>
      <c r="AS10" s="349"/>
      <c r="AT10" s="350"/>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row>
    <row r="11" spans="1:99" ht="15" customHeight="1" x14ac:dyDescent="0.3">
      <c r="A11" s="53"/>
      <c r="B11" s="343"/>
      <c r="C11" s="343"/>
      <c r="D11" s="344"/>
      <c r="E11" s="336"/>
      <c r="F11" s="337"/>
      <c r="G11" s="337"/>
      <c r="H11" s="337"/>
      <c r="I11" s="338"/>
      <c r="J11" s="323"/>
      <c r="K11" s="324"/>
      <c r="L11" s="324"/>
      <c r="M11" s="324"/>
      <c r="N11" s="324"/>
      <c r="O11" s="325"/>
      <c r="P11" s="323"/>
      <c r="Q11" s="324"/>
      <c r="R11" s="324"/>
      <c r="S11" s="324"/>
      <c r="T11" s="324"/>
      <c r="U11" s="325"/>
      <c r="V11" s="323"/>
      <c r="W11" s="324"/>
      <c r="X11" s="324"/>
      <c r="Y11" s="324"/>
      <c r="Z11" s="324"/>
      <c r="AA11" s="325"/>
      <c r="AB11" s="323"/>
      <c r="AC11" s="324"/>
      <c r="AD11" s="324"/>
      <c r="AE11" s="324"/>
      <c r="AF11" s="324"/>
      <c r="AG11" s="325"/>
      <c r="AH11" s="314"/>
      <c r="AI11" s="315"/>
      <c r="AJ11" s="315"/>
      <c r="AK11" s="315"/>
      <c r="AL11" s="315"/>
      <c r="AM11" s="316"/>
      <c r="AN11" s="53"/>
      <c r="AO11" s="348"/>
      <c r="AP11" s="349"/>
      <c r="AQ11" s="349"/>
      <c r="AR11" s="349"/>
      <c r="AS11" s="349"/>
      <c r="AT11" s="350"/>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row>
    <row r="12" spans="1:99" ht="15" customHeight="1" x14ac:dyDescent="0.3">
      <c r="A12" s="53"/>
      <c r="B12" s="343"/>
      <c r="C12" s="343"/>
      <c r="D12" s="344"/>
      <c r="E12" s="336"/>
      <c r="F12" s="337"/>
      <c r="G12" s="337"/>
      <c r="H12" s="337"/>
      <c r="I12" s="338"/>
      <c r="J12" s="323" t="str">
        <f ca="1">IF(AND('Mapa final'!$J$49="Muy Alta",'Mapa final'!$N$49="Leve"),CONCATENATE("R",'Mapa final'!$A$49),"")</f>
        <v/>
      </c>
      <c r="K12" s="324"/>
      <c r="L12" s="324" t="str">
        <f>IF(AND('Mapa final'!$J$55="Muy Alta",'Mapa final'!$N$55="Leve"),CONCATENATE("R",'Mapa final'!$A$55),"")</f>
        <v/>
      </c>
      <c r="M12" s="324"/>
      <c r="N12" s="324" t="str">
        <f>IF(AND('Mapa final'!$J$61="Muy Alta",'Mapa final'!$N$61="Leve"),CONCATENATE("R",'Mapa final'!$A$61),"")</f>
        <v/>
      </c>
      <c r="O12" s="325"/>
      <c r="P12" s="323" t="str">
        <f ca="1">IF(AND('Mapa final'!$J$49="Muy Alta",'Mapa final'!$N$49="Menor"),CONCATENATE("R",'Mapa final'!$A$49),"")</f>
        <v/>
      </c>
      <c r="Q12" s="324"/>
      <c r="R12" s="324" t="str">
        <f>IF(AND('Mapa final'!$J$55="Muy Alta",'Mapa final'!$N$55="Menor"),CONCATENATE("R",'Mapa final'!$A$55),"")</f>
        <v/>
      </c>
      <c r="S12" s="324"/>
      <c r="T12" s="324" t="str">
        <f>IF(AND('Mapa final'!$J$61="Muy Alta",'Mapa final'!$N$61="Menor"),CONCATENATE("R",'Mapa final'!$A$61),"")</f>
        <v/>
      </c>
      <c r="U12" s="325"/>
      <c r="V12" s="323" t="str">
        <f ca="1">IF(AND('Mapa final'!$J$49="Muy Alta",'Mapa final'!$N$49="Moderado"),CONCATENATE("R",'Mapa final'!$A$49),"")</f>
        <v/>
      </c>
      <c r="W12" s="324"/>
      <c r="X12" s="324" t="str">
        <f>IF(AND('Mapa final'!$J$55="Muy Alta",'Mapa final'!$N$55="Moderado"),CONCATENATE("R",'Mapa final'!$A$55),"")</f>
        <v/>
      </c>
      <c r="Y12" s="324"/>
      <c r="Z12" s="324" t="str">
        <f>IF(AND('Mapa final'!$J$61="Muy Alta",'Mapa final'!$N$61="Moderado"),CONCATENATE("R",'Mapa final'!$A$61),"")</f>
        <v/>
      </c>
      <c r="AA12" s="325"/>
      <c r="AB12" s="323" t="str">
        <f ca="1">IF(AND('Mapa final'!$J$49="Muy Alta",'Mapa final'!$N$49="Mayor"),CONCATENATE("R",'Mapa final'!$A$49),"")</f>
        <v/>
      </c>
      <c r="AC12" s="324"/>
      <c r="AD12" s="324" t="str">
        <f>IF(AND('Mapa final'!$J$55="Muy Alta",'Mapa final'!$N$55="Mayor"),CONCATENATE("R",'Mapa final'!$A$55),"")</f>
        <v/>
      </c>
      <c r="AE12" s="324"/>
      <c r="AF12" s="324" t="str">
        <f>IF(AND('Mapa final'!$J$61="Muy Alta",'Mapa final'!$N$61="Mayor"),CONCATENATE("R",'Mapa final'!$A$61),"")</f>
        <v/>
      </c>
      <c r="AG12" s="325"/>
      <c r="AH12" s="314" t="str">
        <f ca="1">IF(AND('Mapa final'!$J$49="Muy Alta",'Mapa final'!$N$49="Catastrófico"),CONCATENATE("R",'Mapa final'!$A$49),"")</f>
        <v/>
      </c>
      <c r="AI12" s="315"/>
      <c r="AJ12" s="315" t="str">
        <f>IF(AND('Mapa final'!$J$55="Muy Alta",'Mapa final'!$N$55="Catastrófico"),CONCATENATE("R",'Mapa final'!$A$55),"")</f>
        <v/>
      </c>
      <c r="AK12" s="315"/>
      <c r="AL12" s="315" t="str">
        <f>IF(AND('Mapa final'!$J$61="Muy Alta",'Mapa final'!$N$61="Catastrófico"),CONCATENATE("R",'Mapa final'!$A$61),"")</f>
        <v/>
      </c>
      <c r="AM12" s="316"/>
      <c r="AN12" s="53"/>
      <c r="AO12" s="348"/>
      <c r="AP12" s="349"/>
      <c r="AQ12" s="349"/>
      <c r="AR12" s="349"/>
      <c r="AS12" s="349"/>
      <c r="AT12" s="350"/>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row>
    <row r="13" spans="1:99" ht="15.75" customHeight="1" thickBot="1" x14ac:dyDescent="0.35">
      <c r="A13" s="53"/>
      <c r="B13" s="343"/>
      <c r="C13" s="343"/>
      <c r="D13" s="344"/>
      <c r="E13" s="339"/>
      <c r="F13" s="340"/>
      <c r="G13" s="340"/>
      <c r="H13" s="340"/>
      <c r="I13" s="341"/>
      <c r="J13" s="323"/>
      <c r="K13" s="324"/>
      <c r="L13" s="324"/>
      <c r="M13" s="324"/>
      <c r="N13" s="324"/>
      <c r="O13" s="325"/>
      <c r="P13" s="323"/>
      <c r="Q13" s="324"/>
      <c r="R13" s="324"/>
      <c r="S13" s="324"/>
      <c r="T13" s="324"/>
      <c r="U13" s="325"/>
      <c r="V13" s="323"/>
      <c r="W13" s="324"/>
      <c r="X13" s="324"/>
      <c r="Y13" s="324"/>
      <c r="Z13" s="324"/>
      <c r="AA13" s="325"/>
      <c r="AB13" s="323"/>
      <c r="AC13" s="324"/>
      <c r="AD13" s="324"/>
      <c r="AE13" s="324"/>
      <c r="AF13" s="324"/>
      <c r="AG13" s="325"/>
      <c r="AH13" s="317"/>
      <c r="AI13" s="318"/>
      <c r="AJ13" s="318"/>
      <c r="AK13" s="318"/>
      <c r="AL13" s="318"/>
      <c r="AM13" s="319"/>
      <c r="AN13" s="53"/>
      <c r="AO13" s="351"/>
      <c r="AP13" s="352"/>
      <c r="AQ13" s="352"/>
      <c r="AR13" s="352"/>
      <c r="AS13" s="352"/>
      <c r="AT13" s="3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row>
    <row r="14" spans="1:99" ht="15" customHeight="1" x14ac:dyDescent="0.3">
      <c r="A14" s="53"/>
      <c r="B14" s="343"/>
      <c r="C14" s="343"/>
      <c r="D14" s="344"/>
      <c r="E14" s="333" t="s">
        <v>110</v>
      </c>
      <c r="F14" s="334"/>
      <c r="G14" s="334"/>
      <c r="H14" s="334"/>
      <c r="I14" s="334"/>
      <c r="J14" s="311" t="str">
        <f ca="1">IF(AND('Mapa final'!$J$10="Alta",'Mapa final'!$N$10="Leve"),CONCATENATE("R",'Mapa final'!$A$10),"")</f>
        <v/>
      </c>
      <c r="K14" s="312"/>
      <c r="L14" s="312" t="str">
        <f ca="1">IF(AND('Mapa final'!$J$15="Alta",'Mapa final'!$N$15="Leve"),CONCATENATE("R",'Mapa final'!$A$15),"")</f>
        <v/>
      </c>
      <c r="M14" s="312"/>
      <c r="N14" s="312" t="e">
        <f>IF(AND('Mapa final'!#REF!="Alta",'Mapa final'!#REF!="Leve"),CONCATENATE("R",'Mapa final'!#REF!),"")</f>
        <v>#REF!</v>
      </c>
      <c r="O14" s="313"/>
      <c r="P14" s="311" t="str">
        <f ca="1">IF(AND('Mapa final'!$J$10="Alta",'Mapa final'!$N$10="Menor"),CONCATENATE("R",'Mapa final'!$A$10),"")</f>
        <v/>
      </c>
      <c r="Q14" s="312"/>
      <c r="R14" s="312" t="str">
        <f ca="1">IF(AND('Mapa final'!$J$15="Alta",'Mapa final'!$N$15="Menor"),CONCATENATE("R",'Mapa final'!$A$15),"")</f>
        <v/>
      </c>
      <c r="S14" s="312"/>
      <c r="T14" s="312" t="e">
        <f>IF(AND('Mapa final'!#REF!="Alta",'Mapa final'!#REF!="Menor"),CONCATENATE("R",'Mapa final'!#REF!),"")</f>
        <v>#REF!</v>
      </c>
      <c r="U14" s="313"/>
      <c r="V14" s="329" t="str">
        <f ca="1">IF(AND('Mapa final'!$J$10="Alta",'Mapa final'!$N$10="Moderado"),CONCATENATE("R",'Mapa final'!$A$10),"")</f>
        <v/>
      </c>
      <c r="W14" s="330"/>
      <c r="X14" s="330" t="str">
        <f ca="1">IF(AND('Mapa final'!$J$15="Alta",'Mapa final'!$N$15="Moderado"),CONCATENATE("R",'Mapa final'!$A$15),"")</f>
        <v/>
      </c>
      <c r="Y14" s="330"/>
      <c r="Z14" s="330" t="e">
        <f>IF(AND('Mapa final'!#REF!="Alta",'Mapa final'!#REF!="Moderado"),CONCATENATE("R",'Mapa final'!#REF!),"")</f>
        <v>#REF!</v>
      </c>
      <c r="AA14" s="331"/>
      <c r="AB14" s="329" t="str">
        <f ca="1">IF(AND('Mapa final'!$J$10="Alta",'Mapa final'!$N$10="Mayor"),CONCATENATE("R",'Mapa final'!$A$10),"")</f>
        <v/>
      </c>
      <c r="AC14" s="330"/>
      <c r="AD14" s="330" t="str">
        <f ca="1">IF(AND('Mapa final'!$J$15="Alta",'Mapa final'!$N$15="Mayor"),CONCATENATE("R",'Mapa final'!$A$15),"")</f>
        <v/>
      </c>
      <c r="AE14" s="330"/>
      <c r="AF14" s="330" t="e">
        <f>IF(AND('Mapa final'!#REF!="Alta",'Mapa final'!#REF!="Mayor"),CONCATENATE("R",'Mapa final'!#REF!),"")</f>
        <v>#REF!</v>
      </c>
      <c r="AG14" s="331"/>
      <c r="AH14" s="320" t="str">
        <f ca="1">IF(AND('Mapa final'!$J$10="Alta",'Mapa final'!$N$10="Catastrófico"),CONCATENATE("R",'Mapa final'!$A$10),"")</f>
        <v/>
      </c>
      <c r="AI14" s="321"/>
      <c r="AJ14" s="321" t="str">
        <f ca="1">IF(AND('Mapa final'!$J$15="Alta",'Mapa final'!$N$15="Catastrófico"),CONCATENATE("R",'Mapa final'!$A$15),"")</f>
        <v/>
      </c>
      <c r="AK14" s="321"/>
      <c r="AL14" s="321" t="e">
        <f>IF(AND('Mapa final'!#REF!="Alta",'Mapa final'!#REF!="Catastrófico"),CONCATENATE("R",'Mapa final'!#REF!),"")</f>
        <v>#REF!</v>
      </c>
      <c r="AM14" s="322"/>
      <c r="AN14" s="53"/>
      <c r="AO14" s="354" t="s">
        <v>79</v>
      </c>
      <c r="AP14" s="355"/>
      <c r="AQ14" s="355"/>
      <c r="AR14" s="355"/>
      <c r="AS14" s="355"/>
      <c r="AT14" s="356"/>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row>
    <row r="15" spans="1:99" ht="15" customHeight="1" x14ac:dyDescent="0.3">
      <c r="A15" s="53"/>
      <c r="B15" s="343"/>
      <c r="C15" s="343"/>
      <c r="D15" s="344"/>
      <c r="E15" s="336"/>
      <c r="F15" s="337"/>
      <c r="G15" s="337"/>
      <c r="H15" s="337"/>
      <c r="I15" s="337"/>
      <c r="J15" s="305"/>
      <c r="K15" s="306"/>
      <c r="L15" s="306"/>
      <c r="M15" s="306"/>
      <c r="N15" s="306"/>
      <c r="O15" s="307"/>
      <c r="P15" s="305"/>
      <c r="Q15" s="306"/>
      <c r="R15" s="306"/>
      <c r="S15" s="306"/>
      <c r="T15" s="306"/>
      <c r="U15" s="307"/>
      <c r="V15" s="323"/>
      <c r="W15" s="324"/>
      <c r="X15" s="324"/>
      <c r="Y15" s="324"/>
      <c r="Z15" s="324"/>
      <c r="AA15" s="325"/>
      <c r="AB15" s="323"/>
      <c r="AC15" s="324"/>
      <c r="AD15" s="324"/>
      <c r="AE15" s="324"/>
      <c r="AF15" s="324"/>
      <c r="AG15" s="325"/>
      <c r="AH15" s="314"/>
      <c r="AI15" s="315"/>
      <c r="AJ15" s="315"/>
      <c r="AK15" s="315"/>
      <c r="AL15" s="315"/>
      <c r="AM15" s="316"/>
      <c r="AN15" s="53"/>
      <c r="AO15" s="357"/>
      <c r="AP15" s="358"/>
      <c r="AQ15" s="358"/>
      <c r="AR15" s="358"/>
      <c r="AS15" s="358"/>
      <c r="AT15" s="359"/>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row>
    <row r="16" spans="1:99" ht="15" customHeight="1" x14ac:dyDescent="0.3">
      <c r="A16" s="53"/>
      <c r="B16" s="343"/>
      <c r="C16" s="343"/>
      <c r="D16" s="344"/>
      <c r="E16" s="336"/>
      <c r="F16" s="337"/>
      <c r="G16" s="337"/>
      <c r="H16" s="337"/>
      <c r="I16" s="337"/>
      <c r="J16" s="305" t="e">
        <f>IF(AND('Mapa final'!#REF!="Alta",'Mapa final'!#REF!="Leve"),CONCATENATE("R",'Mapa final'!#REF!),"")</f>
        <v>#REF!</v>
      </c>
      <c r="K16" s="306"/>
      <c r="L16" s="306" t="str">
        <f ca="1">IF(AND('Mapa final'!$J$19="Alta",'Mapa final'!$N$19="Leve"),CONCATENATE("R",'Mapa final'!$A$19),"")</f>
        <v/>
      </c>
      <c r="M16" s="306"/>
      <c r="N16" s="306" t="str">
        <f ca="1">IF(AND('Mapa final'!$J$25="Alta",'Mapa final'!$N$25="Leve"),CONCATENATE("R",'Mapa final'!$A$25),"")</f>
        <v/>
      </c>
      <c r="O16" s="307"/>
      <c r="P16" s="305" t="e">
        <f>IF(AND('Mapa final'!#REF!="Alta",'Mapa final'!#REF!="Menor"),CONCATENATE("R",'Mapa final'!#REF!),"")</f>
        <v>#REF!</v>
      </c>
      <c r="Q16" s="306"/>
      <c r="R16" s="306" t="str">
        <f ca="1">IF(AND('Mapa final'!$J$19="Alta",'Mapa final'!$N$19="Menor"),CONCATENATE("R",'Mapa final'!$A$19),"")</f>
        <v/>
      </c>
      <c r="S16" s="306"/>
      <c r="T16" s="306" t="str">
        <f ca="1">IF(AND('Mapa final'!$J$25="Alta",'Mapa final'!$N$25="Menor"),CONCATENATE("R",'Mapa final'!$A$25),"")</f>
        <v/>
      </c>
      <c r="U16" s="307"/>
      <c r="V16" s="323" t="e">
        <f>IF(AND('Mapa final'!#REF!="Alta",'Mapa final'!#REF!="Moderado"),CONCATENATE("R",'Mapa final'!#REF!),"")</f>
        <v>#REF!</v>
      </c>
      <c r="W16" s="324"/>
      <c r="X16" s="324" t="str">
        <f ca="1">IF(AND('Mapa final'!$J$19="Alta",'Mapa final'!$N$19="Moderado"),CONCATENATE("R",'Mapa final'!$A$19),"")</f>
        <v/>
      </c>
      <c r="Y16" s="324"/>
      <c r="Z16" s="324" t="str">
        <f ca="1">IF(AND('Mapa final'!$J$25="Alta",'Mapa final'!$N$25="Moderado"),CONCATENATE("R",'Mapa final'!$A$25),"")</f>
        <v/>
      </c>
      <c r="AA16" s="325"/>
      <c r="AB16" s="323" t="e">
        <f>IF(AND('Mapa final'!#REF!="Alta",'Mapa final'!#REF!="Mayor"),CONCATENATE("R",'Mapa final'!#REF!),"")</f>
        <v>#REF!</v>
      </c>
      <c r="AC16" s="324"/>
      <c r="AD16" s="324" t="str">
        <f ca="1">IF(AND('Mapa final'!$J$19="Alta",'Mapa final'!$N$19="Mayor"),CONCATENATE("R",'Mapa final'!$A$19),"")</f>
        <v/>
      </c>
      <c r="AE16" s="324"/>
      <c r="AF16" s="324" t="str">
        <f ca="1">IF(AND('Mapa final'!$J$25="Alta",'Mapa final'!$N$25="Mayor"),CONCATENATE("R",'Mapa final'!$A$25),"")</f>
        <v/>
      </c>
      <c r="AG16" s="325"/>
      <c r="AH16" s="314" t="e">
        <f>IF(AND('Mapa final'!#REF!="Alta",'Mapa final'!#REF!="Catastrófico"),CONCATENATE("R",'Mapa final'!#REF!),"")</f>
        <v>#REF!</v>
      </c>
      <c r="AI16" s="315"/>
      <c r="AJ16" s="315" t="str">
        <f ca="1">IF(AND('Mapa final'!$J$19="Alta",'Mapa final'!$N$19="Catastrófico"),CONCATENATE("R",'Mapa final'!$A$19),"")</f>
        <v/>
      </c>
      <c r="AK16" s="315"/>
      <c r="AL16" s="315" t="str">
        <f ca="1">IF(AND('Mapa final'!$J$25="Alta",'Mapa final'!$N$25="Catastrófico"),CONCATENATE("R",'Mapa final'!$A$25),"")</f>
        <v/>
      </c>
      <c r="AM16" s="316"/>
      <c r="AN16" s="53"/>
      <c r="AO16" s="357"/>
      <c r="AP16" s="358"/>
      <c r="AQ16" s="358"/>
      <c r="AR16" s="358"/>
      <c r="AS16" s="358"/>
      <c r="AT16" s="359"/>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row>
    <row r="17" spans="1:80" ht="15" customHeight="1" x14ac:dyDescent="0.3">
      <c r="A17" s="53"/>
      <c r="B17" s="343"/>
      <c r="C17" s="343"/>
      <c r="D17" s="344"/>
      <c r="E17" s="336"/>
      <c r="F17" s="337"/>
      <c r="G17" s="337"/>
      <c r="H17" s="337"/>
      <c r="I17" s="337"/>
      <c r="J17" s="305"/>
      <c r="K17" s="306"/>
      <c r="L17" s="306"/>
      <c r="M17" s="306"/>
      <c r="N17" s="306"/>
      <c r="O17" s="307"/>
      <c r="P17" s="305"/>
      <c r="Q17" s="306"/>
      <c r="R17" s="306"/>
      <c r="S17" s="306"/>
      <c r="T17" s="306"/>
      <c r="U17" s="307"/>
      <c r="V17" s="323"/>
      <c r="W17" s="324"/>
      <c r="X17" s="324"/>
      <c r="Y17" s="324"/>
      <c r="Z17" s="324"/>
      <c r="AA17" s="325"/>
      <c r="AB17" s="323"/>
      <c r="AC17" s="324"/>
      <c r="AD17" s="324"/>
      <c r="AE17" s="324"/>
      <c r="AF17" s="324"/>
      <c r="AG17" s="325"/>
      <c r="AH17" s="314"/>
      <c r="AI17" s="315"/>
      <c r="AJ17" s="315"/>
      <c r="AK17" s="315"/>
      <c r="AL17" s="315"/>
      <c r="AM17" s="316"/>
      <c r="AN17" s="53"/>
      <c r="AO17" s="357"/>
      <c r="AP17" s="358"/>
      <c r="AQ17" s="358"/>
      <c r="AR17" s="358"/>
      <c r="AS17" s="358"/>
      <c r="AT17" s="359"/>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row>
    <row r="18" spans="1:80" ht="15" customHeight="1" x14ac:dyDescent="0.3">
      <c r="A18" s="53"/>
      <c r="B18" s="343"/>
      <c r="C18" s="343"/>
      <c r="D18" s="344"/>
      <c r="E18" s="336"/>
      <c r="F18" s="337"/>
      <c r="G18" s="337"/>
      <c r="H18" s="337"/>
      <c r="I18" s="337"/>
      <c r="J18" s="305" t="str">
        <f ca="1">IF(AND('Mapa final'!$J$31="Alta",'Mapa final'!$N$31="Leve"),CONCATENATE("R",'Mapa final'!$A$31),"")</f>
        <v/>
      </c>
      <c r="K18" s="306"/>
      <c r="L18" s="306" t="str">
        <f ca="1">IF(AND('Mapa final'!$J$37="Alta",'Mapa final'!$N$37="Leve"),CONCATENATE("R",'Mapa final'!$A$37),"")</f>
        <v/>
      </c>
      <c r="M18" s="306"/>
      <c r="N18" s="306" t="str">
        <f ca="1">IF(AND('Mapa final'!$J$43="Alta",'Mapa final'!$N$43="Leve"),CONCATENATE("R",'Mapa final'!$A$43),"")</f>
        <v/>
      </c>
      <c r="O18" s="307"/>
      <c r="P18" s="305" t="str">
        <f ca="1">IF(AND('Mapa final'!$J$31="Alta",'Mapa final'!$N$31="Menor"),CONCATENATE("R",'Mapa final'!$A$31),"")</f>
        <v/>
      </c>
      <c r="Q18" s="306"/>
      <c r="R18" s="306" t="str">
        <f ca="1">IF(AND('Mapa final'!$J$37="Alta",'Mapa final'!$N$37="Menor"),CONCATENATE("R",'Mapa final'!$A$37),"")</f>
        <v/>
      </c>
      <c r="S18" s="306"/>
      <c r="T18" s="306" t="str">
        <f ca="1">IF(AND('Mapa final'!$J$43="Alta",'Mapa final'!$N$43="Menor"),CONCATENATE("R",'Mapa final'!$A$43),"")</f>
        <v/>
      </c>
      <c r="U18" s="307"/>
      <c r="V18" s="323" t="str">
        <f ca="1">IF(AND('Mapa final'!$J$31="Alta",'Mapa final'!$N$31="Moderado"),CONCATENATE("R",'Mapa final'!$A$31),"")</f>
        <v/>
      </c>
      <c r="W18" s="324"/>
      <c r="X18" s="324" t="str">
        <f ca="1">IF(AND('Mapa final'!$J$37="Alta",'Mapa final'!$N$37="Moderado"),CONCATENATE("R",'Mapa final'!$A$37),"")</f>
        <v/>
      </c>
      <c r="Y18" s="324"/>
      <c r="Z18" s="324" t="str">
        <f ca="1">IF(AND('Mapa final'!$J$43="Alta",'Mapa final'!$N$43="Moderado"),CONCATENATE("R",'Mapa final'!$A$43),"")</f>
        <v/>
      </c>
      <c r="AA18" s="325"/>
      <c r="AB18" s="323" t="str">
        <f ca="1">IF(AND('Mapa final'!$J$31="Alta",'Mapa final'!$N$31="Mayor"),CONCATENATE("R",'Mapa final'!$A$31),"")</f>
        <v/>
      </c>
      <c r="AC18" s="324"/>
      <c r="AD18" s="324" t="str">
        <f ca="1">IF(AND('Mapa final'!$J$37="Alta",'Mapa final'!$N$37="Mayor"),CONCATENATE("R",'Mapa final'!$A$37),"")</f>
        <v/>
      </c>
      <c r="AE18" s="324"/>
      <c r="AF18" s="324" t="str">
        <f ca="1">IF(AND('Mapa final'!$J$43="Alta",'Mapa final'!$N$43="Mayor"),CONCATENATE("R",'Mapa final'!$A$43),"")</f>
        <v/>
      </c>
      <c r="AG18" s="325"/>
      <c r="AH18" s="314" t="str">
        <f ca="1">IF(AND('Mapa final'!$J$31="Alta",'Mapa final'!$N$31="Catastrófico"),CONCATENATE("R",'Mapa final'!$A$31),"")</f>
        <v/>
      </c>
      <c r="AI18" s="315"/>
      <c r="AJ18" s="315" t="str">
        <f ca="1">IF(AND('Mapa final'!$J$37="Alta",'Mapa final'!$N$37="Catastrófico"),CONCATENATE("R",'Mapa final'!$A$37),"")</f>
        <v/>
      </c>
      <c r="AK18" s="315"/>
      <c r="AL18" s="315" t="str">
        <f ca="1">IF(AND('Mapa final'!$J$43="Alta",'Mapa final'!$N$43="Catastrófico"),CONCATENATE("R",'Mapa final'!$A$43),"")</f>
        <v/>
      </c>
      <c r="AM18" s="316"/>
      <c r="AN18" s="53"/>
      <c r="AO18" s="357"/>
      <c r="AP18" s="358"/>
      <c r="AQ18" s="358"/>
      <c r="AR18" s="358"/>
      <c r="AS18" s="358"/>
      <c r="AT18" s="359"/>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row>
    <row r="19" spans="1:80" ht="15" customHeight="1" x14ac:dyDescent="0.3">
      <c r="A19" s="53"/>
      <c r="B19" s="343"/>
      <c r="C19" s="343"/>
      <c r="D19" s="344"/>
      <c r="E19" s="336"/>
      <c r="F19" s="337"/>
      <c r="G19" s="337"/>
      <c r="H19" s="337"/>
      <c r="I19" s="337"/>
      <c r="J19" s="305"/>
      <c r="K19" s="306"/>
      <c r="L19" s="306"/>
      <c r="M19" s="306"/>
      <c r="N19" s="306"/>
      <c r="O19" s="307"/>
      <c r="P19" s="305"/>
      <c r="Q19" s="306"/>
      <c r="R19" s="306"/>
      <c r="S19" s="306"/>
      <c r="T19" s="306"/>
      <c r="U19" s="307"/>
      <c r="V19" s="323"/>
      <c r="W19" s="324"/>
      <c r="X19" s="324"/>
      <c r="Y19" s="324"/>
      <c r="Z19" s="324"/>
      <c r="AA19" s="325"/>
      <c r="AB19" s="323"/>
      <c r="AC19" s="324"/>
      <c r="AD19" s="324"/>
      <c r="AE19" s="324"/>
      <c r="AF19" s="324"/>
      <c r="AG19" s="325"/>
      <c r="AH19" s="314"/>
      <c r="AI19" s="315"/>
      <c r="AJ19" s="315"/>
      <c r="AK19" s="315"/>
      <c r="AL19" s="315"/>
      <c r="AM19" s="316"/>
      <c r="AN19" s="53"/>
      <c r="AO19" s="357"/>
      <c r="AP19" s="358"/>
      <c r="AQ19" s="358"/>
      <c r="AR19" s="358"/>
      <c r="AS19" s="358"/>
      <c r="AT19" s="359"/>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row>
    <row r="20" spans="1:80" ht="15" customHeight="1" x14ac:dyDescent="0.3">
      <c r="A20" s="53"/>
      <c r="B20" s="343"/>
      <c r="C20" s="343"/>
      <c r="D20" s="344"/>
      <c r="E20" s="336"/>
      <c r="F20" s="337"/>
      <c r="G20" s="337"/>
      <c r="H20" s="337"/>
      <c r="I20" s="337"/>
      <c r="J20" s="305" t="str">
        <f ca="1">IF(AND('Mapa final'!$J$49="Alta",'Mapa final'!$N$49="Leve"),CONCATENATE("R",'Mapa final'!$A$49),"")</f>
        <v/>
      </c>
      <c r="K20" s="306"/>
      <c r="L20" s="306" t="str">
        <f>IF(AND('Mapa final'!$J$55="Alta",'Mapa final'!$N$55="Leve"),CONCATENATE("R",'Mapa final'!$A$55),"")</f>
        <v/>
      </c>
      <c r="M20" s="306"/>
      <c r="N20" s="306" t="str">
        <f>IF(AND('Mapa final'!$J$61="Alta",'Mapa final'!$N$61="Leve"),CONCATENATE("R",'Mapa final'!$A$61),"")</f>
        <v/>
      </c>
      <c r="O20" s="307"/>
      <c r="P20" s="305" t="str">
        <f ca="1">IF(AND('Mapa final'!$J$49="Alta",'Mapa final'!$N$49="Menor"),CONCATENATE("R",'Mapa final'!$A$49),"")</f>
        <v/>
      </c>
      <c r="Q20" s="306"/>
      <c r="R20" s="306" t="str">
        <f>IF(AND('Mapa final'!$J$55="Alta",'Mapa final'!$N$55="Menor"),CONCATENATE("R",'Mapa final'!$A$55),"")</f>
        <v/>
      </c>
      <c r="S20" s="306"/>
      <c r="T20" s="306" t="str">
        <f>IF(AND('Mapa final'!$J$61="Alta",'Mapa final'!$N$61="Menor"),CONCATENATE("R",'Mapa final'!$A$61),"")</f>
        <v/>
      </c>
      <c r="U20" s="307"/>
      <c r="V20" s="323" t="str">
        <f ca="1">IF(AND('Mapa final'!$J$49="Alta",'Mapa final'!$N$49="Moderado"),CONCATENATE("R",'Mapa final'!$A$49),"")</f>
        <v/>
      </c>
      <c r="W20" s="324"/>
      <c r="X20" s="324" t="str">
        <f>IF(AND('Mapa final'!$J$55="Alta",'Mapa final'!$N$55="Moderado"),CONCATENATE("R",'Mapa final'!$A$55),"")</f>
        <v/>
      </c>
      <c r="Y20" s="324"/>
      <c r="Z20" s="324" t="str">
        <f>IF(AND('Mapa final'!$J$61="Alta",'Mapa final'!$N$61="Moderado"),CONCATENATE("R",'Mapa final'!$A$61),"")</f>
        <v/>
      </c>
      <c r="AA20" s="325"/>
      <c r="AB20" s="323" t="str">
        <f ca="1">IF(AND('Mapa final'!$J$49="Alta",'Mapa final'!$N$49="Mayor"),CONCATENATE("R",'Mapa final'!$A$49),"")</f>
        <v/>
      </c>
      <c r="AC20" s="324"/>
      <c r="AD20" s="324" t="str">
        <f>IF(AND('Mapa final'!$J$55="Alta",'Mapa final'!$N$55="Mayor"),CONCATENATE("R",'Mapa final'!$A$55),"")</f>
        <v/>
      </c>
      <c r="AE20" s="324"/>
      <c r="AF20" s="324" t="str">
        <f>IF(AND('Mapa final'!$J$61="Alta",'Mapa final'!$N$61="Mayor"),CONCATENATE("R",'Mapa final'!$A$61),"")</f>
        <v/>
      </c>
      <c r="AG20" s="325"/>
      <c r="AH20" s="314" t="str">
        <f ca="1">IF(AND('Mapa final'!$J$49="Alta",'Mapa final'!$N$49="Catastrófico"),CONCATENATE("R",'Mapa final'!$A$49),"")</f>
        <v/>
      </c>
      <c r="AI20" s="315"/>
      <c r="AJ20" s="315" t="str">
        <f>IF(AND('Mapa final'!$J$55="Alta",'Mapa final'!$N$55="Catastrófico"),CONCATENATE("R",'Mapa final'!$A$55),"")</f>
        <v/>
      </c>
      <c r="AK20" s="315"/>
      <c r="AL20" s="315" t="str">
        <f>IF(AND('Mapa final'!$J$61="Alta",'Mapa final'!$N$61="Catastrófico"),CONCATENATE("R",'Mapa final'!$A$61),"")</f>
        <v/>
      </c>
      <c r="AM20" s="316"/>
      <c r="AN20" s="53"/>
      <c r="AO20" s="357"/>
      <c r="AP20" s="358"/>
      <c r="AQ20" s="358"/>
      <c r="AR20" s="358"/>
      <c r="AS20" s="358"/>
      <c r="AT20" s="359"/>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row>
    <row r="21" spans="1:80" ht="15.75" customHeight="1" thickBot="1" x14ac:dyDescent="0.35">
      <c r="A21" s="53"/>
      <c r="B21" s="343"/>
      <c r="C21" s="343"/>
      <c r="D21" s="344"/>
      <c r="E21" s="339"/>
      <c r="F21" s="340"/>
      <c r="G21" s="340"/>
      <c r="H21" s="340"/>
      <c r="I21" s="340"/>
      <c r="J21" s="308"/>
      <c r="K21" s="309"/>
      <c r="L21" s="309"/>
      <c r="M21" s="309"/>
      <c r="N21" s="309"/>
      <c r="O21" s="310"/>
      <c r="P21" s="308"/>
      <c r="Q21" s="309"/>
      <c r="R21" s="309"/>
      <c r="S21" s="309"/>
      <c r="T21" s="309"/>
      <c r="U21" s="310"/>
      <c r="V21" s="326"/>
      <c r="W21" s="327"/>
      <c r="X21" s="327"/>
      <c r="Y21" s="327"/>
      <c r="Z21" s="327"/>
      <c r="AA21" s="328"/>
      <c r="AB21" s="326"/>
      <c r="AC21" s="327"/>
      <c r="AD21" s="327"/>
      <c r="AE21" s="327"/>
      <c r="AF21" s="327"/>
      <c r="AG21" s="328"/>
      <c r="AH21" s="317"/>
      <c r="AI21" s="318"/>
      <c r="AJ21" s="318"/>
      <c r="AK21" s="318"/>
      <c r="AL21" s="318"/>
      <c r="AM21" s="319"/>
      <c r="AN21" s="53"/>
      <c r="AO21" s="360"/>
      <c r="AP21" s="361"/>
      <c r="AQ21" s="361"/>
      <c r="AR21" s="361"/>
      <c r="AS21" s="361"/>
      <c r="AT21" s="362"/>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row>
    <row r="22" spans="1:80" x14ac:dyDescent="0.3">
      <c r="A22" s="53"/>
      <c r="B22" s="343"/>
      <c r="C22" s="343"/>
      <c r="D22" s="344"/>
      <c r="E22" s="333" t="s">
        <v>112</v>
      </c>
      <c r="F22" s="334"/>
      <c r="G22" s="334"/>
      <c r="H22" s="334"/>
      <c r="I22" s="335"/>
      <c r="J22" s="311" t="str">
        <f ca="1">IF(AND('Mapa final'!$J$10="Media",'Mapa final'!$N$10="Leve"),CONCATENATE("R",'Mapa final'!$A$10),"")</f>
        <v/>
      </c>
      <c r="K22" s="312"/>
      <c r="L22" s="312" t="str">
        <f ca="1">IF(AND('Mapa final'!$J$15="Media",'Mapa final'!$N$15="Leve"),CONCATENATE("R",'Mapa final'!$A$15),"")</f>
        <v/>
      </c>
      <c r="M22" s="312"/>
      <c r="N22" s="312" t="e">
        <f>IF(AND('Mapa final'!#REF!="Media",'Mapa final'!#REF!="Leve"),CONCATENATE("R",'Mapa final'!#REF!),"")</f>
        <v>#REF!</v>
      </c>
      <c r="O22" s="313"/>
      <c r="P22" s="311" t="str">
        <f ca="1">IF(AND('Mapa final'!$J$10="Media",'Mapa final'!$N$10="Menor"),CONCATENATE("R",'Mapa final'!$A$10),"")</f>
        <v/>
      </c>
      <c r="Q22" s="312"/>
      <c r="R22" s="312" t="str">
        <f ca="1">IF(AND('Mapa final'!$J$15="Media",'Mapa final'!$N$15="Menor"),CONCATENATE("R",'Mapa final'!$A$15),"")</f>
        <v/>
      </c>
      <c r="S22" s="312"/>
      <c r="T22" s="312" t="e">
        <f>IF(AND('Mapa final'!#REF!="Media",'Mapa final'!#REF!="Menor"),CONCATENATE("R",'Mapa final'!#REF!),"")</f>
        <v>#REF!</v>
      </c>
      <c r="U22" s="313"/>
      <c r="V22" s="311" t="str">
        <f ca="1">IF(AND('Mapa final'!$J$10="Media",'Mapa final'!$N$10="Moderado"),CONCATENATE("R",'Mapa final'!$A$10),"")</f>
        <v/>
      </c>
      <c r="W22" s="312"/>
      <c r="X22" s="312" t="str">
        <f ca="1">IF(AND('Mapa final'!$J$15="Media",'Mapa final'!$N$15="Moderado"),CONCATENATE("R",'Mapa final'!$A$15),"")</f>
        <v/>
      </c>
      <c r="Y22" s="312"/>
      <c r="Z22" s="312" t="e">
        <f>IF(AND('Mapa final'!#REF!="Media",'Mapa final'!#REF!="Moderado"),CONCATENATE("R",'Mapa final'!#REF!),"")</f>
        <v>#REF!</v>
      </c>
      <c r="AA22" s="313"/>
      <c r="AB22" s="329" t="str">
        <f ca="1">IF(AND('Mapa final'!$J$10="Media",'Mapa final'!$N$10="Mayor"),CONCATENATE("R",'Mapa final'!$A$10),"")</f>
        <v>R1</v>
      </c>
      <c r="AC22" s="330"/>
      <c r="AD22" s="330" t="str">
        <f ca="1">IF(AND('Mapa final'!$J$15="Media",'Mapa final'!$N$15="Mayor"),CONCATENATE("R",'Mapa final'!$A$15),"")</f>
        <v>R2</v>
      </c>
      <c r="AE22" s="330"/>
      <c r="AF22" s="330" t="e">
        <f>IF(AND('Mapa final'!#REF!="Media",'Mapa final'!#REF!="Mayor"),CONCATENATE("R",'Mapa final'!#REF!),"")</f>
        <v>#REF!</v>
      </c>
      <c r="AG22" s="331"/>
      <c r="AH22" s="320" t="str">
        <f ca="1">IF(AND('Mapa final'!$J$10="Media",'Mapa final'!$N$10="Catastrófico"),CONCATENATE("R",'Mapa final'!$A$10),"")</f>
        <v/>
      </c>
      <c r="AI22" s="321"/>
      <c r="AJ22" s="321" t="str">
        <f ca="1">IF(AND('Mapa final'!$J$15="Media",'Mapa final'!$N$15="Catastrófico"),CONCATENATE("R",'Mapa final'!$A$15),"")</f>
        <v/>
      </c>
      <c r="AK22" s="321"/>
      <c r="AL22" s="321" t="e">
        <f>IF(AND('Mapa final'!#REF!="Media",'Mapa final'!#REF!="Catastrófico"),CONCATENATE("R",'Mapa final'!#REF!),"")</f>
        <v>#REF!</v>
      </c>
      <c r="AM22" s="322"/>
      <c r="AN22" s="53"/>
      <c r="AO22" s="363" t="s">
        <v>80</v>
      </c>
      <c r="AP22" s="364"/>
      <c r="AQ22" s="364"/>
      <c r="AR22" s="364"/>
      <c r="AS22" s="364"/>
      <c r="AT22" s="365"/>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row>
    <row r="23" spans="1:80" x14ac:dyDescent="0.3">
      <c r="A23" s="53"/>
      <c r="B23" s="343"/>
      <c r="C23" s="343"/>
      <c r="D23" s="344"/>
      <c r="E23" s="336"/>
      <c r="F23" s="337"/>
      <c r="G23" s="337"/>
      <c r="H23" s="337"/>
      <c r="I23" s="338"/>
      <c r="J23" s="305"/>
      <c r="K23" s="306"/>
      <c r="L23" s="306"/>
      <c r="M23" s="306"/>
      <c r="N23" s="306"/>
      <c r="O23" s="307"/>
      <c r="P23" s="305"/>
      <c r="Q23" s="306"/>
      <c r="R23" s="306"/>
      <c r="S23" s="306"/>
      <c r="T23" s="306"/>
      <c r="U23" s="307"/>
      <c r="V23" s="305"/>
      <c r="W23" s="306"/>
      <c r="X23" s="306"/>
      <c r="Y23" s="306"/>
      <c r="Z23" s="306"/>
      <c r="AA23" s="307"/>
      <c r="AB23" s="323"/>
      <c r="AC23" s="324"/>
      <c r="AD23" s="324"/>
      <c r="AE23" s="324"/>
      <c r="AF23" s="324"/>
      <c r="AG23" s="325"/>
      <c r="AH23" s="314"/>
      <c r="AI23" s="315"/>
      <c r="AJ23" s="315"/>
      <c r="AK23" s="315"/>
      <c r="AL23" s="315"/>
      <c r="AM23" s="316"/>
      <c r="AN23" s="53"/>
      <c r="AO23" s="366"/>
      <c r="AP23" s="367"/>
      <c r="AQ23" s="367"/>
      <c r="AR23" s="367"/>
      <c r="AS23" s="367"/>
      <c r="AT23" s="368"/>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row>
    <row r="24" spans="1:80" x14ac:dyDescent="0.3">
      <c r="A24" s="53"/>
      <c r="B24" s="343"/>
      <c r="C24" s="343"/>
      <c r="D24" s="344"/>
      <c r="E24" s="336"/>
      <c r="F24" s="337"/>
      <c r="G24" s="337"/>
      <c r="H24" s="337"/>
      <c r="I24" s="338"/>
      <c r="J24" s="305" t="e">
        <f>IF(AND('Mapa final'!#REF!="Media",'Mapa final'!#REF!="Leve"),CONCATENATE("R",'Mapa final'!#REF!),"")</f>
        <v>#REF!</v>
      </c>
      <c r="K24" s="306"/>
      <c r="L24" s="306" t="str">
        <f ca="1">IF(AND('Mapa final'!$J$19="Media",'Mapa final'!$N$19="Leve"),CONCATENATE("R",'Mapa final'!$A$19),"")</f>
        <v/>
      </c>
      <c r="M24" s="306"/>
      <c r="N24" s="306" t="str">
        <f ca="1">IF(AND('Mapa final'!$J$25="Media",'Mapa final'!$N$25="Leve"),CONCATENATE("R",'Mapa final'!$A$25),"")</f>
        <v/>
      </c>
      <c r="O24" s="307"/>
      <c r="P24" s="305" t="e">
        <f>IF(AND('Mapa final'!#REF!="Media",'Mapa final'!#REF!="Menor"),CONCATENATE("R",'Mapa final'!#REF!),"")</f>
        <v>#REF!</v>
      </c>
      <c r="Q24" s="306"/>
      <c r="R24" s="306" t="str">
        <f ca="1">IF(AND('Mapa final'!$J$19="Media",'Mapa final'!$N$19="Menor"),CONCATENATE("R",'Mapa final'!$A$19),"")</f>
        <v/>
      </c>
      <c r="S24" s="306"/>
      <c r="T24" s="306" t="str">
        <f ca="1">IF(AND('Mapa final'!$J$25="Media",'Mapa final'!$N$25="Menor"),CONCATENATE("R",'Mapa final'!$A$25),"")</f>
        <v/>
      </c>
      <c r="U24" s="307"/>
      <c r="V24" s="305" t="e">
        <f>IF(AND('Mapa final'!#REF!="Media",'Mapa final'!#REF!="Moderado"),CONCATENATE("R",'Mapa final'!#REF!),"")</f>
        <v>#REF!</v>
      </c>
      <c r="W24" s="306"/>
      <c r="X24" s="306" t="str">
        <f ca="1">IF(AND('Mapa final'!$J$19="Media",'Mapa final'!$N$19="Moderado"),CONCATENATE("R",'Mapa final'!$A$19),"")</f>
        <v/>
      </c>
      <c r="Y24" s="306"/>
      <c r="Z24" s="306" t="str">
        <f ca="1">IF(AND('Mapa final'!$J$25="Media",'Mapa final'!$N$25="Moderado"),CONCATENATE("R",'Mapa final'!$A$25),"")</f>
        <v/>
      </c>
      <c r="AA24" s="307"/>
      <c r="AB24" s="323" t="e">
        <f>IF(AND('Mapa final'!#REF!="Media",'Mapa final'!#REF!="Mayor"),CONCATENATE("R",'Mapa final'!#REF!),"")</f>
        <v>#REF!</v>
      </c>
      <c r="AC24" s="324"/>
      <c r="AD24" s="324" t="str">
        <f ca="1">IF(AND('Mapa final'!$J$19="Media",'Mapa final'!$N$19="Mayor"),CONCATENATE("R",'Mapa final'!$A$19),"")</f>
        <v/>
      </c>
      <c r="AE24" s="324"/>
      <c r="AF24" s="324" t="str">
        <f ca="1">IF(AND('Mapa final'!$J$25="Media",'Mapa final'!$N$25="Mayor"),CONCATENATE("R",'Mapa final'!$A$25),"")</f>
        <v/>
      </c>
      <c r="AG24" s="325"/>
      <c r="AH24" s="314" t="e">
        <f>IF(AND('Mapa final'!#REF!="Media",'Mapa final'!#REF!="Catastrófico"),CONCATENATE("R",'Mapa final'!#REF!),"")</f>
        <v>#REF!</v>
      </c>
      <c r="AI24" s="315"/>
      <c r="AJ24" s="315" t="str">
        <f ca="1">IF(AND('Mapa final'!$J$19="Media",'Mapa final'!$N$19="Catastrófico"),CONCATENATE("R",'Mapa final'!$A$19),"")</f>
        <v/>
      </c>
      <c r="AK24" s="315"/>
      <c r="AL24" s="315" t="str">
        <f ca="1">IF(AND('Mapa final'!$J$25="Media",'Mapa final'!$N$25="Catastrófico"),CONCATENATE("R",'Mapa final'!$A$25),"")</f>
        <v/>
      </c>
      <c r="AM24" s="316"/>
      <c r="AN24" s="53"/>
      <c r="AO24" s="366"/>
      <c r="AP24" s="367"/>
      <c r="AQ24" s="367"/>
      <c r="AR24" s="367"/>
      <c r="AS24" s="367"/>
      <c r="AT24" s="368"/>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row>
    <row r="25" spans="1:80" x14ac:dyDescent="0.3">
      <c r="A25" s="53"/>
      <c r="B25" s="343"/>
      <c r="C25" s="343"/>
      <c r="D25" s="344"/>
      <c r="E25" s="336"/>
      <c r="F25" s="337"/>
      <c r="G25" s="337"/>
      <c r="H25" s="337"/>
      <c r="I25" s="338"/>
      <c r="J25" s="305"/>
      <c r="K25" s="306"/>
      <c r="L25" s="306"/>
      <c r="M25" s="306"/>
      <c r="N25" s="306"/>
      <c r="O25" s="307"/>
      <c r="P25" s="305"/>
      <c r="Q25" s="306"/>
      <c r="R25" s="306"/>
      <c r="S25" s="306"/>
      <c r="T25" s="306"/>
      <c r="U25" s="307"/>
      <c r="V25" s="305"/>
      <c r="W25" s="306"/>
      <c r="X25" s="306"/>
      <c r="Y25" s="306"/>
      <c r="Z25" s="306"/>
      <c r="AA25" s="307"/>
      <c r="AB25" s="323"/>
      <c r="AC25" s="324"/>
      <c r="AD25" s="324"/>
      <c r="AE25" s="324"/>
      <c r="AF25" s="324"/>
      <c r="AG25" s="325"/>
      <c r="AH25" s="314"/>
      <c r="AI25" s="315"/>
      <c r="AJ25" s="315"/>
      <c r="AK25" s="315"/>
      <c r="AL25" s="315"/>
      <c r="AM25" s="316"/>
      <c r="AN25" s="53"/>
      <c r="AO25" s="366"/>
      <c r="AP25" s="367"/>
      <c r="AQ25" s="367"/>
      <c r="AR25" s="367"/>
      <c r="AS25" s="367"/>
      <c r="AT25" s="368"/>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row>
    <row r="26" spans="1:80" x14ac:dyDescent="0.3">
      <c r="A26" s="53"/>
      <c r="B26" s="343"/>
      <c r="C26" s="343"/>
      <c r="D26" s="344"/>
      <c r="E26" s="336"/>
      <c r="F26" s="337"/>
      <c r="G26" s="337"/>
      <c r="H26" s="337"/>
      <c r="I26" s="338"/>
      <c r="J26" s="305" t="str">
        <f ca="1">IF(AND('Mapa final'!$J$31="Media",'Mapa final'!$N$31="Leve"),CONCATENATE("R",'Mapa final'!$A$31),"")</f>
        <v/>
      </c>
      <c r="K26" s="306"/>
      <c r="L26" s="306" t="str">
        <f ca="1">IF(AND('Mapa final'!$J$37="Media",'Mapa final'!$N$37="Leve"),CONCATENATE("R",'Mapa final'!$A$37),"")</f>
        <v/>
      </c>
      <c r="M26" s="306"/>
      <c r="N26" s="306" t="str">
        <f ca="1">IF(AND('Mapa final'!$J$43="Media",'Mapa final'!$N$43="Leve"),CONCATENATE("R",'Mapa final'!$A$43),"")</f>
        <v/>
      </c>
      <c r="O26" s="307"/>
      <c r="P26" s="305" t="str">
        <f ca="1">IF(AND('Mapa final'!$J$31="Media",'Mapa final'!$N$31="Menor"),CONCATENATE("R",'Mapa final'!$A$31),"")</f>
        <v/>
      </c>
      <c r="Q26" s="306"/>
      <c r="R26" s="306" t="str">
        <f ca="1">IF(AND('Mapa final'!$J$37="Media",'Mapa final'!$N$37="Menor"),CONCATENATE("R",'Mapa final'!$A$37),"")</f>
        <v/>
      </c>
      <c r="S26" s="306"/>
      <c r="T26" s="306" t="str">
        <f ca="1">IF(AND('Mapa final'!$J$43="Media",'Mapa final'!$N$43="Menor"),CONCATENATE("R",'Mapa final'!$A$43),"")</f>
        <v/>
      </c>
      <c r="U26" s="307"/>
      <c r="V26" s="305" t="str">
        <f ca="1">IF(AND('Mapa final'!$J$31="Media",'Mapa final'!$N$31="Moderado"),CONCATENATE("R",'Mapa final'!$A$31),"")</f>
        <v/>
      </c>
      <c r="W26" s="306"/>
      <c r="X26" s="306" t="str">
        <f ca="1">IF(AND('Mapa final'!$J$37="Media",'Mapa final'!$N$37="Moderado"),CONCATENATE("R",'Mapa final'!$A$37),"")</f>
        <v/>
      </c>
      <c r="Y26" s="306"/>
      <c r="Z26" s="306" t="str">
        <f ca="1">IF(AND('Mapa final'!$J$43="Media",'Mapa final'!$N$43="Moderado"),CONCATENATE("R",'Mapa final'!$A$43),"")</f>
        <v/>
      </c>
      <c r="AA26" s="307"/>
      <c r="AB26" s="323" t="str">
        <f ca="1">IF(AND('Mapa final'!$J$31="Media",'Mapa final'!$N$31="Mayor"),CONCATENATE("R",'Mapa final'!$A$31),"")</f>
        <v/>
      </c>
      <c r="AC26" s="324"/>
      <c r="AD26" s="324" t="str">
        <f ca="1">IF(AND('Mapa final'!$J$37="Media",'Mapa final'!$N$37="Mayor"),CONCATENATE("R",'Mapa final'!$A$37),"")</f>
        <v/>
      </c>
      <c r="AE26" s="324"/>
      <c r="AF26" s="324" t="str">
        <f ca="1">IF(AND('Mapa final'!$J$43="Media",'Mapa final'!$N$43="Mayor"),CONCATENATE("R",'Mapa final'!$A$43),"")</f>
        <v/>
      </c>
      <c r="AG26" s="325"/>
      <c r="AH26" s="314" t="str">
        <f ca="1">IF(AND('Mapa final'!$J$31="Media",'Mapa final'!$N$31="Catastrófico"),CONCATENATE("R",'Mapa final'!$A$31),"")</f>
        <v/>
      </c>
      <c r="AI26" s="315"/>
      <c r="AJ26" s="315" t="str">
        <f ca="1">IF(AND('Mapa final'!$J$37="Media",'Mapa final'!$N$37="Catastrófico"),CONCATENATE("R",'Mapa final'!$A$37),"")</f>
        <v/>
      </c>
      <c r="AK26" s="315"/>
      <c r="AL26" s="315" t="str">
        <f ca="1">IF(AND('Mapa final'!$J$43="Media",'Mapa final'!$N$43="Catastrófico"),CONCATENATE("R",'Mapa final'!$A$43),"")</f>
        <v/>
      </c>
      <c r="AM26" s="316"/>
      <c r="AN26" s="53"/>
      <c r="AO26" s="366"/>
      <c r="AP26" s="367"/>
      <c r="AQ26" s="367"/>
      <c r="AR26" s="367"/>
      <c r="AS26" s="367"/>
      <c r="AT26" s="368"/>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row>
    <row r="27" spans="1:80" x14ac:dyDescent="0.3">
      <c r="A27" s="53"/>
      <c r="B27" s="343"/>
      <c r="C27" s="343"/>
      <c r="D27" s="344"/>
      <c r="E27" s="336"/>
      <c r="F27" s="337"/>
      <c r="G27" s="337"/>
      <c r="H27" s="337"/>
      <c r="I27" s="338"/>
      <c r="J27" s="305"/>
      <c r="K27" s="306"/>
      <c r="L27" s="306"/>
      <c r="M27" s="306"/>
      <c r="N27" s="306"/>
      <c r="O27" s="307"/>
      <c r="P27" s="305"/>
      <c r="Q27" s="306"/>
      <c r="R27" s="306"/>
      <c r="S27" s="306"/>
      <c r="T27" s="306"/>
      <c r="U27" s="307"/>
      <c r="V27" s="305"/>
      <c r="W27" s="306"/>
      <c r="X27" s="306"/>
      <c r="Y27" s="306"/>
      <c r="Z27" s="306"/>
      <c r="AA27" s="307"/>
      <c r="AB27" s="323"/>
      <c r="AC27" s="324"/>
      <c r="AD27" s="324"/>
      <c r="AE27" s="324"/>
      <c r="AF27" s="324"/>
      <c r="AG27" s="325"/>
      <c r="AH27" s="314"/>
      <c r="AI27" s="315"/>
      <c r="AJ27" s="315"/>
      <c r="AK27" s="315"/>
      <c r="AL27" s="315"/>
      <c r="AM27" s="316"/>
      <c r="AN27" s="53"/>
      <c r="AO27" s="366"/>
      <c r="AP27" s="367"/>
      <c r="AQ27" s="367"/>
      <c r="AR27" s="367"/>
      <c r="AS27" s="367"/>
      <c r="AT27" s="368"/>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row>
    <row r="28" spans="1:80" x14ac:dyDescent="0.3">
      <c r="A28" s="53"/>
      <c r="B28" s="343"/>
      <c r="C28" s="343"/>
      <c r="D28" s="344"/>
      <c r="E28" s="336"/>
      <c r="F28" s="337"/>
      <c r="G28" s="337"/>
      <c r="H28" s="337"/>
      <c r="I28" s="338"/>
      <c r="J28" s="305" t="str">
        <f ca="1">IF(AND('Mapa final'!$J$49="Media",'Mapa final'!$N$49="Leve"),CONCATENATE("R",'Mapa final'!$A$49),"")</f>
        <v/>
      </c>
      <c r="K28" s="306"/>
      <c r="L28" s="306" t="str">
        <f>IF(AND('Mapa final'!$J$55="Media",'Mapa final'!$N$55="Leve"),CONCATENATE("R",'Mapa final'!$A$55),"")</f>
        <v/>
      </c>
      <c r="M28" s="306"/>
      <c r="N28" s="306" t="str">
        <f>IF(AND('Mapa final'!$J$61="Media",'Mapa final'!$N$61="Leve"),CONCATENATE("R",'Mapa final'!$A$61),"")</f>
        <v/>
      </c>
      <c r="O28" s="307"/>
      <c r="P28" s="305" t="str">
        <f ca="1">IF(AND('Mapa final'!$J$49="Media",'Mapa final'!$N$49="Menor"),CONCATENATE("R",'Mapa final'!$A$49),"")</f>
        <v/>
      </c>
      <c r="Q28" s="306"/>
      <c r="R28" s="306" t="str">
        <f>IF(AND('Mapa final'!$J$55="Media",'Mapa final'!$N$55="Menor"),CONCATENATE("R",'Mapa final'!$A$55),"")</f>
        <v/>
      </c>
      <c r="S28" s="306"/>
      <c r="T28" s="306" t="str">
        <f>IF(AND('Mapa final'!$J$61="Media",'Mapa final'!$N$61="Menor"),CONCATENATE("R",'Mapa final'!$A$61),"")</f>
        <v/>
      </c>
      <c r="U28" s="307"/>
      <c r="V28" s="305" t="str">
        <f ca="1">IF(AND('Mapa final'!$J$49="Media",'Mapa final'!$N$49="Moderado"),CONCATENATE("R",'Mapa final'!$A$49),"")</f>
        <v/>
      </c>
      <c r="W28" s="306"/>
      <c r="X28" s="306" t="str">
        <f>IF(AND('Mapa final'!$J$55="Media",'Mapa final'!$N$55="Moderado"),CONCATENATE("R",'Mapa final'!$A$55),"")</f>
        <v/>
      </c>
      <c r="Y28" s="306"/>
      <c r="Z28" s="306" t="str">
        <f>IF(AND('Mapa final'!$J$61="Media",'Mapa final'!$N$61="Moderado"),CONCATENATE("R",'Mapa final'!$A$61),"")</f>
        <v/>
      </c>
      <c r="AA28" s="307"/>
      <c r="AB28" s="323" t="str">
        <f ca="1">IF(AND('Mapa final'!$J$49="Media",'Mapa final'!$N$49="Mayor"),CONCATENATE("R",'Mapa final'!$A$49),"")</f>
        <v/>
      </c>
      <c r="AC28" s="324"/>
      <c r="AD28" s="324" t="str">
        <f>IF(AND('Mapa final'!$J$55="Media",'Mapa final'!$N$55="Mayor"),CONCATENATE("R",'Mapa final'!$A$55),"")</f>
        <v/>
      </c>
      <c r="AE28" s="324"/>
      <c r="AF28" s="324" t="str">
        <f>IF(AND('Mapa final'!$J$61="Media",'Mapa final'!$N$61="Mayor"),CONCATENATE("R",'Mapa final'!$A$61),"")</f>
        <v/>
      </c>
      <c r="AG28" s="325"/>
      <c r="AH28" s="314" t="str">
        <f ca="1">IF(AND('Mapa final'!$J$49="Media",'Mapa final'!$N$49="Catastrófico"),CONCATENATE("R",'Mapa final'!$A$49),"")</f>
        <v/>
      </c>
      <c r="AI28" s="315"/>
      <c r="AJ28" s="315" t="str">
        <f>IF(AND('Mapa final'!$J$55="Media",'Mapa final'!$N$55="Catastrófico"),CONCATENATE("R",'Mapa final'!$A$55),"")</f>
        <v/>
      </c>
      <c r="AK28" s="315"/>
      <c r="AL28" s="315" t="str">
        <f>IF(AND('Mapa final'!$J$61="Media",'Mapa final'!$N$61="Catastrófico"),CONCATENATE("R",'Mapa final'!$A$61),"")</f>
        <v/>
      </c>
      <c r="AM28" s="316"/>
      <c r="AN28" s="53"/>
      <c r="AO28" s="366"/>
      <c r="AP28" s="367"/>
      <c r="AQ28" s="367"/>
      <c r="AR28" s="367"/>
      <c r="AS28" s="367"/>
      <c r="AT28" s="368"/>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row>
    <row r="29" spans="1:80" ht="15" thickBot="1" x14ac:dyDescent="0.35">
      <c r="A29" s="53"/>
      <c r="B29" s="343"/>
      <c r="C29" s="343"/>
      <c r="D29" s="344"/>
      <c r="E29" s="339"/>
      <c r="F29" s="340"/>
      <c r="G29" s="340"/>
      <c r="H29" s="340"/>
      <c r="I29" s="341"/>
      <c r="J29" s="305"/>
      <c r="K29" s="306"/>
      <c r="L29" s="306"/>
      <c r="M29" s="306"/>
      <c r="N29" s="306"/>
      <c r="O29" s="307"/>
      <c r="P29" s="308"/>
      <c r="Q29" s="309"/>
      <c r="R29" s="309"/>
      <c r="S29" s="309"/>
      <c r="T29" s="309"/>
      <c r="U29" s="310"/>
      <c r="V29" s="308"/>
      <c r="W29" s="309"/>
      <c r="X29" s="309"/>
      <c r="Y29" s="309"/>
      <c r="Z29" s="309"/>
      <c r="AA29" s="310"/>
      <c r="AB29" s="326"/>
      <c r="AC29" s="327"/>
      <c r="AD29" s="327"/>
      <c r="AE29" s="327"/>
      <c r="AF29" s="327"/>
      <c r="AG29" s="328"/>
      <c r="AH29" s="317"/>
      <c r="AI29" s="318"/>
      <c r="AJ29" s="318"/>
      <c r="AK29" s="318"/>
      <c r="AL29" s="318"/>
      <c r="AM29" s="319"/>
      <c r="AN29" s="53"/>
      <c r="AO29" s="369"/>
      <c r="AP29" s="370"/>
      <c r="AQ29" s="370"/>
      <c r="AR29" s="370"/>
      <c r="AS29" s="370"/>
      <c r="AT29" s="371"/>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row>
    <row r="30" spans="1:80" x14ac:dyDescent="0.3">
      <c r="A30" s="53"/>
      <c r="B30" s="343"/>
      <c r="C30" s="343"/>
      <c r="D30" s="344"/>
      <c r="E30" s="333" t="s">
        <v>109</v>
      </c>
      <c r="F30" s="334"/>
      <c r="G30" s="334"/>
      <c r="H30" s="334"/>
      <c r="I30" s="334"/>
      <c r="J30" s="302" t="str">
        <f ca="1">IF(AND('Mapa final'!$J$10="Baja",'Mapa final'!$N$10="Leve"),CONCATENATE("R",'Mapa final'!$A$10),"")</f>
        <v/>
      </c>
      <c r="K30" s="303"/>
      <c r="L30" s="303" t="str">
        <f ca="1">IF(AND('Mapa final'!$J$15="Baja",'Mapa final'!$N$15="Leve"),CONCATENATE("R",'Mapa final'!$A$15),"")</f>
        <v/>
      </c>
      <c r="M30" s="303"/>
      <c r="N30" s="303" t="e">
        <f>IF(AND('Mapa final'!#REF!="Baja",'Mapa final'!#REF!="Leve"),CONCATENATE("R",'Mapa final'!#REF!),"")</f>
        <v>#REF!</v>
      </c>
      <c r="O30" s="304"/>
      <c r="P30" s="312" t="str">
        <f ca="1">IF(AND('Mapa final'!$J$10="Baja",'Mapa final'!$N$10="Menor"),CONCATENATE("R",'Mapa final'!$A$10),"")</f>
        <v/>
      </c>
      <c r="Q30" s="312"/>
      <c r="R30" s="312" t="str">
        <f ca="1">IF(AND('Mapa final'!$J$15="Baja",'Mapa final'!$N$15="Menor"),CONCATENATE("R",'Mapa final'!$A$15),"")</f>
        <v/>
      </c>
      <c r="S30" s="312"/>
      <c r="T30" s="312" t="e">
        <f>IF(AND('Mapa final'!#REF!="Baja",'Mapa final'!#REF!="Menor"),CONCATENATE("R",'Mapa final'!#REF!),"")</f>
        <v>#REF!</v>
      </c>
      <c r="U30" s="313"/>
      <c r="V30" s="311" t="str">
        <f ca="1">IF(AND('Mapa final'!$J$10="Baja",'Mapa final'!$N$10="Moderado"),CONCATENATE("R",'Mapa final'!$A$10),"")</f>
        <v/>
      </c>
      <c r="W30" s="312"/>
      <c r="X30" s="312" t="str">
        <f ca="1">IF(AND('Mapa final'!$J$15="Baja",'Mapa final'!$N$15="Moderado"),CONCATENATE("R",'Mapa final'!$A$15),"")</f>
        <v/>
      </c>
      <c r="Y30" s="312"/>
      <c r="Z30" s="312" t="e">
        <f>IF(AND('Mapa final'!#REF!="Baja",'Mapa final'!#REF!="Moderado"),CONCATENATE("R",'Mapa final'!#REF!),"")</f>
        <v>#REF!</v>
      </c>
      <c r="AA30" s="313"/>
      <c r="AB30" s="329" t="str">
        <f ca="1">IF(AND('Mapa final'!$J$10="Baja",'Mapa final'!$N$10="Mayor"),CONCATENATE("R",'Mapa final'!$A$10),"")</f>
        <v/>
      </c>
      <c r="AC30" s="330"/>
      <c r="AD30" s="330" t="str">
        <f ca="1">IF(AND('Mapa final'!$J$15="Baja",'Mapa final'!$N$15="Mayor"),CONCATENATE("R",'Mapa final'!$A$15),"")</f>
        <v/>
      </c>
      <c r="AE30" s="330"/>
      <c r="AF30" s="330" t="e">
        <f>IF(AND('Mapa final'!#REF!="Baja",'Mapa final'!#REF!="Mayor"),CONCATENATE("R",'Mapa final'!#REF!),"")</f>
        <v>#REF!</v>
      </c>
      <c r="AG30" s="331"/>
      <c r="AH30" s="320" t="str">
        <f ca="1">IF(AND('Mapa final'!$J$10="Baja",'Mapa final'!$N$10="Catastrófico"),CONCATENATE("R",'Mapa final'!$A$10),"")</f>
        <v/>
      </c>
      <c r="AI30" s="321"/>
      <c r="AJ30" s="321" t="str">
        <f ca="1">IF(AND('Mapa final'!$J$15="Baja",'Mapa final'!$N$15="Catastrófico"),CONCATENATE("R",'Mapa final'!$A$15),"")</f>
        <v/>
      </c>
      <c r="AK30" s="321"/>
      <c r="AL30" s="321" t="e">
        <f>IF(AND('Mapa final'!#REF!="Baja",'Mapa final'!#REF!="Catastrófico"),CONCATENATE("R",'Mapa final'!#REF!),"")</f>
        <v>#REF!</v>
      </c>
      <c r="AM30" s="322"/>
      <c r="AN30" s="53"/>
      <c r="AO30" s="372" t="s">
        <v>81</v>
      </c>
      <c r="AP30" s="373"/>
      <c r="AQ30" s="373"/>
      <c r="AR30" s="373"/>
      <c r="AS30" s="373"/>
      <c r="AT30" s="374"/>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row>
    <row r="31" spans="1:80" x14ac:dyDescent="0.3">
      <c r="A31" s="53"/>
      <c r="B31" s="343"/>
      <c r="C31" s="343"/>
      <c r="D31" s="344"/>
      <c r="E31" s="336"/>
      <c r="F31" s="337"/>
      <c r="G31" s="337"/>
      <c r="H31" s="337"/>
      <c r="I31" s="337"/>
      <c r="J31" s="296"/>
      <c r="K31" s="297"/>
      <c r="L31" s="297"/>
      <c r="M31" s="297"/>
      <c r="N31" s="297"/>
      <c r="O31" s="298"/>
      <c r="P31" s="306"/>
      <c r="Q31" s="306"/>
      <c r="R31" s="306"/>
      <c r="S31" s="306"/>
      <c r="T31" s="306"/>
      <c r="U31" s="307"/>
      <c r="V31" s="305"/>
      <c r="W31" s="306"/>
      <c r="X31" s="306"/>
      <c r="Y31" s="306"/>
      <c r="Z31" s="306"/>
      <c r="AA31" s="307"/>
      <c r="AB31" s="323"/>
      <c r="AC31" s="324"/>
      <c r="AD31" s="324"/>
      <c r="AE31" s="324"/>
      <c r="AF31" s="324"/>
      <c r="AG31" s="325"/>
      <c r="AH31" s="314"/>
      <c r="AI31" s="315"/>
      <c r="AJ31" s="315"/>
      <c r="AK31" s="315"/>
      <c r="AL31" s="315"/>
      <c r="AM31" s="316"/>
      <c r="AN31" s="53"/>
      <c r="AO31" s="375"/>
      <c r="AP31" s="376"/>
      <c r="AQ31" s="376"/>
      <c r="AR31" s="376"/>
      <c r="AS31" s="376"/>
      <c r="AT31" s="377"/>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row>
    <row r="32" spans="1:80" x14ac:dyDescent="0.3">
      <c r="A32" s="53"/>
      <c r="B32" s="343"/>
      <c r="C32" s="343"/>
      <c r="D32" s="344"/>
      <c r="E32" s="336"/>
      <c r="F32" s="337"/>
      <c r="G32" s="337"/>
      <c r="H32" s="337"/>
      <c r="I32" s="337"/>
      <c r="J32" s="296" t="e">
        <f>IF(AND('Mapa final'!#REF!="Baja",'Mapa final'!#REF!="Leve"),CONCATENATE("R",'Mapa final'!#REF!),"")</f>
        <v>#REF!</v>
      </c>
      <c r="K32" s="297"/>
      <c r="L32" s="297" t="str">
        <f ca="1">IF(AND('Mapa final'!$J$19="Baja",'Mapa final'!$N$19="Leve"),CONCATENATE("R",'Mapa final'!$A$19),"")</f>
        <v/>
      </c>
      <c r="M32" s="297"/>
      <c r="N32" s="297" t="str">
        <f ca="1">IF(AND('Mapa final'!$J$25="Baja",'Mapa final'!$N$25="Leve"),CONCATENATE("R",'Mapa final'!$A$25),"")</f>
        <v/>
      </c>
      <c r="O32" s="298"/>
      <c r="P32" s="306" t="e">
        <f>IF(AND('Mapa final'!#REF!="Baja",'Mapa final'!#REF!="Menor"),CONCATENATE("R",'Mapa final'!#REF!),"")</f>
        <v>#REF!</v>
      </c>
      <c r="Q32" s="306"/>
      <c r="R32" s="306" t="str">
        <f ca="1">IF(AND('Mapa final'!$J$19="Baja",'Mapa final'!$N$19="Menor"),CONCATENATE("R",'Mapa final'!$A$19),"")</f>
        <v/>
      </c>
      <c r="S32" s="306"/>
      <c r="T32" s="306" t="str">
        <f ca="1">IF(AND('Mapa final'!$J$25="Baja",'Mapa final'!$N$25="Menor"),CONCATENATE("R",'Mapa final'!$A$25),"")</f>
        <v/>
      </c>
      <c r="U32" s="307"/>
      <c r="V32" s="305" t="e">
        <f>IF(AND('Mapa final'!#REF!="Baja",'Mapa final'!#REF!="Moderado"),CONCATENATE("R",'Mapa final'!#REF!),"")</f>
        <v>#REF!</v>
      </c>
      <c r="W32" s="306"/>
      <c r="X32" s="306" t="str">
        <f ca="1">IF(AND('Mapa final'!$J$19="Baja",'Mapa final'!$N$19="Moderado"),CONCATENATE("R",'Mapa final'!$A$19),"")</f>
        <v/>
      </c>
      <c r="Y32" s="306"/>
      <c r="Z32" s="306" t="str">
        <f ca="1">IF(AND('Mapa final'!$J$25="Baja",'Mapa final'!$N$25="Moderado"),CONCATENATE("R",'Mapa final'!$A$25),"")</f>
        <v/>
      </c>
      <c r="AA32" s="307"/>
      <c r="AB32" s="323" t="e">
        <f>IF(AND('Mapa final'!#REF!="Baja",'Mapa final'!#REF!="Mayor"),CONCATENATE("R",'Mapa final'!#REF!),"")</f>
        <v>#REF!</v>
      </c>
      <c r="AC32" s="324"/>
      <c r="AD32" s="324" t="str">
        <f ca="1">IF(AND('Mapa final'!$J$19="Baja",'Mapa final'!$N$19="Mayor"),CONCATENATE("R",'Mapa final'!$A$19),"")</f>
        <v/>
      </c>
      <c r="AE32" s="324"/>
      <c r="AF32" s="324" t="str">
        <f ca="1">IF(AND('Mapa final'!$J$25="Baja",'Mapa final'!$N$25="Mayor"),CONCATENATE("R",'Mapa final'!$A$25),"")</f>
        <v/>
      </c>
      <c r="AG32" s="325"/>
      <c r="AH32" s="314" t="e">
        <f>IF(AND('Mapa final'!#REF!="Baja",'Mapa final'!#REF!="Catastrófico"),CONCATENATE("R",'Mapa final'!#REF!),"")</f>
        <v>#REF!</v>
      </c>
      <c r="AI32" s="315"/>
      <c r="AJ32" s="315" t="str">
        <f ca="1">IF(AND('Mapa final'!$J$19="Baja",'Mapa final'!$N$19="Catastrófico"),CONCATENATE("R",'Mapa final'!$A$19),"")</f>
        <v/>
      </c>
      <c r="AK32" s="315"/>
      <c r="AL32" s="315" t="str">
        <f ca="1">IF(AND('Mapa final'!$J$25="Baja",'Mapa final'!$N$25="Catastrófico"),CONCATENATE("R",'Mapa final'!$A$25),"")</f>
        <v/>
      </c>
      <c r="AM32" s="316"/>
      <c r="AN32" s="53"/>
      <c r="AO32" s="375"/>
      <c r="AP32" s="376"/>
      <c r="AQ32" s="376"/>
      <c r="AR32" s="376"/>
      <c r="AS32" s="376"/>
      <c r="AT32" s="377"/>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row>
    <row r="33" spans="1:80" x14ac:dyDescent="0.3">
      <c r="A33" s="53"/>
      <c r="B33" s="343"/>
      <c r="C33" s="343"/>
      <c r="D33" s="344"/>
      <c r="E33" s="336"/>
      <c r="F33" s="337"/>
      <c r="G33" s="337"/>
      <c r="H33" s="337"/>
      <c r="I33" s="337"/>
      <c r="J33" s="296"/>
      <c r="K33" s="297"/>
      <c r="L33" s="297"/>
      <c r="M33" s="297"/>
      <c r="N33" s="297"/>
      <c r="O33" s="298"/>
      <c r="P33" s="306"/>
      <c r="Q33" s="306"/>
      <c r="R33" s="306"/>
      <c r="S33" s="306"/>
      <c r="T33" s="306"/>
      <c r="U33" s="307"/>
      <c r="V33" s="305"/>
      <c r="W33" s="306"/>
      <c r="X33" s="306"/>
      <c r="Y33" s="306"/>
      <c r="Z33" s="306"/>
      <c r="AA33" s="307"/>
      <c r="AB33" s="323"/>
      <c r="AC33" s="324"/>
      <c r="AD33" s="324"/>
      <c r="AE33" s="324"/>
      <c r="AF33" s="324"/>
      <c r="AG33" s="325"/>
      <c r="AH33" s="314"/>
      <c r="AI33" s="315"/>
      <c r="AJ33" s="315"/>
      <c r="AK33" s="315"/>
      <c r="AL33" s="315"/>
      <c r="AM33" s="316"/>
      <c r="AN33" s="53"/>
      <c r="AO33" s="375"/>
      <c r="AP33" s="376"/>
      <c r="AQ33" s="376"/>
      <c r="AR33" s="376"/>
      <c r="AS33" s="376"/>
      <c r="AT33" s="377"/>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row>
    <row r="34" spans="1:80" x14ac:dyDescent="0.3">
      <c r="A34" s="53"/>
      <c r="B34" s="343"/>
      <c r="C34" s="343"/>
      <c r="D34" s="344"/>
      <c r="E34" s="336"/>
      <c r="F34" s="337"/>
      <c r="G34" s="337"/>
      <c r="H34" s="337"/>
      <c r="I34" s="337"/>
      <c r="J34" s="296" t="str">
        <f ca="1">IF(AND('Mapa final'!$J$31="Baja",'Mapa final'!$N$31="Leve"),CONCATENATE("R",'Mapa final'!$A$31),"")</f>
        <v/>
      </c>
      <c r="K34" s="297"/>
      <c r="L34" s="297" t="str">
        <f ca="1">IF(AND('Mapa final'!$J$37="Baja",'Mapa final'!$N$37="Leve"),CONCATENATE("R",'Mapa final'!$A$37),"")</f>
        <v/>
      </c>
      <c r="M34" s="297"/>
      <c r="N34" s="297" t="str">
        <f ca="1">IF(AND('Mapa final'!$J$43="Baja",'Mapa final'!$N$43="Leve"),CONCATENATE("R",'Mapa final'!$A$43),"")</f>
        <v/>
      </c>
      <c r="O34" s="298"/>
      <c r="P34" s="306" t="str">
        <f ca="1">IF(AND('Mapa final'!$J$31="Baja",'Mapa final'!$N$31="Menor"),CONCATENATE("R",'Mapa final'!$A$31),"")</f>
        <v/>
      </c>
      <c r="Q34" s="306"/>
      <c r="R34" s="306" t="str">
        <f ca="1">IF(AND('Mapa final'!$J$37="Baja",'Mapa final'!$N$37="Menor"),CONCATENATE("R",'Mapa final'!$A$37),"")</f>
        <v/>
      </c>
      <c r="S34" s="306"/>
      <c r="T34" s="306" t="str">
        <f ca="1">IF(AND('Mapa final'!$J$43="Baja",'Mapa final'!$N$43="Menor"),CONCATENATE("R",'Mapa final'!$A$43),"")</f>
        <v/>
      </c>
      <c r="U34" s="307"/>
      <c r="V34" s="305" t="str">
        <f ca="1">IF(AND('Mapa final'!$J$31="Baja",'Mapa final'!$N$31="Moderado"),CONCATENATE("R",'Mapa final'!$A$31),"")</f>
        <v/>
      </c>
      <c r="W34" s="306"/>
      <c r="X34" s="306" t="str">
        <f ca="1">IF(AND('Mapa final'!$J$37="Baja",'Mapa final'!$N$37="Moderado"),CONCATENATE("R",'Mapa final'!$A$37),"")</f>
        <v/>
      </c>
      <c r="Y34" s="306"/>
      <c r="Z34" s="306" t="str">
        <f ca="1">IF(AND('Mapa final'!$J$43="Baja",'Mapa final'!$N$43="Moderado"),CONCATENATE("R",'Mapa final'!$A$43),"")</f>
        <v/>
      </c>
      <c r="AA34" s="307"/>
      <c r="AB34" s="323" t="str">
        <f ca="1">IF(AND('Mapa final'!$J$31="Baja",'Mapa final'!$N$31="Mayor"),CONCATENATE("R",'Mapa final'!$A$31),"")</f>
        <v/>
      </c>
      <c r="AC34" s="324"/>
      <c r="AD34" s="324" t="str">
        <f ca="1">IF(AND('Mapa final'!$J$37="Baja",'Mapa final'!$N$37="Mayor"),CONCATENATE("R",'Mapa final'!$A$37),"")</f>
        <v/>
      </c>
      <c r="AE34" s="324"/>
      <c r="AF34" s="324" t="str">
        <f ca="1">IF(AND('Mapa final'!$J$43="Baja",'Mapa final'!$N$43="Mayor"),CONCATENATE("R",'Mapa final'!$A$43),"")</f>
        <v/>
      </c>
      <c r="AG34" s="325"/>
      <c r="AH34" s="314" t="str">
        <f ca="1">IF(AND('Mapa final'!$J$31="Baja",'Mapa final'!$N$31="Catastrófico"),CONCATENATE("R",'Mapa final'!$A$31),"")</f>
        <v/>
      </c>
      <c r="AI34" s="315"/>
      <c r="AJ34" s="315" t="str">
        <f ca="1">IF(AND('Mapa final'!$J$37="Baja",'Mapa final'!$N$37="Catastrófico"),CONCATENATE("R",'Mapa final'!$A$37),"")</f>
        <v/>
      </c>
      <c r="AK34" s="315"/>
      <c r="AL34" s="315" t="str">
        <f ca="1">IF(AND('Mapa final'!$J$43="Baja",'Mapa final'!$N$43="Catastrófico"),CONCATENATE("R",'Mapa final'!$A$43),"")</f>
        <v/>
      </c>
      <c r="AM34" s="316"/>
      <c r="AN34" s="53"/>
      <c r="AO34" s="375"/>
      <c r="AP34" s="376"/>
      <c r="AQ34" s="376"/>
      <c r="AR34" s="376"/>
      <c r="AS34" s="376"/>
      <c r="AT34" s="377"/>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row>
    <row r="35" spans="1:80" x14ac:dyDescent="0.3">
      <c r="A35" s="53"/>
      <c r="B35" s="343"/>
      <c r="C35" s="343"/>
      <c r="D35" s="344"/>
      <c r="E35" s="336"/>
      <c r="F35" s="337"/>
      <c r="G35" s="337"/>
      <c r="H35" s="337"/>
      <c r="I35" s="337"/>
      <c r="J35" s="296"/>
      <c r="K35" s="297"/>
      <c r="L35" s="297"/>
      <c r="M35" s="297"/>
      <c r="N35" s="297"/>
      <c r="O35" s="298"/>
      <c r="P35" s="306"/>
      <c r="Q35" s="306"/>
      <c r="R35" s="306"/>
      <c r="S35" s="306"/>
      <c r="T35" s="306"/>
      <c r="U35" s="307"/>
      <c r="V35" s="305"/>
      <c r="W35" s="306"/>
      <c r="X35" s="306"/>
      <c r="Y35" s="306"/>
      <c r="Z35" s="306"/>
      <c r="AA35" s="307"/>
      <c r="AB35" s="323"/>
      <c r="AC35" s="324"/>
      <c r="AD35" s="324"/>
      <c r="AE35" s="324"/>
      <c r="AF35" s="324"/>
      <c r="AG35" s="325"/>
      <c r="AH35" s="314"/>
      <c r="AI35" s="315"/>
      <c r="AJ35" s="315"/>
      <c r="AK35" s="315"/>
      <c r="AL35" s="315"/>
      <c r="AM35" s="316"/>
      <c r="AN35" s="53"/>
      <c r="AO35" s="375"/>
      <c r="AP35" s="376"/>
      <c r="AQ35" s="376"/>
      <c r="AR35" s="376"/>
      <c r="AS35" s="376"/>
      <c r="AT35" s="377"/>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row>
    <row r="36" spans="1:80" x14ac:dyDescent="0.3">
      <c r="A36" s="53"/>
      <c r="B36" s="343"/>
      <c r="C36" s="343"/>
      <c r="D36" s="344"/>
      <c r="E36" s="336"/>
      <c r="F36" s="337"/>
      <c r="G36" s="337"/>
      <c r="H36" s="337"/>
      <c r="I36" s="337"/>
      <c r="J36" s="296" t="str">
        <f ca="1">IF(AND('Mapa final'!$J$49="Baja",'Mapa final'!$N$49="Leve"),CONCATENATE("R",'Mapa final'!$A$49),"")</f>
        <v/>
      </c>
      <c r="K36" s="297"/>
      <c r="L36" s="297" t="str">
        <f>IF(AND('Mapa final'!$J$55="Baja",'Mapa final'!$N$55="Leve"),CONCATENATE("R",'Mapa final'!$A$55),"")</f>
        <v/>
      </c>
      <c r="M36" s="297"/>
      <c r="N36" s="297" t="str">
        <f>IF(AND('Mapa final'!$J$61="Baja",'Mapa final'!$N$61="Leve"),CONCATENATE("R",'Mapa final'!$A$61),"")</f>
        <v/>
      </c>
      <c r="O36" s="298"/>
      <c r="P36" s="306" t="str">
        <f ca="1">IF(AND('Mapa final'!$J$49="Baja",'Mapa final'!$N$49="Menor"),CONCATENATE("R",'Mapa final'!$A$49),"")</f>
        <v/>
      </c>
      <c r="Q36" s="306"/>
      <c r="R36" s="306" t="str">
        <f>IF(AND('Mapa final'!$J$55="Baja",'Mapa final'!$N$55="Menor"),CONCATENATE("R",'Mapa final'!$A$55),"")</f>
        <v/>
      </c>
      <c r="S36" s="306"/>
      <c r="T36" s="306" t="str">
        <f>IF(AND('Mapa final'!$J$61="Baja",'Mapa final'!$N$61="Menor"),CONCATENATE("R",'Mapa final'!$A$61),"")</f>
        <v/>
      </c>
      <c r="U36" s="307"/>
      <c r="V36" s="305" t="str">
        <f ca="1">IF(AND('Mapa final'!$J$49="Baja",'Mapa final'!$N$49="Moderado"),CONCATENATE("R",'Mapa final'!$A$49),"")</f>
        <v/>
      </c>
      <c r="W36" s="306"/>
      <c r="X36" s="306" t="str">
        <f>IF(AND('Mapa final'!$J$55="Baja",'Mapa final'!$N$55="Moderado"),CONCATENATE("R",'Mapa final'!$A$55),"")</f>
        <v/>
      </c>
      <c r="Y36" s="306"/>
      <c r="Z36" s="306" t="str">
        <f>IF(AND('Mapa final'!$J$61="Baja",'Mapa final'!$N$61="Moderado"),CONCATENATE("R",'Mapa final'!$A$61),"")</f>
        <v/>
      </c>
      <c r="AA36" s="307"/>
      <c r="AB36" s="323" t="str">
        <f ca="1">IF(AND('Mapa final'!$J$49="Baja",'Mapa final'!$N$49="Mayor"),CONCATENATE("R",'Mapa final'!$A$49),"")</f>
        <v/>
      </c>
      <c r="AC36" s="324"/>
      <c r="AD36" s="324" t="str">
        <f>IF(AND('Mapa final'!$J$55="Baja",'Mapa final'!$N$55="Mayor"),CONCATENATE("R",'Mapa final'!$A$55),"")</f>
        <v/>
      </c>
      <c r="AE36" s="324"/>
      <c r="AF36" s="324" t="str">
        <f>IF(AND('Mapa final'!$J$61="Baja",'Mapa final'!$N$61="Mayor"),CONCATENATE("R",'Mapa final'!$A$61),"")</f>
        <v/>
      </c>
      <c r="AG36" s="325"/>
      <c r="AH36" s="314" t="str">
        <f ca="1">IF(AND('Mapa final'!$J$49="Baja",'Mapa final'!$N$49="Catastrófico"),CONCATENATE("R",'Mapa final'!$A$49),"")</f>
        <v/>
      </c>
      <c r="AI36" s="315"/>
      <c r="AJ36" s="315" t="str">
        <f>IF(AND('Mapa final'!$J$55="Baja",'Mapa final'!$N$55="Catastrófico"),CONCATENATE("R",'Mapa final'!$A$55),"")</f>
        <v/>
      </c>
      <c r="AK36" s="315"/>
      <c r="AL36" s="315" t="str">
        <f>IF(AND('Mapa final'!$J$61="Baja",'Mapa final'!$N$61="Catastrófico"),CONCATENATE("R",'Mapa final'!$A$61),"")</f>
        <v/>
      </c>
      <c r="AM36" s="316"/>
      <c r="AN36" s="53"/>
      <c r="AO36" s="375"/>
      <c r="AP36" s="376"/>
      <c r="AQ36" s="376"/>
      <c r="AR36" s="376"/>
      <c r="AS36" s="376"/>
      <c r="AT36" s="377"/>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row>
    <row r="37" spans="1:80" ht="15" thickBot="1" x14ac:dyDescent="0.35">
      <c r="A37" s="53"/>
      <c r="B37" s="343"/>
      <c r="C37" s="343"/>
      <c r="D37" s="344"/>
      <c r="E37" s="339"/>
      <c r="F37" s="340"/>
      <c r="G37" s="340"/>
      <c r="H37" s="340"/>
      <c r="I37" s="340"/>
      <c r="J37" s="299"/>
      <c r="K37" s="300"/>
      <c r="L37" s="300"/>
      <c r="M37" s="300"/>
      <c r="N37" s="300"/>
      <c r="O37" s="301"/>
      <c r="P37" s="309"/>
      <c r="Q37" s="309"/>
      <c r="R37" s="309"/>
      <c r="S37" s="309"/>
      <c r="T37" s="309"/>
      <c r="U37" s="310"/>
      <c r="V37" s="308"/>
      <c r="W37" s="309"/>
      <c r="X37" s="309"/>
      <c r="Y37" s="309"/>
      <c r="Z37" s="309"/>
      <c r="AA37" s="310"/>
      <c r="AB37" s="326"/>
      <c r="AC37" s="327"/>
      <c r="AD37" s="327"/>
      <c r="AE37" s="327"/>
      <c r="AF37" s="327"/>
      <c r="AG37" s="328"/>
      <c r="AH37" s="317"/>
      <c r="AI37" s="318"/>
      <c r="AJ37" s="318"/>
      <c r="AK37" s="318"/>
      <c r="AL37" s="318"/>
      <c r="AM37" s="319"/>
      <c r="AN37" s="53"/>
      <c r="AO37" s="378"/>
      <c r="AP37" s="379"/>
      <c r="AQ37" s="379"/>
      <c r="AR37" s="379"/>
      <c r="AS37" s="379"/>
      <c r="AT37" s="380"/>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row>
    <row r="38" spans="1:80" x14ac:dyDescent="0.3">
      <c r="A38" s="53"/>
      <c r="B38" s="343"/>
      <c r="C38" s="343"/>
      <c r="D38" s="344"/>
      <c r="E38" s="333" t="s">
        <v>108</v>
      </c>
      <c r="F38" s="334"/>
      <c r="G38" s="334"/>
      <c r="H38" s="334"/>
      <c r="I38" s="335"/>
      <c r="J38" s="302" t="str">
        <f ca="1">IF(AND('Mapa final'!$J$10="Muy Baja",'Mapa final'!$N$10="Leve"),CONCATENATE("R",'Mapa final'!$A$10),"")</f>
        <v/>
      </c>
      <c r="K38" s="303"/>
      <c r="L38" s="303" t="str">
        <f ca="1">IF(AND('Mapa final'!$J$15="Muy Baja",'Mapa final'!$N$15="Leve"),CONCATENATE("R",'Mapa final'!$A$15),"")</f>
        <v/>
      </c>
      <c r="M38" s="303"/>
      <c r="N38" s="303" t="e">
        <f>IF(AND('Mapa final'!#REF!="Muy Baja",'Mapa final'!#REF!="Leve"),CONCATENATE("R",'Mapa final'!#REF!),"")</f>
        <v>#REF!</v>
      </c>
      <c r="O38" s="304"/>
      <c r="P38" s="302" t="str">
        <f ca="1">IF(AND('Mapa final'!$J$10="Muy Baja",'Mapa final'!$N$10="Menor"),CONCATENATE("R",'Mapa final'!$A$10),"")</f>
        <v/>
      </c>
      <c r="Q38" s="303"/>
      <c r="R38" s="303" t="str">
        <f ca="1">IF(AND('Mapa final'!$J$15="Muy Baja",'Mapa final'!$N$15="Menor"),CONCATENATE("R",'Mapa final'!$A$15),"")</f>
        <v/>
      </c>
      <c r="S38" s="303"/>
      <c r="T38" s="303" t="e">
        <f>IF(AND('Mapa final'!#REF!="Muy Baja",'Mapa final'!#REF!="Menor"),CONCATENATE("R",'Mapa final'!#REF!),"")</f>
        <v>#REF!</v>
      </c>
      <c r="U38" s="304"/>
      <c r="V38" s="311" t="str">
        <f ca="1">IF(AND('Mapa final'!$J$10="Muy Baja",'Mapa final'!$N$10="Moderado"),CONCATENATE("R",'Mapa final'!$A$10),"")</f>
        <v/>
      </c>
      <c r="W38" s="312"/>
      <c r="X38" s="312" t="str">
        <f ca="1">IF(AND('Mapa final'!$J$15="Muy Baja",'Mapa final'!$N$15="Moderado"),CONCATENATE("R",'Mapa final'!$A$15),"")</f>
        <v/>
      </c>
      <c r="Y38" s="312"/>
      <c r="Z38" s="312" t="e">
        <f>IF(AND('Mapa final'!#REF!="Muy Baja",'Mapa final'!#REF!="Moderado"),CONCATENATE("R",'Mapa final'!#REF!),"")</f>
        <v>#REF!</v>
      </c>
      <c r="AA38" s="313"/>
      <c r="AB38" s="329" t="str">
        <f ca="1">IF(AND('Mapa final'!$J$10="Muy Baja",'Mapa final'!$N$10="Mayor"),CONCATENATE("R",'Mapa final'!$A$10),"")</f>
        <v/>
      </c>
      <c r="AC38" s="330"/>
      <c r="AD38" s="330" t="str">
        <f ca="1">IF(AND('Mapa final'!$J$15="Muy Baja",'Mapa final'!$N$15="Mayor"),CONCATENATE("R",'Mapa final'!$A$15),"")</f>
        <v/>
      </c>
      <c r="AE38" s="330"/>
      <c r="AF38" s="330" t="e">
        <f>IF(AND('Mapa final'!#REF!="Muy Baja",'Mapa final'!#REF!="Mayor"),CONCATENATE("R",'Mapa final'!#REF!),"")</f>
        <v>#REF!</v>
      </c>
      <c r="AG38" s="331"/>
      <c r="AH38" s="320" t="str">
        <f ca="1">IF(AND('Mapa final'!$J$10="Muy Baja",'Mapa final'!$N$10="Catastrófico"),CONCATENATE("R",'Mapa final'!$A$10),"")</f>
        <v/>
      </c>
      <c r="AI38" s="321"/>
      <c r="AJ38" s="321" t="str">
        <f ca="1">IF(AND('Mapa final'!$J$15="Muy Baja",'Mapa final'!$N$15="Catastrófico"),CONCATENATE("R",'Mapa final'!$A$15),"")</f>
        <v/>
      </c>
      <c r="AK38" s="321"/>
      <c r="AL38" s="321" t="e">
        <f>IF(AND('Mapa final'!#REF!="Muy Baja",'Mapa final'!#REF!="Catastrófico"),CONCATENATE("R",'Mapa final'!#REF!),"")</f>
        <v>#REF!</v>
      </c>
      <c r="AM38" s="322"/>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row>
    <row r="39" spans="1:80" x14ac:dyDescent="0.3">
      <c r="A39" s="53"/>
      <c r="B39" s="343"/>
      <c r="C39" s="343"/>
      <c r="D39" s="344"/>
      <c r="E39" s="336"/>
      <c r="F39" s="337"/>
      <c r="G39" s="337"/>
      <c r="H39" s="337"/>
      <c r="I39" s="338"/>
      <c r="J39" s="296"/>
      <c r="K39" s="297"/>
      <c r="L39" s="297"/>
      <c r="M39" s="297"/>
      <c r="N39" s="297"/>
      <c r="O39" s="298"/>
      <c r="P39" s="296"/>
      <c r="Q39" s="297"/>
      <c r="R39" s="297"/>
      <c r="S39" s="297"/>
      <c r="T39" s="297"/>
      <c r="U39" s="298"/>
      <c r="V39" s="305"/>
      <c r="W39" s="306"/>
      <c r="X39" s="306"/>
      <c r="Y39" s="306"/>
      <c r="Z39" s="306"/>
      <c r="AA39" s="307"/>
      <c r="AB39" s="323"/>
      <c r="AC39" s="324"/>
      <c r="AD39" s="324"/>
      <c r="AE39" s="324"/>
      <c r="AF39" s="324"/>
      <c r="AG39" s="325"/>
      <c r="AH39" s="314"/>
      <c r="AI39" s="315"/>
      <c r="AJ39" s="315"/>
      <c r="AK39" s="315"/>
      <c r="AL39" s="315"/>
      <c r="AM39" s="316"/>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row>
    <row r="40" spans="1:80" x14ac:dyDescent="0.3">
      <c r="A40" s="53"/>
      <c r="B40" s="343"/>
      <c r="C40" s="343"/>
      <c r="D40" s="344"/>
      <c r="E40" s="336"/>
      <c r="F40" s="337"/>
      <c r="G40" s="337"/>
      <c r="H40" s="337"/>
      <c r="I40" s="338"/>
      <c r="J40" s="296" t="e">
        <f>IF(AND('Mapa final'!#REF!="Muy Baja",'Mapa final'!#REF!="Leve"),CONCATENATE("R",'Mapa final'!#REF!),"")</f>
        <v>#REF!</v>
      </c>
      <c r="K40" s="297"/>
      <c r="L40" s="297" t="str">
        <f ca="1">IF(AND('Mapa final'!$J$19="Muy Baja",'Mapa final'!$N$19="Leve"),CONCATENATE("R",'Mapa final'!$A$19),"")</f>
        <v/>
      </c>
      <c r="M40" s="297"/>
      <c r="N40" s="297" t="str">
        <f ca="1">IF(AND('Mapa final'!$J$25="Muy Baja",'Mapa final'!$N$25="Leve"),CONCATENATE("R",'Mapa final'!$A$25),"")</f>
        <v/>
      </c>
      <c r="O40" s="298"/>
      <c r="P40" s="296" t="e">
        <f>IF(AND('Mapa final'!#REF!="Muy Baja",'Mapa final'!#REF!="Menor"),CONCATENATE("R",'Mapa final'!#REF!),"")</f>
        <v>#REF!</v>
      </c>
      <c r="Q40" s="297"/>
      <c r="R40" s="297" t="str">
        <f ca="1">IF(AND('Mapa final'!$J$19="Muy Baja",'Mapa final'!$N$19="Menor"),CONCATENATE("R",'Mapa final'!$A$19),"")</f>
        <v/>
      </c>
      <c r="S40" s="297"/>
      <c r="T40" s="297" t="str">
        <f ca="1">IF(AND('Mapa final'!$J$25="Muy Baja",'Mapa final'!$N$25="Menor"),CONCATENATE("R",'Mapa final'!$A$25),"")</f>
        <v/>
      </c>
      <c r="U40" s="298"/>
      <c r="V40" s="305" t="e">
        <f>IF(AND('Mapa final'!#REF!="Muy Baja",'Mapa final'!#REF!="Moderado"),CONCATENATE("R",'Mapa final'!#REF!),"")</f>
        <v>#REF!</v>
      </c>
      <c r="W40" s="306"/>
      <c r="X40" s="306" t="str">
        <f ca="1">IF(AND('Mapa final'!$J$19="Muy Baja",'Mapa final'!$N$19="Moderado"),CONCATENATE("R",'Mapa final'!$A$19),"")</f>
        <v/>
      </c>
      <c r="Y40" s="306"/>
      <c r="Z40" s="306" t="str">
        <f ca="1">IF(AND('Mapa final'!$J$25="Muy Baja",'Mapa final'!$N$25="Moderado"),CONCATENATE("R",'Mapa final'!$A$25),"")</f>
        <v/>
      </c>
      <c r="AA40" s="307"/>
      <c r="AB40" s="323" t="e">
        <f>IF(AND('Mapa final'!#REF!="Muy Baja",'Mapa final'!#REF!="Mayor"),CONCATENATE("R",'Mapa final'!#REF!),"")</f>
        <v>#REF!</v>
      </c>
      <c r="AC40" s="324"/>
      <c r="AD40" s="324" t="str">
        <f ca="1">IF(AND('Mapa final'!$J$19="Muy Baja",'Mapa final'!$N$19="Mayor"),CONCATENATE("R",'Mapa final'!$A$19),"")</f>
        <v/>
      </c>
      <c r="AE40" s="324"/>
      <c r="AF40" s="324" t="str">
        <f ca="1">IF(AND('Mapa final'!$J$25="Muy Baja",'Mapa final'!$N$25="Mayor"),CONCATENATE("R",'Mapa final'!$A$25),"")</f>
        <v/>
      </c>
      <c r="AG40" s="325"/>
      <c r="AH40" s="314" t="e">
        <f>IF(AND('Mapa final'!#REF!="Muy Baja",'Mapa final'!#REF!="Catastrófico"),CONCATENATE("R",'Mapa final'!#REF!),"")</f>
        <v>#REF!</v>
      </c>
      <c r="AI40" s="315"/>
      <c r="AJ40" s="315" t="str">
        <f ca="1">IF(AND('Mapa final'!$J$19="Muy Baja",'Mapa final'!$N$19="Catastrófico"),CONCATENATE("R",'Mapa final'!$A$19),"")</f>
        <v/>
      </c>
      <c r="AK40" s="315"/>
      <c r="AL40" s="315" t="str">
        <f ca="1">IF(AND('Mapa final'!$J$25="Muy Baja",'Mapa final'!$N$25="Catastrófico"),CONCATENATE("R",'Mapa final'!$A$25),"")</f>
        <v/>
      </c>
      <c r="AM40" s="316"/>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row>
    <row r="41" spans="1:80" x14ac:dyDescent="0.3">
      <c r="A41" s="53"/>
      <c r="B41" s="343"/>
      <c r="C41" s="343"/>
      <c r="D41" s="344"/>
      <c r="E41" s="336"/>
      <c r="F41" s="337"/>
      <c r="G41" s="337"/>
      <c r="H41" s="337"/>
      <c r="I41" s="338"/>
      <c r="J41" s="296"/>
      <c r="K41" s="297"/>
      <c r="L41" s="297"/>
      <c r="M41" s="297"/>
      <c r="N41" s="297"/>
      <c r="O41" s="298"/>
      <c r="P41" s="296"/>
      <c r="Q41" s="297"/>
      <c r="R41" s="297"/>
      <c r="S41" s="297"/>
      <c r="T41" s="297"/>
      <c r="U41" s="298"/>
      <c r="V41" s="305"/>
      <c r="W41" s="306"/>
      <c r="X41" s="306"/>
      <c r="Y41" s="306"/>
      <c r="Z41" s="306"/>
      <c r="AA41" s="307"/>
      <c r="AB41" s="323"/>
      <c r="AC41" s="324"/>
      <c r="AD41" s="324"/>
      <c r="AE41" s="324"/>
      <c r="AF41" s="324"/>
      <c r="AG41" s="325"/>
      <c r="AH41" s="314"/>
      <c r="AI41" s="315"/>
      <c r="AJ41" s="315"/>
      <c r="AK41" s="315"/>
      <c r="AL41" s="315"/>
      <c r="AM41" s="316"/>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row>
    <row r="42" spans="1:80" x14ac:dyDescent="0.3">
      <c r="A42" s="53"/>
      <c r="B42" s="343"/>
      <c r="C42" s="343"/>
      <c r="D42" s="344"/>
      <c r="E42" s="336"/>
      <c r="F42" s="337"/>
      <c r="G42" s="337"/>
      <c r="H42" s="337"/>
      <c r="I42" s="338"/>
      <c r="J42" s="296" t="str">
        <f ca="1">IF(AND('Mapa final'!$J$31="Muy Baja",'Mapa final'!$N$31="Leve"),CONCATENATE("R",'Mapa final'!$A$31),"")</f>
        <v/>
      </c>
      <c r="K42" s="297"/>
      <c r="L42" s="297" t="str">
        <f ca="1">IF(AND('Mapa final'!$J$37="Muy Baja",'Mapa final'!$N$37="Leve"),CONCATENATE("R",'Mapa final'!$A$37),"")</f>
        <v/>
      </c>
      <c r="M42" s="297"/>
      <c r="N42" s="297" t="str">
        <f ca="1">IF(AND('Mapa final'!$J$43="Muy Baja",'Mapa final'!$N$43="Leve"),CONCATENATE("R",'Mapa final'!$A$43),"")</f>
        <v/>
      </c>
      <c r="O42" s="298"/>
      <c r="P42" s="296" t="str">
        <f ca="1">IF(AND('Mapa final'!$J$31="Muy Baja",'Mapa final'!$N$31="Menor"),CONCATENATE("R",'Mapa final'!$A$31),"")</f>
        <v/>
      </c>
      <c r="Q42" s="297"/>
      <c r="R42" s="297" t="str">
        <f ca="1">IF(AND('Mapa final'!$J$37="Muy Baja",'Mapa final'!$N$37="Menor"),CONCATENATE("R",'Mapa final'!$A$37),"")</f>
        <v/>
      </c>
      <c r="S42" s="297"/>
      <c r="T42" s="297" t="str">
        <f ca="1">IF(AND('Mapa final'!$J$43="Muy Baja",'Mapa final'!$N$43="Menor"),CONCATENATE("R",'Mapa final'!$A$43),"")</f>
        <v/>
      </c>
      <c r="U42" s="298"/>
      <c r="V42" s="305" t="str">
        <f ca="1">IF(AND('Mapa final'!$J$31="Muy Baja",'Mapa final'!$N$31="Moderado"),CONCATENATE("R",'Mapa final'!$A$31),"")</f>
        <v/>
      </c>
      <c r="W42" s="306"/>
      <c r="X42" s="306" t="str">
        <f ca="1">IF(AND('Mapa final'!$J$37="Muy Baja",'Mapa final'!$N$37="Moderado"),CONCATENATE("R",'Mapa final'!$A$37),"")</f>
        <v/>
      </c>
      <c r="Y42" s="306"/>
      <c r="Z42" s="306" t="str">
        <f ca="1">IF(AND('Mapa final'!$J$43="Muy Baja",'Mapa final'!$N$43="Moderado"),CONCATENATE("R",'Mapa final'!$A$43),"")</f>
        <v/>
      </c>
      <c r="AA42" s="307"/>
      <c r="AB42" s="323" t="str">
        <f ca="1">IF(AND('Mapa final'!$J$31="Muy Baja",'Mapa final'!$N$31="Mayor"),CONCATENATE("R",'Mapa final'!$A$31),"")</f>
        <v/>
      </c>
      <c r="AC42" s="324"/>
      <c r="AD42" s="324" t="str">
        <f ca="1">IF(AND('Mapa final'!$J$37="Muy Baja",'Mapa final'!$N$37="Mayor"),CONCATENATE("R",'Mapa final'!$A$37),"")</f>
        <v/>
      </c>
      <c r="AE42" s="324"/>
      <c r="AF42" s="324" t="str">
        <f ca="1">IF(AND('Mapa final'!$J$43="Muy Baja",'Mapa final'!$N$43="Mayor"),CONCATENATE("R",'Mapa final'!$A$43),"")</f>
        <v/>
      </c>
      <c r="AG42" s="325"/>
      <c r="AH42" s="314" t="str">
        <f ca="1">IF(AND('Mapa final'!$J$31="Muy Baja",'Mapa final'!$N$31="Catastrófico"),CONCATENATE("R",'Mapa final'!$A$31),"")</f>
        <v/>
      </c>
      <c r="AI42" s="315"/>
      <c r="AJ42" s="315" t="str">
        <f ca="1">IF(AND('Mapa final'!$J$37="Muy Baja",'Mapa final'!$N$37="Catastrófico"),CONCATENATE("R",'Mapa final'!$A$37),"")</f>
        <v/>
      </c>
      <c r="AK42" s="315"/>
      <c r="AL42" s="315" t="str">
        <f ca="1">IF(AND('Mapa final'!$J$43="Muy Baja",'Mapa final'!$N$43="Catastrófico"),CONCATENATE("R",'Mapa final'!$A$43),"")</f>
        <v/>
      </c>
      <c r="AM42" s="316"/>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row>
    <row r="43" spans="1:80" x14ac:dyDescent="0.3">
      <c r="A43" s="53"/>
      <c r="B43" s="343"/>
      <c r="C43" s="343"/>
      <c r="D43" s="344"/>
      <c r="E43" s="336"/>
      <c r="F43" s="337"/>
      <c r="G43" s="337"/>
      <c r="H43" s="337"/>
      <c r="I43" s="338"/>
      <c r="J43" s="296"/>
      <c r="K43" s="297"/>
      <c r="L43" s="297"/>
      <c r="M43" s="297"/>
      <c r="N43" s="297"/>
      <c r="O43" s="298"/>
      <c r="P43" s="296"/>
      <c r="Q43" s="297"/>
      <c r="R43" s="297"/>
      <c r="S43" s="297"/>
      <c r="T43" s="297"/>
      <c r="U43" s="298"/>
      <c r="V43" s="305"/>
      <c r="W43" s="306"/>
      <c r="X43" s="306"/>
      <c r="Y43" s="306"/>
      <c r="Z43" s="306"/>
      <c r="AA43" s="307"/>
      <c r="AB43" s="323"/>
      <c r="AC43" s="324"/>
      <c r="AD43" s="324"/>
      <c r="AE43" s="324"/>
      <c r="AF43" s="324"/>
      <c r="AG43" s="325"/>
      <c r="AH43" s="314"/>
      <c r="AI43" s="315"/>
      <c r="AJ43" s="315"/>
      <c r="AK43" s="315"/>
      <c r="AL43" s="315"/>
      <c r="AM43" s="316"/>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row>
    <row r="44" spans="1:80" x14ac:dyDescent="0.3">
      <c r="A44" s="53"/>
      <c r="B44" s="343"/>
      <c r="C44" s="343"/>
      <c r="D44" s="344"/>
      <c r="E44" s="336"/>
      <c r="F44" s="337"/>
      <c r="G44" s="337"/>
      <c r="H44" s="337"/>
      <c r="I44" s="338"/>
      <c r="J44" s="296" t="str">
        <f ca="1">IF(AND('Mapa final'!$J$49="Muy Baja",'Mapa final'!$N$49="Leve"),CONCATENATE("R",'Mapa final'!$A$49),"")</f>
        <v/>
      </c>
      <c r="K44" s="297"/>
      <c r="L44" s="297" t="str">
        <f>IF(AND('Mapa final'!$J$55="Muy Baja",'Mapa final'!$N$55="Leve"),CONCATENATE("R",'Mapa final'!$A$55),"")</f>
        <v/>
      </c>
      <c r="M44" s="297"/>
      <c r="N44" s="297" t="str">
        <f>IF(AND('Mapa final'!$J$61="Muy Baja",'Mapa final'!$N$61="Leve"),CONCATENATE("R",'Mapa final'!$A$61),"")</f>
        <v/>
      </c>
      <c r="O44" s="298"/>
      <c r="P44" s="296" t="str">
        <f ca="1">IF(AND('Mapa final'!$J$49="Muy Baja",'Mapa final'!$N$49="Menor"),CONCATENATE("R",'Mapa final'!$A$49),"")</f>
        <v/>
      </c>
      <c r="Q44" s="297"/>
      <c r="R44" s="297" t="str">
        <f>IF(AND('Mapa final'!$J$55="Muy Baja",'Mapa final'!$N$55="Menor"),CONCATENATE("R",'Mapa final'!$A$55),"")</f>
        <v/>
      </c>
      <c r="S44" s="297"/>
      <c r="T44" s="297" t="str">
        <f>IF(AND('Mapa final'!$J$61="Muy Baja",'Mapa final'!$N$61="Menor"),CONCATENATE("R",'Mapa final'!$A$61),"")</f>
        <v/>
      </c>
      <c r="U44" s="298"/>
      <c r="V44" s="305" t="str">
        <f ca="1">IF(AND('Mapa final'!$J$49="Muy Baja",'Mapa final'!$N$49="Moderado"),CONCATENATE("R",'Mapa final'!$A$49),"")</f>
        <v/>
      </c>
      <c r="W44" s="306"/>
      <c r="X44" s="306" t="str">
        <f>IF(AND('Mapa final'!$J$55="Muy Baja",'Mapa final'!$N$55="Moderado"),CONCATENATE("R",'Mapa final'!$A$55),"")</f>
        <v/>
      </c>
      <c r="Y44" s="306"/>
      <c r="Z44" s="306" t="str">
        <f>IF(AND('Mapa final'!$J$61="Muy Baja",'Mapa final'!$N$61="Moderado"),CONCATENATE("R",'Mapa final'!$A$61),"")</f>
        <v/>
      </c>
      <c r="AA44" s="307"/>
      <c r="AB44" s="323" t="str">
        <f ca="1">IF(AND('Mapa final'!$J$49="Muy Baja",'Mapa final'!$N$49="Mayor"),CONCATENATE("R",'Mapa final'!$A$49),"")</f>
        <v/>
      </c>
      <c r="AC44" s="324"/>
      <c r="AD44" s="324" t="str">
        <f>IF(AND('Mapa final'!$J$55="Muy Baja",'Mapa final'!$N$55="Mayor"),CONCATENATE("R",'Mapa final'!$A$55),"")</f>
        <v/>
      </c>
      <c r="AE44" s="324"/>
      <c r="AF44" s="324" t="str">
        <f>IF(AND('Mapa final'!$J$61="Muy Baja",'Mapa final'!$N$61="Mayor"),CONCATENATE("R",'Mapa final'!$A$61),"")</f>
        <v/>
      </c>
      <c r="AG44" s="325"/>
      <c r="AH44" s="314" t="str">
        <f ca="1">IF(AND('Mapa final'!$J$49="Muy Baja",'Mapa final'!$N$49="Catastrófico"),CONCATENATE("R",'Mapa final'!$A$49),"")</f>
        <v/>
      </c>
      <c r="AI44" s="315"/>
      <c r="AJ44" s="315" t="str">
        <f>IF(AND('Mapa final'!$J$55="Muy Baja",'Mapa final'!$N$55="Catastrófico"),CONCATENATE("R",'Mapa final'!$A$55),"")</f>
        <v/>
      </c>
      <c r="AK44" s="315"/>
      <c r="AL44" s="315" t="str">
        <f>IF(AND('Mapa final'!$J$61="Muy Baja",'Mapa final'!$N$61="Catastrófico"),CONCATENATE("R",'Mapa final'!$A$61),"")</f>
        <v/>
      </c>
      <c r="AM44" s="316"/>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row>
    <row r="45" spans="1:80" ht="15" thickBot="1" x14ac:dyDescent="0.35">
      <c r="A45" s="53"/>
      <c r="B45" s="343"/>
      <c r="C45" s="343"/>
      <c r="D45" s="344"/>
      <c r="E45" s="339"/>
      <c r="F45" s="340"/>
      <c r="G45" s="340"/>
      <c r="H45" s="340"/>
      <c r="I45" s="341"/>
      <c r="J45" s="299"/>
      <c r="K45" s="300"/>
      <c r="L45" s="300"/>
      <c r="M45" s="300"/>
      <c r="N45" s="300"/>
      <c r="O45" s="301"/>
      <c r="P45" s="299"/>
      <c r="Q45" s="300"/>
      <c r="R45" s="300"/>
      <c r="S45" s="300"/>
      <c r="T45" s="300"/>
      <c r="U45" s="301"/>
      <c r="V45" s="308"/>
      <c r="W45" s="309"/>
      <c r="X45" s="309"/>
      <c r="Y45" s="309"/>
      <c r="Z45" s="309"/>
      <c r="AA45" s="310"/>
      <c r="AB45" s="326"/>
      <c r="AC45" s="327"/>
      <c r="AD45" s="327"/>
      <c r="AE45" s="327"/>
      <c r="AF45" s="327"/>
      <c r="AG45" s="328"/>
      <c r="AH45" s="317"/>
      <c r="AI45" s="318"/>
      <c r="AJ45" s="318"/>
      <c r="AK45" s="318"/>
      <c r="AL45" s="318"/>
      <c r="AM45" s="319"/>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row>
    <row r="46" spans="1:80" x14ac:dyDescent="0.3">
      <c r="A46" s="53"/>
      <c r="B46" s="53"/>
      <c r="C46" s="53"/>
      <c r="D46" s="53"/>
      <c r="E46" s="53"/>
      <c r="F46" s="53"/>
      <c r="G46" s="53"/>
      <c r="H46" s="53"/>
      <c r="I46" s="53"/>
      <c r="J46" s="333" t="s">
        <v>107</v>
      </c>
      <c r="K46" s="334"/>
      <c r="L46" s="334"/>
      <c r="M46" s="334"/>
      <c r="N46" s="334"/>
      <c r="O46" s="335"/>
      <c r="P46" s="333" t="s">
        <v>106</v>
      </c>
      <c r="Q46" s="334"/>
      <c r="R46" s="334"/>
      <c r="S46" s="334"/>
      <c r="T46" s="334"/>
      <c r="U46" s="335"/>
      <c r="V46" s="333" t="s">
        <v>105</v>
      </c>
      <c r="W46" s="334"/>
      <c r="X46" s="334"/>
      <c r="Y46" s="334"/>
      <c r="Z46" s="334"/>
      <c r="AA46" s="335"/>
      <c r="AB46" s="333" t="s">
        <v>104</v>
      </c>
      <c r="AC46" s="342"/>
      <c r="AD46" s="334"/>
      <c r="AE46" s="334"/>
      <c r="AF46" s="334"/>
      <c r="AG46" s="335"/>
      <c r="AH46" s="333" t="s">
        <v>103</v>
      </c>
      <c r="AI46" s="334"/>
      <c r="AJ46" s="334"/>
      <c r="AK46" s="334"/>
      <c r="AL46" s="334"/>
      <c r="AM46" s="335"/>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row>
    <row r="47" spans="1:80" x14ac:dyDescent="0.3">
      <c r="A47" s="53"/>
      <c r="B47" s="53"/>
      <c r="C47" s="53"/>
      <c r="D47" s="53"/>
      <c r="E47" s="53"/>
      <c r="F47" s="53"/>
      <c r="G47" s="53"/>
      <c r="H47" s="53"/>
      <c r="I47" s="53"/>
      <c r="J47" s="336"/>
      <c r="K47" s="337"/>
      <c r="L47" s="337"/>
      <c r="M47" s="337"/>
      <c r="N47" s="337"/>
      <c r="O47" s="338"/>
      <c r="P47" s="336"/>
      <c r="Q47" s="337"/>
      <c r="R47" s="337"/>
      <c r="S47" s="337"/>
      <c r="T47" s="337"/>
      <c r="U47" s="338"/>
      <c r="V47" s="336"/>
      <c r="W47" s="337"/>
      <c r="X47" s="337"/>
      <c r="Y47" s="337"/>
      <c r="Z47" s="337"/>
      <c r="AA47" s="338"/>
      <c r="AB47" s="336"/>
      <c r="AC47" s="337"/>
      <c r="AD47" s="337"/>
      <c r="AE47" s="337"/>
      <c r="AF47" s="337"/>
      <c r="AG47" s="338"/>
      <c r="AH47" s="336"/>
      <c r="AI47" s="337"/>
      <c r="AJ47" s="337"/>
      <c r="AK47" s="337"/>
      <c r="AL47" s="337"/>
      <c r="AM47" s="338"/>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row>
    <row r="48" spans="1:80" x14ac:dyDescent="0.3">
      <c r="A48" s="53"/>
      <c r="B48" s="53"/>
      <c r="C48" s="53"/>
      <c r="D48" s="53"/>
      <c r="E48" s="53"/>
      <c r="F48" s="53"/>
      <c r="G48" s="53"/>
      <c r="H48" s="53"/>
      <c r="I48" s="53"/>
      <c r="J48" s="336"/>
      <c r="K48" s="337"/>
      <c r="L48" s="337"/>
      <c r="M48" s="337"/>
      <c r="N48" s="337"/>
      <c r="O48" s="338"/>
      <c r="P48" s="336"/>
      <c r="Q48" s="337"/>
      <c r="R48" s="337"/>
      <c r="S48" s="337"/>
      <c r="T48" s="337"/>
      <c r="U48" s="338"/>
      <c r="V48" s="336"/>
      <c r="W48" s="337"/>
      <c r="X48" s="337"/>
      <c r="Y48" s="337"/>
      <c r="Z48" s="337"/>
      <c r="AA48" s="338"/>
      <c r="AB48" s="336"/>
      <c r="AC48" s="337"/>
      <c r="AD48" s="337"/>
      <c r="AE48" s="337"/>
      <c r="AF48" s="337"/>
      <c r="AG48" s="338"/>
      <c r="AH48" s="336"/>
      <c r="AI48" s="337"/>
      <c r="AJ48" s="337"/>
      <c r="AK48" s="337"/>
      <c r="AL48" s="337"/>
      <c r="AM48" s="338"/>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row>
    <row r="49" spans="1:80" x14ac:dyDescent="0.3">
      <c r="A49" s="53"/>
      <c r="B49" s="53"/>
      <c r="C49" s="53"/>
      <c r="D49" s="53"/>
      <c r="E49" s="53"/>
      <c r="F49" s="53"/>
      <c r="G49" s="53"/>
      <c r="H49" s="53"/>
      <c r="I49" s="53"/>
      <c r="J49" s="336"/>
      <c r="K49" s="337"/>
      <c r="L49" s="337"/>
      <c r="M49" s="337"/>
      <c r="N49" s="337"/>
      <c r="O49" s="338"/>
      <c r="P49" s="336"/>
      <c r="Q49" s="337"/>
      <c r="R49" s="337"/>
      <c r="S49" s="337"/>
      <c r="T49" s="337"/>
      <c r="U49" s="338"/>
      <c r="V49" s="336"/>
      <c r="W49" s="337"/>
      <c r="X49" s="337"/>
      <c r="Y49" s="337"/>
      <c r="Z49" s="337"/>
      <c r="AA49" s="338"/>
      <c r="AB49" s="336"/>
      <c r="AC49" s="337"/>
      <c r="AD49" s="337"/>
      <c r="AE49" s="337"/>
      <c r="AF49" s="337"/>
      <c r="AG49" s="338"/>
      <c r="AH49" s="336"/>
      <c r="AI49" s="337"/>
      <c r="AJ49" s="337"/>
      <c r="AK49" s="337"/>
      <c r="AL49" s="337"/>
      <c r="AM49" s="338"/>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row>
    <row r="50" spans="1:80" x14ac:dyDescent="0.3">
      <c r="A50" s="53"/>
      <c r="B50" s="53"/>
      <c r="C50" s="53"/>
      <c r="D50" s="53"/>
      <c r="E50" s="53"/>
      <c r="F50" s="53"/>
      <c r="G50" s="53"/>
      <c r="H50" s="53"/>
      <c r="I50" s="53"/>
      <c r="J50" s="336"/>
      <c r="K50" s="337"/>
      <c r="L50" s="337"/>
      <c r="M50" s="337"/>
      <c r="N50" s="337"/>
      <c r="O50" s="338"/>
      <c r="P50" s="336"/>
      <c r="Q50" s="337"/>
      <c r="R50" s="337"/>
      <c r="S50" s="337"/>
      <c r="T50" s="337"/>
      <c r="U50" s="338"/>
      <c r="V50" s="336"/>
      <c r="W50" s="337"/>
      <c r="X50" s="337"/>
      <c r="Y50" s="337"/>
      <c r="Z50" s="337"/>
      <c r="AA50" s="338"/>
      <c r="AB50" s="336"/>
      <c r="AC50" s="337"/>
      <c r="AD50" s="337"/>
      <c r="AE50" s="337"/>
      <c r="AF50" s="337"/>
      <c r="AG50" s="338"/>
      <c r="AH50" s="336"/>
      <c r="AI50" s="337"/>
      <c r="AJ50" s="337"/>
      <c r="AK50" s="337"/>
      <c r="AL50" s="337"/>
      <c r="AM50" s="338"/>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row>
    <row r="51" spans="1:80" ht="15" thickBot="1" x14ac:dyDescent="0.35">
      <c r="A51" s="53"/>
      <c r="B51" s="53"/>
      <c r="C51" s="53"/>
      <c r="D51" s="53"/>
      <c r="E51" s="53"/>
      <c r="F51" s="53"/>
      <c r="G51" s="53"/>
      <c r="H51" s="53"/>
      <c r="I51" s="53"/>
      <c r="J51" s="339"/>
      <c r="K51" s="340"/>
      <c r="L51" s="340"/>
      <c r="M51" s="340"/>
      <c r="N51" s="340"/>
      <c r="O51" s="341"/>
      <c r="P51" s="339"/>
      <c r="Q51" s="340"/>
      <c r="R51" s="340"/>
      <c r="S51" s="340"/>
      <c r="T51" s="340"/>
      <c r="U51" s="341"/>
      <c r="V51" s="339"/>
      <c r="W51" s="340"/>
      <c r="X51" s="340"/>
      <c r="Y51" s="340"/>
      <c r="Z51" s="340"/>
      <c r="AA51" s="341"/>
      <c r="AB51" s="339"/>
      <c r="AC51" s="340"/>
      <c r="AD51" s="340"/>
      <c r="AE51" s="340"/>
      <c r="AF51" s="340"/>
      <c r="AG51" s="341"/>
      <c r="AH51" s="339"/>
      <c r="AI51" s="340"/>
      <c r="AJ51" s="340"/>
      <c r="AK51" s="340"/>
      <c r="AL51" s="340"/>
      <c r="AM51" s="341"/>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row>
    <row r="52" spans="1:80" x14ac:dyDescent="0.3">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row>
    <row r="53" spans="1:80" ht="15" customHeight="1" x14ac:dyDescent="0.3">
      <c r="A53" s="53"/>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row>
    <row r="54" spans="1:80" ht="15" customHeight="1" x14ac:dyDescent="0.3">
      <c r="A54" s="53"/>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row>
    <row r="55" spans="1:80" x14ac:dyDescent="0.3">
      <c r="A55" s="53"/>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row>
    <row r="56" spans="1:80" x14ac:dyDescent="0.3">
      <c r="A56" s="53"/>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row>
    <row r="57" spans="1:80" x14ac:dyDescent="0.3">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row>
    <row r="58" spans="1:80" x14ac:dyDescent="0.3">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row>
    <row r="59" spans="1:80" x14ac:dyDescent="0.3">
      <c r="A59" s="53"/>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row>
    <row r="60" spans="1:80" x14ac:dyDescent="0.3">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row>
    <row r="61" spans="1:80" x14ac:dyDescent="0.3">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row>
    <row r="62" spans="1:80" x14ac:dyDescent="0.3">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row>
    <row r="63" spans="1:80" x14ac:dyDescent="0.3">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row>
    <row r="64" spans="1:80" x14ac:dyDescent="0.3">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row>
    <row r="65" spans="1:80" x14ac:dyDescent="0.3">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row>
    <row r="66" spans="1:80" x14ac:dyDescent="0.3">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row>
    <row r="67" spans="1:80" x14ac:dyDescent="0.3">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row>
    <row r="68" spans="1:80" x14ac:dyDescent="0.3">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row>
    <row r="69" spans="1:80" x14ac:dyDescent="0.3">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row>
    <row r="70" spans="1:80" x14ac:dyDescent="0.3">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c r="BZ70" s="53"/>
      <c r="CA70" s="53"/>
      <c r="CB70" s="53"/>
    </row>
    <row r="71" spans="1:80" x14ac:dyDescent="0.3">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row>
    <row r="72" spans="1:80" x14ac:dyDescent="0.3">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53"/>
      <c r="CA72" s="53"/>
      <c r="CB72" s="53"/>
    </row>
    <row r="73" spans="1:80" x14ac:dyDescent="0.3">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row>
    <row r="74" spans="1:80" x14ac:dyDescent="0.3">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row>
    <row r="75" spans="1:80" x14ac:dyDescent="0.3">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c r="BT75" s="53"/>
      <c r="BU75" s="53"/>
      <c r="BV75" s="53"/>
      <c r="BW75" s="53"/>
      <c r="BX75" s="53"/>
      <c r="BY75" s="53"/>
      <c r="BZ75" s="53"/>
      <c r="CA75" s="53"/>
      <c r="CB75" s="53"/>
    </row>
    <row r="76" spans="1:80" x14ac:dyDescent="0.3">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c r="BT76" s="53"/>
      <c r="BU76" s="53"/>
      <c r="BV76" s="53"/>
      <c r="BW76" s="53"/>
      <c r="BX76" s="53"/>
      <c r="BY76" s="53"/>
      <c r="BZ76" s="53"/>
      <c r="CA76" s="53"/>
      <c r="CB76" s="53"/>
    </row>
    <row r="77" spans="1:80" x14ac:dyDescent="0.3">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c r="BU77" s="53"/>
      <c r="BV77" s="53"/>
      <c r="BW77" s="53"/>
      <c r="BX77" s="53"/>
      <c r="BY77" s="53"/>
      <c r="BZ77" s="53"/>
      <c r="CA77" s="53"/>
      <c r="CB77" s="53"/>
    </row>
    <row r="78" spans="1:80" x14ac:dyDescent="0.3">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3"/>
      <c r="BV78" s="53"/>
      <c r="BW78" s="53"/>
      <c r="BX78" s="53"/>
      <c r="BY78" s="53"/>
      <c r="BZ78" s="53"/>
      <c r="CA78" s="53"/>
      <c r="CB78" s="53"/>
    </row>
    <row r="79" spans="1:80" x14ac:dyDescent="0.3">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row>
    <row r="80" spans="1:80" x14ac:dyDescent="0.3">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row>
    <row r="81" spans="1:63" x14ac:dyDescent="0.3">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c r="BI81" s="53"/>
      <c r="BJ81" s="53"/>
      <c r="BK81" s="53"/>
    </row>
    <row r="82" spans="1:63" x14ac:dyDescent="0.3">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row>
    <row r="83" spans="1:63" x14ac:dyDescent="0.3">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row>
    <row r="84" spans="1:63" x14ac:dyDescent="0.3">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c r="BI84" s="53"/>
      <c r="BJ84" s="53"/>
      <c r="BK84" s="53"/>
    </row>
    <row r="85" spans="1:63" x14ac:dyDescent="0.3">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c r="BI85" s="53"/>
      <c r="BJ85" s="53"/>
      <c r="BK85" s="53"/>
    </row>
    <row r="86" spans="1:63" x14ac:dyDescent="0.3">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c r="BI86" s="53"/>
      <c r="BJ86" s="53"/>
      <c r="BK86" s="53"/>
    </row>
    <row r="87" spans="1:63" x14ac:dyDescent="0.3">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row>
    <row r="88" spans="1:63" x14ac:dyDescent="0.3">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row>
    <row r="89" spans="1:63" x14ac:dyDescent="0.3">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row>
    <row r="90" spans="1:63" x14ac:dyDescent="0.3">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c r="BI90" s="53"/>
      <c r="BJ90" s="53"/>
      <c r="BK90" s="53"/>
    </row>
    <row r="91" spans="1:63" x14ac:dyDescent="0.3">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c r="BI91" s="53"/>
      <c r="BJ91" s="53"/>
      <c r="BK91" s="53"/>
    </row>
    <row r="92" spans="1:63" x14ac:dyDescent="0.3">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c r="BI92" s="53"/>
      <c r="BJ92" s="53"/>
      <c r="BK92" s="53"/>
    </row>
    <row r="93" spans="1:63" x14ac:dyDescent="0.3">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c r="BI93" s="53"/>
      <c r="BJ93" s="53"/>
      <c r="BK93" s="53"/>
    </row>
    <row r="94" spans="1:63" x14ac:dyDescent="0.3">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c r="BI94" s="53"/>
      <c r="BJ94" s="53"/>
      <c r="BK94" s="53"/>
    </row>
    <row r="95" spans="1:63" x14ac:dyDescent="0.3">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c r="BK95" s="53"/>
    </row>
    <row r="96" spans="1:63" x14ac:dyDescent="0.3">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3"/>
    </row>
    <row r="97" spans="1:63" x14ac:dyDescent="0.3">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row>
    <row r="98" spans="1:63" x14ac:dyDescent="0.3">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row>
    <row r="99" spans="1:63" x14ac:dyDescent="0.3">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row>
    <row r="100" spans="1:63" x14ac:dyDescent="0.3">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c r="BK100" s="53"/>
    </row>
    <row r="101" spans="1:63" x14ac:dyDescent="0.3">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row>
    <row r="102" spans="1:63" x14ac:dyDescent="0.3">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c r="BK102" s="53"/>
    </row>
    <row r="103" spans="1:63" x14ac:dyDescent="0.3">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c r="BK103" s="53"/>
    </row>
    <row r="104" spans="1:63" x14ac:dyDescent="0.3">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c r="BI104" s="53"/>
      <c r="BJ104" s="53"/>
      <c r="BK104" s="53"/>
    </row>
    <row r="105" spans="1:63" x14ac:dyDescent="0.3">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row>
    <row r="106" spans="1:63" x14ac:dyDescent="0.3">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3"/>
      <c r="BK106" s="53"/>
    </row>
    <row r="107" spans="1:63" x14ac:dyDescent="0.3">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c r="BI107" s="53"/>
      <c r="BJ107" s="53"/>
      <c r="BK107" s="53"/>
    </row>
    <row r="108" spans="1:63" x14ac:dyDescent="0.3">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c r="BI108" s="53"/>
      <c r="BJ108" s="53"/>
      <c r="BK108" s="53"/>
    </row>
    <row r="109" spans="1:63" x14ac:dyDescent="0.3">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c r="BK109" s="53"/>
    </row>
    <row r="110" spans="1:63" x14ac:dyDescent="0.3">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c r="BI110" s="53"/>
      <c r="BJ110" s="53"/>
      <c r="BK110" s="53"/>
    </row>
    <row r="111" spans="1:63" x14ac:dyDescent="0.3">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c r="BI111" s="53"/>
      <c r="BJ111" s="53"/>
      <c r="BK111" s="53"/>
    </row>
    <row r="112" spans="1:63" x14ac:dyDescent="0.3">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c r="BI112" s="53"/>
      <c r="BJ112" s="53"/>
      <c r="BK112" s="53"/>
    </row>
    <row r="113" spans="1:63" x14ac:dyDescent="0.3">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c r="BI113" s="53"/>
      <c r="BJ113" s="53"/>
      <c r="BK113" s="53"/>
    </row>
    <row r="114" spans="1:63" x14ac:dyDescent="0.3">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c r="BI114" s="53"/>
      <c r="BJ114" s="53"/>
      <c r="BK114" s="53"/>
    </row>
    <row r="115" spans="1:63" x14ac:dyDescent="0.3">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c r="BI115" s="53"/>
      <c r="BJ115" s="53"/>
      <c r="BK115" s="53"/>
    </row>
    <row r="116" spans="1:63" x14ac:dyDescent="0.3">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c r="BK116" s="53"/>
    </row>
    <row r="117" spans="1:63" x14ac:dyDescent="0.3">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c r="BI117" s="53"/>
      <c r="BJ117" s="53"/>
      <c r="BK117" s="53"/>
    </row>
    <row r="118" spans="1:63" x14ac:dyDescent="0.3">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c r="BK118" s="53"/>
    </row>
    <row r="119" spans="1:63" x14ac:dyDescent="0.3">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c r="BK119" s="53"/>
    </row>
    <row r="120" spans="1:63" x14ac:dyDescent="0.3">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c r="BI120" s="53"/>
      <c r="BJ120" s="53"/>
      <c r="BK120" s="53"/>
    </row>
    <row r="121" spans="1:63" x14ac:dyDescent="0.3">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c r="BI121" s="53"/>
      <c r="BJ121" s="53"/>
      <c r="BK121" s="53"/>
    </row>
    <row r="122" spans="1:63" x14ac:dyDescent="0.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c r="BI122" s="53"/>
      <c r="BJ122" s="53"/>
      <c r="BK122" s="53"/>
    </row>
    <row r="123" spans="1:63" x14ac:dyDescent="0.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c r="BI123" s="53"/>
      <c r="BJ123" s="53"/>
      <c r="BK123" s="53"/>
    </row>
    <row r="124" spans="1:63" x14ac:dyDescent="0.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c r="BI124" s="53"/>
      <c r="BJ124" s="53"/>
      <c r="BK124" s="53"/>
    </row>
    <row r="125" spans="1:63" x14ac:dyDescent="0.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c r="BK125" s="53"/>
    </row>
    <row r="126" spans="1:63" x14ac:dyDescent="0.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c r="BK126" s="53"/>
    </row>
    <row r="127" spans="1:63" x14ac:dyDescent="0.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row>
    <row r="128" spans="1:63" x14ac:dyDescent="0.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c r="BI128" s="53"/>
      <c r="BJ128" s="53"/>
      <c r="BK128" s="53"/>
    </row>
    <row r="129" spans="2:63" x14ac:dyDescent="0.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c r="BI129" s="53"/>
      <c r="BJ129" s="53"/>
      <c r="BK129" s="53"/>
    </row>
    <row r="130" spans="2:63" x14ac:dyDescent="0.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c r="BI130" s="53"/>
      <c r="BJ130" s="53"/>
      <c r="BK130" s="53"/>
    </row>
    <row r="131" spans="2:63" x14ac:dyDescent="0.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c r="BI131" s="53"/>
      <c r="BJ131" s="53"/>
      <c r="BK131" s="53"/>
    </row>
    <row r="132" spans="2:63" x14ac:dyDescent="0.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c r="BI132" s="53"/>
      <c r="BJ132" s="53"/>
      <c r="BK132" s="53"/>
    </row>
    <row r="133" spans="2:63" x14ac:dyDescent="0.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c r="BI133" s="53"/>
      <c r="BJ133" s="53"/>
      <c r="BK133" s="53"/>
    </row>
    <row r="134" spans="2:63" x14ac:dyDescent="0.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c r="BI134" s="53"/>
      <c r="BJ134" s="53"/>
      <c r="BK134" s="53"/>
    </row>
    <row r="135" spans="2:63" x14ac:dyDescent="0.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c r="BI135" s="53"/>
      <c r="BJ135" s="53"/>
      <c r="BK135" s="53"/>
    </row>
    <row r="136" spans="2:63" x14ac:dyDescent="0.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c r="BI136" s="53"/>
      <c r="BJ136" s="53"/>
      <c r="BK136" s="53"/>
    </row>
    <row r="137" spans="2:63" x14ac:dyDescent="0.3">
      <c r="B137" s="53"/>
      <c r="C137" s="53"/>
      <c r="D137" s="53"/>
      <c r="E137" s="53"/>
      <c r="F137" s="53"/>
      <c r="G137" s="53"/>
      <c r="H137" s="53"/>
      <c r="I137" s="53"/>
    </row>
    <row r="138" spans="2:63" x14ac:dyDescent="0.3">
      <c r="B138" s="53"/>
      <c r="C138" s="53"/>
      <c r="D138" s="53"/>
      <c r="E138" s="53"/>
      <c r="F138" s="53"/>
      <c r="G138" s="53"/>
      <c r="H138" s="53"/>
      <c r="I138" s="53"/>
    </row>
    <row r="139" spans="2:63" x14ac:dyDescent="0.3">
      <c r="B139" s="53"/>
      <c r="C139" s="53"/>
      <c r="D139" s="53"/>
      <c r="E139" s="53"/>
      <c r="F139" s="53"/>
      <c r="G139" s="53"/>
      <c r="H139" s="53"/>
      <c r="I139" s="53"/>
    </row>
    <row r="140" spans="2:63" x14ac:dyDescent="0.3">
      <c r="B140" s="53"/>
      <c r="C140" s="53"/>
      <c r="D140" s="53"/>
      <c r="E140" s="53"/>
      <c r="F140" s="53"/>
      <c r="G140" s="53"/>
      <c r="H140" s="53"/>
      <c r="I140" s="5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40" zoomScaleNormal="40" workbookViewId="0">
      <selection activeCell="T28" sqref="T28"/>
    </sheetView>
  </sheetViews>
  <sheetFormatPr baseColWidth="10" defaultColWidth="11.5546875"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53"/>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row>
    <row r="2" spans="1:91" ht="18" customHeight="1" x14ac:dyDescent="0.3">
      <c r="A2" s="53"/>
      <c r="B2" s="410" t="s">
        <v>148</v>
      </c>
      <c r="C2" s="411"/>
      <c r="D2" s="411"/>
      <c r="E2" s="411"/>
      <c r="F2" s="411"/>
      <c r="G2" s="411"/>
      <c r="H2" s="411"/>
      <c r="I2" s="411"/>
      <c r="J2" s="332" t="s">
        <v>2</v>
      </c>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row>
    <row r="3" spans="1:91" ht="18.75" customHeight="1" x14ac:dyDescent="0.3">
      <c r="A3" s="53"/>
      <c r="B3" s="411"/>
      <c r="C3" s="411"/>
      <c r="D3" s="411"/>
      <c r="E3" s="411"/>
      <c r="F3" s="411"/>
      <c r="G3" s="411"/>
      <c r="H3" s="411"/>
      <c r="I3" s="411"/>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row>
    <row r="4" spans="1:91" ht="15" customHeight="1" x14ac:dyDescent="0.3">
      <c r="A4" s="53"/>
      <c r="B4" s="411"/>
      <c r="C4" s="411"/>
      <c r="D4" s="411"/>
      <c r="E4" s="411"/>
      <c r="F4" s="411"/>
      <c r="G4" s="411"/>
      <c r="H4" s="411"/>
      <c r="I4" s="411"/>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2"/>
      <c r="AI4" s="332"/>
      <c r="AJ4" s="332"/>
      <c r="AK4" s="332"/>
      <c r="AL4" s="332"/>
      <c r="AM4" s="332"/>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row>
    <row r="5" spans="1:91" ht="15" thickBot="1" x14ac:dyDescent="0.35">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row>
    <row r="6" spans="1:91" ht="15" customHeight="1" x14ac:dyDescent="0.3">
      <c r="A6" s="53"/>
      <c r="B6" s="343" t="s">
        <v>4</v>
      </c>
      <c r="C6" s="343"/>
      <c r="D6" s="344"/>
      <c r="E6" s="381" t="s">
        <v>111</v>
      </c>
      <c r="F6" s="382"/>
      <c r="G6" s="382"/>
      <c r="H6" s="382"/>
      <c r="I6" s="383"/>
      <c r="J6" s="16" t="str">
        <f ca="1">IF(AND('Mapa final'!$AA$10="Muy Alta",'Mapa final'!$AC$10="Leve"),CONCATENATE("R1C",'Mapa final'!$Q$10),"")</f>
        <v/>
      </c>
      <c r="K6" s="17" t="str">
        <f ca="1">IF(AND('Mapa final'!$AA$11="Muy Alta",'Mapa final'!$AC$11="Leve"),CONCATENATE("R1C",'Mapa final'!$Q$11),"")</f>
        <v/>
      </c>
      <c r="L6" s="17" t="str">
        <f ca="1">IF(AND('Mapa final'!$AA$12="Muy Alta",'Mapa final'!$AC$12="Leve"),CONCATENATE("R1C",'Mapa final'!$Q$12),"")</f>
        <v/>
      </c>
      <c r="M6" s="17" t="str">
        <f ca="1">IF(AND('Mapa final'!$AA$13="Muy Alta",'Mapa final'!$AC$13="Leve"),CONCATENATE("R1C",'Mapa final'!$Q$13),"")</f>
        <v/>
      </c>
      <c r="N6" s="17" t="str">
        <f ca="1">IF(AND('Mapa final'!$AA$14="Muy Alta",'Mapa final'!$AC$14="Leve"),CONCATENATE("R1C",'Mapa final'!$Q$14),"")</f>
        <v/>
      </c>
      <c r="O6" s="18" t="e">
        <f>IF(AND('Mapa final'!#REF!="Muy Alta",'Mapa final'!#REF!="Leve"),CONCATENATE("R1C",'Mapa final'!#REF!),"")</f>
        <v>#REF!</v>
      </c>
      <c r="P6" s="16" t="str">
        <f ca="1">IF(AND('Mapa final'!$AA$10="Muy Alta",'Mapa final'!$AC$10="Menor"),CONCATENATE("R1C",'Mapa final'!$Q$10),"")</f>
        <v/>
      </c>
      <c r="Q6" s="17" t="str">
        <f ca="1">IF(AND('Mapa final'!$AA$11="Muy Alta",'Mapa final'!$AC$11="Menor"),CONCATENATE("R1C",'Mapa final'!$Q$11),"")</f>
        <v/>
      </c>
      <c r="R6" s="17" t="str">
        <f ca="1">IF(AND('Mapa final'!$AA$12="Muy Alta",'Mapa final'!$AC$12="Menor"),CONCATENATE("R1C",'Mapa final'!$Q$12),"")</f>
        <v/>
      </c>
      <c r="S6" s="17" t="str">
        <f ca="1">IF(AND('Mapa final'!$AA$13="Muy Alta",'Mapa final'!$AC$13="Menor"),CONCATENATE("R1C",'Mapa final'!$Q$13),"")</f>
        <v/>
      </c>
      <c r="T6" s="17" t="str">
        <f ca="1">IF(AND('Mapa final'!$AA$14="Muy Alta",'Mapa final'!$AC$14="Menor"),CONCATENATE("R1C",'Mapa final'!$Q$14),"")</f>
        <v/>
      </c>
      <c r="U6" s="18" t="e">
        <f>IF(AND('Mapa final'!#REF!="Muy Alta",'Mapa final'!#REF!="Menor"),CONCATENATE("R1C",'Mapa final'!#REF!),"")</f>
        <v>#REF!</v>
      </c>
      <c r="V6" s="16" t="str">
        <f ca="1">IF(AND('Mapa final'!$AA$10="Muy Alta",'Mapa final'!$AC$10="Moderado"),CONCATENATE("R1C",'Mapa final'!$Q$10),"")</f>
        <v/>
      </c>
      <c r="W6" s="17" t="str">
        <f ca="1">IF(AND('Mapa final'!$AA$11="Muy Alta",'Mapa final'!$AC$11="Moderado"),CONCATENATE("R1C",'Mapa final'!$Q$11),"")</f>
        <v/>
      </c>
      <c r="X6" s="17" t="str">
        <f ca="1">IF(AND('Mapa final'!$AA$12="Muy Alta",'Mapa final'!$AC$12="Moderado"),CONCATENATE("R1C",'Mapa final'!$Q$12),"")</f>
        <v/>
      </c>
      <c r="Y6" s="17" t="str">
        <f ca="1">IF(AND('Mapa final'!$AA$13="Muy Alta",'Mapa final'!$AC$13="Moderado"),CONCATENATE("R1C",'Mapa final'!$Q$13),"")</f>
        <v/>
      </c>
      <c r="Z6" s="17" t="str">
        <f ca="1">IF(AND('Mapa final'!$AA$14="Muy Alta",'Mapa final'!$AC$14="Moderado"),CONCATENATE("R1C",'Mapa final'!$Q$14),"")</f>
        <v/>
      </c>
      <c r="AA6" s="18" t="e">
        <f>IF(AND('Mapa final'!#REF!="Muy Alta",'Mapa final'!#REF!="Moderado"),CONCATENATE("R1C",'Mapa final'!#REF!),"")</f>
        <v>#REF!</v>
      </c>
      <c r="AB6" s="16" t="str">
        <f ca="1">IF(AND('Mapa final'!$AA$10="Muy Alta",'Mapa final'!$AC$10="Mayor"),CONCATENATE("R1C",'Mapa final'!$Q$10),"")</f>
        <v/>
      </c>
      <c r="AC6" s="17" t="str">
        <f ca="1">IF(AND('Mapa final'!$AA$11="Muy Alta",'Mapa final'!$AC$11="Mayor"),CONCATENATE("R1C",'Mapa final'!$Q$11),"")</f>
        <v/>
      </c>
      <c r="AD6" s="17" t="str">
        <f ca="1">IF(AND('Mapa final'!$AA$12="Muy Alta",'Mapa final'!$AC$12="Mayor"),CONCATENATE("R1C",'Mapa final'!$Q$12),"")</f>
        <v/>
      </c>
      <c r="AE6" s="17" t="str">
        <f ca="1">IF(AND('Mapa final'!$AA$13="Muy Alta",'Mapa final'!$AC$13="Mayor"),CONCATENATE("R1C",'Mapa final'!$Q$13),"")</f>
        <v/>
      </c>
      <c r="AF6" s="17" t="str">
        <f ca="1">IF(AND('Mapa final'!$AA$14="Muy Alta",'Mapa final'!$AC$14="Mayor"),CONCATENATE("R1C",'Mapa final'!$Q$14),"")</f>
        <v/>
      </c>
      <c r="AG6" s="18" t="e">
        <f>IF(AND('Mapa final'!#REF!="Muy Alta",'Mapa final'!#REF!="Mayor"),CONCATENATE("R1C",'Mapa final'!#REF!),"")</f>
        <v>#REF!</v>
      </c>
      <c r="AH6" s="19" t="str">
        <f ca="1">IF(AND('Mapa final'!$AA$10="Muy Alta",'Mapa final'!$AC$10="Catastrófico"),CONCATENATE("R1C",'Mapa final'!$Q$10),"")</f>
        <v/>
      </c>
      <c r="AI6" s="20" t="str">
        <f ca="1">IF(AND('Mapa final'!$AA$11="Muy Alta",'Mapa final'!$AC$11="Catastrófico"),CONCATENATE("R1C",'Mapa final'!$Q$11),"")</f>
        <v/>
      </c>
      <c r="AJ6" s="20" t="str">
        <f ca="1">IF(AND('Mapa final'!$AA$12="Muy Alta",'Mapa final'!$AC$12="Catastrófico"),CONCATENATE("R1C",'Mapa final'!$Q$12),"")</f>
        <v/>
      </c>
      <c r="AK6" s="20" t="str">
        <f ca="1">IF(AND('Mapa final'!$AA$13="Muy Alta",'Mapa final'!$AC$13="Catastrófico"),CONCATENATE("R1C",'Mapa final'!$Q$13),"")</f>
        <v/>
      </c>
      <c r="AL6" s="20" t="str">
        <f ca="1">IF(AND('Mapa final'!$AA$14="Muy Alta",'Mapa final'!$AC$14="Catastrófico"),CONCATENATE("R1C",'Mapa final'!$Q$14),"")</f>
        <v/>
      </c>
      <c r="AM6" s="21" t="e">
        <f>IF(AND('Mapa final'!#REF!="Muy Alta",'Mapa final'!#REF!="Catastrófico"),CONCATENATE("R1C",'Mapa final'!#REF!),"")</f>
        <v>#REF!</v>
      </c>
      <c r="AN6" s="53"/>
      <c r="AO6" s="401" t="s">
        <v>78</v>
      </c>
      <c r="AP6" s="402"/>
      <c r="AQ6" s="402"/>
      <c r="AR6" s="402"/>
      <c r="AS6" s="402"/>
      <c r="AT6" s="40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row>
    <row r="7" spans="1:91" ht="15" customHeight="1" x14ac:dyDescent="0.3">
      <c r="A7" s="53"/>
      <c r="B7" s="343"/>
      <c r="C7" s="343"/>
      <c r="D7" s="344"/>
      <c r="E7" s="384"/>
      <c r="F7" s="385"/>
      <c r="G7" s="385"/>
      <c r="H7" s="385"/>
      <c r="I7" s="386"/>
      <c r="J7" s="22" t="str">
        <f ca="1">IF(AND('Mapa final'!$AA$15="Muy Alta",'Mapa final'!$AC$15="Leve"),CONCATENATE("R2C",'Mapa final'!$Q$15),"")</f>
        <v/>
      </c>
      <c r="K7" s="23" t="str">
        <f ca="1">IF(AND('Mapa final'!$AA$16="Muy Alta",'Mapa final'!$AC$16="Leve"),CONCATENATE("R2C",'Mapa final'!$Q$16),"")</f>
        <v/>
      </c>
      <c r="L7" s="23" t="e">
        <f>IF(AND('Mapa final'!#REF!="Muy Alta",'Mapa final'!#REF!="Leve"),CONCATENATE("R2C",'Mapa final'!$Q$17),"")</f>
        <v>#REF!</v>
      </c>
      <c r="M7" s="23" t="e">
        <f>IF(AND('Mapa final'!#REF!="Muy Alta",'Mapa final'!#REF!="Leve"),CONCATENATE("R2C",'Mapa final'!#REF!),"")</f>
        <v>#REF!</v>
      </c>
      <c r="N7" s="23" t="e">
        <f>IF(AND('Mapa final'!#REF!="Muy Alta",'Mapa final'!#REF!="Leve"),CONCATENATE("R2C",'Mapa final'!#REF!),"")</f>
        <v>#REF!</v>
      </c>
      <c r="O7" s="24" t="e">
        <f>IF(AND('Mapa final'!#REF!="Muy Alta",'Mapa final'!#REF!="Leve"),CONCATENATE("R2C",'Mapa final'!#REF!),"")</f>
        <v>#REF!</v>
      </c>
      <c r="P7" s="22" t="str">
        <f ca="1">IF(AND('Mapa final'!$AA$15="Muy Alta",'Mapa final'!$AC$15="Menor"),CONCATENATE("R2C",'Mapa final'!$Q$15),"")</f>
        <v/>
      </c>
      <c r="Q7" s="23" t="str">
        <f ca="1">IF(AND('Mapa final'!$AA$16="Muy Alta",'Mapa final'!$AC$16="Menor"),CONCATENATE("R2C",'Mapa final'!$Q$16),"")</f>
        <v/>
      </c>
      <c r="R7" s="23" t="e">
        <f>IF(AND('Mapa final'!#REF!="Muy Alta",'Mapa final'!#REF!="Menor"),CONCATENATE("R2C",'Mapa final'!$Q$17),"")</f>
        <v>#REF!</v>
      </c>
      <c r="S7" s="23" t="e">
        <f>IF(AND('Mapa final'!#REF!="Muy Alta",'Mapa final'!#REF!="Menor"),CONCATENATE("R2C",'Mapa final'!#REF!),"")</f>
        <v>#REF!</v>
      </c>
      <c r="T7" s="23" t="e">
        <f>IF(AND('Mapa final'!#REF!="Muy Alta",'Mapa final'!#REF!="Menor"),CONCATENATE("R2C",'Mapa final'!#REF!),"")</f>
        <v>#REF!</v>
      </c>
      <c r="U7" s="24" t="e">
        <f>IF(AND('Mapa final'!#REF!="Muy Alta",'Mapa final'!#REF!="Menor"),CONCATENATE("R2C",'Mapa final'!#REF!),"")</f>
        <v>#REF!</v>
      </c>
      <c r="V7" s="22" t="str">
        <f ca="1">IF(AND('Mapa final'!$AA$15="Muy Alta",'Mapa final'!$AC$15="Moderado"),CONCATENATE("R2C",'Mapa final'!$Q$15),"")</f>
        <v/>
      </c>
      <c r="W7" s="23" t="str">
        <f ca="1">IF(AND('Mapa final'!$AA$16="Muy Alta",'Mapa final'!$AC$16="Moderado"),CONCATENATE("R2C",'Mapa final'!$Q$16),"")</f>
        <v/>
      </c>
      <c r="X7" s="23" t="e">
        <f>IF(AND('Mapa final'!#REF!="Muy Alta",'Mapa final'!#REF!="Moderado"),CONCATENATE("R2C",'Mapa final'!$Q$17),"")</f>
        <v>#REF!</v>
      </c>
      <c r="Y7" s="23" t="e">
        <f>IF(AND('Mapa final'!#REF!="Muy Alta",'Mapa final'!#REF!="Moderado"),CONCATENATE("R2C",'Mapa final'!#REF!),"")</f>
        <v>#REF!</v>
      </c>
      <c r="Z7" s="23" t="e">
        <f>IF(AND('Mapa final'!#REF!="Muy Alta",'Mapa final'!#REF!="Moderado"),CONCATENATE("R2C",'Mapa final'!#REF!),"")</f>
        <v>#REF!</v>
      </c>
      <c r="AA7" s="24" t="e">
        <f>IF(AND('Mapa final'!#REF!="Muy Alta",'Mapa final'!#REF!="Moderado"),CONCATENATE("R2C",'Mapa final'!#REF!),"")</f>
        <v>#REF!</v>
      </c>
      <c r="AB7" s="22" t="str">
        <f ca="1">IF(AND('Mapa final'!$AA$15="Muy Alta",'Mapa final'!$AC$15="Mayor"),CONCATENATE("R2C",'Mapa final'!$Q$15),"")</f>
        <v/>
      </c>
      <c r="AC7" s="23" t="str">
        <f ca="1">IF(AND('Mapa final'!$AA$16="Muy Alta",'Mapa final'!$AC$16="Mayor"),CONCATENATE("R2C",'Mapa final'!$Q$16),"")</f>
        <v/>
      </c>
      <c r="AD7" s="23" t="e">
        <f>IF(AND('Mapa final'!#REF!="Muy Alta",'Mapa final'!#REF!="Mayor"),CONCATENATE("R2C",'Mapa final'!$Q$17),"")</f>
        <v>#REF!</v>
      </c>
      <c r="AE7" s="23" t="e">
        <f>IF(AND('Mapa final'!#REF!="Muy Alta",'Mapa final'!#REF!="Mayor"),CONCATENATE("R2C",'Mapa final'!#REF!),"")</f>
        <v>#REF!</v>
      </c>
      <c r="AF7" s="23" t="e">
        <f>IF(AND('Mapa final'!#REF!="Muy Alta",'Mapa final'!#REF!="Mayor"),CONCATENATE("R2C",'Mapa final'!#REF!),"")</f>
        <v>#REF!</v>
      </c>
      <c r="AG7" s="24" t="e">
        <f>IF(AND('Mapa final'!#REF!="Muy Alta",'Mapa final'!#REF!="Mayor"),CONCATENATE("R2C",'Mapa final'!#REF!),"")</f>
        <v>#REF!</v>
      </c>
      <c r="AH7" s="25" t="str">
        <f ca="1">IF(AND('Mapa final'!$AA$15="Muy Alta",'Mapa final'!$AC$15="Catastrófico"),CONCATENATE("R2C",'Mapa final'!$Q$15),"")</f>
        <v/>
      </c>
      <c r="AI7" s="26" t="str">
        <f ca="1">IF(AND('Mapa final'!$AA$16="Muy Alta",'Mapa final'!$AC$16="Catastrófico"),CONCATENATE("R2C",'Mapa final'!$Q$16),"")</f>
        <v/>
      </c>
      <c r="AJ7" s="26" t="e">
        <f>IF(AND('Mapa final'!#REF!="Muy Alta",'Mapa final'!#REF!="Catastrófico"),CONCATENATE("R2C",'Mapa final'!$Q$17),"")</f>
        <v>#REF!</v>
      </c>
      <c r="AK7" s="26" t="e">
        <f>IF(AND('Mapa final'!#REF!="Muy Alta",'Mapa final'!#REF!="Catastrófico"),CONCATENATE("R2C",'Mapa final'!#REF!),"")</f>
        <v>#REF!</v>
      </c>
      <c r="AL7" s="26" t="e">
        <f>IF(AND('Mapa final'!#REF!="Muy Alta",'Mapa final'!#REF!="Catastrófico"),CONCATENATE("R2C",'Mapa final'!#REF!),"")</f>
        <v>#REF!</v>
      </c>
      <c r="AM7" s="27" t="e">
        <f>IF(AND('Mapa final'!#REF!="Muy Alta",'Mapa final'!#REF!="Catastrófico"),CONCATENATE("R2C",'Mapa final'!#REF!),"")</f>
        <v>#REF!</v>
      </c>
      <c r="AN7" s="53"/>
      <c r="AO7" s="404"/>
      <c r="AP7" s="405"/>
      <c r="AQ7" s="405"/>
      <c r="AR7" s="405"/>
      <c r="AS7" s="405"/>
      <c r="AT7" s="406"/>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row>
    <row r="8" spans="1:91" ht="15" customHeight="1" x14ac:dyDescent="0.3">
      <c r="A8" s="53"/>
      <c r="B8" s="343"/>
      <c r="C8" s="343"/>
      <c r="D8" s="344"/>
      <c r="E8" s="384"/>
      <c r="F8" s="385"/>
      <c r="G8" s="385"/>
      <c r="H8" s="385"/>
      <c r="I8" s="386"/>
      <c r="J8" s="22" t="e">
        <f>IF(AND('Mapa final'!#REF!="Muy Alta",'Mapa final'!#REF!="Leve"),CONCATENATE("R3C",'Mapa final'!#REF!),"")</f>
        <v>#REF!</v>
      </c>
      <c r="K8" s="23" t="e">
        <f>IF(AND('Mapa final'!#REF!="Muy Alta",'Mapa final'!#REF!="Leve"),CONCATENATE("R3C",'Mapa final'!#REF!),"")</f>
        <v>#REF!</v>
      </c>
      <c r="L8" s="23" t="e">
        <f>IF(AND('Mapa final'!#REF!="Muy Alta",'Mapa final'!#REF!="Leve"),CONCATENATE("R3C",'Mapa final'!#REF!),"")</f>
        <v>#REF!</v>
      </c>
      <c r="M8" s="23" t="e">
        <f>IF(AND('Mapa final'!#REF!="Muy Alta",'Mapa final'!#REF!="Leve"),CONCATENATE("R3C",'Mapa final'!#REF!),"")</f>
        <v>#REF!</v>
      </c>
      <c r="N8" s="23" t="e">
        <f>IF(AND('Mapa final'!#REF!="Muy Alta",'Mapa final'!#REF!="Leve"),CONCATENATE("R3C",'Mapa final'!#REF!),"")</f>
        <v>#REF!</v>
      </c>
      <c r="O8" s="24" t="e">
        <f>IF(AND('Mapa final'!#REF!="Muy Alta",'Mapa final'!#REF!="Leve"),CONCATENATE("R3C",'Mapa final'!#REF!),"")</f>
        <v>#REF!</v>
      </c>
      <c r="P8" s="22" t="e">
        <f>IF(AND('Mapa final'!#REF!="Muy Alta",'Mapa final'!#REF!="Menor"),CONCATENATE("R3C",'Mapa final'!#REF!),"")</f>
        <v>#REF!</v>
      </c>
      <c r="Q8" s="23" t="e">
        <f>IF(AND('Mapa final'!#REF!="Muy Alta",'Mapa final'!#REF!="Menor"),CONCATENATE("R3C",'Mapa final'!#REF!),"")</f>
        <v>#REF!</v>
      </c>
      <c r="R8" s="23" t="e">
        <f>IF(AND('Mapa final'!#REF!="Muy Alta",'Mapa final'!#REF!="Menor"),CONCATENATE("R3C",'Mapa final'!#REF!),"")</f>
        <v>#REF!</v>
      </c>
      <c r="S8" s="23" t="e">
        <f>IF(AND('Mapa final'!#REF!="Muy Alta",'Mapa final'!#REF!="Menor"),CONCATENATE("R3C",'Mapa final'!#REF!),"")</f>
        <v>#REF!</v>
      </c>
      <c r="T8" s="23" t="e">
        <f>IF(AND('Mapa final'!#REF!="Muy Alta",'Mapa final'!#REF!="Menor"),CONCATENATE("R3C",'Mapa final'!#REF!),"")</f>
        <v>#REF!</v>
      </c>
      <c r="U8" s="24" t="e">
        <f>IF(AND('Mapa final'!#REF!="Muy Alta",'Mapa final'!#REF!="Menor"),CONCATENATE("R3C",'Mapa final'!#REF!),"")</f>
        <v>#REF!</v>
      </c>
      <c r="V8" s="22" t="e">
        <f>IF(AND('Mapa final'!#REF!="Muy Alta",'Mapa final'!#REF!="Moderado"),CONCATENATE("R3C",'Mapa final'!#REF!),"")</f>
        <v>#REF!</v>
      </c>
      <c r="W8" s="23" t="e">
        <f>IF(AND('Mapa final'!#REF!="Muy Alta",'Mapa final'!#REF!="Moderado"),CONCATENATE("R3C",'Mapa final'!#REF!),"")</f>
        <v>#REF!</v>
      </c>
      <c r="X8" s="23" t="e">
        <f>IF(AND('Mapa final'!#REF!="Muy Alta",'Mapa final'!#REF!="Moderado"),CONCATENATE("R3C",'Mapa final'!#REF!),"")</f>
        <v>#REF!</v>
      </c>
      <c r="Y8" s="23" t="e">
        <f>IF(AND('Mapa final'!#REF!="Muy Alta",'Mapa final'!#REF!="Moderado"),CONCATENATE("R3C",'Mapa final'!#REF!),"")</f>
        <v>#REF!</v>
      </c>
      <c r="Z8" s="23" t="e">
        <f>IF(AND('Mapa final'!#REF!="Muy Alta",'Mapa final'!#REF!="Moderado"),CONCATENATE("R3C",'Mapa final'!#REF!),"")</f>
        <v>#REF!</v>
      </c>
      <c r="AA8" s="24" t="e">
        <f>IF(AND('Mapa final'!#REF!="Muy Alta",'Mapa final'!#REF!="Moderado"),CONCATENATE("R3C",'Mapa final'!#REF!),"")</f>
        <v>#REF!</v>
      </c>
      <c r="AB8" s="22" t="e">
        <f>IF(AND('Mapa final'!#REF!="Muy Alta",'Mapa final'!#REF!="Mayor"),CONCATENATE("R3C",'Mapa final'!#REF!),"")</f>
        <v>#REF!</v>
      </c>
      <c r="AC8" s="23" t="e">
        <f>IF(AND('Mapa final'!#REF!="Muy Alta",'Mapa final'!#REF!="Mayor"),CONCATENATE("R3C",'Mapa final'!#REF!),"")</f>
        <v>#REF!</v>
      </c>
      <c r="AD8" s="23" t="e">
        <f>IF(AND('Mapa final'!#REF!="Muy Alta",'Mapa final'!#REF!="Mayor"),CONCATENATE("R3C",'Mapa final'!#REF!),"")</f>
        <v>#REF!</v>
      </c>
      <c r="AE8" s="23" t="e">
        <f>IF(AND('Mapa final'!#REF!="Muy Alta",'Mapa final'!#REF!="Mayor"),CONCATENATE("R3C",'Mapa final'!#REF!),"")</f>
        <v>#REF!</v>
      </c>
      <c r="AF8" s="23" t="e">
        <f>IF(AND('Mapa final'!#REF!="Muy Alta",'Mapa final'!#REF!="Mayor"),CONCATENATE("R3C",'Mapa final'!#REF!),"")</f>
        <v>#REF!</v>
      </c>
      <c r="AG8" s="24" t="e">
        <f>IF(AND('Mapa final'!#REF!="Muy Alta",'Mapa final'!#REF!="Mayor"),CONCATENATE("R3C",'Mapa final'!#REF!),"")</f>
        <v>#REF!</v>
      </c>
      <c r="AH8" s="25" t="e">
        <f>IF(AND('Mapa final'!#REF!="Muy Alta",'Mapa final'!#REF!="Catastrófico"),CONCATENATE("R3C",'Mapa final'!#REF!),"")</f>
        <v>#REF!</v>
      </c>
      <c r="AI8" s="26" t="e">
        <f>IF(AND('Mapa final'!#REF!="Muy Alta",'Mapa final'!#REF!="Catastrófico"),CONCATENATE("R3C",'Mapa final'!#REF!),"")</f>
        <v>#REF!</v>
      </c>
      <c r="AJ8" s="26" t="e">
        <f>IF(AND('Mapa final'!#REF!="Muy Alta",'Mapa final'!#REF!="Catastrófico"),CONCATENATE("R3C",'Mapa final'!#REF!),"")</f>
        <v>#REF!</v>
      </c>
      <c r="AK8" s="26" t="e">
        <f>IF(AND('Mapa final'!#REF!="Muy Alta",'Mapa final'!#REF!="Catastrófico"),CONCATENATE("R3C",'Mapa final'!#REF!),"")</f>
        <v>#REF!</v>
      </c>
      <c r="AL8" s="26" t="e">
        <f>IF(AND('Mapa final'!#REF!="Muy Alta",'Mapa final'!#REF!="Catastrófico"),CONCATENATE("R3C",'Mapa final'!#REF!),"")</f>
        <v>#REF!</v>
      </c>
      <c r="AM8" s="27" t="e">
        <f>IF(AND('Mapa final'!#REF!="Muy Alta",'Mapa final'!#REF!="Catastrófico"),CONCATENATE("R3C",'Mapa final'!#REF!),"")</f>
        <v>#REF!</v>
      </c>
      <c r="AN8" s="53"/>
      <c r="AO8" s="404"/>
      <c r="AP8" s="405"/>
      <c r="AQ8" s="405"/>
      <c r="AR8" s="405"/>
      <c r="AS8" s="405"/>
      <c r="AT8" s="406"/>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row>
    <row r="9" spans="1:91" ht="15" customHeight="1" x14ac:dyDescent="0.3">
      <c r="A9" s="53"/>
      <c r="B9" s="343"/>
      <c r="C9" s="343"/>
      <c r="D9" s="344"/>
      <c r="E9" s="384"/>
      <c r="F9" s="385"/>
      <c r="G9" s="385"/>
      <c r="H9" s="385"/>
      <c r="I9" s="386"/>
      <c r="J9" s="22" t="e">
        <f>IF(AND('Mapa final'!#REF!="Muy Alta",'Mapa final'!#REF!="Leve"),CONCATENATE("R4C",'Mapa final'!#REF!),"")</f>
        <v>#REF!</v>
      </c>
      <c r="K9" s="23" t="e">
        <f>IF(AND('Mapa final'!#REF!="Muy Alta",'Mapa final'!#REF!="Leve"),CONCATENATE("R4C",'Mapa final'!#REF!),"")</f>
        <v>#REF!</v>
      </c>
      <c r="L9" s="23" t="e">
        <f>IF(AND('Mapa final'!#REF!="Muy Alta",'Mapa final'!#REF!="Leve"),CONCATENATE("R4C",'Mapa final'!#REF!),"")</f>
        <v>#REF!</v>
      </c>
      <c r="M9" s="23" t="e">
        <f>IF(AND('Mapa final'!#REF!="Muy Alta",'Mapa final'!#REF!="Leve"),CONCATENATE("R4C",'Mapa final'!#REF!),"")</f>
        <v>#REF!</v>
      </c>
      <c r="N9" s="23" t="e">
        <f>IF(AND('Mapa final'!#REF!="Muy Alta",'Mapa final'!#REF!="Leve"),CONCATENATE("R4C",'Mapa final'!#REF!),"")</f>
        <v>#REF!</v>
      </c>
      <c r="O9" s="24" t="e">
        <f>IF(AND('Mapa final'!#REF!="Muy Alta",'Mapa final'!#REF!="Leve"),CONCATENATE("R4C",'Mapa final'!#REF!),"")</f>
        <v>#REF!</v>
      </c>
      <c r="P9" s="22" t="e">
        <f>IF(AND('Mapa final'!#REF!="Muy Alta",'Mapa final'!#REF!="Menor"),CONCATENATE("R4C",'Mapa final'!#REF!),"")</f>
        <v>#REF!</v>
      </c>
      <c r="Q9" s="23" t="e">
        <f>IF(AND('Mapa final'!#REF!="Muy Alta",'Mapa final'!#REF!="Menor"),CONCATENATE("R4C",'Mapa final'!#REF!),"")</f>
        <v>#REF!</v>
      </c>
      <c r="R9" s="23" t="e">
        <f>IF(AND('Mapa final'!#REF!="Muy Alta",'Mapa final'!#REF!="Menor"),CONCATENATE("R4C",'Mapa final'!#REF!),"")</f>
        <v>#REF!</v>
      </c>
      <c r="S9" s="23" t="e">
        <f>IF(AND('Mapa final'!#REF!="Muy Alta",'Mapa final'!#REF!="Menor"),CONCATENATE("R4C",'Mapa final'!#REF!),"")</f>
        <v>#REF!</v>
      </c>
      <c r="T9" s="23" t="e">
        <f>IF(AND('Mapa final'!#REF!="Muy Alta",'Mapa final'!#REF!="Menor"),CONCATENATE("R4C",'Mapa final'!#REF!),"")</f>
        <v>#REF!</v>
      </c>
      <c r="U9" s="24" t="e">
        <f>IF(AND('Mapa final'!#REF!="Muy Alta",'Mapa final'!#REF!="Menor"),CONCATENATE("R4C",'Mapa final'!#REF!),"")</f>
        <v>#REF!</v>
      </c>
      <c r="V9" s="22" t="e">
        <f>IF(AND('Mapa final'!#REF!="Muy Alta",'Mapa final'!#REF!="Moderado"),CONCATENATE("R4C",'Mapa final'!#REF!),"")</f>
        <v>#REF!</v>
      </c>
      <c r="W9" s="23" t="e">
        <f>IF(AND('Mapa final'!#REF!="Muy Alta",'Mapa final'!#REF!="Moderado"),CONCATENATE("R4C",'Mapa final'!#REF!),"")</f>
        <v>#REF!</v>
      </c>
      <c r="X9" s="23" t="e">
        <f>IF(AND('Mapa final'!#REF!="Muy Alta",'Mapa final'!#REF!="Moderado"),CONCATENATE("R4C",'Mapa final'!#REF!),"")</f>
        <v>#REF!</v>
      </c>
      <c r="Y9" s="23" t="e">
        <f>IF(AND('Mapa final'!#REF!="Muy Alta",'Mapa final'!#REF!="Moderado"),CONCATENATE("R4C",'Mapa final'!#REF!),"")</f>
        <v>#REF!</v>
      </c>
      <c r="Z9" s="23" t="e">
        <f>IF(AND('Mapa final'!#REF!="Muy Alta",'Mapa final'!#REF!="Moderado"),CONCATENATE("R4C",'Mapa final'!#REF!),"")</f>
        <v>#REF!</v>
      </c>
      <c r="AA9" s="24" t="e">
        <f>IF(AND('Mapa final'!#REF!="Muy Alta",'Mapa final'!#REF!="Moderado"),CONCATENATE("R4C",'Mapa final'!#REF!),"")</f>
        <v>#REF!</v>
      </c>
      <c r="AB9" s="22" t="e">
        <f>IF(AND('Mapa final'!#REF!="Muy Alta",'Mapa final'!#REF!="Mayor"),CONCATENATE("R4C",'Mapa final'!#REF!),"")</f>
        <v>#REF!</v>
      </c>
      <c r="AC9" s="23" t="e">
        <f>IF(AND('Mapa final'!#REF!="Muy Alta",'Mapa final'!#REF!="Mayor"),CONCATENATE("R4C",'Mapa final'!#REF!),"")</f>
        <v>#REF!</v>
      </c>
      <c r="AD9" s="23" t="e">
        <f>IF(AND('Mapa final'!#REF!="Muy Alta",'Mapa final'!#REF!="Mayor"),CONCATENATE("R4C",'Mapa final'!#REF!),"")</f>
        <v>#REF!</v>
      </c>
      <c r="AE9" s="23" t="e">
        <f>IF(AND('Mapa final'!#REF!="Muy Alta",'Mapa final'!#REF!="Mayor"),CONCATENATE("R4C",'Mapa final'!#REF!),"")</f>
        <v>#REF!</v>
      </c>
      <c r="AF9" s="23" t="e">
        <f>IF(AND('Mapa final'!#REF!="Muy Alta",'Mapa final'!#REF!="Mayor"),CONCATENATE("R4C",'Mapa final'!#REF!),"")</f>
        <v>#REF!</v>
      </c>
      <c r="AG9" s="24" t="e">
        <f>IF(AND('Mapa final'!#REF!="Muy Alta",'Mapa final'!#REF!="Mayor"),CONCATENATE("R4C",'Mapa final'!#REF!),"")</f>
        <v>#REF!</v>
      </c>
      <c r="AH9" s="25" t="e">
        <f>IF(AND('Mapa final'!#REF!="Muy Alta",'Mapa final'!#REF!="Catastrófico"),CONCATENATE("R4C",'Mapa final'!#REF!),"")</f>
        <v>#REF!</v>
      </c>
      <c r="AI9" s="26" t="e">
        <f>IF(AND('Mapa final'!#REF!="Muy Alta",'Mapa final'!#REF!="Catastrófico"),CONCATENATE("R4C",'Mapa final'!#REF!),"")</f>
        <v>#REF!</v>
      </c>
      <c r="AJ9" s="26" t="e">
        <f>IF(AND('Mapa final'!#REF!="Muy Alta",'Mapa final'!#REF!="Catastrófico"),CONCATENATE("R4C",'Mapa final'!#REF!),"")</f>
        <v>#REF!</v>
      </c>
      <c r="AK9" s="26" t="e">
        <f>IF(AND('Mapa final'!#REF!="Muy Alta",'Mapa final'!#REF!="Catastrófico"),CONCATENATE("R4C",'Mapa final'!#REF!),"")</f>
        <v>#REF!</v>
      </c>
      <c r="AL9" s="26" t="e">
        <f>IF(AND('Mapa final'!#REF!="Muy Alta",'Mapa final'!#REF!="Catastrófico"),CONCATENATE("R4C",'Mapa final'!#REF!),"")</f>
        <v>#REF!</v>
      </c>
      <c r="AM9" s="27" t="e">
        <f>IF(AND('Mapa final'!#REF!="Muy Alta",'Mapa final'!#REF!="Catastrófico"),CONCATENATE("R4C",'Mapa final'!#REF!),"")</f>
        <v>#REF!</v>
      </c>
      <c r="AN9" s="53"/>
      <c r="AO9" s="404"/>
      <c r="AP9" s="405"/>
      <c r="AQ9" s="405"/>
      <c r="AR9" s="405"/>
      <c r="AS9" s="405"/>
      <c r="AT9" s="406"/>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row>
    <row r="10" spans="1:91" ht="15" customHeight="1" x14ac:dyDescent="0.3">
      <c r="A10" s="53"/>
      <c r="B10" s="343"/>
      <c r="C10" s="343"/>
      <c r="D10" s="344"/>
      <c r="E10" s="384"/>
      <c r="F10" s="385"/>
      <c r="G10" s="385"/>
      <c r="H10" s="385"/>
      <c r="I10" s="386"/>
      <c r="J10" s="22" t="str">
        <f>IF(AND('Mapa final'!$AA$19="Muy Alta",'Mapa final'!$AC$19="Leve"),CONCATENATE("R5C",'Mapa final'!$Q$19),"")</f>
        <v/>
      </c>
      <c r="K10" s="23" t="str">
        <f>IF(AND('Mapa final'!$AA$20="Muy Alta",'Mapa final'!$AC$20="Leve"),CONCATENATE("R5C",'Mapa final'!$Q$20),"")</f>
        <v/>
      </c>
      <c r="L10" s="23" t="str">
        <f>IF(AND('Mapa final'!$AA$21="Muy Alta",'Mapa final'!$AC$21="Leve"),CONCATENATE("R5C",'Mapa final'!$Q$21),"")</f>
        <v/>
      </c>
      <c r="M10" s="23" t="str">
        <f>IF(AND('Mapa final'!$AA$22="Muy Alta",'Mapa final'!$AC$22="Leve"),CONCATENATE("R5C",'Mapa final'!$Q$22),"")</f>
        <v/>
      </c>
      <c r="N10" s="23" t="str">
        <f>IF(AND('Mapa final'!$AA$23="Muy Alta",'Mapa final'!$AC$23="Leve"),CONCATENATE("R5C",'Mapa final'!$Q$23),"")</f>
        <v/>
      </c>
      <c r="O10" s="24" t="str">
        <f>IF(AND('Mapa final'!$AA$24="Muy Alta",'Mapa final'!$AC$24="Leve"),CONCATENATE("R5C",'Mapa final'!$Q$24),"")</f>
        <v/>
      </c>
      <c r="P10" s="22" t="str">
        <f>IF(AND('Mapa final'!$AA$19="Muy Alta",'Mapa final'!$AC$19="Menor"),CONCATENATE("R5C",'Mapa final'!$Q$19),"")</f>
        <v/>
      </c>
      <c r="Q10" s="23" t="str">
        <f>IF(AND('Mapa final'!$AA$20="Muy Alta",'Mapa final'!$AC$20="Menor"),CONCATENATE("R5C",'Mapa final'!$Q$20),"")</f>
        <v/>
      </c>
      <c r="R10" s="23" t="str">
        <f>IF(AND('Mapa final'!$AA$21="Muy Alta",'Mapa final'!$AC$21="Menor"),CONCATENATE("R5C",'Mapa final'!$Q$21),"")</f>
        <v/>
      </c>
      <c r="S10" s="23" t="str">
        <f>IF(AND('Mapa final'!$AA$22="Muy Alta",'Mapa final'!$AC$22="Menor"),CONCATENATE("R5C",'Mapa final'!$Q$22),"")</f>
        <v/>
      </c>
      <c r="T10" s="23" t="str">
        <f>IF(AND('Mapa final'!$AA$23="Muy Alta",'Mapa final'!$AC$23="Menor"),CONCATENATE("R5C",'Mapa final'!$Q$23),"")</f>
        <v/>
      </c>
      <c r="U10" s="24" t="str">
        <f>IF(AND('Mapa final'!$AA$24="Muy Alta",'Mapa final'!$AC$24="Menor"),CONCATENATE("R5C",'Mapa final'!$Q$24),"")</f>
        <v/>
      </c>
      <c r="V10" s="22" t="str">
        <f>IF(AND('Mapa final'!$AA$19="Muy Alta",'Mapa final'!$AC$19="Moderado"),CONCATENATE("R5C",'Mapa final'!$Q$19),"")</f>
        <v/>
      </c>
      <c r="W10" s="23" t="str">
        <f>IF(AND('Mapa final'!$AA$20="Muy Alta",'Mapa final'!$AC$20="Moderado"),CONCATENATE("R5C",'Mapa final'!$Q$20),"")</f>
        <v/>
      </c>
      <c r="X10" s="23" t="str">
        <f>IF(AND('Mapa final'!$AA$21="Muy Alta",'Mapa final'!$AC$21="Moderado"),CONCATENATE("R5C",'Mapa final'!$Q$21),"")</f>
        <v/>
      </c>
      <c r="Y10" s="23" t="str">
        <f>IF(AND('Mapa final'!$AA$22="Muy Alta",'Mapa final'!$AC$22="Moderado"),CONCATENATE("R5C",'Mapa final'!$Q$22),"")</f>
        <v/>
      </c>
      <c r="Z10" s="23" t="str">
        <f>IF(AND('Mapa final'!$AA$23="Muy Alta",'Mapa final'!$AC$23="Moderado"),CONCATENATE("R5C",'Mapa final'!$Q$23),"")</f>
        <v/>
      </c>
      <c r="AA10" s="24" t="str">
        <f>IF(AND('Mapa final'!$AA$24="Muy Alta",'Mapa final'!$AC$24="Moderado"),CONCATENATE("R5C",'Mapa final'!$Q$24),"")</f>
        <v/>
      </c>
      <c r="AB10" s="22" t="str">
        <f>IF(AND('Mapa final'!$AA$19="Muy Alta",'Mapa final'!$AC$19="Mayor"),CONCATENATE("R5C",'Mapa final'!$Q$19),"")</f>
        <v/>
      </c>
      <c r="AC10" s="23" t="str">
        <f>IF(AND('Mapa final'!$AA$20="Muy Alta",'Mapa final'!$AC$20="Mayor"),CONCATENATE("R5C",'Mapa final'!$Q$20),"")</f>
        <v/>
      </c>
      <c r="AD10" s="23" t="str">
        <f>IF(AND('Mapa final'!$AA$21="Muy Alta",'Mapa final'!$AC$21="Mayor"),CONCATENATE("R5C",'Mapa final'!$Q$21),"")</f>
        <v/>
      </c>
      <c r="AE10" s="23" t="str">
        <f>IF(AND('Mapa final'!$AA$22="Muy Alta",'Mapa final'!$AC$22="Mayor"),CONCATENATE("R5C",'Mapa final'!$Q$22),"")</f>
        <v/>
      </c>
      <c r="AF10" s="23" t="str">
        <f>IF(AND('Mapa final'!$AA$23="Muy Alta",'Mapa final'!$AC$23="Mayor"),CONCATENATE("R5C",'Mapa final'!$Q$23),"")</f>
        <v/>
      </c>
      <c r="AG10" s="24" t="str">
        <f>IF(AND('Mapa final'!$AA$24="Muy Alta",'Mapa final'!$AC$24="Mayor"),CONCATENATE("R5C",'Mapa final'!$Q$24),"")</f>
        <v/>
      </c>
      <c r="AH10" s="25" t="str">
        <f>IF(AND('Mapa final'!$AA$19="Muy Alta",'Mapa final'!$AC$19="Catastrófico"),CONCATENATE("R5C",'Mapa final'!$Q$19),"")</f>
        <v/>
      </c>
      <c r="AI10" s="26" t="str">
        <f>IF(AND('Mapa final'!$AA$20="Muy Alta",'Mapa final'!$AC$20="Catastrófico"),CONCATENATE("R5C",'Mapa final'!$Q$20),"")</f>
        <v/>
      </c>
      <c r="AJ10" s="26" t="str">
        <f>IF(AND('Mapa final'!$AA$21="Muy Alta",'Mapa final'!$AC$21="Catastrófico"),CONCATENATE("R5C",'Mapa final'!$Q$21),"")</f>
        <v/>
      </c>
      <c r="AK10" s="26" t="str">
        <f>IF(AND('Mapa final'!$AA$22="Muy Alta",'Mapa final'!$AC$22="Catastrófico"),CONCATENATE("R5C",'Mapa final'!$Q$22),"")</f>
        <v/>
      </c>
      <c r="AL10" s="26" t="str">
        <f>IF(AND('Mapa final'!$AA$23="Muy Alta",'Mapa final'!$AC$23="Catastrófico"),CONCATENATE("R5C",'Mapa final'!$Q$23),"")</f>
        <v/>
      </c>
      <c r="AM10" s="27" t="str">
        <f>IF(AND('Mapa final'!$AA$24="Muy Alta",'Mapa final'!$AC$24="Catastrófico"),CONCATENATE("R5C",'Mapa final'!$Q$24),"")</f>
        <v/>
      </c>
      <c r="AN10" s="53"/>
      <c r="AO10" s="404"/>
      <c r="AP10" s="405"/>
      <c r="AQ10" s="405"/>
      <c r="AR10" s="405"/>
      <c r="AS10" s="405"/>
      <c r="AT10" s="406"/>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row>
    <row r="11" spans="1:91" ht="15" customHeight="1" x14ac:dyDescent="0.3">
      <c r="A11" s="53"/>
      <c r="B11" s="343"/>
      <c r="C11" s="343"/>
      <c r="D11" s="344"/>
      <c r="E11" s="384"/>
      <c r="F11" s="385"/>
      <c r="G11" s="385"/>
      <c r="H11" s="385"/>
      <c r="I11" s="386"/>
      <c r="J11" s="22" t="str">
        <f>IF(AND('Mapa final'!$AA$25="Muy Alta",'Mapa final'!$AC$25="Leve"),CONCATENATE("R6C",'Mapa final'!$Q$25),"")</f>
        <v/>
      </c>
      <c r="K11" s="23" t="str">
        <f>IF(AND('Mapa final'!$AA$26="Muy Alta",'Mapa final'!$AC$26="Leve"),CONCATENATE("R6C",'Mapa final'!$Q$26),"")</f>
        <v/>
      </c>
      <c r="L11" s="23" t="str">
        <f>IF(AND('Mapa final'!$AA$27="Muy Alta",'Mapa final'!$AC$27="Leve"),CONCATENATE("R6C",'Mapa final'!$Q$27),"")</f>
        <v/>
      </c>
      <c r="M11" s="23" t="str">
        <f>IF(AND('Mapa final'!$AA$28="Muy Alta",'Mapa final'!$AC$28="Leve"),CONCATENATE("R6C",'Mapa final'!$Q$28),"")</f>
        <v/>
      </c>
      <c r="N11" s="23" t="str">
        <f>IF(AND('Mapa final'!$AA$29="Muy Alta",'Mapa final'!$AC$29="Leve"),CONCATENATE("R6C",'Mapa final'!$Q$29),"")</f>
        <v/>
      </c>
      <c r="O11" s="24" t="str">
        <f>IF(AND('Mapa final'!$AA$30="Muy Alta",'Mapa final'!$AC$30="Leve"),CONCATENATE("R6C",'Mapa final'!$Q$30),"")</f>
        <v/>
      </c>
      <c r="P11" s="22" t="str">
        <f>IF(AND('Mapa final'!$AA$25="Muy Alta",'Mapa final'!$AC$25="Menor"),CONCATENATE("R6C",'Mapa final'!$Q$25),"")</f>
        <v/>
      </c>
      <c r="Q11" s="23" t="str">
        <f>IF(AND('Mapa final'!$AA$26="Muy Alta",'Mapa final'!$AC$26="Menor"),CONCATENATE("R6C",'Mapa final'!$Q$26),"")</f>
        <v/>
      </c>
      <c r="R11" s="23" t="str">
        <f>IF(AND('Mapa final'!$AA$27="Muy Alta",'Mapa final'!$AC$27="Menor"),CONCATENATE("R6C",'Mapa final'!$Q$27),"")</f>
        <v/>
      </c>
      <c r="S11" s="23" t="str">
        <f>IF(AND('Mapa final'!$AA$28="Muy Alta",'Mapa final'!$AC$28="Menor"),CONCATENATE("R6C",'Mapa final'!$Q$28),"")</f>
        <v/>
      </c>
      <c r="T11" s="23" t="str">
        <f>IF(AND('Mapa final'!$AA$29="Muy Alta",'Mapa final'!$AC$29="Menor"),CONCATENATE("R6C",'Mapa final'!$Q$29),"")</f>
        <v/>
      </c>
      <c r="U11" s="24" t="str">
        <f>IF(AND('Mapa final'!$AA$30="Muy Alta",'Mapa final'!$AC$30="Menor"),CONCATENATE("R6C",'Mapa final'!$Q$30),"")</f>
        <v/>
      </c>
      <c r="V11" s="22" t="str">
        <f>IF(AND('Mapa final'!$AA$25="Muy Alta",'Mapa final'!$AC$25="Moderado"),CONCATENATE("R6C",'Mapa final'!$Q$25),"")</f>
        <v/>
      </c>
      <c r="W11" s="23" t="str">
        <f>IF(AND('Mapa final'!$AA$26="Muy Alta",'Mapa final'!$AC$26="Moderado"),CONCATENATE("R6C",'Mapa final'!$Q$26),"")</f>
        <v/>
      </c>
      <c r="X11" s="23" t="str">
        <f>IF(AND('Mapa final'!$AA$27="Muy Alta",'Mapa final'!$AC$27="Moderado"),CONCATENATE("R6C",'Mapa final'!$Q$27),"")</f>
        <v/>
      </c>
      <c r="Y11" s="23" t="str">
        <f>IF(AND('Mapa final'!$AA$28="Muy Alta",'Mapa final'!$AC$28="Moderado"),CONCATENATE("R6C",'Mapa final'!$Q$28),"")</f>
        <v/>
      </c>
      <c r="Z11" s="23" t="str">
        <f>IF(AND('Mapa final'!$AA$29="Muy Alta",'Mapa final'!$AC$29="Moderado"),CONCATENATE("R6C",'Mapa final'!$Q$29),"")</f>
        <v/>
      </c>
      <c r="AA11" s="24" t="str">
        <f>IF(AND('Mapa final'!$AA$30="Muy Alta",'Mapa final'!$AC$30="Moderado"),CONCATENATE("R6C",'Mapa final'!$Q$30),"")</f>
        <v/>
      </c>
      <c r="AB11" s="22" t="str">
        <f>IF(AND('Mapa final'!$AA$25="Muy Alta",'Mapa final'!$AC$25="Mayor"),CONCATENATE("R6C",'Mapa final'!$Q$25),"")</f>
        <v/>
      </c>
      <c r="AC11" s="23" t="str">
        <f>IF(AND('Mapa final'!$AA$26="Muy Alta",'Mapa final'!$AC$26="Mayor"),CONCATENATE("R6C",'Mapa final'!$Q$26),"")</f>
        <v/>
      </c>
      <c r="AD11" s="23" t="str">
        <f>IF(AND('Mapa final'!$AA$27="Muy Alta",'Mapa final'!$AC$27="Mayor"),CONCATENATE("R6C",'Mapa final'!$Q$27),"")</f>
        <v/>
      </c>
      <c r="AE11" s="23" t="str">
        <f>IF(AND('Mapa final'!$AA$28="Muy Alta",'Mapa final'!$AC$28="Mayor"),CONCATENATE("R6C",'Mapa final'!$Q$28),"")</f>
        <v/>
      </c>
      <c r="AF11" s="23" t="str">
        <f>IF(AND('Mapa final'!$AA$29="Muy Alta",'Mapa final'!$AC$29="Mayor"),CONCATENATE("R6C",'Mapa final'!$Q$29),"")</f>
        <v/>
      </c>
      <c r="AG11" s="24" t="str">
        <f>IF(AND('Mapa final'!$AA$30="Muy Alta",'Mapa final'!$AC$30="Mayor"),CONCATENATE("R6C",'Mapa final'!$Q$30),"")</f>
        <v/>
      </c>
      <c r="AH11" s="25" t="str">
        <f>IF(AND('Mapa final'!$AA$25="Muy Alta",'Mapa final'!$AC$25="Catastrófico"),CONCATENATE("R6C",'Mapa final'!$Q$25),"")</f>
        <v/>
      </c>
      <c r="AI11" s="26" t="str">
        <f>IF(AND('Mapa final'!$AA$26="Muy Alta",'Mapa final'!$AC$26="Catastrófico"),CONCATENATE("R6C",'Mapa final'!$Q$26),"")</f>
        <v/>
      </c>
      <c r="AJ11" s="26" t="str">
        <f>IF(AND('Mapa final'!$AA$27="Muy Alta",'Mapa final'!$AC$27="Catastrófico"),CONCATENATE("R6C",'Mapa final'!$Q$27),"")</f>
        <v/>
      </c>
      <c r="AK11" s="26" t="str">
        <f>IF(AND('Mapa final'!$AA$28="Muy Alta",'Mapa final'!$AC$28="Catastrófico"),CONCATENATE("R6C",'Mapa final'!$Q$28),"")</f>
        <v/>
      </c>
      <c r="AL11" s="26" t="str">
        <f>IF(AND('Mapa final'!$AA$29="Muy Alta",'Mapa final'!$AC$29="Catastrófico"),CONCATENATE("R6C",'Mapa final'!$Q$29),"")</f>
        <v/>
      </c>
      <c r="AM11" s="27" t="str">
        <f>IF(AND('Mapa final'!$AA$30="Muy Alta",'Mapa final'!$AC$30="Catastrófico"),CONCATENATE("R6C",'Mapa final'!$Q$30),"")</f>
        <v/>
      </c>
      <c r="AN11" s="53"/>
      <c r="AO11" s="404"/>
      <c r="AP11" s="405"/>
      <c r="AQ11" s="405"/>
      <c r="AR11" s="405"/>
      <c r="AS11" s="405"/>
      <c r="AT11" s="406"/>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row>
    <row r="12" spans="1:91" ht="15" customHeight="1" x14ac:dyDescent="0.3">
      <c r="A12" s="53"/>
      <c r="B12" s="343"/>
      <c r="C12" s="343"/>
      <c r="D12" s="344"/>
      <c r="E12" s="384"/>
      <c r="F12" s="385"/>
      <c r="G12" s="385"/>
      <c r="H12" s="385"/>
      <c r="I12" s="386"/>
      <c r="J12" s="22" t="str">
        <f>IF(AND('Mapa final'!$AA$31="Muy Alta",'Mapa final'!$AC$31="Leve"),CONCATENATE("R7C",'Mapa final'!$Q$31),"")</f>
        <v/>
      </c>
      <c r="K12" s="23" t="str">
        <f>IF(AND('Mapa final'!$AA$32="Muy Alta",'Mapa final'!$AC$32="Leve"),CONCATENATE("R7C",'Mapa final'!$Q$32),"")</f>
        <v/>
      </c>
      <c r="L12" s="23" t="str">
        <f>IF(AND('Mapa final'!$AA$33="Muy Alta",'Mapa final'!$AC$33="Leve"),CONCATENATE("R7C",'Mapa final'!$Q$33),"")</f>
        <v/>
      </c>
      <c r="M12" s="23" t="str">
        <f>IF(AND('Mapa final'!$AA$34="Muy Alta",'Mapa final'!$AC$34="Leve"),CONCATENATE("R7C",'Mapa final'!$Q$34),"")</f>
        <v/>
      </c>
      <c r="N12" s="23" t="str">
        <f>IF(AND('Mapa final'!$AA$35="Muy Alta",'Mapa final'!$AC$35="Leve"),CONCATENATE("R7C",'Mapa final'!$Q$35),"")</f>
        <v/>
      </c>
      <c r="O12" s="24" t="str">
        <f>IF(AND('Mapa final'!$AA$36="Muy Alta",'Mapa final'!$AC$36="Leve"),CONCATENATE("R7C",'Mapa final'!$Q$36),"")</f>
        <v/>
      </c>
      <c r="P12" s="22" t="str">
        <f>IF(AND('Mapa final'!$AA$31="Muy Alta",'Mapa final'!$AC$31="Menor"),CONCATENATE("R7C",'Mapa final'!$Q$31),"")</f>
        <v/>
      </c>
      <c r="Q12" s="23" t="str">
        <f>IF(AND('Mapa final'!$AA$32="Muy Alta",'Mapa final'!$AC$32="Menor"),CONCATENATE("R7C",'Mapa final'!$Q$32),"")</f>
        <v/>
      </c>
      <c r="R12" s="23" t="str">
        <f>IF(AND('Mapa final'!$AA$33="Muy Alta",'Mapa final'!$AC$33="Menor"),CONCATENATE("R7C",'Mapa final'!$Q$33),"")</f>
        <v/>
      </c>
      <c r="S12" s="23" t="str">
        <f>IF(AND('Mapa final'!$AA$34="Muy Alta",'Mapa final'!$AC$34="Menor"),CONCATENATE("R7C",'Mapa final'!$Q$34),"")</f>
        <v/>
      </c>
      <c r="T12" s="23" t="str">
        <f>IF(AND('Mapa final'!$AA$35="Muy Alta",'Mapa final'!$AC$35="Menor"),CONCATENATE("R7C",'Mapa final'!$Q$35),"")</f>
        <v/>
      </c>
      <c r="U12" s="24" t="str">
        <f>IF(AND('Mapa final'!$AA$36="Muy Alta",'Mapa final'!$AC$36="Menor"),CONCATENATE("R7C",'Mapa final'!$Q$36),"")</f>
        <v/>
      </c>
      <c r="V12" s="22" t="str">
        <f>IF(AND('Mapa final'!$AA$31="Muy Alta",'Mapa final'!$AC$31="Moderado"),CONCATENATE("R7C",'Mapa final'!$Q$31),"")</f>
        <v/>
      </c>
      <c r="W12" s="23" t="str">
        <f>IF(AND('Mapa final'!$AA$32="Muy Alta",'Mapa final'!$AC$32="Moderado"),CONCATENATE("R7C",'Mapa final'!$Q$32),"")</f>
        <v/>
      </c>
      <c r="X12" s="23" t="str">
        <f>IF(AND('Mapa final'!$AA$33="Muy Alta",'Mapa final'!$AC$33="Moderado"),CONCATENATE("R7C",'Mapa final'!$Q$33),"")</f>
        <v/>
      </c>
      <c r="Y12" s="23" t="str">
        <f>IF(AND('Mapa final'!$AA$34="Muy Alta",'Mapa final'!$AC$34="Moderado"),CONCATENATE("R7C",'Mapa final'!$Q$34),"")</f>
        <v/>
      </c>
      <c r="Z12" s="23" t="str">
        <f>IF(AND('Mapa final'!$AA$35="Muy Alta",'Mapa final'!$AC$35="Moderado"),CONCATENATE("R7C",'Mapa final'!$Q$35),"")</f>
        <v/>
      </c>
      <c r="AA12" s="24" t="str">
        <f>IF(AND('Mapa final'!$AA$36="Muy Alta",'Mapa final'!$AC$36="Moderado"),CONCATENATE("R7C",'Mapa final'!$Q$36),"")</f>
        <v/>
      </c>
      <c r="AB12" s="22" t="str">
        <f>IF(AND('Mapa final'!$AA$31="Muy Alta",'Mapa final'!$AC$31="Mayor"),CONCATENATE("R7C",'Mapa final'!$Q$31),"")</f>
        <v/>
      </c>
      <c r="AC12" s="23" t="str">
        <f>IF(AND('Mapa final'!$AA$32="Muy Alta",'Mapa final'!$AC$32="Mayor"),CONCATENATE("R7C",'Mapa final'!$Q$32),"")</f>
        <v/>
      </c>
      <c r="AD12" s="23" t="str">
        <f>IF(AND('Mapa final'!$AA$33="Muy Alta",'Mapa final'!$AC$33="Mayor"),CONCATENATE("R7C",'Mapa final'!$Q$33),"")</f>
        <v/>
      </c>
      <c r="AE12" s="23" t="str">
        <f>IF(AND('Mapa final'!$AA$34="Muy Alta",'Mapa final'!$AC$34="Mayor"),CONCATENATE("R7C",'Mapa final'!$Q$34),"")</f>
        <v/>
      </c>
      <c r="AF12" s="23" t="str">
        <f>IF(AND('Mapa final'!$AA$35="Muy Alta",'Mapa final'!$AC$35="Mayor"),CONCATENATE("R7C",'Mapa final'!$Q$35),"")</f>
        <v/>
      </c>
      <c r="AG12" s="24" t="str">
        <f>IF(AND('Mapa final'!$AA$36="Muy Alta",'Mapa final'!$AC$36="Mayor"),CONCATENATE("R7C",'Mapa final'!$Q$36),"")</f>
        <v/>
      </c>
      <c r="AH12" s="25" t="str">
        <f>IF(AND('Mapa final'!$AA$31="Muy Alta",'Mapa final'!$AC$31="Catastrófico"),CONCATENATE("R7C",'Mapa final'!$Q$31),"")</f>
        <v/>
      </c>
      <c r="AI12" s="26" t="str">
        <f>IF(AND('Mapa final'!$AA$32="Muy Alta",'Mapa final'!$AC$32="Catastrófico"),CONCATENATE("R7C",'Mapa final'!$Q$32),"")</f>
        <v/>
      </c>
      <c r="AJ12" s="26" t="str">
        <f>IF(AND('Mapa final'!$AA$33="Muy Alta",'Mapa final'!$AC$33="Catastrófico"),CONCATENATE("R7C",'Mapa final'!$Q$33),"")</f>
        <v/>
      </c>
      <c r="AK12" s="26" t="str">
        <f>IF(AND('Mapa final'!$AA$34="Muy Alta",'Mapa final'!$AC$34="Catastrófico"),CONCATENATE("R7C",'Mapa final'!$Q$34),"")</f>
        <v/>
      </c>
      <c r="AL12" s="26" t="str">
        <f>IF(AND('Mapa final'!$AA$35="Muy Alta",'Mapa final'!$AC$35="Catastrófico"),CONCATENATE("R7C",'Mapa final'!$Q$35),"")</f>
        <v/>
      </c>
      <c r="AM12" s="27" t="str">
        <f>IF(AND('Mapa final'!$AA$36="Muy Alta",'Mapa final'!$AC$36="Catastrófico"),CONCATENATE("R7C",'Mapa final'!$Q$36),"")</f>
        <v/>
      </c>
      <c r="AN12" s="53"/>
      <c r="AO12" s="404"/>
      <c r="AP12" s="405"/>
      <c r="AQ12" s="405"/>
      <c r="AR12" s="405"/>
      <c r="AS12" s="405"/>
      <c r="AT12" s="406"/>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row>
    <row r="13" spans="1:91" ht="15" customHeight="1" x14ac:dyDescent="0.3">
      <c r="A13" s="53"/>
      <c r="B13" s="343"/>
      <c r="C13" s="343"/>
      <c r="D13" s="344"/>
      <c r="E13" s="384"/>
      <c r="F13" s="385"/>
      <c r="G13" s="385"/>
      <c r="H13" s="385"/>
      <c r="I13" s="386"/>
      <c r="J13" s="22" t="str">
        <f>IF(AND('Mapa final'!$AA$37="Muy Alta",'Mapa final'!$AC$37="Leve"),CONCATENATE("R8C",'Mapa final'!$Q$37),"")</f>
        <v/>
      </c>
      <c r="K13" s="23" t="str">
        <f>IF(AND('Mapa final'!$AA$38="Muy Alta",'Mapa final'!$AC$38="Leve"),CONCATENATE("R8C",'Mapa final'!$Q$38),"")</f>
        <v/>
      </c>
      <c r="L13" s="23" t="str">
        <f>IF(AND('Mapa final'!$AA$39="Muy Alta",'Mapa final'!$AC$39="Leve"),CONCATENATE("R8C",'Mapa final'!$Q$39),"")</f>
        <v/>
      </c>
      <c r="M13" s="23" t="str">
        <f>IF(AND('Mapa final'!$AA$40="Muy Alta",'Mapa final'!$AC$40="Leve"),CONCATENATE("R8C",'Mapa final'!$Q$40),"")</f>
        <v/>
      </c>
      <c r="N13" s="23" t="str">
        <f>IF(AND('Mapa final'!$AA$41="Muy Alta",'Mapa final'!$AC$41="Leve"),CONCATENATE("R8C",'Mapa final'!$Q$41),"")</f>
        <v/>
      </c>
      <c r="O13" s="24" t="str">
        <f>IF(AND('Mapa final'!$AA$42="Muy Alta",'Mapa final'!$AC$42="Leve"),CONCATENATE("R8C",'Mapa final'!$Q$42),"")</f>
        <v/>
      </c>
      <c r="P13" s="22" t="str">
        <f>IF(AND('Mapa final'!$AA$37="Muy Alta",'Mapa final'!$AC$37="Menor"),CONCATENATE("R8C",'Mapa final'!$Q$37),"")</f>
        <v/>
      </c>
      <c r="Q13" s="23" t="str">
        <f>IF(AND('Mapa final'!$AA$38="Muy Alta",'Mapa final'!$AC$38="Menor"),CONCATENATE("R8C",'Mapa final'!$Q$38),"")</f>
        <v/>
      </c>
      <c r="R13" s="23" t="str">
        <f>IF(AND('Mapa final'!$AA$39="Muy Alta",'Mapa final'!$AC$39="Menor"),CONCATENATE("R8C",'Mapa final'!$Q$39),"")</f>
        <v/>
      </c>
      <c r="S13" s="23" t="str">
        <f>IF(AND('Mapa final'!$AA$40="Muy Alta",'Mapa final'!$AC$40="Menor"),CONCATENATE("R8C",'Mapa final'!$Q$40),"")</f>
        <v/>
      </c>
      <c r="T13" s="23" t="str">
        <f>IF(AND('Mapa final'!$AA$41="Muy Alta",'Mapa final'!$AC$41="Menor"),CONCATENATE("R8C",'Mapa final'!$Q$41),"")</f>
        <v/>
      </c>
      <c r="U13" s="24" t="str">
        <f>IF(AND('Mapa final'!$AA$42="Muy Alta",'Mapa final'!$AC$42="Menor"),CONCATENATE("R8C",'Mapa final'!$Q$42),"")</f>
        <v/>
      </c>
      <c r="V13" s="22" t="str">
        <f>IF(AND('Mapa final'!$AA$37="Muy Alta",'Mapa final'!$AC$37="Moderado"),CONCATENATE("R8C",'Mapa final'!$Q$37),"")</f>
        <v/>
      </c>
      <c r="W13" s="23" t="str">
        <f>IF(AND('Mapa final'!$AA$38="Muy Alta",'Mapa final'!$AC$38="Moderado"),CONCATENATE("R8C",'Mapa final'!$Q$38),"")</f>
        <v/>
      </c>
      <c r="X13" s="23" t="str">
        <f>IF(AND('Mapa final'!$AA$39="Muy Alta",'Mapa final'!$AC$39="Moderado"),CONCATENATE("R8C",'Mapa final'!$Q$39),"")</f>
        <v/>
      </c>
      <c r="Y13" s="23" t="str">
        <f>IF(AND('Mapa final'!$AA$40="Muy Alta",'Mapa final'!$AC$40="Moderado"),CONCATENATE("R8C",'Mapa final'!$Q$40),"")</f>
        <v/>
      </c>
      <c r="Z13" s="23" t="str">
        <f>IF(AND('Mapa final'!$AA$41="Muy Alta",'Mapa final'!$AC$41="Moderado"),CONCATENATE("R8C",'Mapa final'!$Q$41),"")</f>
        <v/>
      </c>
      <c r="AA13" s="24" t="str">
        <f>IF(AND('Mapa final'!$AA$42="Muy Alta",'Mapa final'!$AC$42="Moderado"),CONCATENATE("R8C",'Mapa final'!$Q$42),"")</f>
        <v/>
      </c>
      <c r="AB13" s="22" t="str">
        <f>IF(AND('Mapa final'!$AA$37="Muy Alta",'Mapa final'!$AC$37="Mayor"),CONCATENATE("R8C",'Mapa final'!$Q$37),"")</f>
        <v/>
      </c>
      <c r="AC13" s="23" t="str">
        <f>IF(AND('Mapa final'!$AA$38="Muy Alta",'Mapa final'!$AC$38="Mayor"),CONCATENATE("R8C",'Mapa final'!$Q$38),"")</f>
        <v/>
      </c>
      <c r="AD13" s="23" t="str">
        <f>IF(AND('Mapa final'!$AA$39="Muy Alta",'Mapa final'!$AC$39="Mayor"),CONCATENATE("R8C",'Mapa final'!$Q$39),"")</f>
        <v/>
      </c>
      <c r="AE13" s="23" t="str">
        <f>IF(AND('Mapa final'!$AA$40="Muy Alta",'Mapa final'!$AC$40="Mayor"),CONCATENATE("R8C",'Mapa final'!$Q$40),"")</f>
        <v/>
      </c>
      <c r="AF13" s="23" t="str">
        <f>IF(AND('Mapa final'!$AA$41="Muy Alta",'Mapa final'!$AC$41="Mayor"),CONCATENATE("R8C",'Mapa final'!$Q$41),"")</f>
        <v/>
      </c>
      <c r="AG13" s="24" t="str">
        <f>IF(AND('Mapa final'!$AA$42="Muy Alta",'Mapa final'!$AC$42="Mayor"),CONCATENATE("R8C",'Mapa final'!$Q$42),"")</f>
        <v/>
      </c>
      <c r="AH13" s="25" t="str">
        <f>IF(AND('Mapa final'!$AA$37="Muy Alta",'Mapa final'!$AC$37="Catastrófico"),CONCATENATE("R8C",'Mapa final'!$Q$37),"")</f>
        <v/>
      </c>
      <c r="AI13" s="26" t="str">
        <f>IF(AND('Mapa final'!$AA$38="Muy Alta",'Mapa final'!$AC$38="Catastrófico"),CONCATENATE("R8C",'Mapa final'!$Q$38),"")</f>
        <v/>
      </c>
      <c r="AJ13" s="26" t="str">
        <f>IF(AND('Mapa final'!$AA$39="Muy Alta",'Mapa final'!$AC$39="Catastrófico"),CONCATENATE("R8C",'Mapa final'!$Q$39),"")</f>
        <v/>
      </c>
      <c r="AK13" s="26" t="str">
        <f>IF(AND('Mapa final'!$AA$40="Muy Alta",'Mapa final'!$AC$40="Catastrófico"),CONCATENATE("R8C",'Mapa final'!$Q$40),"")</f>
        <v/>
      </c>
      <c r="AL13" s="26" t="str">
        <f>IF(AND('Mapa final'!$AA$41="Muy Alta",'Mapa final'!$AC$41="Catastrófico"),CONCATENATE("R8C",'Mapa final'!$Q$41),"")</f>
        <v/>
      </c>
      <c r="AM13" s="27" t="str">
        <f>IF(AND('Mapa final'!$AA$42="Muy Alta",'Mapa final'!$AC$42="Catastrófico"),CONCATENATE("R8C",'Mapa final'!$Q$42),"")</f>
        <v/>
      </c>
      <c r="AN13" s="53"/>
      <c r="AO13" s="404"/>
      <c r="AP13" s="405"/>
      <c r="AQ13" s="405"/>
      <c r="AR13" s="405"/>
      <c r="AS13" s="405"/>
      <c r="AT13" s="406"/>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row>
    <row r="14" spans="1:91" ht="15" customHeight="1" x14ac:dyDescent="0.3">
      <c r="A14" s="53"/>
      <c r="B14" s="343"/>
      <c r="C14" s="343"/>
      <c r="D14" s="344"/>
      <c r="E14" s="384"/>
      <c r="F14" s="385"/>
      <c r="G14" s="385"/>
      <c r="H14" s="385"/>
      <c r="I14" s="386"/>
      <c r="J14" s="22" t="str">
        <f>IF(AND('Mapa final'!$AA$43="Muy Alta",'Mapa final'!$AC$43="Leve"),CONCATENATE("R9C",'Mapa final'!$Q$43),"")</f>
        <v/>
      </c>
      <c r="K14" s="23" t="str">
        <f>IF(AND('Mapa final'!$AA$44="Muy Alta",'Mapa final'!$AC$44="Leve"),CONCATENATE("R9C",'Mapa final'!$Q$44),"")</f>
        <v/>
      </c>
      <c r="L14" s="23" t="str">
        <f>IF(AND('Mapa final'!$AA$45="Muy Alta",'Mapa final'!$AC$45="Leve"),CONCATENATE("R9C",'Mapa final'!$Q$45),"")</f>
        <v/>
      </c>
      <c r="M14" s="23" t="str">
        <f>IF(AND('Mapa final'!$AA$46="Muy Alta",'Mapa final'!$AC$46="Leve"),CONCATENATE("R9C",'Mapa final'!$Q$46),"")</f>
        <v/>
      </c>
      <c r="N14" s="23" t="str">
        <f>IF(AND('Mapa final'!$AA$47="Muy Alta",'Mapa final'!$AC$47="Leve"),CONCATENATE("R9C",'Mapa final'!$Q$47),"")</f>
        <v/>
      </c>
      <c r="O14" s="24" t="str">
        <f>IF(AND('Mapa final'!$AA$48="Muy Alta",'Mapa final'!$AC$48="Leve"),CONCATENATE("R9C",'Mapa final'!$Q$48),"")</f>
        <v/>
      </c>
      <c r="P14" s="22" t="str">
        <f>IF(AND('Mapa final'!$AA$43="Muy Alta",'Mapa final'!$AC$43="Menor"),CONCATENATE("R9C",'Mapa final'!$Q$43),"")</f>
        <v/>
      </c>
      <c r="Q14" s="23" t="str">
        <f>IF(AND('Mapa final'!$AA$44="Muy Alta",'Mapa final'!$AC$44="Menor"),CONCATENATE("R9C",'Mapa final'!$Q$44),"")</f>
        <v/>
      </c>
      <c r="R14" s="23" t="str">
        <f>IF(AND('Mapa final'!$AA$45="Muy Alta",'Mapa final'!$AC$45="Menor"),CONCATENATE("R9C",'Mapa final'!$Q$45),"")</f>
        <v/>
      </c>
      <c r="S14" s="23" t="str">
        <f>IF(AND('Mapa final'!$AA$46="Muy Alta",'Mapa final'!$AC$46="Menor"),CONCATENATE("R9C",'Mapa final'!$Q$46),"")</f>
        <v/>
      </c>
      <c r="T14" s="23" t="str">
        <f>IF(AND('Mapa final'!$AA$47="Muy Alta",'Mapa final'!$AC$47="Menor"),CONCATENATE("R9C",'Mapa final'!$Q$47),"")</f>
        <v/>
      </c>
      <c r="U14" s="24" t="str">
        <f>IF(AND('Mapa final'!$AA$48="Muy Alta",'Mapa final'!$AC$48="Menor"),CONCATENATE("R9C",'Mapa final'!$Q$48),"")</f>
        <v/>
      </c>
      <c r="V14" s="22" t="str">
        <f>IF(AND('Mapa final'!$AA$43="Muy Alta",'Mapa final'!$AC$43="Moderado"),CONCATENATE("R9C",'Mapa final'!$Q$43),"")</f>
        <v/>
      </c>
      <c r="W14" s="23" t="str">
        <f>IF(AND('Mapa final'!$AA$44="Muy Alta",'Mapa final'!$AC$44="Moderado"),CONCATENATE("R9C",'Mapa final'!$Q$44),"")</f>
        <v/>
      </c>
      <c r="X14" s="23" t="str">
        <f>IF(AND('Mapa final'!$AA$45="Muy Alta",'Mapa final'!$AC$45="Moderado"),CONCATENATE("R9C",'Mapa final'!$Q$45),"")</f>
        <v/>
      </c>
      <c r="Y14" s="23" t="str">
        <f>IF(AND('Mapa final'!$AA$46="Muy Alta",'Mapa final'!$AC$46="Moderado"),CONCATENATE("R9C",'Mapa final'!$Q$46),"")</f>
        <v/>
      </c>
      <c r="Z14" s="23" t="str">
        <f>IF(AND('Mapa final'!$AA$47="Muy Alta",'Mapa final'!$AC$47="Moderado"),CONCATENATE("R9C",'Mapa final'!$Q$47),"")</f>
        <v/>
      </c>
      <c r="AA14" s="24" t="str">
        <f>IF(AND('Mapa final'!$AA$48="Muy Alta",'Mapa final'!$AC$48="Moderado"),CONCATENATE("R9C",'Mapa final'!$Q$48),"")</f>
        <v/>
      </c>
      <c r="AB14" s="22" t="str">
        <f>IF(AND('Mapa final'!$AA$43="Muy Alta",'Mapa final'!$AC$43="Mayor"),CONCATENATE("R9C",'Mapa final'!$Q$43),"")</f>
        <v/>
      </c>
      <c r="AC14" s="23" t="str">
        <f>IF(AND('Mapa final'!$AA$44="Muy Alta",'Mapa final'!$AC$44="Mayor"),CONCATENATE("R9C",'Mapa final'!$Q$44),"")</f>
        <v/>
      </c>
      <c r="AD14" s="23" t="str">
        <f>IF(AND('Mapa final'!$AA$45="Muy Alta",'Mapa final'!$AC$45="Mayor"),CONCATENATE("R9C",'Mapa final'!$Q$45),"")</f>
        <v/>
      </c>
      <c r="AE14" s="23" t="str">
        <f>IF(AND('Mapa final'!$AA$46="Muy Alta",'Mapa final'!$AC$46="Mayor"),CONCATENATE("R9C",'Mapa final'!$Q$46),"")</f>
        <v/>
      </c>
      <c r="AF14" s="23" t="str">
        <f>IF(AND('Mapa final'!$AA$47="Muy Alta",'Mapa final'!$AC$47="Mayor"),CONCATENATE("R9C",'Mapa final'!$Q$47),"")</f>
        <v/>
      </c>
      <c r="AG14" s="24" t="str">
        <f>IF(AND('Mapa final'!$AA$48="Muy Alta",'Mapa final'!$AC$48="Mayor"),CONCATENATE("R9C",'Mapa final'!$Q$48),"")</f>
        <v/>
      </c>
      <c r="AH14" s="25" t="str">
        <f>IF(AND('Mapa final'!$AA$43="Muy Alta",'Mapa final'!$AC$43="Catastrófico"),CONCATENATE("R9C",'Mapa final'!$Q$43),"")</f>
        <v/>
      </c>
      <c r="AI14" s="26" t="str">
        <f>IF(AND('Mapa final'!$AA$44="Muy Alta",'Mapa final'!$AC$44="Catastrófico"),CONCATENATE("R9C",'Mapa final'!$Q$44),"")</f>
        <v/>
      </c>
      <c r="AJ14" s="26" t="str">
        <f>IF(AND('Mapa final'!$AA$45="Muy Alta",'Mapa final'!$AC$45="Catastrófico"),CONCATENATE("R9C",'Mapa final'!$Q$45),"")</f>
        <v/>
      </c>
      <c r="AK14" s="26" t="str">
        <f>IF(AND('Mapa final'!$AA$46="Muy Alta",'Mapa final'!$AC$46="Catastrófico"),CONCATENATE("R9C",'Mapa final'!$Q$46),"")</f>
        <v/>
      </c>
      <c r="AL14" s="26" t="str">
        <f>IF(AND('Mapa final'!$AA$47="Muy Alta",'Mapa final'!$AC$47="Catastrófico"),CONCATENATE("R9C",'Mapa final'!$Q$47),"")</f>
        <v/>
      </c>
      <c r="AM14" s="27" t="str">
        <f>IF(AND('Mapa final'!$AA$48="Muy Alta",'Mapa final'!$AC$48="Catastrófico"),CONCATENATE("R9C",'Mapa final'!$Q$48),"")</f>
        <v/>
      </c>
      <c r="AN14" s="53"/>
      <c r="AO14" s="404"/>
      <c r="AP14" s="405"/>
      <c r="AQ14" s="405"/>
      <c r="AR14" s="405"/>
      <c r="AS14" s="405"/>
      <c r="AT14" s="406"/>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row>
    <row r="15" spans="1:91" ht="15.75" customHeight="1" thickBot="1" x14ac:dyDescent="0.35">
      <c r="A15" s="53"/>
      <c r="B15" s="343"/>
      <c r="C15" s="343"/>
      <c r="D15" s="344"/>
      <c r="E15" s="387"/>
      <c r="F15" s="388"/>
      <c r="G15" s="388"/>
      <c r="H15" s="388"/>
      <c r="I15" s="389"/>
      <c r="J15" s="28" t="str">
        <f>IF(AND('Mapa final'!$AA$49="Muy Alta",'Mapa final'!$AC$49="Leve"),CONCATENATE("R10C",'Mapa final'!$Q$49),"")</f>
        <v/>
      </c>
      <c r="K15" s="29" t="str">
        <f>IF(AND('Mapa final'!$AA$50="Muy Alta",'Mapa final'!$AC$50="Leve"),CONCATENATE("R10C",'Mapa final'!$Q$50),"")</f>
        <v/>
      </c>
      <c r="L15" s="29" t="str">
        <f>IF(AND('Mapa final'!$AA$51="Muy Alta",'Mapa final'!$AC$51="Leve"),CONCATENATE("R10C",'Mapa final'!$Q$51),"")</f>
        <v/>
      </c>
      <c r="M15" s="29" t="str">
        <f>IF(AND('Mapa final'!$AA$52="Muy Alta",'Mapa final'!$AC$52="Leve"),CONCATENATE("R10C",'Mapa final'!$Q$52),"")</f>
        <v/>
      </c>
      <c r="N15" s="29" t="str">
        <f>IF(AND('Mapa final'!$AA$53="Muy Alta",'Mapa final'!$AC$53="Leve"),CONCATENATE("R10C",'Mapa final'!$Q$53),"")</f>
        <v/>
      </c>
      <c r="O15" s="30" t="str">
        <f>IF(AND('Mapa final'!$AA$54="Muy Alta",'Mapa final'!$AC$54="Leve"),CONCATENATE("R10C",'Mapa final'!$Q$54),"")</f>
        <v/>
      </c>
      <c r="P15" s="22" t="str">
        <f>IF(AND('Mapa final'!$AA$49="Muy Alta",'Mapa final'!$AC$49="Menor"),CONCATENATE("R10C",'Mapa final'!$Q$49),"")</f>
        <v/>
      </c>
      <c r="Q15" s="23" t="str">
        <f>IF(AND('Mapa final'!$AA$50="Muy Alta",'Mapa final'!$AC$50="Menor"),CONCATENATE("R10C",'Mapa final'!$Q$50),"")</f>
        <v/>
      </c>
      <c r="R15" s="23" t="str">
        <f>IF(AND('Mapa final'!$AA$51="Muy Alta",'Mapa final'!$AC$51="Menor"),CONCATENATE("R10C",'Mapa final'!$Q$51),"")</f>
        <v/>
      </c>
      <c r="S15" s="23" t="str">
        <f>IF(AND('Mapa final'!$AA$52="Muy Alta",'Mapa final'!$AC$52="Menor"),CONCATENATE("R10C",'Mapa final'!$Q$52),"")</f>
        <v/>
      </c>
      <c r="T15" s="23" t="str">
        <f>IF(AND('Mapa final'!$AA$53="Muy Alta",'Mapa final'!$AC$53="Menor"),CONCATENATE("R10C",'Mapa final'!$Q$53),"")</f>
        <v/>
      </c>
      <c r="U15" s="24" t="str">
        <f>IF(AND('Mapa final'!$AA$54="Muy Alta",'Mapa final'!$AC$54="Menor"),CONCATENATE("R10C",'Mapa final'!$Q$54),"")</f>
        <v/>
      </c>
      <c r="V15" s="28" t="str">
        <f>IF(AND('Mapa final'!$AA$49="Muy Alta",'Mapa final'!$AC$49="Moderado"),CONCATENATE("R10C",'Mapa final'!$Q$49),"")</f>
        <v/>
      </c>
      <c r="W15" s="29" t="str">
        <f>IF(AND('Mapa final'!$AA$50="Muy Alta",'Mapa final'!$AC$50="Moderado"),CONCATENATE("R10C",'Mapa final'!$Q$50),"")</f>
        <v/>
      </c>
      <c r="X15" s="29" t="str">
        <f>IF(AND('Mapa final'!$AA$51="Muy Alta",'Mapa final'!$AC$51="Moderado"),CONCATENATE("R10C",'Mapa final'!$Q$51),"")</f>
        <v/>
      </c>
      <c r="Y15" s="29" t="str">
        <f>IF(AND('Mapa final'!$AA$52="Muy Alta",'Mapa final'!$AC$52="Moderado"),CONCATENATE("R10C",'Mapa final'!$Q$52),"")</f>
        <v/>
      </c>
      <c r="Z15" s="29" t="str">
        <f>IF(AND('Mapa final'!$AA$53="Muy Alta",'Mapa final'!$AC$53="Moderado"),CONCATENATE("R10C",'Mapa final'!$Q$53),"")</f>
        <v/>
      </c>
      <c r="AA15" s="30" t="str">
        <f>IF(AND('Mapa final'!$AA$54="Muy Alta",'Mapa final'!$AC$54="Moderado"),CONCATENATE("R10C",'Mapa final'!$Q$54),"")</f>
        <v/>
      </c>
      <c r="AB15" s="22" t="str">
        <f>IF(AND('Mapa final'!$AA$49="Muy Alta",'Mapa final'!$AC$49="Mayor"),CONCATENATE("R10C",'Mapa final'!$Q$49),"")</f>
        <v/>
      </c>
      <c r="AC15" s="23" t="str">
        <f>IF(AND('Mapa final'!$AA$50="Muy Alta",'Mapa final'!$AC$50="Mayor"),CONCATENATE("R10C",'Mapa final'!$Q$50),"")</f>
        <v/>
      </c>
      <c r="AD15" s="23" t="str">
        <f>IF(AND('Mapa final'!$AA$51="Muy Alta",'Mapa final'!$AC$51="Mayor"),CONCATENATE("R10C",'Mapa final'!$Q$51),"")</f>
        <v/>
      </c>
      <c r="AE15" s="23" t="str">
        <f>IF(AND('Mapa final'!$AA$52="Muy Alta",'Mapa final'!$AC$52="Mayor"),CONCATENATE("R10C",'Mapa final'!$Q$52),"")</f>
        <v/>
      </c>
      <c r="AF15" s="23" t="str">
        <f>IF(AND('Mapa final'!$AA$53="Muy Alta",'Mapa final'!$AC$53="Mayor"),CONCATENATE("R10C",'Mapa final'!$Q$53),"")</f>
        <v/>
      </c>
      <c r="AG15" s="24" t="str">
        <f>IF(AND('Mapa final'!$AA$54="Muy Alta",'Mapa final'!$AC$54="Mayor"),CONCATENATE("R10C",'Mapa final'!$Q$54),"")</f>
        <v/>
      </c>
      <c r="AH15" s="31" t="str">
        <f>IF(AND('Mapa final'!$AA$49="Muy Alta",'Mapa final'!$AC$49="Catastrófico"),CONCATENATE("R10C",'Mapa final'!$Q$49),"")</f>
        <v/>
      </c>
      <c r="AI15" s="32" t="str">
        <f>IF(AND('Mapa final'!$AA$50="Muy Alta",'Mapa final'!$AC$50="Catastrófico"),CONCATENATE("R10C",'Mapa final'!$Q$50),"")</f>
        <v/>
      </c>
      <c r="AJ15" s="32" t="str">
        <f>IF(AND('Mapa final'!$AA$51="Muy Alta",'Mapa final'!$AC$51="Catastrófico"),CONCATENATE("R10C",'Mapa final'!$Q$51),"")</f>
        <v/>
      </c>
      <c r="AK15" s="32" t="str">
        <f>IF(AND('Mapa final'!$AA$52="Muy Alta",'Mapa final'!$AC$52="Catastrófico"),CONCATENATE("R10C",'Mapa final'!$Q$52),"")</f>
        <v/>
      </c>
      <c r="AL15" s="32" t="str">
        <f>IF(AND('Mapa final'!$AA$53="Muy Alta",'Mapa final'!$AC$53="Catastrófico"),CONCATENATE("R10C",'Mapa final'!$Q$53),"")</f>
        <v/>
      </c>
      <c r="AM15" s="33" t="str">
        <f>IF(AND('Mapa final'!$AA$54="Muy Alta",'Mapa final'!$AC$54="Catastrófico"),CONCATENATE("R10C",'Mapa final'!$Q$54),"")</f>
        <v/>
      </c>
      <c r="AN15" s="53"/>
      <c r="AO15" s="407"/>
      <c r="AP15" s="408"/>
      <c r="AQ15" s="408"/>
      <c r="AR15" s="408"/>
      <c r="AS15" s="408"/>
      <c r="AT15" s="409"/>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row>
    <row r="16" spans="1:91" ht="15" customHeight="1" x14ac:dyDescent="0.3">
      <c r="A16" s="53"/>
      <c r="B16" s="343"/>
      <c r="C16" s="343"/>
      <c r="D16" s="344"/>
      <c r="E16" s="381" t="s">
        <v>110</v>
      </c>
      <c r="F16" s="382"/>
      <c r="G16" s="382"/>
      <c r="H16" s="382"/>
      <c r="I16" s="382"/>
      <c r="J16" s="34" t="str">
        <f ca="1">IF(AND('Mapa final'!$AA$10="Alta",'Mapa final'!$AC$10="Leve"),CONCATENATE("R1C",'Mapa final'!$Q$10),"")</f>
        <v/>
      </c>
      <c r="K16" s="35" t="str">
        <f ca="1">IF(AND('Mapa final'!$AA$11="Alta",'Mapa final'!$AC$11="Leve"),CONCATENATE("R1C",'Mapa final'!$Q$11),"")</f>
        <v/>
      </c>
      <c r="L16" s="35" t="str">
        <f ca="1">IF(AND('Mapa final'!$AA$12="Alta",'Mapa final'!$AC$12="Leve"),CONCATENATE("R1C",'Mapa final'!$Q$12),"")</f>
        <v/>
      </c>
      <c r="M16" s="35" t="str">
        <f ca="1">IF(AND('Mapa final'!$AA$13="Alta",'Mapa final'!$AC$13="Leve"),CONCATENATE("R1C",'Mapa final'!$Q$13),"")</f>
        <v/>
      </c>
      <c r="N16" s="35" t="str">
        <f ca="1">IF(AND('Mapa final'!$AA$14="Alta",'Mapa final'!$AC$14="Leve"),CONCATENATE("R1C",'Mapa final'!$Q$14),"")</f>
        <v/>
      </c>
      <c r="O16" s="36" t="e">
        <f>IF(AND('Mapa final'!#REF!="Alta",'Mapa final'!#REF!="Leve"),CONCATENATE("R1C",'Mapa final'!#REF!),"")</f>
        <v>#REF!</v>
      </c>
      <c r="P16" s="34" t="str">
        <f ca="1">IF(AND('Mapa final'!$AA$10="Alta",'Mapa final'!$AC$10="Menor"),CONCATENATE("R1C",'Mapa final'!$Q$10),"")</f>
        <v/>
      </c>
      <c r="Q16" s="35" t="str">
        <f ca="1">IF(AND('Mapa final'!$AA$11="Alta",'Mapa final'!$AC$11="Menor"),CONCATENATE("R1C",'Mapa final'!$Q$11),"")</f>
        <v/>
      </c>
      <c r="R16" s="35" t="str">
        <f ca="1">IF(AND('Mapa final'!$AA$12="Alta",'Mapa final'!$AC$12="Menor"),CONCATENATE("R1C",'Mapa final'!$Q$12),"")</f>
        <v/>
      </c>
      <c r="S16" s="35" t="str">
        <f ca="1">IF(AND('Mapa final'!$AA$13="Alta",'Mapa final'!$AC$13="Menor"),CONCATENATE("R1C",'Mapa final'!$Q$13),"")</f>
        <v/>
      </c>
      <c r="T16" s="35" t="str">
        <f ca="1">IF(AND('Mapa final'!$AA$14="Alta",'Mapa final'!$AC$14="Menor"),CONCATENATE("R1C",'Mapa final'!$Q$14),"")</f>
        <v/>
      </c>
      <c r="U16" s="36" t="e">
        <f>IF(AND('Mapa final'!#REF!="Alta",'Mapa final'!#REF!="Menor"),CONCATENATE("R1C",'Mapa final'!#REF!),"")</f>
        <v>#REF!</v>
      </c>
      <c r="V16" s="16" t="str">
        <f ca="1">IF(AND('Mapa final'!$AA$10="Alta",'Mapa final'!$AC$10="Moderado"),CONCATENATE("R1C",'Mapa final'!$Q$10),"")</f>
        <v/>
      </c>
      <c r="W16" s="17" t="str">
        <f ca="1">IF(AND('Mapa final'!$AA$11="Alta",'Mapa final'!$AC$11="Moderado"),CONCATENATE("R1C",'Mapa final'!$Q$11),"")</f>
        <v/>
      </c>
      <c r="X16" s="17" t="str">
        <f ca="1">IF(AND('Mapa final'!$AA$12="Alta",'Mapa final'!$AC$12="Moderado"),CONCATENATE("R1C",'Mapa final'!$Q$12),"")</f>
        <v/>
      </c>
      <c r="Y16" s="17" t="str">
        <f ca="1">IF(AND('Mapa final'!$AA$13="Alta",'Mapa final'!$AC$13="Moderado"),CONCATENATE("R1C",'Mapa final'!$Q$13),"")</f>
        <v/>
      </c>
      <c r="Z16" s="17" t="str">
        <f ca="1">IF(AND('Mapa final'!$AA$14="Alta",'Mapa final'!$AC$14="Moderado"),CONCATENATE("R1C",'Mapa final'!$Q$14),"")</f>
        <v/>
      </c>
      <c r="AA16" s="18" t="e">
        <f>IF(AND('Mapa final'!#REF!="Alta",'Mapa final'!#REF!="Moderado"),CONCATENATE("R1C",'Mapa final'!#REF!),"")</f>
        <v>#REF!</v>
      </c>
      <c r="AB16" s="16" t="str">
        <f ca="1">IF(AND('Mapa final'!$AA$10="Alta",'Mapa final'!$AC$10="Mayor"),CONCATENATE("R1C",'Mapa final'!$Q$10),"")</f>
        <v/>
      </c>
      <c r="AC16" s="17" t="str">
        <f ca="1">IF(AND('Mapa final'!$AA$11="Alta",'Mapa final'!$AC$11="Mayor"),CONCATENATE("R1C",'Mapa final'!$Q$11),"")</f>
        <v/>
      </c>
      <c r="AD16" s="17" t="str">
        <f ca="1">IF(AND('Mapa final'!$AA$12="Alta",'Mapa final'!$AC$12="Mayor"),CONCATENATE("R1C",'Mapa final'!$Q$12),"")</f>
        <v/>
      </c>
      <c r="AE16" s="17" t="str">
        <f ca="1">IF(AND('Mapa final'!$AA$13="Alta",'Mapa final'!$AC$13="Mayor"),CONCATENATE("R1C",'Mapa final'!$Q$13),"")</f>
        <v/>
      </c>
      <c r="AF16" s="17" t="str">
        <f ca="1">IF(AND('Mapa final'!$AA$14="Alta",'Mapa final'!$AC$14="Mayor"),CONCATENATE("R1C",'Mapa final'!$Q$14),"")</f>
        <v/>
      </c>
      <c r="AG16" s="18" t="e">
        <f>IF(AND('Mapa final'!#REF!="Alta",'Mapa final'!#REF!="Mayor"),CONCATENATE("R1C",'Mapa final'!#REF!),"")</f>
        <v>#REF!</v>
      </c>
      <c r="AH16" s="19" t="str">
        <f ca="1">IF(AND('Mapa final'!$AA$10="Alta",'Mapa final'!$AC$10="Catastrófico"),CONCATENATE("R1C",'Mapa final'!$Q$10),"")</f>
        <v/>
      </c>
      <c r="AI16" s="20" t="str">
        <f ca="1">IF(AND('Mapa final'!$AA$11="Alta",'Mapa final'!$AC$11="Catastrófico"),CONCATENATE("R1C",'Mapa final'!$Q$11),"")</f>
        <v/>
      </c>
      <c r="AJ16" s="20" t="str">
        <f ca="1">IF(AND('Mapa final'!$AA$12="Alta",'Mapa final'!$AC$12="Catastrófico"),CONCATENATE("R1C",'Mapa final'!$Q$12),"")</f>
        <v/>
      </c>
      <c r="AK16" s="20" t="str">
        <f ca="1">IF(AND('Mapa final'!$AA$13="Alta",'Mapa final'!$AC$13="Catastrófico"),CONCATENATE("R1C",'Mapa final'!$Q$13),"")</f>
        <v/>
      </c>
      <c r="AL16" s="20" t="str">
        <f ca="1">IF(AND('Mapa final'!$AA$14="Alta",'Mapa final'!$AC$14="Catastrófico"),CONCATENATE("R1C",'Mapa final'!$Q$14),"")</f>
        <v/>
      </c>
      <c r="AM16" s="21" t="e">
        <f>IF(AND('Mapa final'!#REF!="Alta",'Mapa final'!#REF!="Catastrófico"),CONCATENATE("R1C",'Mapa final'!#REF!),"")</f>
        <v>#REF!</v>
      </c>
      <c r="AN16" s="53"/>
      <c r="AO16" s="391" t="s">
        <v>79</v>
      </c>
      <c r="AP16" s="392"/>
      <c r="AQ16" s="392"/>
      <c r="AR16" s="392"/>
      <c r="AS16" s="392"/>
      <c r="AT16" s="39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row>
    <row r="17" spans="1:76" ht="15" customHeight="1" x14ac:dyDescent="0.3">
      <c r="A17" s="53"/>
      <c r="B17" s="343"/>
      <c r="C17" s="343"/>
      <c r="D17" s="344"/>
      <c r="E17" s="400"/>
      <c r="F17" s="385"/>
      <c r="G17" s="385"/>
      <c r="H17" s="385"/>
      <c r="I17" s="385"/>
      <c r="J17" s="37" t="str">
        <f ca="1">IF(AND('Mapa final'!$AA$15="Alta",'Mapa final'!$AC$15="Leve"),CONCATENATE("R2C",'Mapa final'!$Q$15),"")</f>
        <v/>
      </c>
      <c r="K17" s="38" t="str">
        <f ca="1">IF(AND('Mapa final'!$AA$16="Alta",'Mapa final'!$AC$16="Leve"),CONCATENATE("R2C",'Mapa final'!$Q$16),"")</f>
        <v/>
      </c>
      <c r="L17" s="38" t="e">
        <f>IF(AND('Mapa final'!#REF!="Alta",'Mapa final'!#REF!="Leve"),CONCATENATE("R2C",'Mapa final'!$Q$17),"")</f>
        <v>#REF!</v>
      </c>
      <c r="M17" s="38" t="e">
        <f>IF(AND('Mapa final'!#REF!="Alta",'Mapa final'!#REF!="Leve"),CONCATENATE("R2C",'Mapa final'!#REF!),"")</f>
        <v>#REF!</v>
      </c>
      <c r="N17" s="38" t="e">
        <f>IF(AND('Mapa final'!#REF!="Alta",'Mapa final'!#REF!="Leve"),CONCATENATE("R2C",'Mapa final'!#REF!),"")</f>
        <v>#REF!</v>
      </c>
      <c r="O17" s="39" t="e">
        <f>IF(AND('Mapa final'!#REF!="Alta",'Mapa final'!#REF!="Leve"),CONCATENATE("R2C",'Mapa final'!#REF!),"")</f>
        <v>#REF!</v>
      </c>
      <c r="P17" s="37" t="str">
        <f ca="1">IF(AND('Mapa final'!$AA$15="Alta",'Mapa final'!$AC$15="Menor"),CONCATENATE("R2C",'Mapa final'!$Q$15),"")</f>
        <v/>
      </c>
      <c r="Q17" s="38" t="str">
        <f ca="1">IF(AND('Mapa final'!$AA$16="Alta",'Mapa final'!$AC$16="Menor"),CONCATENATE("R2C",'Mapa final'!$Q$16),"")</f>
        <v/>
      </c>
      <c r="R17" s="38" t="e">
        <f>IF(AND('Mapa final'!#REF!="Alta",'Mapa final'!#REF!="Menor"),CONCATENATE("R2C",'Mapa final'!$Q$17),"")</f>
        <v>#REF!</v>
      </c>
      <c r="S17" s="38" t="e">
        <f>IF(AND('Mapa final'!#REF!="Alta",'Mapa final'!#REF!="Menor"),CONCATENATE("R2C",'Mapa final'!#REF!),"")</f>
        <v>#REF!</v>
      </c>
      <c r="T17" s="38" t="e">
        <f>IF(AND('Mapa final'!#REF!="Alta",'Mapa final'!#REF!="Menor"),CONCATENATE("R2C",'Mapa final'!#REF!),"")</f>
        <v>#REF!</v>
      </c>
      <c r="U17" s="39" t="e">
        <f>IF(AND('Mapa final'!#REF!="Alta",'Mapa final'!#REF!="Menor"),CONCATENATE("R2C",'Mapa final'!#REF!),"")</f>
        <v>#REF!</v>
      </c>
      <c r="V17" s="22" t="str">
        <f ca="1">IF(AND('Mapa final'!$AA$15="Alta",'Mapa final'!$AC$15="Moderado"),CONCATENATE("R2C",'Mapa final'!$Q$15),"")</f>
        <v/>
      </c>
      <c r="W17" s="23" t="str">
        <f ca="1">IF(AND('Mapa final'!$AA$16="Alta",'Mapa final'!$AC$16="Moderado"),CONCATENATE("R2C",'Mapa final'!$Q$16),"")</f>
        <v/>
      </c>
      <c r="X17" s="23" t="e">
        <f>IF(AND('Mapa final'!#REF!="Alta",'Mapa final'!#REF!="Moderado"),CONCATENATE("R2C",'Mapa final'!$Q$17),"")</f>
        <v>#REF!</v>
      </c>
      <c r="Y17" s="23" t="e">
        <f>IF(AND('Mapa final'!#REF!="Alta",'Mapa final'!#REF!="Moderado"),CONCATENATE("R2C",'Mapa final'!#REF!),"")</f>
        <v>#REF!</v>
      </c>
      <c r="Z17" s="23" t="e">
        <f>IF(AND('Mapa final'!#REF!="Alta",'Mapa final'!#REF!="Moderado"),CONCATENATE("R2C",'Mapa final'!#REF!),"")</f>
        <v>#REF!</v>
      </c>
      <c r="AA17" s="24" t="e">
        <f>IF(AND('Mapa final'!#REF!="Alta",'Mapa final'!#REF!="Moderado"),CONCATENATE("R2C",'Mapa final'!#REF!),"")</f>
        <v>#REF!</v>
      </c>
      <c r="AB17" s="22" t="str">
        <f ca="1">IF(AND('Mapa final'!$AA$15="Alta",'Mapa final'!$AC$15="Mayor"),CONCATENATE("R2C",'Mapa final'!$Q$15),"")</f>
        <v/>
      </c>
      <c r="AC17" s="23" t="str">
        <f ca="1">IF(AND('Mapa final'!$AA$16="Alta",'Mapa final'!$AC$16="Mayor"),CONCATENATE("R2C",'Mapa final'!$Q$16),"")</f>
        <v/>
      </c>
      <c r="AD17" s="23" t="e">
        <f>IF(AND('Mapa final'!#REF!="Alta",'Mapa final'!#REF!="Mayor"),CONCATENATE("R2C",'Mapa final'!$Q$17),"")</f>
        <v>#REF!</v>
      </c>
      <c r="AE17" s="23" t="e">
        <f>IF(AND('Mapa final'!#REF!="Alta",'Mapa final'!#REF!="Mayor"),CONCATENATE("R2C",'Mapa final'!#REF!),"")</f>
        <v>#REF!</v>
      </c>
      <c r="AF17" s="23" t="e">
        <f>IF(AND('Mapa final'!#REF!="Alta",'Mapa final'!#REF!="Mayor"),CONCATENATE("R2C",'Mapa final'!#REF!),"")</f>
        <v>#REF!</v>
      </c>
      <c r="AG17" s="24" t="e">
        <f>IF(AND('Mapa final'!#REF!="Alta",'Mapa final'!#REF!="Mayor"),CONCATENATE("R2C",'Mapa final'!#REF!),"")</f>
        <v>#REF!</v>
      </c>
      <c r="AH17" s="25" t="str">
        <f ca="1">IF(AND('Mapa final'!$AA$15="Alta",'Mapa final'!$AC$15="Catastrófico"),CONCATENATE("R2C",'Mapa final'!$Q$15),"")</f>
        <v/>
      </c>
      <c r="AI17" s="26" t="str">
        <f ca="1">IF(AND('Mapa final'!$AA$16="Alta",'Mapa final'!$AC$16="Catastrófico"),CONCATENATE("R2C",'Mapa final'!$Q$16),"")</f>
        <v/>
      </c>
      <c r="AJ17" s="26" t="e">
        <f>IF(AND('Mapa final'!#REF!="Alta",'Mapa final'!#REF!="Catastrófico"),CONCATENATE("R2C",'Mapa final'!$Q$17),"")</f>
        <v>#REF!</v>
      </c>
      <c r="AK17" s="26" t="e">
        <f>IF(AND('Mapa final'!#REF!="Alta",'Mapa final'!#REF!="Catastrófico"),CONCATENATE("R2C",'Mapa final'!#REF!),"")</f>
        <v>#REF!</v>
      </c>
      <c r="AL17" s="26" t="e">
        <f>IF(AND('Mapa final'!#REF!="Alta",'Mapa final'!#REF!="Catastrófico"),CONCATENATE("R2C",'Mapa final'!#REF!),"")</f>
        <v>#REF!</v>
      </c>
      <c r="AM17" s="27" t="e">
        <f>IF(AND('Mapa final'!#REF!="Alta",'Mapa final'!#REF!="Catastrófico"),CONCATENATE("R2C",'Mapa final'!#REF!),"")</f>
        <v>#REF!</v>
      </c>
      <c r="AN17" s="53"/>
      <c r="AO17" s="394"/>
      <c r="AP17" s="395"/>
      <c r="AQ17" s="395"/>
      <c r="AR17" s="395"/>
      <c r="AS17" s="395"/>
      <c r="AT17" s="396"/>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row>
    <row r="18" spans="1:76" ht="15" customHeight="1" x14ac:dyDescent="0.3">
      <c r="A18" s="53"/>
      <c r="B18" s="343"/>
      <c r="C18" s="343"/>
      <c r="D18" s="344"/>
      <c r="E18" s="384"/>
      <c r="F18" s="385"/>
      <c r="G18" s="385"/>
      <c r="H18" s="385"/>
      <c r="I18" s="385"/>
      <c r="J18" s="37" t="e">
        <f>IF(AND('Mapa final'!#REF!="Alta",'Mapa final'!#REF!="Leve"),CONCATENATE("R3C",'Mapa final'!#REF!),"")</f>
        <v>#REF!</v>
      </c>
      <c r="K18" s="38" t="e">
        <f>IF(AND('Mapa final'!#REF!="Alta",'Mapa final'!#REF!="Leve"),CONCATENATE("R3C",'Mapa final'!#REF!),"")</f>
        <v>#REF!</v>
      </c>
      <c r="L18" s="38" t="e">
        <f>IF(AND('Mapa final'!#REF!="Alta",'Mapa final'!#REF!="Leve"),CONCATENATE("R3C",'Mapa final'!#REF!),"")</f>
        <v>#REF!</v>
      </c>
      <c r="M18" s="38" t="e">
        <f>IF(AND('Mapa final'!#REF!="Alta",'Mapa final'!#REF!="Leve"),CONCATENATE("R3C",'Mapa final'!#REF!),"")</f>
        <v>#REF!</v>
      </c>
      <c r="N18" s="38" t="e">
        <f>IF(AND('Mapa final'!#REF!="Alta",'Mapa final'!#REF!="Leve"),CONCATENATE("R3C",'Mapa final'!#REF!),"")</f>
        <v>#REF!</v>
      </c>
      <c r="O18" s="39" t="e">
        <f>IF(AND('Mapa final'!#REF!="Alta",'Mapa final'!#REF!="Leve"),CONCATENATE("R3C",'Mapa final'!#REF!),"")</f>
        <v>#REF!</v>
      </c>
      <c r="P18" s="37" t="e">
        <f>IF(AND('Mapa final'!#REF!="Alta",'Mapa final'!#REF!="Menor"),CONCATENATE("R3C",'Mapa final'!#REF!),"")</f>
        <v>#REF!</v>
      </c>
      <c r="Q18" s="38" t="e">
        <f>IF(AND('Mapa final'!#REF!="Alta",'Mapa final'!#REF!="Menor"),CONCATENATE("R3C",'Mapa final'!#REF!),"")</f>
        <v>#REF!</v>
      </c>
      <c r="R18" s="38" t="e">
        <f>IF(AND('Mapa final'!#REF!="Alta",'Mapa final'!#REF!="Menor"),CONCATENATE("R3C",'Mapa final'!#REF!),"")</f>
        <v>#REF!</v>
      </c>
      <c r="S18" s="38" t="e">
        <f>IF(AND('Mapa final'!#REF!="Alta",'Mapa final'!#REF!="Menor"),CONCATENATE("R3C",'Mapa final'!#REF!),"")</f>
        <v>#REF!</v>
      </c>
      <c r="T18" s="38" t="e">
        <f>IF(AND('Mapa final'!#REF!="Alta",'Mapa final'!#REF!="Menor"),CONCATENATE("R3C",'Mapa final'!#REF!),"")</f>
        <v>#REF!</v>
      </c>
      <c r="U18" s="39" t="e">
        <f>IF(AND('Mapa final'!#REF!="Alta",'Mapa final'!#REF!="Menor"),CONCATENATE("R3C",'Mapa final'!#REF!),"")</f>
        <v>#REF!</v>
      </c>
      <c r="V18" s="22" t="e">
        <f>IF(AND('Mapa final'!#REF!="Alta",'Mapa final'!#REF!="Moderado"),CONCATENATE("R3C",'Mapa final'!#REF!),"")</f>
        <v>#REF!</v>
      </c>
      <c r="W18" s="23" t="e">
        <f>IF(AND('Mapa final'!#REF!="Alta",'Mapa final'!#REF!="Moderado"),CONCATENATE("R3C",'Mapa final'!#REF!),"")</f>
        <v>#REF!</v>
      </c>
      <c r="X18" s="23" t="e">
        <f>IF(AND('Mapa final'!#REF!="Alta",'Mapa final'!#REF!="Moderado"),CONCATENATE("R3C",'Mapa final'!#REF!),"")</f>
        <v>#REF!</v>
      </c>
      <c r="Y18" s="23" t="e">
        <f>IF(AND('Mapa final'!#REF!="Alta",'Mapa final'!#REF!="Moderado"),CONCATENATE("R3C",'Mapa final'!#REF!),"")</f>
        <v>#REF!</v>
      </c>
      <c r="Z18" s="23" t="e">
        <f>IF(AND('Mapa final'!#REF!="Alta",'Mapa final'!#REF!="Moderado"),CONCATENATE("R3C",'Mapa final'!#REF!),"")</f>
        <v>#REF!</v>
      </c>
      <c r="AA18" s="24" t="e">
        <f>IF(AND('Mapa final'!#REF!="Alta",'Mapa final'!#REF!="Moderado"),CONCATENATE("R3C",'Mapa final'!#REF!),"")</f>
        <v>#REF!</v>
      </c>
      <c r="AB18" s="22" t="e">
        <f>IF(AND('Mapa final'!#REF!="Alta",'Mapa final'!#REF!="Mayor"),CONCATENATE("R3C",'Mapa final'!#REF!),"")</f>
        <v>#REF!</v>
      </c>
      <c r="AC18" s="23" t="e">
        <f>IF(AND('Mapa final'!#REF!="Alta",'Mapa final'!#REF!="Mayor"),CONCATENATE("R3C",'Mapa final'!#REF!),"")</f>
        <v>#REF!</v>
      </c>
      <c r="AD18" s="23" t="e">
        <f>IF(AND('Mapa final'!#REF!="Alta",'Mapa final'!#REF!="Mayor"),CONCATENATE("R3C",'Mapa final'!#REF!),"")</f>
        <v>#REF!</v>
      </c>
      <c r="AE18" s="23" t="e">
        <f>IF(AND('Mapa final'!#REF!="Alta",'Mapa final'!#REF!="Mayor"),CONCATENATE("R3C",'Mapa final'!#REF!),"")</f>
        <v>#REF!</v>
      </c>
      <c r="AF18" s="23" t="e">
        <f>IF(AND('Mapa final'!#REF!="Alta",'Mapa final'!#REF!="Mayor"),CONCATENATE("R3C",'Mapa final'!#REF!),"")</f>
        <v>#REF!</v>
      </c>
      <c r="AG18" s="24" t="e">
        <f>IF(AND('Mapa final'!#REF!="Alta",'Mapa final'!#REF!="Mayor"),CONCATENATE("R3C",'Mapa final'!#REF!),"")</f>
        <v>#REF!</v>
      </c>
      <c r="AH18" s="25" t="e">
        <f>IF(AND('Mapa final'!#REF!="Alta",'Mapa final'!#REF!="Catastrófico"),CONCATENATE("R3C",'Mapa final'!#REF!),"")</f>
        <v>#REF!</v>
      </c>
      <c r="AI18" s="26" t="e">
        <f>IF(AND('Mapa final'!#REF!="Alta",'Mapa final'!#REF!="Catastrófico"),CONCATENATE("R3C",'Mapa final'!#REF!),"")</f>
        <v>#REF!</v>
      </c>
      <c r="AJ18" s="26" t="e">
        <f>IF(AND('Mapa final'!#REF!="Alta",'Mapa final'!#REF!="Catastrófico"),CONCATENATE("R3C",'Mapa final'!#REF!),"")</f>
        <v>#REF!</v>
      </c>
      <c r="AK18" s="26" t="e">
        <f>IF(AND('Mapa final'!#REF!="Alta",'Mapa final'!#REF!="Catastrófico"),CONCATENATE("R3C",'Mapa final'!#REF!),"")</f>
        <v>#REF!</v>
      </c>
      <c r="AL18" s="26" t="e">
        <f>IF(AND('Mapa final'!#REF!="Alta",'Mapa final'!#REF!="Catastrófico"),CONCATENATE("R3C",'Mapa final'!#REF!),"")</f>
        <v>#REF!</v>
      </c>
      <c r="AM18" s="27" t="e">
        <f>IF(AND('Mapa final'!#REF!="Alta",'Mapa final'!#REF!="Catastrófico"),CONCATENATE("R3C",'Mapa final'!#REF!),"")</f>
        <v>#REF!</v>
      </c>
      <c r="AN18" s="53"/>
      <c r="AO18" s="394"/>
      <c r="AP18" s="395"/>
      <c r="AQ18" s="395"/>
      <c r="AR18" s="395"/>
      <c r="AS18" s="395"/>
      <c r="AT18" s="396"/>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row>
    <row r="19" spans="1:76" ht="15" customHeight="1" x14ac:dyDescent="0.3">
      <c r="A19" s="53"/>
      <c r="B19" s="343"/>
      <c r="C19" s="343"/>
      <c r="D19" s="344"/>
      <c r="E19" s="384"/>
      <c r="F19" s="385"/>
      <c r="G19" s="385"/>
      <c r="H19" s="385"/>
      <c r="I19" s="385"/>
      <c r="J19" s="37" t="e">
        <f>IF(AND('Mapa final'!#REF!="Alta",'Mapa final'!#REF!="Leve"),CONCATENATE("R4C",'Mapa final'!#REF!),"")</f>
        <v>#REF!</v>
      </c>
      <c r="K19" s="38" t="e">
        <f>IF(AND('Mapa final'!#REF!="Alta",'Mapa final'!#REF!="Leve"),CONCATENATE("R4C",'Mapa final'!#REF!),"")</f>
        <v>#REF!</v>
      </c>
      <c r="L19" s="38" t="e">
        <f>IF(AND('Mapa final'!#REF!="Alta",'Mapa final'!#REF!="Leve"),CONCATENATE("R4C",'Mapa final'!#REF!),"")</f>
        <v>#REF!</v>
      </c>
      <c r="M19" s="38" t="e">
        <f>IF(AND('Mapa final'!#REF!="Alta",'Mapa final'!#REF!="Leve"),CONCATENATE("R4C",'Mapa final'!#REF!),"")</f>
        <v>#REF!</v>
      </c>
      <c r="N19" s="38" t="e">
        <f>IF(AND('Mapa final'!#REF!="Alta",'Mapa final'!#REF!="Leve"),CONCATENATE("R4C",'Mapa final'!#REF!),"")</f>
        <v>#REF!</v>
      </c>
      <c r="O19" s="39" t="e">
        <f>IF(AND('Mapa final'!#REF!="Alta",'Mapa final'!#REF!="Leve"),CONCATENATE("R4C",'Mapa final'!#REF!),"")</f>
        <v>#REF!</v>
      </c>
      <c r="P19" s="37" t="e">
        <f>IF(AND('Mapa final'!#REF!="Alta",'Mapa final'!#REF!="Menor"),CONCATENATE("R4C",'Mapa final'!#REF!),"")</f>
        <v>#REF!</v>
      </c>
      <c r="Q19" s="38" t="e">
        <f>IF(AND('Mapa final'!#REF!="Alta",'Mapa final'!#REF!="Menor"),CONCATENATE("R4C",'Mapa final'!#REF!),"")</f>
        <v>#REF!</v>
      </c>
      <c r="R19" s="38" t="e">
        <f>IF(AND('Mapa final'!#REF!="Alta",'Mapa final'!#REF!="Menor"),CONCATENATE("R4C",'Mapa final'!#REF!),"")</f>
        <v>#REF!</v>
      </c>
      <c r="S19" s="38" t="e">
        <f>IF(AND('Mapa final'!#REF!="Alta",'Mapa final'!#REF!="Menor"),CONCATENATE("R4C",'Mapa final'!#REF!),"")</f>
        <v>#REF!</v>
      </c>
      <c r="T19" s="38" t="e">
        <f>IF(AND('Mapa final'!#REF!="Alta",'Mapa final'!#REF!="Menor"),CONCATENATE("R4C",'Mapa final'!#REF!),"")</f>
        <v>#REF!</v>
      </c>
      <c r="U19" s="39" t="e">
        <f>IF(AND('Mapa final'!#REF!="Alta",'Mapa final'!#REF!="Menor"),CONCATENATE("R4C",'Mapa final'!#REF!),"")</f>
        <v>#REF!</v>
      </c>
      <c r="V19" s="22" t="e">
        <f>IF(AND('Mapa final'!#REF!="Alta",'Mapa final'!#REF!="Moderado"),CONCATENATE("R4C",'Mapa final'!#REF!),"")</f>
        <v>#REF!</v>
      </c>
      <c r="W19" s="23" t="e">
        <f>IF(AND('Mapa final'!#REF!="Alta",'Mapa final'!#REF!="Moderado"),CONCATENATE("R4C",'Mapa final'!#REF!),"")</f>
        <v>#REF!</v>
      </c>
      <c r="X19" s="23" t="e">
        <f>IF(AND('Mapa final'!#REF!="Alta",'Mapa final'!#REF!="Moderado"),CONCATENATE("R4C",'Mapa final'!#REF!),"")</f>
        <v>#REF!</v>
      </c>
      <c r="Y19" s="23" t="e">
        <f>IF(AND('Mapa final'!#REF!="Alta",'Mapa final'!#REF!="Moderado"),CONCATENATE("R4C",'Mapa final'!#REF!),"")</f>
        <v>#REF!</v>
      </c>
      <c r="Z19" s="23" t="e">
        <f>IF(AND('Mapa final'!#REF!="Alta",'Mapa final'!#REF!="Moderado"),CONCATENATE("R4C",'Mapa final'!#REF!),"")</f>
        <v>#REF!</v>
      </c>
      <c r="AA19" s="24" t="e">
        <f>IF(AND('Mapa final'!#REF!="Alta",'Mapa final'!#REF!="Moderado"),CONCATENATE("R4C",'Mapa final'!#REF!),"")</f>
        <v>#REF!</v>
      </c>
      <c r="AB19" s="22" t="e">
        <f>IF(AND('Mapa final'!#REF!="Alta",'Mapa final'!#REF!="Mayor"),CONCATENATE("R4C",'Mapa final'!#REF!),"")</f>
        <v>#REF!</v>
      </c>
      <c r="AC19" s="23" t="e">
        <f>IF(AND('Mapa final'!#REF!="Alta",'Mapa final'!#REF!="Mayor"),CONCATENATE("R4C",'Mapa final'!#REF!),"")</f>
        <v>#REF!</v>
      </c>
      <c r="AD19" s="23" t="e">
        <f>IF(AND('Mapa final'!#REF!="Alta",'Mapa final'!#REF!="Mayor"),CONCATENATE("R4C",'Mapa final'!#REF!),"")</f>
        <v>#REF!</v>
      </c>
      <c r="AE19" s="23" t="e">
        <f>IF(AND('Mapa final'!#REF!="Alta",'Mapa final'!#REF!="Mayor"),CONCATENATE("R4C",'Mapa final'!#REF!),"")</f>
        <v>#REF!</v>
      </c>
      <c r="AF19" s="23" t="e">
        <f>IF(AND('Mapa final'!#REF!="Alta",'Mapa final'!#REF!="Mayor"),CONCATENATE("R4C",'Mapa final'!#REF!),"")</f>
        <v>#REF!</v>
      </c>
      <c r="AG19" s="24" t="e">
        <f>IF(AND('Mapa final'!#REF!="Alta",'Mapa final'!#REF!="Mayor"),CONCATENATE("R4C",'Mapa final'!#REF!),"")</f>
        <v>#REF!</v>
      </c>
      <c r="AH19" s="25" t="e">
        <f>IF(AND('Mapa final'!#REF!="Alta",'Mapa final'!#REF!="Catastrófico"),CONCATENATE("R4C",'Mapa final'!#REF!),"")</f>
        <v>#REF!</v>
      </c>
      <c r="AI19" s="26" t="e">
        <f>IF(AND('Mapa final'!#REF!="Alta",'Mapa final'!#REF!="Catastrófico"),CONCATENATE("R4C",'Mapa final'!#REF!),"")</f>
        <v>#REF!</v>
      </c>
      <c r="AJ19" s="26" t="e">
        <f>IF(AND('Mapa final'!#REF!="Alta",'Mapa final'!#REF!="Catastrófico"),CONCATENATE("R4C",'Mapa final'!#REF!),"")</f>
        <v>#REF!</v>
      </c>
      <c r="AK19" s="26" t="e">
        <f>IF(AND('Mapa final'!#REF!="Alta",'Mapa final'!#REF!="Catastrófico"),CONCATENATE("R4C",'Mapa final'!#REF!),"")</f>
        <v>#REF!</v>
      </c>
      <c r="AL19" s="26" t="e">
        <f>IF(AND('Mapa final'!#REF!="Alta",'Mapa final'!#REF!="Catastrófico"),CONCATENATE("R4C",'Mapa final'!#REF!),"")</f>
        <v>#REF!</v>
      </c>
      <c r="AM19" s="27" t="e">
        <f>IF(AND('Mapa final'!#REF!="Alta",'Mapa final'!#REF!="Catastrófico"),CONCATENATE("R4C",'Mapa final'!#REF!),"")</f>
        <v>#REF!</v>
      </c>
      <c r="AN19" s="53"/>
      <c r="AO19" s="394"/>
      <c r="AP19" s="395"/>
      <c r="AQ19" s="395"/>
      <c r="AR19" s="395"/>
      <c r="AS19" s="395"/>
      <c r="AT19" s="396"/>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row>
    <row r="20" spans="1:76" ht="15" customHeight="1" x14ac:dyDescent="0.3">
      <c r="A20" s="53"/>
      <c r="B20" s="343"/>
      <c r="C20" s="343"/>
      <c r="D20" s="344"/>
      <c r="E20" s="384"/>
      <c r="F20" s="385"/>
      <c r="G20" s="385"/>
      <c r="H20" s="385"/>
      <c r="I20" s="385"/>
      <c r="J20" s="37" t="str">
        <f>IF(AND('Mapa final'!$AA$19="Alta",'Mapa final'!$AC$19="Leve"),CONCATENATE("R5C",'Mapa final'!$Q$19),"")</f>
        <v/>
      </c>
      <c r="K20" s="38" t="str">
        <f>IF(AND('Mapa final'!$AA$20="Alta",'Mapa final'!$AC$20="Leve"),CONCATENATE("R5C",'Mapa final'!$Q$20),"")</f>
        <v/>
      </c>
      <c r="L20" s="38" t="str">
        <f>IF(AND('Mapa final'!$AA$21="Alta",'Mapa final'!$AC$21="Leve"),CONCATENATE("R5C",'Mapa final'!$Q$21),"")</f>
        <v/>
      </c>
      <c r="M20" s="38" t="str">
        <f>IF(AND('Mapa final'!$AA$22="Alta",'Mapa final'!$AC$22="Leve"),CONCATENATE("R5C",'Mapa final'!$Q$22),"")</f>
        <v/>
      </c>
      <c r="N20" s="38" t="str">
        <f>IF(AND('Mapa final'!$AA$23="Alta",'Mapa final'!$AC$23="Leve"),CONCATENATE("R5C",'Mapa final'!$Q$23),"")</f>
        <v/>
      </c>
      <c r="O20" s="39" t="str">
        <f>IF(AND('Mapa final'!$AA$24="Alta",'Mapa final'!$AC$24="Leve"),CONCATENATE("R5C",'Mapa final'!$Q$24),"")</f>
        <v/>
      </c>
      <c r="P20" s="37" t="str">
        <f>IF(AND('Mapa final'!$AA$19="Alta",'Mapa final'!$AC$19="Menor"),CONCATENATE("R5C",'Mapa final'!$Q$19),"")</f>
        <v/>
      </c>
      <c r="Q20" s="38" t="str">
        <f>IF(AND('Mapa final'!$AA$20="Alta",'Mapa final'!$AC$20="Menor"),CONCATENATE("R5C",'Mapa final'!$Q$20),"")</f>
        <v/>
      </c>
      <c r="R20" s="38" t="str">
        <f>IF(AND('Mapa final'!$AA$21="Alta",'Mapa final'!$AC$21="Menor"),CONCATENATE("R5C",'Mapa final'!$Q$21),"")</f>
        <v/>
      </c>
      <c r="S20" s="38" t="str">
        <f>IF(AND('Mapa final'!$AA$22="Alta",'Mapa final'!$AC$22="Menor"),CONCATENATE("R5C",'Mapa final'!$Q$22),"")</f>
        <v/>
      </c>
      <c r="T20" s="38" t="str">
        <f>IF(AND('Mapa final'!$AA$23="Alta",'Mapa final'!$AC$23="Menor"),CONCATENATE("R5C",'Mapa final'!$Q$23),"")</f>
        <v/>
      </c>
      <c r="U20" s="39" t="str">
        <f>IF(AND('Mapa final'!$AA$24="Alta",'Mapa final'!$AC$24="Menor"),CONCATENATE("R5C",'Mapa final'!$Q$24),"")</f>
        <v/>
      </c>
      <c r="V20" s="22" t="str">
        <f>IF(AND('Mapa final'!$AA$19="Alta",'Mapa final'!$AC$19="Moderado"),CONCATENATE("R5C",'Mapa final'!$Q$19),"")</f>
        <v/>
      </c>
      <c r="W20" s="23" t="str">
        <f>IF(AND('Mapa final'!$AA$20="Alta",'Mapa final'!$AC$20="Moderado"),CONCATENATE("R5C",'Mapa final'!$Q$20),"")</f>
        <v/>
      </c>
      <c r="X20" s="23" t="str">
        <f>IF(AND('Mapa final'!$AA$21="Alta",'Mapa final'!$AC$21="Moderado"),CONCATENATE("R5C",'Mapa final'!$Q$21),"")</f>
        <v/>
      </c>
      <c r="Y20" s="23" t="str">
        <f>IF(AND('Mapa final'!$AA$22="Alta",'Mapa final'!$AC$22="Moderado"),CONCATENATE("R5C",'Mapa final'!$Q$22),"")</f>
        <v/>
      </c>
      <c r="Z20" s="23" t="str">
        <f>IF(AND('Mapa final'!$AA$23="Alta",'Mapa final'!$AC$23="Moderado"),CONCATENATE("R5C",'Mapa final'!$Q$23),"")</f>
        <v/>
      </c>
      <c r="AA20" s="24" t="str">
        <f>IF(AND('Mapa final'!$AA$24="Alta",'Mapa final'!$AC$24="Moderado"),CONCATENATE("R5C",'Mapa final'!$Q$24),"")</f>
        <v/>
      </c>
      <c r="AB20" s="22" t="str">
        <f>IF(AND('Mapa final'!$AA$19="Alta",'Mapa final'!$AC$19="Mayor"),CONCATENATE("R5C",'Mapa final'!$Q$19),"")</f>
        <v/>
      </c>
      <c r="AC20" s="23" t="str">
        <f>IF(AND('Mapa final'!$AA$20="Alta",'Mapa final'!$AC$20="Mayor"),CONCATENATE("R5C",'Mapa final'!$Q$20),"")</f>
        <v/>
      </c>
      <c r="AD20" s="23" t="str">
        <f>IF(AND('Mapa final'!$AA$21="Alta",'Mapa final'!$AC$21="Mayor"),CONCATENATE("R5C",'Mapa final'!$Q$21),"")</f>
        <v/>
      </c>
      <c r="AE20" s="23" t="str">
        <f>IF(AND('Mapa final'!$AA$22="Alta",'Mapa final'!$AC$22="Mayor"),CONCATENATE("R5C",'Mapa final'!$Q$22),"")</f>
        <v/>
      </c>
      <c r="AF20" s="23" t="str">
        <f>IF(AND('Mapa final'!$AA$23="Alta",'Mapa final'!$AC$23="Mayor"),CONCATENATE("R5C",'Mapa final'!$Q$23),"")</f>
        <v/>
      </c>
      <c r="AG20" s="24" t="str">
        <f>IF(AND('Mapa final'!$AA$24="Alta",'Mapa final'!$AC$24="Mayor"),CONCATENATE("R5C",'Mapa final'!$Q$24),"")</f>
        <v/>
      </c>
      <c r="AH20" s="25" t="str">
        <f>IF(AND('Mapa final'!$AA$19="Alta",'Mapa final'!$AC$19="Catastrófico"),CONCATENATE("R5C",'Mapa final'!$Q$19),"")</f>
        <v/>
      </c>
      <c r="AI20" s="26" t="str">
        <f>IF(AND('Mapa final'!$AA$20="Alta",'Mapa final'!$AC$20="Catastrófico"),CONCATENATE("R5C",'Mapa final'!$Q$20),"")</f>
        <v/>
      </c>
      <c r="AJ20" s="26" t="str">
        <f>IF(AND('Mapa final'!$AA$21="Alta",'Mapa final'!$AC$21="Catastrófico"),CONCATENATE("R5C",'Mapa final'!$Q$21),"")</f>
        <v/>
      </c>
      <c r="AK20" s="26" t="str">
        <f>IF(AND('Mapa final'!$AA$22="Alta",'Mapa final'!$AC$22="Catastrófico"),CONCATENATE("R5C",'Mapa final'!$Q$22),"")</f>
        <v/>
      </c>
      <c r="AL20" s="26" t="str">
        <f>IF(AND('Mapa final'!$AA$23="Alta",'Mapa final'!$AC$23="Catastrófico"),CONCATENATE("R5C",'Mapa final'!$Q$23),"")</f>
        <v/>
      </c>
      <c r="AM20" s="27" t="str">
        <f>IF(AND('Mapa final'!$AA$24="Alta",'Mapa final'!$AC$24="Catastrófico"),CONCATENATE("R5C",'Mapa final'!$Q$24),"")</f>
        <v/>
      </c>
      <c r="AN20" s="53"/>
      <c r="AO20" s="394"/>
      <c r="AP20" s="395"/>
      <c r="AQ20" s="395"/>
      <c r="AR20" s="395"/>
      <c r="AS20" s="395"/>
      <c r="AT20" s="396"/>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row>
    <row r="21" spans="1:76" ht="15" customHeight="1" x14ac:dyDescent="0.3">
      <c r="A21" s="53"/>
      <c r="B21" s="343"/>
      <c r="C21" s="343"/>
      <c r="D21" s="344"/>
      <c r="E21" s="384"/>
      <c r="F21" s="385"/>
      <c r="G21" s="385"/>
      <c r="H21" s="385"/>
      <c r="I21" s="385"/>
      <c r="J21" s="37" t="str">
        <f>IF(AND('Mapa final'!$AA$25="Alta",'Mapa final'!$AC$25="Leve"),CONCATENATE("R6C",'Mapa final'!$Q$25),"")</f>
        <v/>
      </c>
      <c r="K21" s="38" t="str">
        <f>IF(AND('Mapa final'!$AA$26="Alta",'Mapa final'!$AC$26="Leve"),CONCATENATE("R6C",'Mapa final'!$Q$26),"")</f>
        <v/>
      </c>
      <c r="L21" s="38" t="str">
        <f>IF(AND('Mapa final'!$AA$27="Alta",'Mapa final'!$AC$27="Leve"),CONCATENATE("R6C",'Mapa final'!$Q$27),"")</f>
        <v/>
      </c>
      <c r="M21" s="38" t="str">
        <f>IF(AND('Mapa final'!$AA$28="Alta",'Mapa final'!$AC$28="Leve"),CONCATENATE("R6C",'Mapa final'!$Q$28),"")</f>
        <v/>
      </c>
      <c r="N21" s="38" t="str">
        <f>IF(AND('Mapa final'!$AA$29="Alta",'Mapa final'!$AC$29="Leve"),CONCATENATE("R6C",'Mapa final'!$Q$29),"")</f>
        <v/>
      </c>
      <c r="O21" s="39" t="str">
        <f>IF(AND('Mapa final'!$AA$30="Alta",'Mapa final'!$AC$30="Leve"),CONCATENATE("R6C",'Mapa final'!$Q$30),"")</f>
        <v/>
      </c>
      <c r="P21" s="37" t="str">
        <f>IF(AND('Mapa final'!$AA$25="Alta",'Mapa final'!$AC$25="Menor"),CONCATENATE("R6C",'Mapa final'!$Q$25),"")</f>
        <v/>
      </c>
      <c r="Q21" s="38" t="str">
        <f>IF(AND('Mapa final'!$AA$26="Alta",'Mapa final'!$AC$26="Menor"),CONCATENATE("R6C",'Mapa final'!$Q$26),"")</f>
        <v/>
      </c>
      <c r="R21" s="38" t="str">
        <f>IF(AND('Mapa final'!$AA$27="Alta",'Mapa final'!$AC$27="Menor"),CONCATENATE("R6C",'Mapa final'!$Q$27),"")</f>
        <v/>
      </c>
      <c r="S21" s="38" t="str">
        <f>IF(AND('Mapa final'!$AA$28="Alta",'Mapa final'!$AC$28="Menor"),CONCATENATE("R6C",'Mapa final'!$Q$28),"")</f>
        <v/>
      </c>
      <c r="T21" s="38" t="str">
        <f>IF(AND('Mapa final'!$AA$29="Alta",'Mapa final'!$AC$29="Menor"),CONCATENATE("R6C",'Mapa final'!$Q$29),"")</f>
        <v/>
      </c>
      <c r="U21" s="39" t="str">
        <f>IF(AND('Mapa final'!$AA$30="Alta",'Mapa final'!$AC$30="Menor"),CONCATENATE("R6C",'Mapa final'!$Q$30),"")</f>
        <v/>
      </c>
      <c r="V21" s="22" t="str">
        <f>IF(AND('Mapa final'!$AA$25="Alta",'Mapa final'!$AC$25="Moderado"),CONCATENATE("R6C",'Mapa final'!$Q$25),"")</f>
        <v/>
      </c>
      <c r="W21" s="23" t="str">
        <f>IF(AND('Mapa final'!$AA$26="Alta",'Mapa final'!$AC$26="Moderado"),CONCATENATE("R6C",'Mapa final'!$Q$26),"")</f>
        <v/>
      </c>
      <c r="X21" s="23" t="str">
        <f>IF(AND('Mapa final'!$AA$27="Alta",'Mapa final'!$AC$27="Moderado"),CONCATENATE("R6C",'Mapa final'!$Q$27),"")</f>
        <v/>
      </c>
      <c r="Y21" s="23" t="str">
        <f>IF(AND('Mapa final'!$AA$28="Alta",'Mapa final'!$AC$28="Moderado"),CONCATENATE("R6C",'Mapa final'!$Q$28),"")</f>
        <v/>
      </c>
      <c r="Z21" s="23" t="str">
        <f>IF(AND('Mapa final'!$AA$29="Alta",'Mapa final'!$AC$29="Moderado"),CONCATENATE("R6C",'Mapa final'!$Q$29),"")</f>
        <v/>
      </c>
      <c r="AA21" s="24" t="str">
        <f>IF(AND('Mapa final'!$AA$30="Alta",'Mapa final'!$AC$30="Moderado"),CONCATENATE("R6C",'Mapa final'!$Q$30),"")</f>
        <v/>
      </c>
      <c r="AB21" s="22" t="str">
        <f>IF(AND('Mapa final'!$AA$25="Alta",'Mapa final'!$AC$25="Mayor"),CONCATENATE("R6C",'Mapa final'!$Q$25),"")</f>
        <v/>
      </c>
      <c r="AC21" s="23" t="str">
        <f>IF(AND('Mapa final'!$AA$26="Alta",'Mapa final'!$AC$26="Mayor"),CONCATENATE("R6C",'Mapa final'!$Q$26),"")</f>
        <v/>
      </c>
      <c r="AD21" s="23" t="str">
        <f>IF(AND('Mapa final'!$AA$27="Alta",'Mapa final'!$AC$27="Mayor"),CONCATENATE("R6C",'Mapa final'!$Q$27),"")</f>
        <v/>
      </c>
      <c r="AE21" s="23" t="str">
        <f>IF(AND('Mapa final'!$AA$28="Alta",'Mapa final'!$AC$28="Mayor"),CONCATENATE("R6C",'Mapa final'!$Q$28),"")</f>
        <v/>
      </c>
      <c r="AF21" s="23" t="str">
        <f>IF(AND('Mapa final'!$AA$29="Alta",'Mapa final'!$AC$29="Mayor"),CONCATENATE("R6C",'Mapa final'!$Q$29),"")</f>
        <v/>
      </c>
      <c r="AG21" s="24" t="str">
        <f>IF(AND('Mapa final'!$AA$30="Alta",'Mapa final'!$AC$30="Mayor"),CONCATENATE("R6C",'Mapa final'!$Q$30),"")</f>
        <v/>
      </c>
      <c r="AH21" s="25" t="str">
        <f>IF(AND('Mapa final'!$AA$25="Alta",'Mapa final'!$AC$25="Catastrófico"),CONCATENATE("R6C",'Mapa final'!$Q$25),"")</f>
        <v/>
      </c>
      <c r="AI21" s="26" t="str">
        <f>IF(AND('Mapa final'!$AA$26="Alta",'Mapa final'!$AC$26="Catastrófico"),CONCATENATE("R6C",'Mapa final'!$Q$26),"")</f>
        <v/>
      </c>
      <c r="AJ21" s="26" t="str">
        <f>IF(AND('Mapa final'!$AA$27="Alta",'Mapa final'!$AC$27="Catastrófico"),CONCATENATE("R6C",'Mapa final'!$Q$27),"")</f>
        <v/>
      </c>
      <c r="AK21" s="26" t="str">
        <f>IF(AND('Mapa final'!$AA$28="Alta",'Mapa final'!$AC$28="Catastrófico"),CONCATENATE("R6C",'Mapa final'!$Q$28),"")</f>
        <v/>
      </c>
      <c r="AL21" s="26" t="str">
        <f>IF(AND('Mapa final'!$AA$29="Alta",'Mapa final'!$AC$29="Catastrófico"),CONCATENATE("R6C",'Mapa final'!$Q$29),"")</f>
        <v/>
      </c>
      <c r="AM21" s="27" t="str">
        <f>IF(AND('Mapa final'!$AA$30="Alta",'Mapa final'!$AC$30="Catastrófico"),CONCATENATE("R6C",'Mapa final'!$Q$30),"")</f>
        <v/>
      </c>
      <c r="AN21" s="53"/>
      <c r="AO21" s="394"/>
      <c r="AP21" s="395"/>
      <c r="AQ21" s="395"/>
      <c r="AR21" s="395"/>
      <c r="AS21" s="395"/>
      <c r="AT21" s="396"/>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row>
    <row r="22" spans="1:76" ht="15" customHeight="1" x14ac:dyDescent="0.3">
      <c r="A22" s="53"/>
      <c r="B22" s="343"/>
      <c r="C22" s="343"/>
      <c r="D22" s="344"/>
      <c r="E22" s="384"/>
      <c r="F22" s="385"/>
      <c r="G22" s="385"/>
      <c r="H22" s="385"/>
      <c r="I22" s="385"/>
      <c r="J22" s="37" t="str">
        <f>IF(AND('Mapa final'!$AA$31="Alta",'Mapa final'!$AC$31="Leve"),CONCATENATE("R7C",'Mapa final'!$Q$31),"")</f>
        <v/>
      </c>
      <c r="K22" s="38" t="str">
        <f>IF(AND('Mapa final'!$AA$32="Alta",'Mapa final'!$AC$32="Leve"),CONCATENATE("R7C",'Mapa final'!$Q$32),"")</f>
        <v/>
      </c>
      <c r="L22" s="38" t="str">
        <f>IF(AND('Mapa final'!$AA$33="Alta",'Mapa final'!$AC$33="Leve"),CONCATENATE("R7C",'Mapa final'!$Q$33),"")</f>
        <v/>
      </c>
      <c r="M22" s="38" t="str">
        <f>IF(AND('Mapa final'!$AA$34="Alta",'Mapa final'!$AC$34="Leve"),CONCATENATE("R7C",'Mapa final'!$Q$34),"")</f>
        <v/>
      </c>
      <c r="N22" s="38" t="str">
        <f>IF(AND('Mapa final'!$AA$35="Alta",'Mapa final'!$AC$35="Leve"),CONCATENATE("R7C",'Mapa final'!$Q$35),"")</f>
        <v/>
      </c>
      <c r="O22" s="39" t="str">
        <f>IF(AND('Mapa final'!$AA$36="Alta",'Mapa final'!$AC$36="Leve"),CONCATENATE("R7C",'Mapa final'!$Q$36),"")</f>
        <v/>
      </c>
      <c r="P22" s="37" t="str">
        <f>IF(AND('Mapa final'!$AA$31="Alta",'Mapa final'!$AC$31="Menor"),CONCATENATE("R7C",'Mapa final'!$Q$31),"")</f>
        <v/>
      </c>
      <c r="Q22" s="38" t="str">
        <f>IF(AND('Mapa final'!$AA$32="Alta",'Mapa final'!$AC$32="Menor"),CONCATENATE("R7C",'Mapa final'!$Q$32),"")</f>
        <v/>
      </c>
      <c r="R22" s="38" t="str">
        <f>IF(AND('Mapa final'!$AA$33="Alta",'Mapa final'!$AC$33="Menor"),CONCATENATE("R7C",'Mapa final'!$Q$33),"")</f>
        <v/>
      </c>
      <c r="S22" s="38" t="str">
        <f>IF(AND('Mapa final'!$AA$34="Alta",'Mapa final'!$AC$34="Menor"),CONCATENATE("R7C",'Mapa final'!$Q$34),"")</f>
        <v/>
      </c>
      <c r="T22" s="38" t="str">
        <f>IF(AND('Mapa final'!$AA$35="Alta",'Mapa final'!$AC$35="Menor"),CONCATENATE("R7C",'Mapa final'!$Q$35),"")</f>
        <v/>
      </c>
      <c r="U22" s="39" t="str">
        <f>IF(AND('Mapa final'!$AA$36="Alta",'Mapa final'!$AC$36="Menor"),CONCATENATE("R7C",'Mapa final'!$Q$36),"")</f>
        <v/>
      </c>
      <c r="V22" s="22" t="str">
        <f>IF(AND('Mapa final'!$AA$31="Alta",'Mapa final'!$AC$31="Moderado"),CONCATENATE("R7C",'Mapa final'!$Q$31),"")</f>
        <v/>
      </c>
      <c r="W22" s="23" t="str">
        <f>IF(AND('Mapa final'!$AA$32="Alta",'Mapa final'!$AC$32="Moderado"),CONCATENATE("R7C",'Mapa final'!$Q$32),"")</f>
        <v/>
      </c>
      <c r="X22" s="23" t="str">
        <f>IF(AND('Mapa final'!$AA$33="Alta",'Mapa final'!$AC$33="Moderado"),CONCATENATE("R7C",'Mapa final'!$Q$33),"")</f>
        <v/>
      </c>
      <c r="Y22" s="23" t="str">
        <f>IF(AND('Mapa final'!$AA$34="Alta",'Mapa final'!$AC$34="Moderado"),CONCATENATE("R7C",'Mapa final'!$Q$34),"")</f>
        <v/>
      </c>
      <c r="Z22" s="23" t="str">
        <f>IF(AND('Mapa final'!$AA$35="Alta",'Mapa final'!$AC$35="Moderado"),CONCATENATE("R7C",'Mapa final'!$Q$35),"")</f>
        <v/>
      </c>
      <c r="AA22" s="24" t="str">
        <f>IF(AND('Mapa final'!$AA$36="Alta",'Mapa final'!$AC$36="Moderado"),CONCATENATE("R7C",'Mapa final'!$Q$36),"")</f>
        <v/>
      </c>
      <c r="AB22" s="22" t="str">
        <f>IF(AND('Mapa final'!$AA$31="Alta",'Mapa final'!$AC$31="Mayor"),CONCATENATE("R7C",'Mapa final'!$Q$31),"")</f>
        <v/>
      </c>
      <c r="AC22" s="23" t="str">
        <f>IF(AND('Mapa final'!$AA$32="Alta",'Mapa final'!$AC$32="Mayor"),CONCATENATE("R7C",'Mapa final'!$Q$32),"")</f>
        <v/>
      </c>
      <c r="AD22" s="23" t="str">
        <f>IF(AND('Mapa final'!$AA$33="Alta",'Mapa final'!$AC$33="Mayor"),CONCATENATE("R7C",'Mapa final'!$Q$33),"")</f>
        <v/>
      </c>
      <c r="AE22" s="23" t="str">
        <f>IF(AND('Mapa final'!$AA$34="Alta",'Mapa final'!$AC$34="Mayor"),CONCATENATE("R7C",'Mapa final'!$Q$34),"")</f>
        <v/>
      </c>
      <c r="AF22" s="23" t="str">
        <f>IF(AND('Mapa final'!$AA$35="Alta",'Mapa final'!$AC$35="Mayor"),CONCATENATE("R7C",'Mapa final'!$Q$35),"")</f>
        <v/>
      </c>
      <c r="AG22" s="24" t="str">
        <f>IF(AND('Mapa final'!$AA$36="Alta",'Mapa final'!$AC$36="Mayor"),CONCATENATE("R7C",'Mapa final'!$Q$36),"")</f>
        <v/>
      </c>
      <c r="AH22" s="25" t="str">
        <f>IF(AND('Mapa final'!$AA$31="Alta",'Mapa final'!$AC$31="Catastrófico"),CONCATENATE("R7C",'Mapa final'!$Q$31),"")</f>
        <v/>
      </c>
      <c r="AI22" s="26" t="str">
        <f>IF(AND('Mapa final'!$AA$32="Alta",'Mapa final'!$AC$32="Catastrófico"),CONCATENATE("R7C",'Mapa final'!$Q$32),"")</f>
        <v/>
      </c>
      <c r="AJ22" s="26" t="str">
        <f>IF(AND('Mapa final'!$AA$33="Alta",'Mapa final'!$AC$33="Catastrófico"),CONCATENATE("R7C",'Mapa final'!$Q$33),"")</f>
        <v/>
      </c>
      <c r="AK22" s="26" t="str">
        <f>IF(AND('Mapa final'!$AA$34="Alta",'Mapa final'!$AC$34="Catastrófico"),CONCATENATE("R7C",'Mapa final'!$Q$34),"")</f>
        <v/>
      </c>
      <c r="AL22" s="26" t="str">
        <f>IF(AND('Mapa final'!$AA$35="Alta",'Mapa final'!$AC$35="Catastrófico"),CONCATENATE("R7C",'Mapa final'!$Q$35),"")</f>
        <v/>
      </c>
      <c r="AM22" s="27" t="str">
        <f>IF(AND('Mapa final'!$AA$36="Alta",'Mapa final'!$AC$36="Catastrófico"),CONCATENATE("R7C",'Mapa final'!$Q$36),"")</f>
        <v/>
      </c>
      <c r="AN22" s="53"/>
      <c r="AO22" s="394"/>
      <c r="AP22" s="395"/>
      <c r="AQ22" s="395"/>
      <c r="AR22" s="395"/>
      <c r="AS22" s="395"/>
      <c r="AT22" s="396"/>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row>
    <row r="23" spans="1:76" ht="15" customHeight="1" x14ac:dyDescent="0.3">
      <c r="A23" s="53"/>
      <c r="B23" s="343"/>
      <c r="C23" s="343"/>
      <c r="D23" s="344"/>
      <c r="E23" s="384"/>
      <c r="F23" s="385"/>
      <c r="G23" s="385"/>
      <c r="H23" s="385"/>
      <c r="I23" s="385"/>
      <c r="J23" s="37" t="str">
        <f>IF(AND('Mapa final'!$AA$37="Alta",'Mapa final'!$AC$37="Leve"),CONCATENATE("R8C",'Mapa final'!$Q$37),"")</f>
        <v/>
      </c>
      <c r="K23" s="38" t="str">
        <f>IF(AND('Mapa final'!$AA$38="Alta",'Mapa final'!$AC$38="Leve"),CONCATENATE("R8C",'Mapa final'!$Q$38),"")</f>
        <v/>
      </c>
      <c r="L23" s="38" t="str">
        <f>IF(AND('Mapa final'!$AA$39="Alta",'Mapa final'!$AC$39="Leve"),CONCATENATE("R8C",'Mapa final'!$Q$39),"")</f>
        <v/>
      </c>
      <c r="M23" s="38" t="str">
        <f>IF(AND('Mapa final'!$AA$40="Alta",'Mapa final'!$AC$40="Leve"),CONCATENATE("R8C",'Mapa final'!$Q$40),"")</f>
        <v/>
      </c>
      <c r="N23" s="38" t="str">
        <f>IF(AND('Mapa final'!$AA$41="Alta",'Mapa final'!$AC$41="Leve"),CONCATENATE("R8C",'Mapa final'!$Q$41),"")</f>
        <v/>
      </c>
      <c r="O23" s="39" t="str">
        <f>IF(AND('Mapa final'!$AA$42="Alta",'Mapa final'!$AC$42="Leve"),CONCATENATE("R8C",'Mapa final'!$Q$42),"")</f>
        <v/>
      </c>
      <c r="P23" s="37" t="str">
        <f>IF(AND('Mapa final'!$AA$37="Alta",'Mapa final'!$AC$37="Menor"),CONCATENATE("R8C",'Mapa final'!$Q$37),"")</f>
        <v/>
      </c>
      <c r="Q23" s="38" t="str">
        <f>IF(AND('Mapa final'!$AA$38="Alta",'Mapa final'!$AC$38="Menor"),CONCATENATE("R8C",'Mapa final'!$Q$38),"")</f>
        <v/>
      </c>
      <c r="R23" s="38" t="str">
        <f>IF(AND('Mapa final'!$AA$39="Alta",'Mapa final'!$AC$39="Menor"),CONCATENATE("R8C",'Mapa final'!$Q$39),"")</f>
        <v/>
      </c>
      <c r="S23" s="38" t="str">
        <f>IF(AND('Mapa final'!$AA$40="Alta",'Mapa final'!$AC$40="Menor"),CONCATENATE("R8C",'Mapa final'!$Q$40),"")</f>
        <v/>
      </c>
      <c r="T23" s="38" t="str">
        <f>IF(AND('Mapa final'!$AA$41="Alta",'Mapa final'!$AC$41="Menor"),CONCATENATE("R8C",'Mapa final'!$Q$41),"")</f>
        <v/>
      </c>
      <c r="U23" s="39" t="str">
        <f>IF(AND('Mapa final'!$AA$42="Alta",'Mapa final'!$AC$42="Menor"),CONCATENATE("R8C",'Mapa final'!$Q$42),"")</f>
        <v/>
      </c>
      <c r="V23" s="22" t="str">
        <f>IF(AND('Mapa final'!$AA$37="Alta",'Mapa final'!$AC$37="Moderado"),CONCATENATE("R8C",'Mapa final'!$Q$37),"")</f>
        <v/>
      </c>
      <c r="W23" s="23" t="str">
        <f>IF(AND('Mapa final'!$AA$38="Alta",'Mapa final'!$AC$38="Moderado"),CONCATENATE("R8C",'Mapa final'!$Q$38),"")</f>
        <v/>
      </c>
      <c r="X23" s="23" t="str">
        <f>IF(AND('Mapa final'!$AA$39="Alta",'Mapa final'!$AC$39="Moderado"),CONCATENATE("R8C",'Mapa final'!$Q$39),"")</f>
        <v/>
      </c>
      <c r="Y23" s="23" t="str">
        <f>IF(AND('Mapa final'!$AA$40="Alta",'Mapa final'!$AC$40="Moderado"),CONCATENATE("R8C",'Mapa final'!$Q$40),"")</f>
        <v/>
      </c>
      <c r="Z23" s="23" t="str">
        <f>IF(AND('Mapa final'!$AA$41="Alta",'Mapa final'!$AC$41="Moderado"),CONCATENATE("R8C",'Mapa final'!$Q$41),"")</f>
        <v/>
      </c>
      <c r="AA23" s="24" t="str">
        <f>IF(AND('Mapa final'!$AA$42="Alta",'Mapa final'!$AC$42="Moderado"),CONCATENATE("R8C",'Mapa final'!$Q$42),"")</f>
        <v/>
      </c>
      <c r="AB23" s="22" t="str">
        <f>IF(AND('Mapa final'!$AA$37="Alta",'Mapa final'!$AC$37="Mayor"),CONCATENATE("R8C",'Mapa final'!$Q$37),"")</f>
        <v/>
      </c>
      <c r="AC23" s="23" t="str">
        <f>IF(AND('Mapa final'!$AA$38="Alta",'Mapa final'!$AC$38="Mayor"),CONCATENATE("R8C",'Mapa final'!$Q$38),"")</f>
        <v/>
      </c>
      <c r="AD23" s="23" t="str">
        <f>IF(AND('Mapa final'!$AA$39="Alta",'Mapa final'!$AC$39="Mayor"),CONCATENATE("R8C",'Mapa final'!$Q$39),"")</f>
        <v/>
      </c>
      <c r="AE23" s="23" t="str">
        <f>IF(AND('Mapa final'!$AA$40="Alta",'Mapa final'!$AC$40="Mayor"),CONCATENATE("R8C",'Mapa final'!$Q$40),"")</f>
        <v/>
      </c>
      <c r="AF23" s="23" t="str">
        <f>IF(AND('Mapa final'!$AA$41="Alta",'Mapa final'!$AC$41="Mayor"),CONCATENATE("R8C",'Mapa final'!$Q$41),"")</f>
        <v/>
      </c>
      <c r="AG23" s="24" t="str">
        <f>IF(AND('Mapa final'!$AA$42="Alta",'Mapa final'!$AC$42="Mayor"),CONCATENATE("R8C",'Mapa final'!$Q$42),"")</f>
        <v/>
      </c>
      <c r="AH23" s="25" t="str">
        <f>IF(AND('Mapa final'!$AA$37="Alta",'Mapa final'!$AC$37="Catastrófico"),CONCATENATE("R8C",'Mapa final'!$Q$37),"")</f>
        <v/>
      </c>
      <c r="AI23" s="26" t="str">
        <f>IF(AND('Mapa final'!$AA$38="Alta",'Mapa final'!$AC$38="Catastrófico"),CONCATENATE("R8C",'Mapa final'!$Q$38),"")</f>
        <v/>
      </c>
      <c r="AJ23" s="26" t="str">
        <f>IF(AND('Mapa final'!$AA$39="Alta",'Mapa final'!$AC$39="Catastrófico"),CONCATENATE("R8C",'Mapa final'!$Q$39),"")</f>
        <v/>
      </c>
      <c r="AK23" s="26" t="str">
        <f>IF(AND('Mapa final'!$AA$40="Alta",'Mapa final'!$AC$40="Catastrófico"),CONCATENATE("R8C",'Mapa final'!$Q$40),"")</f>
        <v/>
      </c>
      <c r="AL23" s="26" t="str">
        <f>IF(AND('Mapa final'!$AA$41="Alta",'Mapa final'!$AC$41="Catastrófico"),CONCATENATE("R8C",'Mapa final'!$Q$41),"")</f>
        <v/>
      </c>
      <c r="AM23" s="27" t="str">
        <f>IF(AND('Mapa final'!$AA$42="Alta",'Mapa final'!$AC$42="Catastrófico"),CONCATENATE("R8C",'Mapa final'!$Q$42),"")</f>
        <v/>
      </c>
      <c r="AN23" s="53"/>
      <c r="AO23" s="394"/>
      <c r="AP23" s="395"/>
      <c r="AQ23" s="395"/>
      <c r="AR23" s="395"/>
      <c r="AS23" s="395"/>
      <c r="AT23" s="396"/>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row>
    <row r="24" spans="1:76" ht="15" customHeight="1" x14ac:dyDescent="0.3">
      <c r="A24" s="53"/>
      <c r="B24" s="343"/>
      <c r="C24" s="343"/>
      <c r="D24" s="344"/>
      <c r="E24" s="384"/>
      <c r="F24" s="385"/>
      <c r="G24" s="385"/>
      <c r="H24" s="385"/>
      <c r="I24" s="385"/>
      <c r="J24" s="37" t="str">
        <f>IF(AND('Mapa final'!$AA$43="Alta",'Mapa final'!$AC$43="Leve"),CONCATENATE("R9C",'Mapa final'!$Q$43),"")</f>
        <v/>
      </c>
      <c r="K24" s="38" t="str">
        <f>IF(AND('Mapa final'!$AA$44="Alta",'Mapa final'!$AC$44="Leve"),CONCATENATE("R9C",'Mapa final'!$Q$44),"")</f>
        <v/>
      </c>
      <c r="L24" s="38" t="str">
        <f>IF(AND('Mapa final'!$AA$45="Alta",'Mapa final'!$AC$45="Leve"),CONCATENATE("R9C",'Mapa final'!$Q$45),"")</f>
        <v/>
      </c>
      <c r="M24" s="38" t="str">
        <f>IF(AND('Mapa final'!$AA$46="Alta",'Mapa final'!$AC$46="Leve"),CONCATENATE("R9C",'Mapa final'!$Q$46),"")</f>
        <v/>
      </c>
      <c r="N24" s="38" t="str">
        <f>IF(AND('Mapa final'!$AA$47="Alta",'Mapa final'!$AC$47="Leve"),CONCATENATE("R9C",'Mapa final'!$Q$47),"")</f>
        <v/>
      </c>
      <c r="O24" s="39" t="str">
        <f>IF(AND('Mapa final'!$AA$48="Alta",'Mapa final'!$AC$48="Leve"),CONCATENATE("R9C",'Mapa final'!$Q$48),"")</f>
        <v/>
      </c>
      <c r="P24" s="37" t="str">
        <f>IF(AND('Mapa final'!$AA$43="Alta",'Mapa final'!$AC$43="Menor"),CONCATENATE("R9C",'Mapa final'!$Q$43),"")</f>
        <v/>
      </c>
      <c r="Q24" s="38" t="str">
        <f>IF(AND('Mapa final'!$AA$44="Alta",'Mapa final'!$AC$44="Menor"),CONCATENATE("R9C",'Mapa final'!$Q$44),"")</f>
        <v/>
      </c>
      <c r="R24" s="38" t="str">
        <f>IF(AND('Mapa final'!$AA$45="Alta",'Mapa final'!$AC$45="Menor"),CONCATENATE("R9C",'Mapa final'!$Q$45),"")</f>
        <v/>
      </c>
      <c r="S24" s="38" t="str">
        <f>IF(AND('Mapa final'!$AA$46="Alta",'Mapa final'!$AC$46="Menor"),CONCATENATE("R9C",'Mapa final'!$Q$46),"")</f>
        <v/>
      </c>
      <c r="T24" s="38" t="str">
        <f>IF(AND('Mapa final'!$AA$47="Alta",'Mapa final'!$AC$47="Menor"),CONCATENATE("R9C",'Mapa final'!$Q$47),"")</f>
        <v/>
      </c>
      <c r="U24" s="39" t="str">
        <f>IF(AND('Mapa final'!$AA$48="Alta",'Mapa final'!$AC$48="Menor"),CONCATENATE("R9C",'Mapa final'!$Q$48),"")</f>
        <v/>
      </c>
      <c r="V24" s="22" t="str">
        <f>IF(AND('Mapa final'!$AA$43="Alta",'Mapa final'!$AC$43="Moderado"),CONCATENATE("R9C",'Mapa final'!$Q$43),"")</f>
        <v/>
      </c>
      <c r="W24" s="23" t="str">
        <f>IF(AND('Mapa final'!$AA$44="Alta",'Mapa final'!$AC$44="Moderado"),CONCATENATE("R9C",'Mapa final'!$Q$44),"")</f>
        <v/>
      </c>
      <c r="X24" s="23" t="str">
        <f>IF(AND('Mapa final'!$AA$45="Alta",'Mapa final'!$AC$45="Moderado"),CONCATENATE("R9C",'Mapa final'!$Q$45),"")</f>
        <v/>
      </c>
      <c r="Y24" s="23" t="str">
        <f>IF(AND('Mapa final'!$AA$46="Alta",'Mapa final'!$AC$46="Moderado"),CONCATENATE("R9C",'Mapa final'!$Q$46),"")</f>
        <v/>
      </c>
      <c r="Z24" s="23" t="str">
        <f>IF(AND('Mapa final'!$AA$47="Alta",'Mapa final'!$AC$47="Moderado"),CONCATENATE("R9C",'Mapa final'!$Q$47),"")</f>
        <v/>
      </c>
      <c r="AA24" s="24" t="str">
        <f>IF(AND('Mapa final'!$AA$48="Alta",'Mapa final'!$AC$48="Moderado"),CONCATENATE("R9C",'Mapa final'!$Q$48),"")</f>
        <v/>
      </c>
      <c r="AB24" s="22" t="str">
        <f>IF(AND('Mapa final'!$AA$43="Alta",'Mapa final'!$AC$43="Mayor"),CONCATENATE("R9C",'Mapa final'!$Q$43),"")</f>
        <v/>
      </c>
      <c r="AC24" s="23" t="str">
        <f>IF(AND('Mapa final'!$AA$44="Alta",'Mapa final'!$AC$44="Mayor"),CONCATENATE("R9C",'Mapa final'!$Q$44),"")</f>
        <v/>
      </c>
      <c r="AD24" s="23" t="str">
        <f>IF(AND('Mapa final'!$AA$45="Alta",'Mapa final'!$AC$45="Mayor"),CONCATENATE("R9C",'Mapa final'!$Q$45),"")</f>
        <v/>
      </c>
      <c r="AE24" s="23" t="str">
        <f>IF(AND('Mapa final'!$AA$46="Alta",'Mapa final'!$AC$46="Mayor"),CONCATENATE("R9C",'Mapa final'!$Q$46),"")</f>
        <v/>
      </c>
      <c r="AF24" s="23" t="str">
        <f>IF(AND('Mapa final'!$AA$47="Alta",'Mapa final'!$AC$47="Mayor"),CONCATENATE("R9C",'Mapa final'!$Q$47),"")</f>
        <v/>
      </c>
      <c r="AG24" s="24" t="str">
        <f>IF(AND('Mapa final'!$AA$48="Alta",'Mapa final'!$AC$48="Mayor"),CONCATENATE("R9C",'Mapa final'!$Q$48),"")</f>
        <v/>
      </c>
      <c r="AH24" s="25" t="str">
        <f>IF(AND('Mapa final'!$AA$43="Alta",'Mapa final'!$AC$43="Catastrófico"),CONCATENATE("R9C",'Mapa final'!$Q$43),"")</f>
        <v/>
      </c>
      <c r="AI24" s="26" t="str">
        <f>IF(AND('Mapa final'!$AA$44="Alta",'Mapa final'!$AC$44="Catastrófico"),CONCATENATE("R9C",'Mapa final'!$Q$44),"")</f>
        <v/>
      </c>
      <c r="AJ24" s="26" t="str">
        <f>IF(AND('Mapa final'!$AA$45="Alta",'Mapa final'!$AC$45="Catastrófico"),CONCATENATE("R9C",'Mapa final'!$Q$45),"")</f>
        <v/>
      </c>
      <c r="AK24" s="26" t="str">
        <f>IF(AND('Mapa final'!$AA$46="Alta",'Mapa final'!$AC$46="Catastrófico"),CONCATENATE("R9C",'Mapa final'!$Q$46),"")</f>
        <v/>
      </c>
      <c r="AL24" s="26" t="str">
        <f>IF(AND('Mapa final'!$AA$47="Alta",'Mapa final'!$AC$47="Catastrófico"),CONCATENATE("R9C",'Mapa final'!$Q$47),"")</f>
        <v/>
      </c>
      <c r="AM24" s="27" t="str">
        <f>IF(AND('Mapa final'!$AA$48="Alta",'Mapa final'!$AC$48="Catastrófico"),CONCATENATE("R9C",'Mapa final'!$Q$48),"")</f>
        <v/>
      </c>
      <c r="AN24" s="53"/>
      <c r="AO24" s="394"/>
      <c r="AP24" s="395"/>
      <c r="AQ24" s="395"/>
      <c r="AR24" s="395"/>
      <c r="AS24" s="395"/>
      <c r="AT24" s="396"/>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row>
    <row r="25" spans="1:76" ht="15.75" customHeight="1" thickBot="1" x14ac:dyDescent="0.35">
      <c r="A25" s="53"/>
      <c r="B25" s="343"/>
      <c r="C25" s="343"/>
      <c r="D25" s="344"/>
      <c r="E25" s="387"/>
      <c r="F25" s="388"/>
      <c r="G25" s="388"/>
      <c r="H25" s="388"/>
      <c r="I25" s="388"/>
      <c r="J25" s="40" t="str">
        <f>IF(AND('Mapa final'!$AA$49="Alta",'Mapa final'!$AC$49="Leve"),CONCATENATE("R10C",'Mapa final'!$Q$49),"")</f>
        <v/>
      </c>
      <c r="K25" s="41" t="str">
        <f>IF(AND('Mapa final'!$AA$50="Alta",'Mapa final'!$AC$50="Leve"),CONCATENATE("R10C",'Mapa final'!$Q$50),"")</f>
        <v/>
      </c>
      <c r="L25" s="41" t="str">
        <f>IF(AND('Mapa final'!$AA$51="Alta",'Mapa final'!$AC$51="Leve"),CONCATENATE("R10C",'Mapa final'!$Q$51),"")</f>
        <v/>
      </c>
      <c r="M25" s="41" t="str">
        <f>IF(AND('Mapa final'!$AA$52="Alta",'Mapa final'!$AC$52="Leve"),CONCATENATE("R10C",'Mapa final'!$Q$52),"")</f>
        <v/>
      </c>
      <c r="N25" s="41" t="str">
        <f>IF(AND('Mapa final'!$AA$53="Alta",'Mapa final'!$AC$53="Leve"),CONCATENATE("R10C",'Mapa final'!$Q$53),"")</f>
        <v/>
      </c>
      <c r="O25" s="42" t="str">
        <f>IF(AND('Mapa final'!$AA$54="Alta",'Mapa final'!$AC$54="Leve"),CONCATENATE("R10C",'Mapa final'!$Q$54),"")</f>
        <v/>
      </c>
      <c r="P25" s="40" t="str">
        <f>IF(AND('Mapa final'!$AA$49="Alta",'Mapa final'!$AC$49="Menor"),CONCATENATE("R10C",'Mapa final'!$Q$49),"")</f>
        <v/>
      </c>
      <c r="Q25" s="41" t="str">
        <f>IF(AND('Mapa final'!$AA$50="Alta",'Mapa final'!$AC$50="Menor"),CONCATENATE("R10C",'Mapa final'!$Q$50),"")</f>
        <v/>
      </c>
      <c r="R25" s="41" t="str">
        <f>IF(AND('Mapa final'!$AA$51="Alta",'Mapa final'!$AC$51="Menor"),CONCATENATE("R10C",'Mapa final'!$Q$51),"")</f>
        <v/>
      </c>
      <c r="S25" s="41" t="str">
        <f>IF(AND('Mapa final'!$AA$52="Alta",'Mapa final'!$AC$52="Menor"),CONCATENATE("R10C",'Mapa final'!$Q$52),"")</f>
        <v/>
      </c>
      <c r="T25" s="41" t="str">
        <f>IF(AND('Mapa final'!$AA$53="Alta",'Mapa final'!$AC$53="Menor"),CONCATENATE("R10C",'Mapa final'!$Q$53),"")</f>
        <v/>
      </c>
      <c r="U25" s="42" t="str">
        <f>IF(AND('Mapa final'!$AA$54="Alta",'Mapa final'!$AC$54="Menor"),CONCATENATE("R10C",'Mapa final'!$Q$54),"")</f>
        <v/>
      </c>
      <c r="V25" s="28" t="str">
        <f>IF(AND('Mapa final'!$AA$49="Alta",'Mapa final'!$AC$49="Moderado"),CONCATENATE("R10C",'Mapa final'!$Q$49),"")</f>
        <v/>
      </c>
      <c r="W25" s="29" t="str">
        <f>IF(AND('Mapa final'!$AA$50="Alta",'Mapa final'!$AC$50="Moderado"),CONCATENATE("R10C",'Mapa final'!$Q$50),"")</f>
        <v/>
      </c>
      <c r="X25" s="29" t="str">
        <f>IF(AND('Mapa final'!$AA$51="Alta",'Mapa final'!$AC$51="Moderado"),CONCATENATE("R10C",'Mapa final'!$Q$51),"")</f>
        <v/>
      </c>
      <c r="Y25" s="29" t="str">
        <f>IF(AND('Mapa final'!$AA$52="Alta",'Mapa final'!$AC$52="Moderado"),CONCATENATE("R10C",'Mapa final'!$Q$52),"")</f>
        <v/>
      </c>
      <c r="Z25" s="29" t="str">
        <f>IF(AND('Mapa final'!$AA$53="Alta",'Mapa final'!$AC$53="Moderado"),CONCATENATE("R10C",'Mapa final'!$Q$53),"")</f>
        <v/>
      </c>
      <c r="AA25" s="30" t="str">
        <f>IF(AND('Mapa final'!$AA$54="Alta",'Mapa final'!$AC$54="Moderado"),CONCATENATE("R10C",'Mapa final'!$Q$54),"")</f>
        <v/>
      </c>
      <c r="AB25" s="28" t="str">
        <f>IF(AND('Mapa final'!$AA$49="Alta",'Mapa final'!$AC$49="Mayor"),CONCATENATE("R10C",'Mapa final'!$Q$49),"")</f>
        <v/>
      </c>
      <c r="AC25" s="29" t="str">
        <f>IF(AND('Mapa final'!$AA$50="Alta",'Mapa final'!$AC$50="Mayor"),CONCATENATE("R10C",'Mapa final'!$Q$50),"")</f>
        <v/>
      </c>
      <c r="AD25" s="29" t="str">
        <f>IF(AND('Mapa final'!$AA$51="Alta",'Mapa final'!$AC$51="Mayor"),CONCATENATE("R10C",'Mapa final'!$Q$51),"")</f>
        <v/>
      </c>
      <c r="AE25" s="29" t="str">
        <f>IF(AND('Mapa final'!$AA$52="Alta",'Mapa final'!$AC$52="Mayor"),CONCATENATE("R10C",'Mapa final'!$Q$52),"")</f>
        <v/>
      </c>
      <c r="AF25" s="29" t="str">
        <f>IF(AND('Mapa final'!$AA$53="Alta",'Mapa final'!$AC$53="Mayor"),CONCATENATE("R10C",'Mapa final'!$Q$53),"")</f>
        <v/>
      </c>
      <c r="AG25" s="30" t="str">
        <f>IF(AND('Mapa final'!$AA$54="Alta",'Mapa final'!$AC$54="Mayor"),CONCATENATE("R10C",'Mapa final'!$Q$54),"")</f>
        <v/>
      </c>
      <c r="AH25" s="31" t="str">
        <f>IF(AND('Mapa final'!$AA$49="Alta",'Mapa final'!$AC$49="Catastrófico"),CONCATENATE("R10C",'Mapa final'!$Q$49),"")</f>
        <v/>
      </c>
      <c r="AI25" s="32" t="str">
        <f>IF(AND('Mapa final'!$AA$50="Alta",'Mapa final'!$AC$50="Catastrófico"),CONCATENATE("R10C",'Mapa final'!$Q$50),"")</f>
        <v/>
      </c>
      <c r="AJ25" s="32" t="str">
        <f>IF(AND('Mapa final'!$AA$51="Alta",'Mapa final'!$AC$51="Catastrófico"),CONCATENATE("R10C",'Mapa final'!$Q$51),"")</f>
        <v/>
      </c>
      <c r="AK25" s="32" t="str">
        <f>IF(AND('Mapa final'!$AA$52="Alta",'Mapa final'!$AC$52="Catastrófico"),CONCATENATE("R10C",'Mapa final'!$Q$52),"")</f>
        <v/>
      </c>
      <c r="AL25" s="32" t="str">
        <f>IF(AND('Mapa final'!$AA$53="Alta",'Mapa final'!$AC$53="Catastrófico"),CONCATENATE("R10C",'Mapa final'!$Q$53),"")</f>
        <v/>
      </c>
      <c r="AM25" s="33" t="str">
        <f>IF(AND('Mapa final'!$AA$54="Alta",'Mapa final'!$AC$54="Catastrófico"),CONCATENATE("R10C",'Mapa final'!$Q$54),"")</f>
        <v/>
      </c>
      <c r="AN25" s="53"/>
      <c r="AO25" s="397"/>
      <c r="AP25" s="398"/>
      <c r="AQ25" s="398"/>
      <c r="AR25" s="398"/>
      <c r="AS25" s="398"/>
      <c r="AT25" s="399"/>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row>
    <row r="26" spans="1:76" ht="15" customHeight="1" x14ac:dyDescent="0.3">
      <c r="A26" s="53"/>
      <c r="B26" s="343"/>
      <c r="C26" s="343"/>
      <c r="D26" s="344"/>
      <c r="E26" s="381" t="s">
        <v>112</v>
      </c>
      <c r="F26" s="382"/>
      <c r="G26" s="382"/>
      <c r="H26" s="382"/>
      <c r="I26" s="383"/>
      <c r="J26" s="34" t="str">
        <f ca="1">IF(AND('Mapa final'!$AA$10="Media",'Mapa final'!$AC$10="Leve"),CONCATENATE("R1C",'Mapa final'!$Q$10),"")</f>
        <v/>
      </c>
      <c r="K26" s="35" t="str">
        <f ca="1">IF(AND('Mapa final'!$AA$11="Media",'Mapa final'!$AC$11="Leve"),CONCATENATE("R1C",'Mapa final'!$Q$11),"")</f>
        <v/>
      </c>
      <c r="L26" s="35" t="str">
        <f ca="1">IF(AND('Mapa final'!$AA$12="Media",'Mapa final'!$AC$12="Leve"),CONCATENATE("R1C",'Mapa final'!$Q$12),"")</f>
        <v/>
      </c>
      <c r="M26" s="35" t="str">
        <f ca="1">IF(AND('Mapa final'!$AA$13="Media",'Mapa final'!$AC$13="Leve"),CONCATENATE("R1C",'Mapa final'!$Q$13),"")</f>
        <v/>
      </c>
      <c r="N26" s="35" t="str">
        <f ca="1">IF(AND('Mapa final'!$AA$14="Media",'Mapa final'!$AC$14="Leve"),CONCATENATE("R1C",'Mapa final'!$Q$14),"")</f>
        <v/>
      </c>
      <c r="O26" s="36" t="e">
        <f>IF(AND('Mapa final'!#REF!="Media",'Mapa final'!#REF!="Leve"),CONCATENATE("R1C",'Mapa final'!#REF!),"")</f>
        <v>#REF!</v>
      </c>
      <c r="P26" s="34" t="str">
        <f ca="1">IF(AND('Mapa final'!$AA$10="Media",'Mapa final'!$AC$10="Menor"),CONCATENATE("R1C",'Mapa final'!$Q$10),"")</f>
        <v/>
      </c>
      <c r="Q26" s="35" t="str">
        <f ca="1">IF(AND('Mapa final'!$AA$11="Media",'Mapa final'!$AC$11="Menor"),CONCATENATE("R1C",'Mapa final'!$Q$11),"")</f>
        <v/>
      </c>
      <c r="R26" s="35" t="str">
        <f ca="1">IF(AND('Mapa final'!$AA$12="Media",'Mapa final'!$AC$12="Menor"),CONCATENATE("R1C",'Mapa final'!$Q$12),"")</f>
        <v/>
      </c>
      <c r="S26" s="35" t="str">
        <f ca="1">IF(AND('Mapa final'!$AA$13="Media",'Mapa final'!$AC$13="Menor"),CONCATENATE("R1C",'Mapa final'!$Q$13),"")</f>
        <v/>
      </c>
      <c r="T26" s="35" t="str">
        <f ca="1">IF(AND('Mapa final'!$AA$14="Media",'Mapa final'!$AC$14="Menor"),CONCATENATE("R1C",'Mapa final'!$Q$14),"")</f>
        <v/>
      </c>
      <c r="U26" s="36" t="e">
        <f>IF(AND('Mapa final'!#REF!="Media",'Mapa final'!#REF!="Menor"),CONCATENATE("R1C",'Mapa final'!#REF!),"")</f>
        <v>#REF!</v>
      </c>
      <c r="V26" s="34" t="str">
        <f ca="1">IF(AND('Mapa final'!$AA$10="Media",'Mapa final'!$AC$10="Moderado"),CONCATENATE("R1C",'Mapa final'!$Q$10),"")</f>
        <v/>
      </c>
      <c r="W26" s="35" t="str">
        <f ca="1">IF(AND('Mapa final'!$AA$11="Media",'Mapa final'!$AC$11="Moderado"),CONCATENATE("R1C",'Mapa final'!$Q$11),"")</f>
        <v/>
      </c>
      <c r="X26" s="35" t="str">
        <f ca="1">IF(AND('Mapa final'!$AA$12="Media",'Mapa final'!$AC$12="Moderado"),CONCATENATE("R1C",'Mapa final'!$Q$12),"")</f>
        <v/>
      </c>
      <c r="Y26" s="35" t="str">
        <f ca="1">IF(AND('Mapa final'!$AA$13="Media",'Mapa final'!$AC$13="Moderado"),CONCATENATE("R1C",'Mapa final'!$Q$13),"")</f>
        <v/>
      </c>
      <c r="Z26" s="35" t="str">
        <f ca="1">IF(AND('Mapa final'!$AA$14="Media",'Mapa final'!$AC$14="Moderado"),CONCATENATE("R1C",'Mapa final'!$Q$14),"")</f>
        <v/>
      </c>
      <c r="AA26" s="36" t="e">
        <f>IF(AND('Mapa final'!#REF!="Media",'Mapa final'!#REF!="Moderado"),CONCATENATE("R1C",'Mapa final'!#REF!),"")</f>
        <v>#REF!</v>
      </c>
      <c r="AB26" s="16" t="str">
        <f ca="1">IF(AND('Mapa final'!$AA$10="Media",'Mapa final'!$AC$10="Mayor"),CONCATENATE("R1C",'Mapa final'!$Q$10),"")</f>
        <v>R1C1</v>
      </c>
      <c r="AC26" s="17" t="str">
        <f ca="1">IF(AND('Mapa final'!$AA$11="Media",'Mapa final'!$AC$11="Mayor"),CONCATENATE("R1C",'Mapa final'!$Q$11),"")</f>
        <v/>
      </c>
      <c r="AD26" s="17" t="str">
        <f ca="1">IF(AND('Mapa final'!$AA$12="Media",'Mapa final'!$AC$12="Mayor"),CONCATENATE("R1C",'Mapa final'!$Q$12),"")</f>
        <v/>
      </c>
      <c r="AE26" s="17" t="str">
        <f ca="1">IF(AND('Mapa final'!$AA$13="Media",'Mapa final'!$AC$13="Mayor"),CONCATENATE("R1C",'Mapa final'!$Q$13),"")</f>
        <v/>
      </c>
      <c r="AF26" s="17" t="str">
        <f ca="1">IF(AND('Mapa final'!$AA$14="Media",'Mapa final'!$AC$14="Mayor"),CONCATENATE("R1C",'Mapa final'!$Q$14),"")</f>
        <v/>
      </c>
      <c r="AG26" s="18" t="e">
        <f>IF(AND('Mapa final'!#REF!="Media",'Mapa final'!#REF!="Mayor"),CONCATENATE("R1C",'Mapa final'!#REF!),"")</f>
        <v>#REF!</v>
      </c>
      <c r="AH26" s="19" t="str">
        <f ca="1">IF(AND('Mapa final'!$AA$10="Media",'Mapa final'!$AC$10="Catastrófico"),CONCATENATE("R1C",'Mapa final'!$Q$10),"")</f>
        <v/>
      </c>
      <c r="AI26" s="20" t="str">
        <f ca="1">IF(AND('Mapa final'!$AA$11="Media",'Mapa final'!$AC$11="Catastrófico"),CONCATENATE("R1C",'Mapa final'!$Q$11),"")</f>
        <v/>
      </c>
      <c r="AJ26" s="20" t="str">
        <f ca="1">IF(AND('Mapa final'!$AA$12="Media",'Mapa final'!$AC$12="Catastrófico"),CONCATENATE("R1C",'Mapa final'!$Q$12),"")</f>
        <v/>
      </c>
      <c r="AK26" s="20" t="str">
        <f ca="1">IF(AND('Mapa final'!$AA$13="Media",'Mapa final'!$AC$13="Catastrófico"),CONCATENATE("R1C",'Mapa final'!$Q$13),"")</f>
        <v/>
      </c>
      <c r="AL26" s="20" t="str">
        <f ca="1">IF(AND('Mapa final'!$AA$14="Media",'Mapa final'!$AC$14="Catastrófico"),CONCATENATE("R1C",'Mapa final'!$Q$14),"")</f>
        <v/>
      </c>
      <c r="AM26" s="21" t="e">
        <f>IF(AND('Mapa final'!#REF!="Media",'Mapa final'!#REF!="Catastrófico"),CONCATENATE("R1C",'Mapa final'!#REF!),"")</f>
        <v>#REF!</v>
      </c>
      <c r="AN26" s="53"/>
      <c r="AO26" s="421" t="s">
        <v>80</v>
      </c>
      <c r="AP26" s="422"/>
      <c r="AQ26" s="422"/>
      <c r="AR26" s="422"/>
      <c r="AS26" s="422"/>
      <c r="AT26" s="42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row>
    <row r="27" spans="1:76" ht="15" customHeight="1" x14ac:dyDescent="0.3">
      <c r="A27" s="53"/>
      <c r="B27" s="343"/>
      <c r="C27" s="343"/>
      <c r="D27" s="344"/>
      <c r="E27" s="400"/>
      <c r="F27" s="385"/>
      <c r="G27" s="385"/>
      <c r="H27" s="385"/>
      <c r="I27" s="386"/>
      <c r="J27" s="37" t="str">
        <f ca="1">IF(AND('Mapa final'!$AA$15="Media",'Mapa final'!$AC$15="Leve"),CONCATENATE("R2C",'Mapa final'!$Q$15),"")</f>
        <v/>
      </c>
      <c r="K27" s="38" t="str">
        <f ca="1">IF(AND('Mapa final'!$AA$16="Media",'Mapa final'!$AC$16="Leve"),CONCATENATE("R2C",'Mapa final'!$Q$16),"")</f>
        <v/>
      </c>
      <c r="L27" s="38" t="e">
        <f>IF(AND('Mapa final'!#REF!="Media",'Mapa final'!#REF!="Leve"),CONCATENATE("R2C",'Mapa final'!$Q$17),"")</f>
        <v>#REF!</v>
      </c>
      <c r="M27" s="38" t="e">
        <f>IF(AND('Mapa final'!#REF!="Media",'Mapa final'!#REF!="Leve"),CONCATENATE("R2C",'Mapa final'!#REF!),"")</f>
        <v>#REF!</v>
      </c>
      <c r="N27" s="38" t="e">
        <f>IF(AND('Mapa final'!#REF!="Media",'Mapa final'!#REF!="Leve"),CONCATENATE("R2C",'Mapa final'!#REF!),"")</f>
        <v>#REF!</v>
      </c>
      <c r="O27" s="39" t="e">
        <f>IF(AND('Mapa final'!#REF!="Media",'Mapa final'!#REF!="Leve"),CONCATENATE("R2C",'Mapa final'!#REF!),"")</f>
        <v>#REF!</v>
      </c>
      <c r="P27" s="37" t="str">
        <f ca="1">IF(AND('Mapa final'!$AA$15="Media",'Mapa final'!$AC$15="Menor"),CONCATENATE("R2C",'Mapa final'!$Q$15),"")</f>
        <v/>
      </c>
      <c r="Q27" s="38" t="str">
        <f ca="1">IF(AND('Mapa final'!$AA$16="Media",'Mapa final'!$AC$16="Menor"),CONCATENATE("R2C",'Mapa final'!$Q$16),"")</f>
        <v/>
      </c>
      <c r="R27" s="38" t="e">
        <f>IF(AND('Mapa final'!#REF!="Media",'Mapa final'!#REF!="Menor"),CONCATENATE("R2C",'Mapa final'!$Q$17),"")</f>
        <v>#REF!</v>
      </c>
      <c r="S27" s="38" t="e">
        <f>IF(AND('Mapa final'!#REF!="Media",'Mapa final'!#REF!="Menor"),CONCATENATE("R2C",'Mapa final'!#REF!),"")</f>
        <v>#REF!</v>
      </c>
      <c r="T27" s="38" t="e">
        <f>IF(AND('Mapa final'!#REF!="Media",'Mapa final'!#REF!="Menor"),CONCATENATE("R2C",'Mapa final'!#REF!),"")</f>
        <v>#REF!</v>
      </c>
      <c r="U27" s="39" t="e">
        <f>IF(AND('Mapa final'!#REF!="Media",'Mapa final'!#REF!="Menor"),CONCATENATE("R2C",'Mapa final'!#REF!),"")</f>
        <v>#REF!</v>
      </c>
      <c r="V27" s="37" t="str">
        <f ca="1">IF(AND('Mapa final'!$AA$15="Media",'Mapa final'!$AC$15="Moderado"),CONCATENATE("R2C",'Mapa final'!$Q$15),"")</f>
        <v/>
      </c>
      <c r="W27" s="38" t="str">
        <f ca="1">IF(AND('Mapa final'!$AA$16="Media",'Mapa final'!$AC$16="Moderado"),CONCATENATE("R2C",'Mapa final'!$Q$16),"")</f>
        <v/>
      </c>
      <c r="X27" s="38" t="e">
        <f>IF(AND('Mapa final'!#REF!="Media",'Mapa final'!#REF!="Moderado"),CONCATENATE("R2C",'Mapa final'!$Q$17),"")</f>
        <v>#REF!</v>
      </c>
      <c r="Y27" s="38" t="e">
        <f>IF(AND('Mapa final'!#REF!="Media",'Mapa final'!#REF!="Moderado"),CONCATENATE("R2C",'Mapa final'!#REF!),"")</f>
        <v>#REF!</v>
      </c>
      <c r="Z27" s="38" t="e">
        <f>IF(AND('Mapa final'!#REF!="Media",'Mapa final'!#REF!="Moderado"),CONCATENATE("R2C",'Mapa final'!#REF!),"")</f>
        <v>#REF!</v>
      </c>
      <c r="AA27" s="39" t="e">
        <f>IF(AND('Mapa final'!#REF!="Media",'Mapa final'!#REF!="Moderado"),CONCATENATE("R2C",'Mapa final'!#REF!),"")</f>
        <v>#REF!</v>
      </c>
      <c r="AB27" s="22" t="str">
        <f ca="1">IF(AND('Mapa final'!$AA$15="Media",'Mapa final'!$AC$15="Mayor"),CONCATENATE("R2C",'Mapa final'!$Q$15),"")</f>
        <v/>
      </c>
      <c r="AC27" s="23" t="str">
        <f ca="1">IF(AND('Mapa final'!$AA$16="Media",'Mapa final'!$AC$16="Mayor"),CONCATENATE("R2C",'Mapa final'!$Q$16),"")</f>
        <v/>
      </c>
      <c r="AD27" s="23" t="e">
        <f>IF(AND('Mapa final'!#REF!="Media",'Mapa final'!#REF!="Mayor"),CONCATENATE("R2C",'Mapa final'!$Q$17),"")</f>
        <v>#REF!</v>
      </c>
      <c r="AE27" s="23" t="e">
        <f>IF(AND('Mapa final'!#REF!="Media",'Mapa final'!#REF!="Mayor"),CONCATENATE("R2C",'Mapa final'!#REF!),"")</f>
        <v>#REF!</v>
      </c>
      <c r="AF27" s="23" t="e">
        <f>IF(AND('Mapa final'!#REF!="Media",'Mapa final'!#REF!="Mayor"),CONCATENATE("R2C",'Mapa final'!#REF!),"")</f>
        <v>#REF!</v>
      </c>
      <c r="AG27" s="24" t="e">
        <f>IF(AND('Mapa final'!#REF!="Media",'Mapa final'!#REF!="Mayor"),CONCATENATE("R2C",'Mapa final'!#REF!),"")</f>
        <v>#REF!</v>
      </c>
      <c r="AH27" s="25" t="str">
        <f ca="1">IF(AND('Mapa final'!$AA$15="Media",'Mapa final'!$AC$15="Catastrófico"),CONCATENATE("R2C",'Mapa final'!$Q$15),"")</f>
        <v/>
      </c>
      <c r="AI27" s="26" t="str">
        <f ca="1">IF(AND('Mapa final'!$AA$16="Media",'Mapa final'!$AC$16="Catastrófico"),CONCATENATE("R2C",'Mapa final'!$Q$16),"")</f>
        <v/>
      </c>
      <c r="AJ27" s="26" t="e">
        <f>IF(AND('Mapa final'!#REF!="Media",'Mapa final'!#REF!="Catastrófico"),CONCATENATE("R2C",'Mapa final'!$Q$17),"")</f>
        <v>#REF!</v>
      </c>
      <c r="AK27" s="26" t="e">
        <f>IF(AND('Mapa final'!#REF!="Media",'Mapa final'!#REF!="Catastrófico"),CONCATENATE("R2C",'Mapa final'!#REF!),"")</f>
        <v>#REF!</v>
      </c>
      <c r="AL27" s="26" t="e">
        <f>IF(AND('Mapa final'!#REF!="Media",'Mapa final'!#REF!="Catastrófico"),CONCATENATE("R2C",'Mapa final'!#REF!),"")</f>
        <v>#REF!</v>
      </c>
      <c r="AM27" s="27" t="e">
        <f>IF(AND('Mapa final'!#REF!="Media",'Mapa final'!#REF!="Catastrófico"),CONCATENATE("R2C",'Mapa final'!#REF!),"")</f>
        <v>#REF!</v>
      </c>
      <c r="AN27" s="53"/>
      <c r="AO27" s="424"/>
      <c r="AP27" s="425"/>
      <c r="AQ27" s="425"/>
      <c r="AR27" s="425"/>
      <c r="AS27" s="425"/>
      <c r="AT27" s="426"/>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row>
    <row r="28" spans="1:76" ht="15" customHeight="1" x14ac:dyDescent="0.3">
      <c r="A28" s="53"/>
      <c r="B28" s="343"/>
      <c r="C28" s="343"/>
      <c r="D28" s="344"/>
      <c r="E28" s="384"/>
      <c r="F28" s="385"/>
      <c r="G28" s="385"/>
      <c r="H28" s="385"/>
      <c r="I28" s="386"/>
      <c r="J28" s="37" t="e">
        <f>IF(AND('Mapa final'!#REF!="Media",'Mapa final'!#REF!="Leve"),CONCATENATE("R3C",'Mapa final'!#REF!),"")</f>
        <v>#REF!</v>
      </c>
      <c r="K28" s="38" t="e">
        <f>IF(AND('Mapa final'!#REF!="Media",'Mapa final'!#REF!="Leve"),CONCATENATE("R3C",'Mapa final'!#REF!),"")</f>
        <v>#REF!</v>
      </c>
      <c r="L28" s="38" t="e">
        <f>IF(AND('Mapa final'!#REF!="Media",'Mapa final'!#REF!="Leve"),CONCATENATE("R3C",'Mapa final'!#REF!),"")</f>
        <v>#REF!</v>
      </c>
      <c r="M28" s="38" t="e">
        <f>IF(AND('Mapa final'!#REF!="Media",'Mapa final'!#REF!="Leve"),CONCATENATE("R3C",'Mapa final'!#REF!),"")</f>
        <v>#REF!</v>
      </c>
      <c r="N28" s="38" t="e">
        <f>IF(AND('Mapa final'!#REF!="Media",'Mapa final'!#REF!="Leve"),CONCATENATE("R3C",'Mapa final'!#REF!),"")</f>
        <v>#REF!</v>
      </c>
      <c r="O28" s="39" t="e">
        <f>IF(AND('Mapa final'!#REF!="Media",'Mapa final'!#REF!="Leve"),CONCATENATE("R3C",'Mapa final'!#REF!),"")</f>
        <v>#REF!</v>
      </c>
      <c r="P28" s="37" t="e">
        <f>IF(AND('Mapa final'!#REF!="Media",'Mapa final'!#REF!="Menor"),CONCATENATE("R3C",'Mapa final'!#REF!),"")</f>
        <v>#REF!</v>
      </c>
      <c r="Q28" s="38" t="e">
        <f>IF(AND('Mapa final'!#REF!="Media",'Mapa final'!#REF!="Menor"),CONCATENATE("R3C",'Mapa final'!#REF!),"")</f>
        <v>#REF!</v>
      </c>
      <c r="R28" s="38" t="e">
        <f>IF(AND('Mapa final'!#REF!="Media",'Mapa final'!#REF!="Menor"),CONCATENATE("R3C",'Mapa final'!#REF!),"")</f>
        <v>#REF!</v>
      </c>
      <c r="S28" s="38" t="e">
        <f>IF(AND('Mapa final'!#REF!="Media",'Mapa final'!#REF!="Menor"),CONCATENATE("R3C",'Mapa final'!#REF!),"")</f>
        <v>#REF!</v>
      </c>
      <c r="T28" s="38" t="e">
        <f>IF(AND('Mapa final'!#REF!="Media",'Mapa final'!#REF!="Menor"),CONCATENATE("R3C",'Mapa final'!#REF!),"")</f>
        <v>#REF!</v>
      </c>
      <c r="U28" s="39" t="e">
        <f>IF(AND('Mapa final'!#REF!="Media",'Mapa final'!#REF!="Menor"),CONCATENATE("R3C",'Mapa final'!#REF!),"")</f>
        <v>#REF!</v>
      </c>
      <c r="V28" s="37" t="e">
        <f>IF(AND('Mapa final'!#REF!="Media",'Mapa final'!#REF!="Moderado"),CONCATENATE("R3C",'Mapa final'!#REF!),"")</f>
        <v>#REF!</v>
      </c>
      <c r="W28" s="38" t="e">
        <f>IF(AND('Mapa final'!#REF!="Media",'Mapa final'!#REF!="Moderado"),CONCATENATE("R3C",'Mapa final'!#REF!),"")</f>
        <v>#REF!</v>
      </c>
      <c r="X28" s="38" t="e">
        <f>IF(AND('Mapa final'!#REF!="Media",'Mapa final'!#REF!="Moderado"),CONCATENATE("R3C",'Mapa final'!#REF!),"")</f>
        <v>#REF!</v>
      </c>
      <c r="Y28" s="38" t="e">
        <f>IF(AND('Mapa final'!#REF!="Media",'Mapa final'!#REF!="Moderado"),CONCATENATE("R3C",'Mapa final'!#REF!),"")</f>
        <v>#REF!</v>
      </c>
      <c r="Z28" s="38" t="e">
        <f>IF(AND('Mapa final'!#REF!="Media",'Mapa final'!#REF!="Moderado"),CONCATENATE("R3C",'Mapa final'!#REF!),"")</f>
        <v>#REF!</v>
      </c>
      <c r="AA28" s="39" t="e">
        <f>IF(AND('Mapa final'!#REF!="Media",'Mapa final'!#REF!="Moderado"),CONCATENATE("R3C",'Mapa final'!#REF!),"")</f>
        <v>#REF!</v>
      </c>
      <c r="AB28" s="22" t="e">
        <f>IF(AND('Mapa final'!#REF!="Media",'Mapa final'!#REF!="Mayor"),CONCATENATE("R3C",'Mapa final'!#REF!),"")</f>
        <v>#REF!</v>
      </c>
      <c r="AC28" s="23" t="e">
        <f>IF(AND('Mapa final'!#REF!="Media",'Mapa final'!#REF!="Mayor"),CONCATENATE("R3C",'Mapa final'!#REF!),"")</f>
        <v>#REF!</v>
      </c>
      <c r="AD28" s="23" t="e">
        <f>IF(AND('Mapa final'!#REF!="Media",'Mapa final'!#REF!="Mayor"),CONCATENATE("R3C",'Mapa final'!#REF!),"")</f>
        <v>#REF!</v>
      </c>
      <c r="AE28" s="23" t="e">
        <f>IF(AND('Mapa final'!#REF!="Media",'Mapa final'!#REF!="Mayor"),CONCATENATE("R3C",'Mapa final'!#REF!),"")</f>
        <v>#REF!</v>
      </c>
      <c r="AF28" s="23" t="e">
        <f>IF(AND('Mapa final'!#REF!="Media",'Mapa final'!#REF!="Mayor"),CONCATENATE("R3C",'Mapa final'!#REF!),"")</f>
        <v>#REF!</v>
      </c>
      <c r="AG28" s="24" t="e">
        <f>IF(AND('Mapa final'!#REF!="Media",'Mapa final'!#REF!="Mayor"),CONCATENATE("R3C",'Mapa final'!#REF!),"")</f>
        <v>#REF!</v>
      </c>
      <c r="AH28" s="25" t="e">
        <f>IF(AND('Mapa final'!#REF!="Media",'Mapa final'!#REF!="Catastrófico"),CONCATENATE("R3C",'Mapa final'!#REF!),"")</f>
        <v>#REF!</v>
      </c>
      <c r="AI28" s="26" t="e">
        <f>IF(AND('Mapa final'!#REF!="Media",'Mapa final'!#REF!="Catastrófico"),CONCATENATE("R3C",'Mapa final'!#REF!),"")</f>
        <v>#REF!</v>
      </c>
      <c r="AJ28" s="26" t="e">
        <f>IF(AND('Mapa final'!#REF!="Media",'Mapa final'!#REF!="Catastrófico"),CONCATENATE("R3C",'Mapa final'!#REF!),"")</f>
        <v>#REF!</v>
      </c>
      <c r="AK28" s="26" t="e">
        <f>IF(AND('Mapa final'!#REF!="Media",'Mapa final'!#REF!="Catastrófico"),CONCATENATE("R3C",'Mapa final'!#REF!),"")</f>
        <v>#REF!</v>
      </c>
      <c r="AL28" s="26" t="e">
        <f>IF(AND('Mapa final'!#REF!="Media",'Mapa final'!#REF!="Catastrófico"),CONCATENATE("R3C",'Mapa final'!#REF!),"")</f>
        <v>#REF!</v>
      </c>
      <c r="AM28" s="27" t="e">
        <f>IF(AND('Mapa final'!#REF!="Media",'Mapa final'!#REF!="Catastrófico"),CONCATENATE("R3C",'Mapa final'!#REF!),"")</f>
        <v>#REF!</v>
      </c>
      <c r="AN28" s="53"/>
      <c r="AO28" s="424"/>
      <c r="AP28" s="425"/>
      <c r="AQ28" s="425"/>
      <c r="AR28" s="425"/>
      <c r="AS28" s="425"/>
      <c r="AT28" s="426"/>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row>
    <row r="29" spans="1:76" ht="15" customHeight="1" x14ac:dyDescent="0.3">
      <c r="A29" s="53"/>
      <c r="B29" s="343"/>
      <c r="C29" s="343"/>
      <c r="D29" s="344"/>
      <c r="E29" s="384"/>
      <c r="F29" s="385"/>
      <c r="G29" s="385"/>
      <c r="H29" s="385"/>
      <c r="I29" s="386"/>
      <c r="J29" s="37" t="e">
        <f>IF(AND('Mapa final'!#REF!="Media",'Mapa final'!#REF!="Leve"),CONCATENATE("R4C",'Mapa final'!#REF!),"")</f>
        <v>#REF!</v>
      </c>
      <c r="K29" s="38" t="e">
        <f>IF(AND('Mapa final'!#REF!="Media",'Mapa final'!#REF!="Leve"),CONCATENATE("R4C",'Mapa final'!#REF!),"")</f>
        <v>#REF!</v>
      </c>
      <c r="L29" s="38" t="e">
        <f>IF(AND('Mapa final'!#REF!="Media",'Mapa final'!#REF!="Leve"),CONCATENATE("R4C",'Mapa final'!#REF!),"")</f>
        <v>#REF!</v>
      </c>
      <c r="M29" s="38" t="e">
        <f>IF(AND('Mapa final'!#REF!="Media",'Mapa final'!#REF!="Leve"),CONCATENATE("R4C",'Mapa final'!#REF!),"")</f>
        <v>#REF!</v>
      </c>
      <c r="N29" s="38" t="e">
        <f>IF(AND('Mapa final'!#REF!="Media",'Mapa final'!#REF!="Leve"),CONCATENATE("R4C",'Mapa final'!#REF!),"")</f>
        <v>#REF!</v>
      </c>
      <c r="O29" s="39" t="e">
        <f>IF(AND('Mapa final'!#REF!="Media",'Mapa final'!#REF!="Leve"),CONCATENATE("R4C",'Mapa final'!#REF!),"")</f>
        <v>#REF!</v>
      </c>
      <c r="P29" s="37" t="e">
        <f>IF(AND('Mapa final'!#REF!="Media",'Mapa final'!#REF!="Menor"),CONCATENATE("R4C",'Mapa final'!#REF!),"")</f>
        <v>#REF!</v>
      </c>
      <c r="Q29" s="38" t="e">
        <f>IF(AND('Mapa final'!#REF!="Media",'Mapa final'!#REF!="Menor"),CONCATENATE("R4C",'Mapa final'!#REF!),"")</f>
        <v>#REF!</v>
      </c>
      <c r="R29" s="38" t="e">
        <f>IF(AND('Mapa final'!#REF!="Media",'Mapa final'!#REF!="Menor"),CONCATENATE("R4C",'Mapa final'!#REF!),"")</f>
        <v>#REF!</v>
      </c>
      <c r="S29" s="38" t="e">
        <f>IF(AND('Mapa final'!#REF!="Media",'Mapa final'!#REF!="Menor"),CONCATENATE("R4C",'Mapa final'!#REF!),"")</f>
        <v>#REF!</v>
      </c>
      <c r="T29" s="38" t="e">
        <f>IF(AND('Mapa final'!#REF!="Media",'Mapa final'!#REF!="Menor"),CONCATENATE("R4C",'Mapa final'!#REF!),"")</f>
        <v>#REF!</v>
      </c>
      <c r="U29" s="39" t="e">
        <f>IF(AND('Mapa final'!#REF!="Media",'Mapa final'!#REF!="Menor"),CONCATENATE("R4C",'Mapa final'!#REF!),"")</f>
        <v>#REF!</v>
      </c>
      <c r="V29" s="37" t="e">
        <f>IF(AND('Mapa final'!#REF!="Media",'Mapa final'!#REF!="Moderado"),CONCATENATE("R4C",'Mapa final'!#REF!),"")</f>
        <v>#REF!</v>
      </c>
      <c r="W29" s="38" t="e">
        <f>IF(AND('Mapa final'!#REF!="Media",'Mapa final'!#REF!="Moderado"),CONCATENATE("R4C",'Mapa final'!#REF!),"")</f>
        <v>#REF!</v>
      </c>
      <c r="X29" s="38" t="e">
        <f>IF(AND('Mapa final'!#REF!="Media",'Mapa final'!#REF!="Moderado"),CONCATENATE("R4C",'Mapa final'!#REF!),"")</f>
        <v>#REF!</v>
      </c>
      <c r="Y29" s="38" t="e">
        <f>IF(AND('Mapa final'!#REF!="Media",'Mapa final'!#REF!="Moderado"),CONCATENATE("R4C",'Mapa final'!#REF!),"")</f>
        <v>#REF!</v>
      </c>
      <c r="Z29" s="38" t="e">
        <f>IF(AND('Mapa final'!#REF!="Media",'Mapa final'!#REF!="Moderado"),CONCATENATE("R4C",'Mapa final'!#REF!),"")</f>
        <v>#REF!</v>
      </c>
      <c r="AA29" s="39" t="e">
        <f>IF(AND('Mapa final'!#REF!="Media",'Mapa final'!#REF!="Moderado"),CONCATENATE("R4C",'Mapa final'!#REF!),"")</f>
        <v>#REF!</v>
      </c>
      <c r="AB29" s="22" t="e">
        <f>IF(AND('Mapa final'!#REF!="Media",'Mapa final'!#REF!="Mayor"),CONCATENATE("R4C",'Mapa final'!#REF!),"")</f>
        <v>#REF!</v>
      </c>
      <c r="AC29" s="23" t="e">
        <f>IF(AND('Mapa final'!#REF!="Media",'Mapa final'!#REF!="Mayor"),CONCATENATE("R4C",'Mapa final'!#REF!),"")</f>
        <v>#REF!</v>
      </c>
      <c r="AD29" s="23" t="e">
        <f>IF(AND('Mapa final'!#REF!="Media",'Mapa final'!#REF!="Mayor"),CONCATENATE("R4C",'Mapa final'!#REF!),"")</f>
        <v>#REF!</v>
      </c>
      <c r="AE29" s="23" t="e">
        <f>IF(AND('Mapa final'!#REF!="Media",'Mapa final'!#REF!="Mayor"),CONCATENATE("R4C",'Mapa final'!#REF!),"")</f>
        <v>#REF!</v>
      </c>
      <c r="AF29" s="23" t="e">
        <f>IF(AND('Mapa final'!#REF!="Media",'Mapa final'!#REF!="Mayor"),CONCATENATE("R4C",'Mapa final'!#REF!),"")</f>
        <v>#REF!</v>
      </c>
      <c r="AG29" s="24" t="e">
        <f>IF(AND('Mapa final'!#REF!="Media",'Mapa final'!#REF!="Mayor"),CONCATENATE("R4C",'Mapa final'!#REF!),"")</f>
        <v>#REF!</v>
      </c>
      <c r="AH29" s="25" t="e">
        <f>IF(AND('Mapa final'!#REF!="Media",'Mapa final'!#REF!="Catastrófico"),CONCATENATE("R4C",'Mapa final'!#REF!),"")</f>
        <v>#REF!</v>
      </c>
      <c r="AI29" s="26" t="e">
        <f>IF(AND('Mapa final'!#REF!="Media",'Mapa final'!#REF!="Catastrófico"),CONCATENATE("R4C",'Mapa final'!#REF!),"")</f>
        <v>#REF!</v>
      </c>
      <c r="AJ29" s="26" t="e">
        <f>IF(AND('Mapa final'!#REF!="Media",'Mapa final'!#REF!="Catastrófico"),CONCATENATE("R4C",'Mapa final'!#REF!),"")</f>
        <v>#REF!</v>
      </c>
      <c r="AK29" s="26" t="e">
        <f>IF(AND('Mapa final'!#REF!="Media",'Mapa final'!#REF!="Catastrófico"),CONCATENATE("R4C",'Mapa final'!#REF!),"")</f>
        <v>#REF!</v>
      </c>
      <c r="AL29" s="26" t="e">
        <f>IF(AND('Mapa final'!#REF!="Media",'Mapa final'!#REF!="Catastrófico"),CONCATENATE("R4C",'Mapa final'!#REF!),"")</f>
        <v>#REF!</v>
      </c>
      <c r="AM29" s="27" t="e">
        <f>IF(AND('Mapa final'!#REF!="Media",'Mapa final'!#REF!="Catastrófico"),CONCATENATE("R4C",'Mapa final'!#REF!),"")</f>
        <v>#REF!</v>
      </c>
      <c r="AN29" s="53"/>
      <c r="AO29" s="424"/>
      <c r="AP29" s="425"/>
      <c r="AQ29" s="425"/>
      <c r="AR29" s="425"/>
      <c r="AS29" s="425"/>
      <c r="AT29" s="426"/>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row>
    <row r="30" spans="1:76" ht="15" customHeight="1" x14ac:dyDescent="0.3">
      <c r="A30" s="53"/>
      <c r="B30" s="343"/>
      <c r="C30" s="343"/>
      <c r="D30" s="344"/>
      <c r="E30" s="384"/>
      <c r="F30" s="385"/>
      <c r="G30" s="385"/>
      <c r="H30" s="385"/>
      <c r="I30" s="386"/>
      <c r="J30" s="37" t="str">
        <f>IF(AND('Mapa final'!$AA$19="Media",'Mapa final'!$AC$19="Leve"),CONCATENATE("R5C",'Mapa final'!$Q$19),"")</f>
        <v/>
      </c>
      <c r="K30" s="38" t="str">
        <f>IF(AND('Mapa final'!$AA$20="Media",'Mapa final'!$AC$20="Leve"),CONCATENATE("R5C",'Mapa final'!$Q$20),"")</f>
        <v/>
      </c>
      <c r="L30" s="38" t="str">
        <f>IF(AND('Mapa final'!$AA$21="Media",'Mapa final'!$AC$21="Leve"),CONCATENATE("R5C",'Mapa final'!$Q$21),"")</f>
        <v/>
      </c>
      <c r="M30" s="38" t="str">
        <f>IF(AND('Mapa final'!$AA$22="Media",'Mapa final'!$AC$22="Leve"),CONCATENATE("R5C",'Mapa final'!$Q$22),"")</f>
        <v/>
      </c>
      <c r="N30" s="38" t="str">
        <f>IF(AND('Mapa final'!$AA$23="Media",'Mapa final'!$AC$23="Leve"),CONCATENATE("R5C",'Mapa final'!$Q$23),"")</f>
        <v/>
      </c>
      <c r="O30" s="39" t="str">
        <f>IF(AND('Mapa final'!$AA$24="Media",'Mapa final'!$AC$24="Leve"),CONCATENATE("R5C",'Mapa final'!$Q$24),"")</f>
        <v/>
      </c>
      <c r="P30" s="37" t="str">
        <f>IF(AND('Mapa final'!$AA$19="Media",'Mapa final'!$AC$19="Menor"),CONCATENATE("R5C",'Mapa final'!$Q$19),"")</f>
        <v/>
      </c>
      <c r="Q30" s="38" t="str">
        <f>IF(AND('Mapa final'!$AA$20="Media",'Mapa final'!$AC$20="Menor"),CONCATENATE("R5C",'Mapa final'!$Q$20),"")</f>
        <v/>
      </c>
      <c r="R30" s="38" t="str">
        <f>IF(AND('Mapa final'!$AA$21="Media",'Mapa final'!$AC$21="Menor"),CONCATENATE("R5C",'Mapa final'!$Q$21),"")</f>
        <v/>
      </c>
      <c r="S30" s="38" t="str">
        <f>IF(AND('Mapa final'!$AA$22="Media",'Mapa final'!$AC$22="Menor"),CONCATENATE("R5C",'Mapa final'!$Q$22),"")</f>
        <v/>
      </c>
      <c r="T30" s="38" t="str">
        <f>IF(AND('Mapa final'!$AA$23="Media",'Mapa final'!$AC$23="Menor"),CONCATENATE("R5C",'Mapa final'!$Q$23),"")</f>
        <v/>
      </c>
      <c r="U30" s="39" t="str">
        <f>IF(AND('Mapa final'!$AA$24="Media",'Mapa final'!$AC$24="Menor"),CONCATENATE("R5C",'Mapa final'!$Q$24),"")</f>
        <v/>
      </c>
      <c r="V30" s="37" t="str">
        <f>IF(AND('Mapa final'!$AA$19="Media",'Mapa final'!$AC$19="Moderado"),CONCATENATE("R5C",'Mapa final'!$Q$19),"")</f>
        <v/>
      </c>
      <c r="W30" s="38" t="str">
        <f>IF(AND('Mapa final'!$AA$20="Media",'Mapa final'!$AC$20="Moderado"),CONCATENATE("R5C",'Mapa final'!$Q$20),"")</f>
        <v/>
      </c>
      <c r="X30" s="38" t="str">
        <f>IF(AND('Mapa final'!$AA$21="Media",'Mapa final'!$AC$21="Moderado"),CONCATENATE("R5C",'Mapa final'!$Q$21),"")</f>
        <v/>
      </c>
      <c r="Y30" s="38" t="str">
        <f>IF(AND('Mapa final'!$AA$22="Media",'Mapa final'!$AC$22="Moderado"),CONCATENATE("R5C",'Mapa final'!$Q$22),"")</f>
        <v/>
      </c>
      <c r="Z30" s="38" t="str">
        <f>IF(AND('Mapa final'!$AA$23="Media",'Mapa final'!$AC$23="Moderado"),CONCATENATE("R5C",'Mapa final'!$Q$23),"")</f>
        <v/>
      </c>
      <c r="AA30" s="39" t="str">
        <f>IF(AND('Mapa final'!$AA$24="Media",'Mapa final'!$AC$24="Moderado"),CONCATENATE("R5C",'Mapa final'!$Q$24),"")</f>
        <v/>
      </c>
      <c r="AB30" s="22" t="str">
        <f>IF(AND('Mapa final'!$AA$19="Media",'Mapa final'!$AC$19="Mayor"),CONCATENATE("R5C",'Mapa final'!$Q$19),"")</f>
        <v/>
      </c>
      <c r="AC30" s="23" t="str">
        <f>IF(AND('Mapa final'!$AA$20="Media",'Mapa final'!$AC$20="Mayor"),CONCATENATE("R5C",'Mapa final'!$Q$20),"")</f>
        <v/>
      </c>
      <c r="AD30" s="23" t="str">
        <f>IF(AND('Mapa final'!$AA$21="Media",'Mapa final'!$AC$21="Mayor"),CONCATENATE("R5C",'Mapa final'!$Q$21),"")</f>
        <v/>
      </c>
      <c r="AE30" s="23" t="str">
        <f>IF(AND('Mapa final'!$AA$22="Media",'Mapa final'!$AC$22="Mayor"),CONCATENATE("R5C",'Mapa final'!$Q$22),"")</f>
        <v/>
      </c>
      <c r="AF30" s="23" t="str">
        <f>IF(AND('Mapa final'!$AA$23="Media",'Mapa final'!$AC$23="Mayor"),CONCATENATE("R5C",'Mapa final'!$Q$23),"")</f>
        <v/>
      </c>
      <c r="AG30" s="24" t="str">
        <f>IF(AND('Mapa final'!$AA$24="Media",'Mapa final'!$AC$24="Mayor"),CONCATENATE("R5C",'Mapa final'!$Q$24),"")</f>
        <v/>
      </c>
      <c r="AH30" s="25" t="str">
        <f>IF(AND('Mapa final'!$AA$19="Media",'Mapa final'!$AC$19="Catastrófico"),CONCATENATE("R5C",'Mapa final'!$Q$19),"")</f>
        <v/>
      </c>
      <c r="AI30" s="26" t="str">
        <f>IF(AND('Mapa final'!$AA$20="Media",'Mapa final'!$AC$20="Catastrófico"),CONCATENATE("R5C",'Mapa final'!$Q$20),"")</f>
        <v/>
      </c>
      <c r="AJ30" s="26" t="str">
        <f>IF(AND('Mapa final'!$AA$21="Media",'Mapa final'!$AC$21="Catastrófico"),CONCATENATE("R5C",'Mapa final'!$Q$21),"")</f>
        <v/>
      </c>
      <c r="AK30" s="26" t="str">
        <f>IF(AND('Mapa final'!$AA$22="Media",'Mapa final'!$AC$22="Catastrófico"),CONCATENATE("R5C",'Mapa final'!$Q$22),"")</f>
        <v/>
      </c>
      <c r="AL30" s="26" t="str">
        <f>IF(AND('Mapa final'!$AA$23="Media",'Mapa final'!$AC$23="Catastrófico"),CONCATENATE("R5C",'Mapa final'!$Q$23),"")</f>
        <v/>
      </c>
      <c r="AM30" s="27" t="str">
        <f>IF(AND('Mapa final'!$AA$24="Media",'Mapa final'!$AC$24="Catastrófico"),CONCATENATE("R5C",'Mapa final'!$Q$24),"")</f>
        <v/>
      </c>
      <c r="AN30" s="53"/>
      <c r="AO30" s="424"/>
      <c r="AP30" s="425"/>
      <c r="AQ30" s="425"/>
      <c r="AR30" s="425"/>
      <c r="AS30" s="425"/>
      <c r="AT30" s="426"/>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row>
    <row r="31" spans="1:76" ht="15" customHeight="1" x14ac:dyDescent="0.3">
      <c r="A31" s="53"/>
      <c r="B31" s="343"/>
      <c r="C31" s="343"/>
      <c r="D31" s="344"/>
      <c r="E31" s="384"/>
      <c r="F31" s="385"/>
      <c r="G31" s="385"/>
      <c r="H31" s="385"/>
      <c r="I31" s="386"/>
      <c r="J31" s="37" t="str">
        <f>IF(AND('Mapa final'!$AA$25="Media",'Mapa final'!$AC$25="Leve"),CONCATENATE("R6C",'Mapa final'!$Q$25),"")</f>
        <v/>
      </c>
      <c r="K31" s="38" t="str">
        <f>IF(AND('Mapa final'!$AA$26="Media",'Mapa final'!$AC$26="Leve"),CONCATENATE("R6C",'Mapa final'!$Q$26),"")</f>
        <v/>
      </c>
      <c r="L31" s="38" t="str">
        <f>IF(AND('Mapa final'!$AA$27="Media",'Mapa final'!$AC$27="Leve"),CONCATENATE("R6C",'Mapa final'!$Q$27),"")</f>
        <v/>
      </c>
      <c r="M31" s="38" t="str">
        <f>IF(AND('Mapa final'!$AA$28="Media",'Mapa final'!$AC$28="Leve"),CONCATENATE("R6C",'Mapa final'!$Q$28),"")</f>
        <v/>
      </c>
      <c r="N31" s="38" t="str">
        <f>IF(AND('Mapa final'!$AA$29="Media",'Mapa final'!$AC$29="Leve"),CONCATENATE("R6C",'Mapa final'!$Q$29),"")</f>
        <v/>
      </c>
      <c r="O31" s="39" t="str">
        <f>IF(AND('Mapa final'!$AA$30="Media",'Mapa final'!$AC$30="Leve"),CONCATENATE("R6C",'Mapa final'!$Q$30),"")</f>
        <v/>
      </c>
      <c r="P31" s="37" t="str">
        <f>IF(AND('Mapa final'!$AA$25="Media",'Mapa final'!$AC$25="Menor"),CONCATENATE("R6C",'Mapa final'!$Q$25),"")</f>
        <v/>
      </c>
      <c r="Q31" s="38" t="str">
        <f>IF(AND('Mapa final'!$AA$26="Media",'Mapa final'!$AC$26="Menor"),CONCATENATE("R6C",'Mapa final'!$Q$26),"")</f>
        <v/>
      </c>
      <c r="R31" s="38" t="str">
        <f>IF(AND('Mapa final'!$AA$27="Media",'Mapa final'!$AC$27="Menor"),CONCATENATE("R6C",'Mapa final'!$Q$27),"")</f>
        <v/>
      </c>
      <c r="S31" s="38" t="str">
        <f>IF(AND('Mapa final'!$AA$28="Media",'Mapa final'!$AC$28="Menor"),CONCATENATE("R6C",'Mapa final'!$Q$28),"")</f>
        <v/>
      </c>
      <c r="T31" s="38" t="str">
        <f>IF(AND('Mapa final'!$AA$29="Media",'Mapa final'!$AC$29="Menor"),CONCATENATE("R6C",'Mapa final'!$Q$29),"")</f>
        <v/>
      </c>
      <c r="U31" s="39" t="str">
        <f>IF(AND('Mapa final'!$AA$30="Media",'Mapa final'!$AC$30="Menor"),CONCATENATE("R6C",'Mapa final'!$Q$30),"")</f>
        <v/>
      </c>
      <c r="V31" s="37" t="str">
        <f>IF(AND('Mapa final'!$AA$25="Media",'Mapa final'!$AC$25="Moderado"),CONCATENATE("R6C",'Mapa final'!$Q$25),"")</f>
        <v/>
      </c>
      <c r="W31" s="38" t="str">
        <f>IF(AND('Mapa final'!$AA$26="Media",'Mapa final'!$AC$26="Moderado"),CONCATENATE("R6C",'Mapa final'!$Q$26),"")</f>
        <v/>
      </c>
      <c r="X31" s="38" t="str">
        <f>IF(AND('Mapa final'!$AA$27="Media",'Mapa final'!$AC$27="Moderado"),CONCATENATE("R6C",'Mapa final'!$Q$27),"")</f>
        <v/>
      </c>
      <c r="Y31" s="38" t="str">
        <f>IF(AND('Mapa final'!$AA$28="Media",'Mapa final'!$AC$28="Moderado"),CONCATENATE("R6C",'Mapa final'!$Q$28),"")</f>
        <v/>
      </c>
      <c r="Z31" s="38" t="str">
        <f>IF(AND('Mapa final'!$AA$29="Media",'Mapa final'!$AC$29="Moderado"),CONCATENATE("R6C",'Mapa final'!$Q$29),"")</f>
        <v/>
      </c>
      <c r="AA31" s="39" t="str">
        <f>IF(AND('Mapa final'!$AA$30="Media",'Mapa final'!$AC$30="Moderado"),CONCATENATE("R6C",'Mapa final'!$Q$30),"")</f>
        <v/>
      </c>
      <c r="AB31" s="22" t="str">
        <f>IF(AND('Mapa final'!$AA$25="Media",'Mapa final'!$AC$25="Mayor"),CONCATENATE("R6C",'Mapa final'!$Q$25),"")</f>
        <v/>
      </c>
      <c r="AC31" s="23" t="str">
        <f>IF(AND('Mapa final'!$AA$26="Media",'Mapa final'!$AC$26="Mayor"),CONCATENATE("R6C",'Mapa final'!$Q$26),"")</f>
        <v/>
      </c>
      <c r="AD31" s="23" t="str">
        <f>IF(AND('Mapa final'!$AA$27="Media",'Mapa final'!$AC$27="Mayor"),CONCATENATE("R6C",'Mapa final'!$Q$27),"")</f>
        <v/>
      </c>
      <c r="AE31" s="23" t="str">
        <f>IF(AND('Mapa final'!$AA$28="Media",'Mapa final'!$AC$28="Mayor"),CONCATENATE("R6C",'Mapa final'!$Q$28),"")</f>
        <v/>
      </c>
      <c r="AF31" s="23" t="str">
        <f>IF(AND('Mapa final'!$AA$29="Media",'Mapa final'!$AC$29="Mayor"),CONCATENATE("R6C",'Mapa final'!$Q$29),"")</f>
        <v/>
      </c>
      <c r="AG31" s="24" t="str">
        <f>IF(AND('Mapa final'!$AA$30="Media",'Mapa final'!$AC$30="Mayor"),CONCATENATE("R6C",'Mapa final'!$Q$30),"")</f>
        <v/>
      </c>
      <c r="AH31" s="25" t="str">
        <f>IF(AND('Mapa final'!$AA$25="Media",'Mapa final'!$AC$25="Catastrófico"),CONCATENATE("R6C",'Mapa final'!$Q$25),"")</f>
        <v/>
      </c>
      <c r="AI31" s="26" t="str">
        <f>IF(AND('Mapa final'!$AA$26="Media",'Mapa final'!$AC$26="Catastrófico"),CONCATENATE("R6C",'Mapa final'!$Q$26),"")</f>
        <v/>
      </c>
      <c r="AJ31" s="26" t="str">
        <f>IF(AND('Mapa final'!$AA$27="Media",'Mapa final'!$AC$27="Catastrófico"),CONCATENATE("R6C",'Mapa final'!$Q$27),"")</f>
        <v/>
      </c>
      <c r="AK31" s="26" t="str">
        <f>IF(AND('Mapa final'!$AA$28="Media",'Mapa final'!$AC$28="Catastrófico"),CONCATENATE("R6C",'Mapa final'!$Q$28),"")</f>
        <v/>
      </c>
      <c r="AL31" s="26" t="str">
        <f>IF(AND('Mapa final'!$AA$29="Media",'Mapa final'!$AC$29="Catastrófico"),CONCATENATE("R6C",'Mapa final'!$Q$29),"")</f>
        <v/>
      </c>
      <c r="AM31" s="27" t="str">
        <f>IF(AND('Mapa final'!$AA$30="Media",'Mapa final'!$AC$30="Catastrófico"),CONCATENATE("R6C",'Mapa final'!$Q$30),"")</f>
        <v/>
      </c>
      <c r="AN31" s="53"/>
      <c r="AO31" s="424"/>
      <c r="AP31" s="425"/>
      <c r="AQ31" s="425"/>
      <c r="AR31" s="425"/>
      <c r="AS31" s="425"/>
      <c r="AT31" s="426"/>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row>
    <row r="32" spans="1:76" ht="15" customHeight="1" x14ac:dyDescent="0.3">
      <c r="A32" s="53"/>
      <c r="B32" s="343"/>
      <c r="C32" s="343"/>
      <c r="D32" s="344"/>
      <c r="E32" s="384"/>
      <c r="F32" s="385"/>
      <c r="G32" s="385"/>
      <c r="H32" s="385"/>
      <c r="I32" s="386"/>
      <c r="J32" s="37" t="str">
        <f>IF(AND('Mapa final'!$AA$31="Media",'Mapa final'!$AC$31="Leve"),CONCATENATE("R7C",'Mapa final'!$Q$31),"")</f>
        <v/>
      </c>
      <c r="K32" s="38" t="str">
        <f>IF(AND('Mapa final'!$AA$32="Media",'Mapa final'!$AC$32="Leve"),CONCATENATE("R7C",'Mapa final'!$Q$32),"")</f>
        <v/>
      </c>
      <c r="L32" s="38" t="str">
        <f>IF(AND('Mapa final'!$AA$33="Media",'Mapa final'!$AC$33="Leve"),CONCATENATE("R7C",'Mapa final'!$Q$33),"")</f>
        <v/>
      </c>
      <c r="M32" s="38" t="str">
        <f>IF(AND('Mapa final'!$AA$34="Media",'Mapa final'!$AC$34="Leve"),CONCATENATE("R7C",'Mapa final'!$Q$34),"")</f>
        <v/>
      </c>
      <c r="N32" s="38" t="str">
        <f>IF(AND('Mapa final'!$AA$35="Media",'Mapa final'!$AC$35="Leve"),CONCATENATE("R7C",'Mapa final'!$Q$35),"")</f>
        <v/>
      </c>
      <c r="O32" s="39" t="str">
        <f>IF(AND('Mapa final'!$AA$36="Media",'Mapa final'!$AC$36="Leve"),CONCATENATE("R7C",'Mapa final'!$Q$36),"")</f>
        <v/>
      </c>
      <c r="P32" s="37" t="str">
        <f>IF(AND('Mapa final'!$AA$31="Media",'Mapa final'!$AC$31="Menor"),CONCATENATE("R7C",'Mapa final'!$Q$31),"")</f>
        <v/>
      </c>
      <c r="Q32" s="38" t="str">
        <f>IF(AND('Mapa final'!$AA$32="Media",'Mapa final'!$AC$32="Menor"),CONCATENATE("R7C",'Mapa final'!$Q$32),"")</f>
        <v/>
      </c>
      <c r="R32" s="38" t="str">
        <f>IF(AND('Mapa final'!$AA$33="Media",'Mapa final'!$AC$33="Menor"),CONCATENATE("R7C",'Mapa final'!$Q$33),"")</f>
        <v/>
      </c>
      <c r="S32" s="38" t="str">
        <f>IF(AND('Mapa final'!$AA$34="Media",'Mapa final'!$AC$34="Menor"),CONCATENATE("R7C",'Mapa final'!$Q$34),"")</f>
        <v/>
      </c>
      <c r="T32" s="38" t="str">
        <f>IF(AND('Mapa final'!$AA$35="Media",'Mapa final'!$AC$35="Menor"),CONCATENATE("R7C",'Mapa final'!$Q$35),"")</f>
        <v/>
      </c>
      <c r="U32" s="39" t="str">
        <f>IF(AND('Mapa final'!$AA$36="Media",'Mapa final'!$AC$36="Menor"),CONCATENATE("R7C",'Mapa final'!$Q$36),"")</f>
        <v/>
      </c>
      <c r="V32" s="37" t="str">
        <f>IF(AND('Mapa final'!$AA$31="Media",'Mapa final'!$AC$31="Moderado"),CONCATENATE("R7C",'Mapa final'!$Q$31),"")</f>
        <v/>
      </c>
      <c r="W32" s="38" t="str">
        <f>IF(AND('Mapa final'!$AA$32="Media",'Mapa final'!$AC$32="Moderado"),CONCATENATE("R7C",'Mapa final'!$Q$32),"")</f>
        <v/>
      </c>
      <c r="X32" s="38" t="str">
        <f>IF(AND('Mapa final'!$AA$33="Media",'Mapa final'!$AC$33="Moderado"),CONCATENATE("R7C",'Mapa final'!$Q$33),"")</f>
        <v/>
      </c>
      <c r="Y32" s="38" t="str">
        <f>IF(AND('Mapa final'!$AA$34="Media",'Mapa final'!$AC$34="Moderado"),CONCATENATE("R7C",'Mapa final'!$Q$34),"")</f>
        <v/>
      </c>
      <c r="Z32" s="38" t="str">
        <f>IF(AND('Mapa final'!$AA$35="Media",'Mapa final'!$AC$35="Moderado"),CONCATENATE("R7C",'Mapa final'!$Q$35),"")</f>
        <v/>
      </c>
      <c r="AA32" s="39" t="str">
        <f>IF(AND('Mapa final'!$AA$36="Media",'Mapa final'!$AC$36="Moderado"),CONCATENATE("R7C",'Mapa final'!$Q$36),"")</f>
        <v/>
      </c>
      <c r="AB32" s="22" t="str">
        <f>IF(AND('Mapa final'!$AA$31="Media",'Mapa final'!$AC$31="Mayor"),CONCATENATE("R7C",'Mapa final'!$Q$31),"")</f>
        <v/>
      </c>
      <c r="AC32" s="23" t="str">
        <f>IF(AND('Mapa final'!$AA$32="Media",'Mapa final'!$AC$32="Mayor"),CONCATENATE("R7C",'Mapa final'!$Q$32),"")</f>
        <v/>
      </c>
      <c r="AD32" s="23" t="str">
        <f>IF(AND('Mapa final'!$AA$33="Media",'Mapa final'!$AC$33="Mayor"),CONCATENATE("R7C",'Mapa final'!$Q$33),"")</f>
        <v/>
      </c>
      <c r="AE32" s="23" t="str">
        <f>IF(AND('Mapa final'!$AA$34="Media",'Mapa final'!$AC$34="Mayor"),CONCATENATE("R7C",'Mapa final'!$Q$34),"")</f>
        <v/>
      </c>
      <c r="AF32" s="23" t="str">
        <f>IF(AND('Mapa final'!$AA$35="Media",'Mapa final'!$AC$35="Mayor"),CONCATENATE("R7C",'Mapa final'!$Q$35),"")</f>
        <v/>
      </c>
      <c r="AG32" s="24" t="str">
        <f>IF(AND('Mapa final'!$AA$36="Media",'Mapa final'!$AC$36="Mayor"),CONCATENATE("R7C",'Mapa final'!$Q$36),"")</f>
        <v/>
      </c>
      <c r="AH32" s="25" t="str">
        <f>IF(AND('Mapa final'!$AA$31="Media",'Mapa final'!$AC$31="Catastrófico"),CONCATENATE("R7C",'Mapa final'!$Q$31),"")</f>
        <v/>
      </c>
      <c r="AI32" s="26" t="str">
        <f>IF(AND('Mapa final'!$AA$32="Media",'Mapa final'!$AC$32="Catastrófico"),CONCATENATE("R7C",'Mapa final'!$Q$32),"")</f>
        <v/>
      </c>
      <c r="AJ32" s="26" t="str">
        <f>IF(AND('Mapa final'!$AA$33="Media",'Mapa final'!$AC$33="Catastrófico"),CONCATENATE("R7C",'Mapa final'!$Q$33),"")</f>
        <v/>
      </c>
      <c r="AK32" s="26" t="str">
        <f>IF(AND('Mapa final'!$AA$34="Media",'Mapa final'!$AC$34="Catastrófico"),CONCATENATE("R7C",'Mapa final'!$Q$34),"")</f>
        <v/>
      </c>
      <c r="AL32" s="26" t="str">
        <f>IF(AND('Mapa final'!$AA$35="Media",'Mapa final'!$AC$35="Catastrófico"),CONCATENATE("R7C",'Mapa final'!$Q$35),"")</f>
        <v/>
      </c>
      <c r="AM32" s="27" t="str">
        <f>IF(AND('Mapa final'!$AA$36="Media",'Mapa final'!$AC$36="Catastrófico"),CONCATENATE("R7C",'Mapa final'!$Q$36),"")</f>
        <v/>
      </c>
      <c r="AN32" s="53"/>
      <c r="AO32" s="424"/>
      <c r="AP32" s="425"/>
      <c r="AQ32" s="425"/>
      <c r="AR32" s="425"/>
      <c r="AS32" s="425"/>
      <c r="AT32" s="426"/>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row>
    <row r="33" spans="1:80" ht="15" customHeight="1" x14ac:dyDescent="0.3">
      <c r="A33" s="53"/>
      <c r="B33" s="343"/>
      <c r="C33" s="343"/>
      <c r="D33" s="344"/>
      <c r="E33" s="384"/>
      <c r="F33" s="385"/>
      <c r="G33" s="385"/>
      <c r="H33" s="385"/>
      <c r="I33" s="386"/>
      <c r="J33" s="37" t="str">
        <f>IF(AND('Mapa final'!$AA$37="Media",'Mapa final'!$AC$37="Leve"),CONCATENATE("R8C",'Mapa final'!$Q$37),"")</f>
        <v/>
      </c>
      <c r="K33" s="38" t="str">
        <f>IF(AND('Mapa final'!$AA$38="Media",'Mapa final'!$AC$38="Leve"),CONCATENATE("R8C",'Mapa final'!$Q$38),"")</f>
        <v/>
      </c>
      <c r="L33" s="38" t="str">
        <f>IF(AND('Mapa final'!$AA$39="Media",'Mapa final'!$AC$39="Leve"),CONCATENATE("R8C",'Mapa final'!$Q$39),"")</f>
        <v/>
      </c>
      <c r="M33" s="38" t="str">
        <f>IF(AND('Mapa final'!$AA$40="Media",'Mapa final'!$AC$40="Leve"),CONCATENATE("R8C",'Mapa final'!$Q$40),"")</f>
        <v/>
      </c>
      <c r="N33" s="38" t="str">
        <f>IF(AND('Mapa final'!$AA$41="Media",'Mapa final'!$AC$41="Leve"),CONCATENATE("R8C",'Mapa final'!$Q$41),"")</f>
        <v/>
      </c>
      <c r="O33" s="39" t="str">
        <f>IF(AND('Mapa final'!$AA$42="Media",'Mapa final'!$AC$42="Leve"),CONCATENATE("R8C",'Mapa final'!$Q$42),"")</f>
        <v/>
      </c>
      <c r="P33" s="37" t="str">
        <f>IF(AND('Mapa final'!$AA$37="Media",'Mapa final'!$AC$37="Menor"),CONCATENATE("R8C",'Mapa final'!$Q$37),"")</f>
        <v/>
      </c>
      <c r="Q33" s="38" t="str">
        <f>IF(AND('Mapa final'!$AA$38="Media",'Mapa final'!$AC$38="Menor"),CONCATENATE("R8C",'Mapa final'!$Q$38),"")</f>
        <v/>
      </c>
      <c r="R33" s="38" t="str">
        <f>IF(AND('Mapa final'!$AA$39="Media",'Mapa final'!$AC$39="Menor"),CONCATENATE("R8C",'Mapa final'!$Q$39),"")</f>
        <v/>
      </c>
      <c r="S33" s="38" t="str">
        <f>IF(AND('Mapa final'!$AA$40="Media",'Mapa final'!$AC$40="Menor"),CONCATENATE("R8C",'Mapa final'!$Q$40),"")</f>
        <v/>
      </c>
      <c r="T33" s="38" t="str">
        <f>IF(AND('Mapa final'!$AA$41="Media",'Mapa final'!$AC$41="Menor"),CONCATENATE("R8C",'Mapa final'!$Q$41),"")</f>
        <v/>
      </c>
      <c r="U33" s="39" t="str">
        <f>IF(AND('Mapa final'!$AA$42="Media",'Mapa final'!$AC$42="Menor"),CONCATENATE("R8C",'Mapa final'!$Q$42),"")</f>
        <v/>
      </c>
      <c r="V33" s="37" t="str">
        <f>IF(AND('Mapa final'!$AA$37="Media",'Mapa final'!$AC$37="Moderado"),CONCATENATE("R8C",'Mapa final'!$Q$37),"")</f>
        <v/>
      </c>
      <c r="W33" s="38" t="str">
        <f>IF(AND('Mapa final'!$AA$38="Media",'Mapa final'!$AC$38="Moderado"),CONCATENATE("R8C",'Mapa final'!$Q$38),"")</f>
        <v/>
      </c>
      <c r="X33" s="38" t="str">
        <f>IF(AND('Mapa final'!$AA$39="Media",'Mapa final'!$AC$39="Moderado"),CONCATENATE("R8C",'Mapa final'!$Q$39),"")</f>
        <v/>
      </c>
      <c r="Y33" s="38" t="str">
        <f>IF(AND('Mapa final'!$AA$40="Media",'Mapa final'!$AC$40="Moderado"),CONCATENATE("R8C",'Mapa final'!$Q$40),"")</f>
        <v/>
      </c>
      <c r="Z33" s="38" t="str">
        <f>IF(AND('Mapa final'!$AA$41="Media",'Mapa final'!$AC$41="Moderado"),CONCATENATE("R8C",'Mapa final'!$Q$41),"")</f>
        <v/>
      </c>
      <c r="AA33" s="39" t="str">
        <f>IF(AND('Mapa final'!$AA$42="Media",'Mapa final'!$AC$42="Moderado"),CONCATENATE("R8C",'Mapa final'!$Q$42),"")</f>
        <v/>
      </c>
      <c r="AB33" s="22" t="str">
        <f>IF(AND('Mapa final'!$AA$37="Media",'Mapa final'!$AC$37="Mayor"),CONCATENATE("R8C",'Mapa final'!$Q$37),"")</f>
        <v/>
      </c>
      <c r="AC33" s="23" t="str">
        <f>IF(AND('Mapa final'!$AA$38="Media",'Mapa final'!$AC$38="Mayor"),CONCATENATE("R8C",'Mapa final'!$Q$38),"")</f>
        <v/>
      </c>
      <c r="AD33" s="23" t="str">
        <f>IF(AND('Mapa final'!$AA$39="Media",'Mapa final'!$AC$39="Mayor"),CONCATENATE("R8C",'Mapa final'!$Q$39),"")</f>
        <v/>
      </c>
      <c r="AE33" s="23" t="str">
        <f>IF(AND('Mapa final'!$AA$40="Media",'Mapa final'!$AC$40="Mayor"),CONCATENATE("R8C",'Mapa final'!$Q$40),"")</f>
        <v/>
      </c>
      <c r="AF33" s="23" t="str">
        <f>IF(AND('Mapa final'!$AA$41="Media",'Mapa final'!$AC$41="Mayor"),CONCATENATE("R8C",'Mapa final'!$Q$41),"")</f>
        <v/>
      </c>
      <c r="AG33" s="24" t="str">
        <f>IF(AND('Mapa final'!$AA$42="Media",'Mapa final'!$AC$42="Mayor"),CONCATENATE("R8C",'Mapa final'!$Q$42),"")</f>
        <v/>
      </c>
      <c r="AH33" s="25" t="str">
        <f>IF(AND('Mapa final'!$AA$37="Media",'Mapa final'!$AC$37="Catastrófico"),CONCATENATE("R8C",'Mapa final'!$Q$37),"")</f>
        <v/>
      </c>
      <c r="AI33" s="26" t="str">
        <f>IF(AND('Mapa final'!$AA$38="Media",'Mapa final'!$AC$38="Catastrófico"),CONCATENATE("R8C",'Mapa final'!$Q$38),"")</f>
        <v/>
      </c>
      <c r="AJ33" s="26" t="str">
        <f>IF(AND('Mapa final'!$AA$39="Media",'Mapa final'!$AC$39="Catastrófico"),CONCATENATE("R8C",'Mapa final'!$Q$39),"")</f>
        <v/>
      </c>
      <c r="AK33" s="26" t="str">
        <f>IF(AND('Mapa final'!$AA$40="Media",'Mapa final'!$AC$40="Catastrófico"),CONCATENATE("R8C",'Mapa final'!$Q$40),"")</f>
        <v/>
      </c>
      <c r="AL33" s="26" t="str">
        <f>IF(AND('Mapa final'!$AA$41="Media",'Mapa final'!$AC$41="Catastrófico"),CONCATENATE("R8C",'Mapa final'!$Q$41),"")</f>
        <v/>
      </c>
      <c r="AM33" s="27" t="str">
        <f>IF(AND('Mapa final'!$AA$42="Media",'Mapa final'!$AC$42="Catastrófico"),CONCATENATE("R8C",'Mapa final'!$Q$42),"")</f>
        <v/>
      </c>
      <c r="AN33" s="53"/>
      <c r="AO33" s="424"/>
      <c r="AP33" s="425"/>
      <c r="AQ33" s="425"/>
      <c r="AR33" s="425"/>
      <c r="AS33" s="425"/>
      <c r="AT33" s="426"/>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row>
    <row r="34" spans="1:80" ht="15" customHeight="1" x14ac:dyDescent="0.3">
      <c r="A34" s="53"/>
      <c r="B34" s="343"/>
      <c r="C34" s="343"/>
      <c r="D34" s="344"/>
      <c r="E34" s="384"/>
      <c r="F34" s="385"/>
      <c r="G34" s="385"/>
      <c r="H34" s="385"/>
      <c r="I34" s="386"/>
      <c r="J34" s="37" t="str">
        <f>IF(AND('Mapa final'!$AA$43="Media",'Mapa final'!$AC$43="Leve"),CONCATENATE("R9C",'Mapa final'!$Q$43),"")</f>
        <v/>
      </c>
      <c r="K34" s="38" t="str">
        <f>IF(AND('Mapa final'!$AA$44="Media",'Mapa final'!$AC$44="Leve"),CONCATENATE("R9C",'Mapa final'!$Q$44),"")</f>
        <v/>
      </c>
      <c r="L34" s="38" t="str">
        <f>IF(AND('Mapa final'!$AA$45="Media",'Mapa final'!$AC$45="Leve"),CONCATENATE("R9C",'Mapa final'!$Q$45),"")</f>
        <v/>
      </c>
      <c r="M34" s="38" t="str">
        <f>IF(AND('Mapa final'!$AA$46="Media",'Mapa final'!$AC$46="Leve"),CONCATENATE("R9C",'Mapa final'!$Q$46),"")</f>
        <v/>
      </c>
      <c r="N34" s="38" t="str">
        <f>IF(AND('Mapa final'!$AA$47="Media",'Mapa final'!$AC$47="Leve"),CONCATENATE("R9C",'Mapa final'!$Q$47),"")</f>
        <v/>
      </c>
      <c r="O34" s="39" t="str">
        <f>IF(AND('Mapa final'!$AA$48="Media",'Mapa final'!$AC$48="Leve"),CONCATENATE("R9C",'Mapa final'!$Q$48),"")</f>
        <v/>
      </c>
      <c r="P34" s="37" t="str">
        <f>IF(AND('Mapa final'!$AA$43="Media",'Mapa final'!$AC$43="Menor"),CONCATENATE("R9C",'Mapa final'!$Q$43),"")</f>
        <v/>
      </c>
      <c r="Q34" s="38" t="str">
        <f>IF(AND('Mapa final'!$AA$44="Media",'Mapa final'!$AC$44="Menor"),CONCATENATE("R9C",'Mapa final'!$Q$44),"")</f>
        <v/>
      </c>
      <c r="R34" s="38" t="str">
        <f>IF(AND('Mapa final'!$AA$45="Media",'Mapa final'!$AC$45="Menor"),CONCATENATE("R9C",'Mapa final'!$Q$45),"")</f>
        <v/>
      </c>
      <c r="S34" s="38" t="str">
        <f>IF(AND('Mapa final'!$AA$46="Media",'Mapa final'!$AC$46="Menor"),CONCATENATE("R9C",'Mapa final'!$Q$46),"")</f>
        <v/>
      </c>
      <c r="T34" s="38" t="str">
        <f>IF(AND('Mapa final'!$AA$47="Media",'Mapa final'!$AC$47="Menor"),CONCATENATE("R9C",'Mapa final'!$Q$47),"")</f>
        <v/>
      </c>
      <c r="U34" s="39" t="str">
        <f>IF(AND('Mapa final'!$AA$48="Media",'Mapa final'!$AC$48="Menor"),CONCATENATE("R9C",'Mapa final'!$Q$48),"")</f>
        <v/>
      </c>
      <c r="V34" s="37" t="str">
        <f>IF(AND('Mapa final'!$AA$43="Media",'Mapa final'!$AC$43="Moderado"),CONCATENATE("R9C",'Mapa final'!$Q$43),"")</f>
        <v/>
      </c>
      <c r="W34" s="38" t="str">
        <f>IF(AND('Mapa final'!$AA$44="Media",'Mapa final'!$AC$44="Moderado"),CONCATENATE("R9C",'Mapa final'!$Q$44),"")</f>
        <v/>
      </c>
      <c r="X34" s="38" t="str">
        <f>IF(AND('Mapa final'!$AA$45="Media",'Mapa final'!$AC$45="Moderado"),CONCATENATE("R9C",'Mapa final'!$Q$45),"")</f>
        <v/>
      </c>
      <c r="Y34" s="38" t="str">
        <f>IF(AND('Mapa final'!$AA$46="Media",'Mapa final'!$AC$46="Moderado"),CONCATENATE("R9C",'Mapa final'!$Q$46),"")</f>
        <v/>
      </c>
      <c r="Z34" s="38" t="str">
        <f>IF(AND('Mapa final'!$AA$47="Media",'Mapa final'!$AC$47="Moderado"),CONCATENATE("R9C",'Mapa final'!$Q$47),"")</f>
        <v/>
      </c>
      <c r="AA34" s="39" t="str">
        <f>IF(AND('Mapa final'!$AA$48="Media",'Mapa final'!$AC$48="Moderado"),CONCATENATE("R9C",'Mapa final'!$Q$48),"")</f>
        <v/>
      </c>
      <c r="AB34" s="22" t="str">
        <f>IF(AND('Mapa final'!$AA$43="Media",'Mapa final'!$AC$43="Mayor"),CONCATENATE("R9C",'Mapa final'!$Q$43),"")</f>
        <v/>
      </c>
      <c r="AC34" s="23" t="str">
        <f>IF(AND('Mapa final'!$AA$44="Media",'Mapa final'!$AC$44="Mayor"),CONCATENATE("R9C",'Mapa final'!$Q$44),"")</f>
        <v/>
      </c>
      <c r="AD34" s="23" t="str">
        <f>IF(AND('Mapa final'!$AA$45="Media",'Mapa final'!$AC$45="Mayor"),CONCATENATE("R9C",'Mapa final'!$Q$45),"")</f>
        <v/>
      </c>
      <c r="AE34" s="23" t="str">
        <f>IF(AND('Mapa final'!$AA$46="Media",'Mapa final'!$AC$46="Mayor"),CONCATENATE("R9C",'Mapa final'!$Q$46),"")</f>
        <v/>
      </c>
      <c r="AF34" s="23" t="str">
        <f>IF(AND('Mapa final'!$AA$47="Media",'Mapa final'!$AC$47="Mayor"),CONCATENATE("R9C",'Mapa final'!$Q$47),"")</f>
        <v/>
      </c>
      <c r="AG34" s="24" t="str">
        <f>IF(AND('Mapa final'!$AA$48="Media",'Mapa final'!$AC$48="Mayor"),CONCATENATE("R9C",'Mapa final'!$Q$48),"")</f>
        <v/>
      </c>
      <c r="AH34" s="25" t="str">
        <f>IF(AND('Mapa final'!$AA$43="Media",'Mapa final'!$AC$43="Catastrófico"),CONCATENATE("R9C",'Mapa final'!$Q$43),"")</f>
        <v/>
      </c>
      <c r="AI34" s="26" t="str">
        <f>IF(AND('Mapa final'!$AA$44="Media",'Mapa final'!$AC$44="Catastrófico"),CONCATENATE("R9C",'Mapa final'!$Q$44),"")</f>
        <v/>
      </c>
      <c r="AJ34" s="26" t="str">
        <f>IF(AND('Mapa final'!$AA$45="Media",'Mapa final'!$AC$45="Catastrófico"),CONCATENATE("R9C",'Mapa final'!$Q$45),"")</f>
        <v/>
      </c>
      <c r="AK34" s="26" t="str">
        <f>IF(AND('Mapa final'!$AA$46="Media",'Mapa final'!$AC$46="Catastrófico"),CONCATENATE("R9C",'Mapa final'!$Q$46),"")</f>
        <v/>
      </c>
      <c r="AL34" s="26" t="str">
        <f>IF(AND('Mapa final'!$AA$47="Media",'Mapa final'!$AC$47="Catastrófico"),CONCATENATE("R9C",'Mapa final'!$Q$47),"")</f>
        <v/>
      </c>
      <c r="AM34" s="27" t="str">
        <f>IF(AND('Mapa final'!$AA$48="Media",'Mapa final'!$AC$48="Catastrófico"),CONCATENATE("R9C",'Mapa final'!$Q$48),"")</f>
        <v/>
      </c>
      <c r="AN34" s="53"/>
      <c r="AO34" s="424"/>
      <c r="AP34" s="425"/>
      <c r="AQ34" s="425"/>
      <c r="AR34" s="425"/>
      <c r="AS34" s="425"/>
      <c r="AT34" s="426"/>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row>
    <row r="35" spans="1:80" ht="15.75" customHeight="1" thickBot="1" x14ac:dyDescent="0.35">
      <c r="A35" s="53"/>
      <c r="B35" s="343"/>
      <c r="C35" s="343"/>
      <c r="D35" s="344"/>
      <c r="E35" s="387"/>
      <c r="F35" s="388"/>
      <c r="G35" s="388"/>
      <c r="H35" s="388"/>
      <c r="I35" s="389"/>
      <c r="J35" s="37" t="str">
        <f>IF(AND('Mapa final'!$AA$49="Media",'Mapa final'!$AC$49="Leve"),CONCATENATE("R10C",'Mapa final'!$Q$49),"")</f>
        <v/>
      </c>
      <c r="K35" s="38" t="str">
        <f>IF(AND('Mapa final'!$AA$50="Media",'Mapa final'!$AC$50="Leve"),CONCATENATE("R10C",'Mapa final'!$Q$50),"")</f>
        <v/>
      </c>
      <c r="L35" s="38" t="str">
        <f>IF(AND('Mapa final'!$AA$51="Media",'Mapa final'!$AC$51="Leve"),CONCATENATE("R10C",'Mapa final'!$Q$51),"")</f>
        <v/>
      </c>
      <c r="M35" s="38" t="str">
        <f>IF(AND('Mapa final'!$AA$52="Media",'Mapa final'!$AC$52="Leve"),CONCATENATE("R10C",'Mapa final'!$Q$52),"")</f>
        <v/>
      </c>
      <c r="N35" s="38" t="str">
        <f>IF(AND('Mapa final'!$AA$53="Media",'Mapa final'!$AC$53="Leve"),CONCATENATE("R10C",'Mapa final'!$Q$53),"")</f>
        <v/>
      </c>
      <c r="O35" s="39" t="str">
        <f>IF(AND('Mapa final'!$AA$54="Media",'Mapa final'!$AC$54="Leve"),CONCATENATE("R10C",'Mapa final'!$Q$54),"")</f>
        <v/>
      </c>
      <c r="P35" s="37" t="str">
        <f>IF(AND('Mapa final'!$AA$49="Media",'Mapa final'!$AC$49="Menor"),CONCATENATE("R10C",'Mapa final'!$Q$49),"")</f>
        <v/>
      </c>
      <c r="Q35" s="38" t="str">
        <f>IF(AND('Mapa final'!$AA$50="Media",'Mapa final'!$AC$50="Menor"),CONCATENATE("R10C",'Mapa final'!$Q$50),"")</f>
        <v/>
      </c>
      <c r="R35" s="38" t="str">
        <f>IF(AND('Mapa final'!$AA$51="Media",'Mapa final'!$AC$51="Menor"),CONCATENATE("R10C",'Mapa final'!$Q$51),"")</f>
        <v/>
      </c>
      <c r="S35" s="38" t="str">
        <f>IF(AND('Mapa final'!$AA$52="Media",'Mapa final'!$AC$52="Menor"),CONCATENATE("R10C",'Mapa final'!$Q$52),"")</f>
        <v/>
      </c>
      <c r="T35" s="38" t="str">
        <f>IF(AND('Mapa final'!$AA$53="Media",'Mapa final'!$AC$53="Menor"),CONCATENATE("R10C",'Mapa final'!$Q$53),"")</f>
        <v/>
      </c>
      <c r="U35" s="39" t="str">
        <f>IF(AND('Mapa final'!$AA$54="Media",'Mapa final'!$AC$54="Menor"),CONCATENATE("R10C",'Mapa final'!$Q$54),"")</f>
        <v/>
      </c>
      <c r="V35" s="37" t="str">
        <f>IF(AND('Mapa final'!$AA$49="Media",'Mapa final'!$AC$49="Moderado"),CONCATENATE("R10C",'Mapa final'!$Q$49),"")</f>
        <v/>
      </c>
      <c r="W35" s="38" t="str">
        <f>IF(AND('Mapa final'!$AA$50="Media",'Mapa final'!$AC$50="Moderado"),CONCATENATE("R10C",'Mapa final'!$Q$50),"")</f>
        <v/>
      </c>
      <c r="X35" s="38" t="str">
        <f>IF(AND('Mapa final'!$AA$51="Media",'Mapa final'!$AC$51="Moderado"),CONCATENATE("R10C",'Mapa final'!$Q$51),"")</f>
        <v/>
      </c>
      <c r="Y35" s="38" t="str">
        <f>IF(AND('Mapa final'!$AA$52="Media",'Mapa final'!$AC$52="Moderado"),CONCATENATE("R10C",'Mapa final'!$Q$52),"")</f>
        <v/>
      </c>
      <c r="Z35" s="38" t="str">
        <f>IF(AND('Mapa final'!$AA$53="Media",'Mapa final'!$AC$53="Moderado"),CONCATENATE("R10C",'Mapa final'!$Q$53),"")</f>
        <v/>
      </c>
      <c r="AA35" s="39" t="str">
        <f>IF(AND('Mapa final'!$AA$54="Media",'Mapa final'!$AC$54="Moderado"),CONCATENATE("R10C",'Mapa final'!$Q$54),"")</f>
        <v/>
      </c>
      <c r="AB35" s="28" t="str">
        <f>IF(AND('Mapa final'!$AA$49="Media",'Mapa final'!$AC$49="Mayor"),CONCATENATE("R10C",'Mapa final'!$Q$49),"")</f>
        <v/>
      </c>
      <c r="AC35" s="29" t="str">
        <f>IF(AND('Mapa final'!$AA$50="Media",'Mapa final'!$AC$50="Mayor"),CONCATENATE("R10C",'Mapa final'!$Q$50),"")</f>
        <v/>
      </c>
      <c r="AD35" s="29" t="str">
        <f>IF(AND('Mapa final'!$AA$51="Media",'Mapa final'!$AC$51="Mayor"),CONCATENATE("R10C",'Mapa final'!$Q$51),"")</f>
        <v/>
      </c>
      <c r="AE35" s="29" t="str">
        <f>IF(AND('Mapa final'!$AA$52="Media",'Mapa final'!$AC$52="Mayor"),CONCATENATE("R10C",'Mapa final'!$Q$52),"")</f>
        <v/>
      </c>
      <c r="AF35" s="29" t="str">
        <f>IF(AND('Mapa final'!$AA$53="Media",'Mapa final'!$AC$53="Mayor"),CONCATENATE("R10C",'Mapa final'!$Q$53),"")</f>
        <v/>
      </c>
      <c r="AG35" s="30" t="str">
        <f>IF(AND('Mapa final'!$AA$54="Media",'Mapa final'!$AC$54="Mayor"),CONCATENATE("R10C",'Mapa final'!$Q$54),"")</f>
        <v/>
      </c>
      <c r="AH35" s="31" t="str">
        <f>IF(AND('Mapa final'!$AA$49="Media",'Mapa final'!$AC$49="Catastrófico"),CONCATENATE("R10C",'Mapa final'!$Q$49),"")</f>
        <v/>
      </c>
      <c r="AI35" s="32" t="str">
        <f>IF(AND('Mapa final'!$AA$50="Media",'Mapa final'!$AC$50="Catastrófico"),CONCATENATE("R10C",'Mapa final'!$Q$50),"")</f>
        <v/>
      </c>
      <c r="AJ35" s="32" t="str">
        <f>IF(AND('Mapa final'!$AA$51="Media",'Mapa final'!$AC$51="Catastrófico"),CONCATENATE("R10C",'Mapa final'!$Q$51),"")</f>
        <v/>
      </c>
      <c r="AK35" s="32" t="str">
        <f>IF(AND('Mapa final'!$AA$52="Media",'Mapa final'!$AC$52="Catastrófico"),CONCATENATE("R10C",'Mapa final'!$Q$52),"")</f>
        <v/>
      </c>
      <c r="AL35" s="32" t="str">
        <f>IF(AND('Mapa final'!$AA$53="Media",'Mapa final'!$AC$53="Catastrófico"),CONCATENATE("R10C",'Mapa final'!$Q$53),"")</f>
        <v/>
      </c>
      <c r="AM35" s="33" t="str">
        <f>IF(AND('Mapa final'!$AA$54="Media",'Mapa final'!$AC$54="Catastrófico"),CONCATENATE("R10C",'Mapa final'!$Q$54),"")</f>
        <v/>
      </c>
      <c r="AN35" s="53"/>
      <c r="AO35" s="427"/>
      <c r="AP35" s="428"/>
      <c r="AQ35" s="428"/>
      <c r="AR35" s="428"/>
      <c r="AS35" s="428"/>
      <c r="AT35" s="429"/>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row>
    <row r="36" spans="1:80" ht="15" customHeight="1" x14ac:dyDescent="0.3">
      <c r="A36" s="53"/>
      <c r="B36" s="343"/>
      <c r="C36" s="343"/>
      <c r="D36" s="344"/>
      <c r="E36" s="381" t="s">
        <v>109</v>
      </c>
      <c r="F36" s="382"/>
      <c r="G36" s="382"/>
      <c r="H36" s="382"/>
      <c r="I36" s="382"/>
      <c r="J36" s="43" t="str">
        <f ca="1">IF(AND('Mapa final'!$AA$10="Baja",'Mapa final'!$AC$10="Leve"),CONCATENATE("R1C",'Mapa final'!$Q$10),"")</f>
        <v/>
      </c>
      <c r="K36" s="44" t="str">
        <f ca="1">IF(AND('Mapa final'!$AA$11="Baja",'Mapa final'!$AC$11="Leve"),CONCATENATE("R1C",'Mapa final'!$Q$11),"")</f>
        <v/>
      </c>
      <c r="L36" s="44" t="str">
        <f ca="1">IF(AND('Mapa final'!$AA$12="Baja",'Mapa final'!$AC$12="Leve"),CONCATENATE("R1C",'Mapa final'!$Q$12),"")</f>
        <v/>
      </c>
      <c r="M36" s="44" t="str">
        <f ca="1">IF(AND('Mapa final'!$AA$13="Baja",'Mapa final'!$AC$13="Leve"),CONCATENATE("R1C",'Mapa final'!$Q$13),"")</f>
        <v/>
      </c>
      <c r="N36" s="44" t="str">
        <f ca="1">IF(AND('Mapa final'!$AA$14="Baja",'Mapa final'!$AC$14="Leve"),CONCATENATE("R1C",'Mapa final'!$Q$14),"")</f>
        <v/>
      </c>
      <c r="O36" s="45" t="e">
        <f>IF(AND('Mapa final'!#REF!="Baja",'Mapa final'!#REF!="Leve"),CONCATENATE("R1C",'Mapa final'!#REF!),"")</f>
        <v>#REF!</v>
      </c>
      <c r="P36" s="34" t="str">
        <f ca="1">IF(AND('Mapa final'!$AA$10="Baja",'Mapa final'!$AC$10="Menor"),CONCATENATE("R1C",'Mapa final'!$Q$10),"")</f>
        <v/>
      </c>
      <c r="Q36" s="35" t="str">
        <f ca="1">IF(AND('Mapa final'!$AA$11="Baja",'Mapa final'!$AC$11="Menor"),CONCATENATE("R1C",'Mapa final'!$Q$11),"")</f>
        <v/>
      </c>
      <c r="R36" s="35" t="str">
        <f ca="1">IF(AND('Mapa final'!$AA$12="Baja",'Mapa final'!$AC$12="Menor"),CONCATENATE("R1C",'Mapa final'!$Q$12),"")</f>
        <v/>
      </c>
      <c r="S36" s="35" t="str">
        <f ca="1">IF(AND('Mapa final'!$AA$13="Baja",'Mapa final'!$AC$13="Menor"),CONCATENATE("R1C",'Mapa final'!$Q$13),"")</f>
        <v/>
      </c>
      <c r="T36" s="35" t="str">
        <f ca="1">IF(AND('Mapa final'!$AA$14="Baja",'Mapa final'!$AC$14="Menor"),CONCATENATE("R1C",'Mapa final'!$Q$14),"")</f>
        <v/>
      </c>
      <c r="U36" s="36" t="e">
        <f>IF(AND('Mapa final'!#REF!="Baja",'Mapa final'!#REF!="Menor"),CONCATENATE("R1C",'Mapa final'!#REF!),"")</f>
        <v>#REF!</v>
      </c>
      <c r="V36" s="34" t="str">
        <f ca="1">IF(AND('Mapa final'!$AA$10="Baja",'Mapa final'!$AC$10="Moderado"),CONCATENATE("R1C",'Mapa final'!$Q$10),"")</f>
        <v/>
      </c>
      <c r="W36" s="35" t="str">
        <f ca="1">IF(AND('Mapa final'!$AA$11="Baja",'Mapa final'!$AC$11="Moderado"),CONCATENATE("R1C",'Mapa final'!$Q$11),"")</f>
        <v/>
      </c>
      <c r="X36" s="35" t="str">
        <f ca="1">IF(AND('Mapa final'!$AA$12="Baja",'Mapa final'!$AC$12="Moderado"),CONCATENATE("R1C",'Mapa final'!$Q$12),"")</f>
        <v/>
      </c>
      <c r="Y36" s="35" t="str">
        <f ca="1">IF(AND('Mapa final'!$AA$13="Baja",'Mapa final'!$AC$13="Moderado"),CONCATENATE("R1C",'Mapa final'!$Q$13),"")</f>
        <v/>
      </c>
      <c r="Z36" s="35" t="str">
        <f ca="1">IF(AND('Mapa final'!$AA$14="Baja",'Mapa final'!$AC$14="Moderado"),CONCATENATE("R1C",'Mapa final'!$Q$14),"")</f>
        <v/>
      </c>
      <c r="AA36" s="36" t="e">
        <f>IF(AND('Mapa final'!#REF!="Baja",'Mapa final'!#REF!="Moderado"),CONCATENATE("R1C",'Mapa final'!#REF!),"")</f>
        <v>#REF!</v>
      </c>
      <c r="AB36" s="16" t="str">
        <f ca="1">IF(AND('Mapa final'!$AA$10="Baja",'Mapa final'!$AC$10="Mayor"),CONCATENATE("R1C",'Mapa final'!$Q$10),"")</f>
        <v/>
      </c>
      <c r="AC36" s="17" t="str">
        <f ca="1">IF(AND('Mapa final'!$AA$11="Baja",'Mapa final'!$AC$11="Mayor"),CONCATENATE("R1C",'Mapa final'!$Q$11),"")</f>
        <v>R1C2</v>
      </c>
      <c r="AD36" s="17" t="str">
        <f ca="1">IF(AND('Mapa final'!$AA$12="Baja",'Mapa final'!$AC$12="Mayor"),CONCATENATE("R1C",'Mapa final'!$Q$12),"")</f>
        <v/>
      </c>
      <c r="AE36" s="17" t="str">
        <f ca="1">IF(AND('Mapa final'!$AA$13="Baja",'Mapa final'!$AC$13="Mayor"),CONCATENATE("R1C",'Mapa final'!$Q$13),"")</f>
        <v/>
      </c>
      <c r="AF36" s="17" t="str">
        <f ca="1">IF(AND('Mapa final'!$AA$14="Baja",'Mapa final'!$AC$14="Mayor"),CONCATENATE("R1C",'Mapa final'!$Q$14),"")</f>
        <v/>
      </c>
      <c r="AG36" s="18" t="e">
        <f>IF(AND('Mapa final'!#REF!="Baja",'Mapa final'!#REF!="Mayor"),CONCATENATE("R1C",'Mapa final'!#REF!),"")</f>
        <v>#REF!</v>
      </c>
      <c r="AH36" s="19" t="str">
        <f ca="1">IF(AND('Mapa final'!$AA$10="Baja",'Mapa final'!$AC$10="Catastrófico"),CONCATENATE("R1C",'Mapa final'!$Q$10),"")</f>
        <v/>
      </c>
      <c r="AI36" s="20" t="str">
        <f ca="1">IF(AND('Mapa final'!$AA$11="Baja",'Mapa final'!$AC$11="Catastrófico"),CONCATENATE("R1C",'Mapa final'!$Q$11),"")</f>
        <v/>
      </c>
      <c r="AJ36" s="20" t="str">
        <f ca="1">IF(AND('Mapa final'!$AA$12="Baja",'Mapa final'!$AC$12="Catastrófico"),CONCATENATE("R1C",'Mapa final'!$Q$12),"")</f>
        <v/>
      </c>
      <c r="AK36" s="20" t="str">
        <f ca="1">IF(AND('Mapa final'!$AA$13="Baja",'Mapa final'!$AC$13="Catastrófico"),CONCATENATE("R1C",'Mapa final'!$Q$13),"")</f>
        <v/>
      </c>
      <c r="AL36" s="20" t="str">
        <f ca="1">IF(AND('Mapa final'!$AA$14="Baja",'Mapa final'!$AC$14="Catastrófico"),CONCATENATE("R1C",'Mapa final'!$Q$14),"")</f>
        <v/>
      </c>
      <c r="AM36" s="21" t="e">
        <f>IF(AND('Mapa final'!#REF!="Baja",'Mapa final'!#REF!="Catastrófico"),CONCATENATE("R1C",'Mapa final'!#REF!),"")</f>
        <v>#REF!</v>
      </c>
      <c r="AN36" s="53"/>
      <c r="AO36" s="412" t="s">
        <v>81</v>
      </c>
      <c r="AP36" s="413"/>
      <c r="AQ36" s="413"/>
      <c r="AR36" s="413"/>
      <c r="AS36" s="413"/>
      <c r="AT36" s="414"/>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row>
    <row r="37" spans="1:80" ht="15" customHeight="1" x14ac:dyDescent="0.3">
      <c r="A37" s="53"/>
      <c r="B37" s="343"/>
      <c r="C37" s="343"/>
      <c r="D37" s="344"/>
      <c r="E37" s="400"/>
      <c r="F37" s="385"/>
      <c r="G37" s="385"/>
      <c r="H37" s="385"/>
      <c r="I37" s="385"/>
      <c r="J37" s="46" t="str">
        <f ca="1">IF(AND('Mapa final'!$AA$15="Baja",'Mapa final'!$AC$15="Leve"),CONCATENATE("R2C",'Mapa final'!$Q$15),"")</f>
        <v/>
      </c>
      <c r="K37" s="47" t="str">
        <f ca="1">IF(AND('Mapa final'!$AA$16="Baja",'Mapa final'!$AC$16="Leve"),CONCATENATE("R2C",'Mapa final'!$Q$16),"")</f>
        <v/>
      </c>
      <c r="L37" s="47" t="e">
        <f>IF(AND('Mapa final'!#REF!="Baja",'Mapa final'!#REF!="Leve"),CONCATENATE("R2C",'Mapa final'!$Q$17),"")</f>
        <v>#REF!</v>
      </c>
      <c r="M37" s="47" t="e">
        <f>IF(AND('Mapa final'!#REF!="Baja",'Mapa final'!#REF!="Leve"),CONCATENATE("R2C",'Mapa final'!#REF!),"")</f>
        <v>#REF!</v>
      </c>
      <c r="N37" s="47" t="e">
        <f>IF(AND('Mapa final'!#REF!="Baja",'Mapa final'!#REF!="Leve"),CONCATENATE("R2C",'Mapa final'!#REF!),"")</f>
        <v>#REF!</v>
      </c>
      <c r="O37" s="48" t="e">
        <f>IF(AND('Mapa final'!#REF!="Baja",'Mapa final'!#REF!="Leve"),CONCATENATE("R2C",'Mapa final'!#REF!),"")</f>
        <v>#REF!</v>
      </c>
      <c r="P37" s="37" t="str">
        <f ca="1">IF(AND('Mapa final'!$AA$15="Baja",'Mapa final'!$AC$15="Menor"),CONCATENATE("R2C",'Mapa final'!$Q$15),"")</f>
        <v/>
      </c>
      <c r="Q37" s="38" t="str">
        <f ca="1">IF(AND('Mapa final'!$AA$16="Baja",'Mapa final'!$AC$16="Menor"),CONCATENATE("R2C",'Mapa final'!$Q$16),"")</f>
        <v/>
      </c>
      <c r="R37" s="38" t="e">
        <f>IF(AND('Mapa final'!#REF!="Baja",'Mapa final'!#REF!="Menor"),CONCATENATE("R2C",'Mapa final'!$Q$17),"")</f>
        <v>#REF!</v>
      </c>
      <c r="S37" s="38" t="e">
        <f>IF(AND('Mapa final'!#REF!="Baja",'Mapa final'!#REF!="Menor"),CONCATENATE("R2C",'Mapa final'!#REF!),"")</f>
        <v>#REF!</v>
      </c>
      <c r="T37" s="38" t="e">
        <f>IF(AND('Mapa final'!#REF!="Baja",'Mapa final'!#REF!="Menor"),CONCATENATE("R2C",'Mapa final'!#REF!),"")</f>
        <v>#REF!</v>
      </c>
      <c r="U37" s="39" t="e">
        <f>IF(AND('Mapa final'!#REF!="Baja",'Mapa final'!#REF!="Menor"),CONCATENATE("R2C",'Mapa final'!#REF!),"")</f>
        <v>#REF!</v>
      </c>
      <c r="V37" s="37" t="str">
        <f ca="1">IF(AND('Mapa final'!$AA$15="Baja",'Mapa final'!$AC$15="Moderado"),CONCATENATE("R2C",'Mapa final'!$Q$15),"")</f>
        <v/>
      </c>
      <c r="W37" s="38" t="str">
        <f ca="1">IF(AND('Mapa final'!$AA$16="Baja",'Mapa final'!$AC$16="Moderado"),CONCATENATE("R2C",'Mapa final'!$Q$16),"")</f>
        <v/>
      </c>
      <c r="X37" s="38" t="e">
        <f>IF(AND('Mapa final'!#REF!="Baja",'Mapa final'!#REF!="Moderado"),CONCATENATE("R2C",'Mapa final'!$Q$17),"")</f>
        <v>#REF!</v>
      </c>
      <c r="Y37" s="38" t="e">
        <f>IF(AND('Mapa final'!#REF!="Baja",'Mapa final'!#REF!="Moderado"),CONCATENATE("R2C",'Mapa final'!#REF!),"")</f>
        <v>#REF!</v>
      </c>
      <c r="Z37" s="38" t="e">
        <f>IF(AND('Mapa final'!#REF!="Baja",'Mapa final'!#REF!="Moderado"),CONCATENATE("R2C",'Mapa final'!#REF!),"")</f>
        <v>#REF!</v>
      </c>
      <c r="AA37" s="39" t="e">
        <f>IF(AND('Mapa final'!#REF!="Baja",'Mapa final'!#REF!="Moderado"),CONCATENATE("R2C",'Mapa final'!#REF!),"")</f>
        <v>#REF!</v>
      </c>
      <c r="AB37" s="22" t="str">
        <f ca="1">IF(AND('Mapa final'!$AA$15="Baja",'Mapa final'!$AC$15="Mayor"),CONCATENATE("R2C",'Mapa final'!$Q$15),"")</f>
        <v>R2C1</v>
      </c>
      <c r="AC37" s="23" t="str">
        <f ca="1">IF(AND('Mapa final'!$AA$16="Baja",'Mapa final'!$AC$16="Mayor"),CONCATENATE("R2C",'Mapa final'!$Q$16),"")</f>
        <v>R2C2</v>
      </c>
      <c r="AD37" s="23" t="e">
        <f>IF(AND('Mapa final'!#REF!="Baja",'Mapa final'!#REF!="Mayor"),CONCATENATE("R2C",'Mapa final'!$Q$17),"")</f>
        <v>#REF!</v>
      </c>
      <c r="AE37" s="23" t="e">
        <f>IF(AND('Mapa final'!#REF!="Baja",'Mapa final'!#REF!="Mayor"),CONCATENATE("R2C",'Mapa final'!#REF!),"")</f>
        <v>#REF!</v>
      </c>
      <c r="AF37" s="23" t="e">
        <f>IF(AND('Mapa final'!#REF!="Baja",'Mapa final'!#REF!="Mayor"),CONCATENATE("R2C",'Mapa final'!#REF!),"")</f>
        <v>#REF!</v>
      </c>
      <c r="AG37" s="24" t="e">
        <f>IF(AND('Mapa final'!#REF!="Baja",'Mapa final'!#REF!="Mayor"),CONCATENATE("R2C",'Mapa final'!#REF!),"")</f>
        <v>#REF!</v>
      </c>
      <c r="AH37" s="25" t="str">
        <f ca="1">IF(AND('Mapa final'!$AA$15="Baja",'Mapa final'!$AC$15="Catastrófico"),CONCATENATE("R2C",'Mapa final'!$Q$15),"")</f>
        <v/>
      </c>
      <c r="AI37" s="26" t="str">
        <f ca="1">IF(AND('Mapa final'!$AA$16="Baja",'Mapa final'!$AC$16="Catastrófico"),CONCATENATE("R2C",'Mapa final'!$Q$16),"")</f>
        <v/>
      </c>
      <c r="AJ37" s="26" t="e">
        <f>IF(AND('Mapa final'!#REF!="Baja",'Mapa final'!#REF!="Catastrófico"),CONCATENATE("R2C",'Mapa final'!$Q$17),"")</f>
        <v>#REF!</v>
      </c>
      <c r="AK37" s="26" t="e">
        <f>IF(AND('Mapa final'!#REF!="Baja",'Mapa final'!#REF!="Catastrófico"),CONCATENATE("R2C",'Mapa final'!#REF!),"")</f>
        <v>#REF!</v>
      </c>
      <c r="AL37" s="26" t="e">
        <f>IF(AND('Mapa final'!#REF!="Baja",'Mapa final'!#REF!="Catastrófico"),CONCATENATE("R2C",'Mapa final'!#REF!),"")</f>
        <v>#REF!</v>
      </c>
      <c r="AM37" s="27" t="e">
        <f>IF(AND('Mapa final'!#REF!="Baja",'Mapa final'!#REF!="Catastrófico"),CONCATENATE("R2C",'Mapa final'!#REF!),"")</f>
        <v>#REF!</v>
      </c>
      <c r="AN37" s="53"/>
      <c r="AO37" s="415"/>
      <c r="AP37" s="416"/>
      <c r="AQ37" s="416"/>
      <c r="AR37" s="416"/>
      <c r="AS37" s="416"/>
      <c r="AT37" s="417"/>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row>
    <row r="38" spans="1:80" ht="15" customHeight="1" x14ac:dyDescent="0.3">
      <c r="A38" s="53"/>
      <c r="B38" s="343"/>
      <c r="C38" s="343"/>
      <c r="D38" s="344"/>
      <c r="E38" s="384"/>
      <c r="F38" s="385"/>
      <c r="G38" s="385"/>
      <c r="H38" s="385"/>
      <c r="I38" s="385"/>
      <c r="J38" s="46" t="e">
        <f>IF(AND('Mapa final'!#REF!="Baja",'Mapa final'!#REF!="Leve"),CONCATENATE("R3C",'Mapa final'!#REF!),"")</f>
        <v>#REF!</v>
      </c>
      <c r="K38" s="47" t="e">
        <f>IF(AND('Mapa final'!#REF!="Baja",'Mapa final'!#REF!="Leve"),CONCATENATE("R3C",'Mapa final'!#REF!),"")</f>
        <v>#REF!</v>
      </c>
      <c r="L38" s="47" t="e">
        <f>IF(AND('Mapa final'!#REF!="Baja",'Mapa final'!#REF!="Leve"),CONCATENATE("R3C",'Mapa final'!#REF!),"")</f>
        <v>#REF!</v>
      </c>
      <c r="M38" s="47" t="e">
        <f>IF(AND('Mapa final'!#REF!="Baja",'Mapa final'!#REF!="Leve"),CONCATENATE("R3C",'Mapa final'!#REF!),"")</f>
        <v>#REF!</v>
      </c>
      <c r="N38" s="47" t="e">
        <f>IF(AND('Mapa final'!#REF!="Baja",'Mapa final'!#REF!="Leve"),CONCATENATE("R3C",'Mapa final'!#REF!),"")</f>
        <v>#REF!</v>
      </c>
      <c r="O38" s="48" t="e">
        <f>IF(AND('Mapa final'!#REF!="Baja",'Mapa final'!#REF!="Leve"),CONCATENATE("R3C",'Mapa final'!#REF!),"")</f>
        <v>#REF!</v>
      </c>
      <c r="P38" s="37" t="e">
        <f>IF(AND('Mapa final'!#REF!="Baja",'Mapa final'!#REF!="Menor"),CONCATENATE("R3C",'Mapa final'!#REF!),"")</f>
        <v>#REF!</v>
      </c>
      <c r="Q38" s="38" t="e">
        <f>IF(AND('Mapa final'!#REF!="Baja",'Mapa final'!#REF!="Menor"),CONCATENATE("R3C",'Mapa final'!#REF!),"")</f>
        <v>#REF!</v>
      </c>
      <c r="R38" s="38" t="e">
        <f>IF(AND('Mapa final'!#REF!="Baja",'Mapa final'!#REF!="Menor"),CONCATENATE("R3C",'Mapa final'!#REF!),"")</f>
        <v>#REF!</v>
      </c>
      <c r="S38" s="38" t="e">
        <f>IF(AND('Mapa final'!#REF!="Baja",'Mapa final'!#REF!="Menor"),CONCATENATE("R3C",'Mapa final'!#REF!),"")</f>
        <v>#REF!</v>
      </c>
      <c r="T38" s="38" t="e">
        <f>IF(AND('Mapa final'!#REF!="Baja",'Mapa final'!#REF!="Menor"),CONCATENATE("R3C",'Mapa final'!#REF!),"")</f>
        <v>#REF!</v>
      </c>
      <c r="U38" s="39" t="e">
        <f>IF(AND('Mapa final'!#REF!="Baja",'Mapa final'!#REF!="Menor"),CONCATENATE("R3C",'Mapa final'!#REF!),"")</f>
        <v>#REF!</v>
      </c>
      <c r="V38" s="37" t="e">
        <f>IF(AND('Mapa final'!#REF!="Baja",'Mapa final'!#REF!="Moderado"),CONCATENATE("R3C",'Mapa final'!#REF!),"")</f>
        <v>#REF!</v>
      </c>
      <c r="W38" s="38" t="e">
        <f>IF(AND('Mapa final'!#REF!="Baja",'Mapa final'!#REF!="Moderado"),CONCATENATE("R3C",'Mapa final'!#REF!),"")</f>
        <v>#REF!</v>
      </c>
      <c r="X38" s="38" t="e">
        <f>IF(AND('Mapa final'!#REF!="Baja",'Mapa final'!#REF!="Moderado"),CONCATENATE("R3C",'Mapa final'!#REF!),"")</f>
        <v>#REF!</v>
      </c>
      <c r="Y38" s="38" t="e">
        <f>IF(AND('Mapa final'!#REF!="Baja",'Mapa final'!#REF!="Moderado"),CONCATENATE("R3C",'Mapa final'!#REF!),"")</f>
        <v>#REF!</v>
      </c>
      <c r="Z38" s="38" t="e">
        <f>IF(AND('Mapa final'!#REF!="Baja",'Mapa final'!#REF!="Moderado"),CONCATENATE("R3C",'Mapa final'!#REF!),"")</f>
        <v>#REF!</v>
      </c>
      <c r="AA38" s="39" t="e">
        <f>IF(AND('Mapa final'!#REF!="Baja",'Mapa final'!#REF!="Moderado"),CONCATENATE("R3C",'Mapa final'!#REF!),"")</f>
        <v>#REF!</v>
      </c>
      <c r="AB38" s="22" t="e">
        <f>IF(AND('Mapa final'!#REF!="Baja",'Mapa final'!#REF!="Mayor"),CONCATENATE("R3C",'Mapa final'!#REF!),"")</f>
        <v>#REF!</v>
      </c>
      <c r="AC38" s="23" t="e">
        <f>IF(AND('Mapa final'!#REF!="Baja",'Mapa final'!#REF!="Mayor"),CONCATENATE("R3C",'Mapa final'!#REF!),"")</f>
        <v>#REF!</v>
      </c>
      <c r="AD38" s="23" t="e">
        <f>IF(AND('Mapa final'!#REF!="Baja",'Mapa final'!#REF!="Mayor"),CONCATENATE("R3C",'Mapa final'!#REF!),"")</f>
        <v>#REF!</v>
      </c>
      <c r="AE38" s="23" t="e">
        <f>IF(AND('Mapa final'!#REF!="Baja",'Mapa final'!#REF!="Mayor"),CONCATENATE("R3C",'Mapa final'!#REF!),"")</f>
        <v>#REF!</v>
      </c>
      <c r="AF38" s="23" t="e">
        <f>IF(AND('Mapa final'!#REF!="Baja",'Mapa final'!#REF!="Mayor"),CONCATENATE("R3C",'Mapa final'!#REF!),"")</f>
        <v>#REF!</v>
      </c>
      <c r="AG38" s="24" t="e">
        <f>IF(AND('Mapa final'!#REF!="Baja",'Mapa final'!#REF!="Mayor"),CONCATENATE("R3C",'Mapa final'!#REF!),"")</f>
        <v>#REF!</v>
      </c>
      <c r="AH38" s="25" t="e">
        <f>IF(AND('Mapa final'!#REF!="Baja",'Mapa final'!#REF!="Catastrófico"),CONCATENATE("R3C",'Mapa final'!#REF!),"")</f>
        <v>#REF!</v>
      </c>
      <c r="AI38" s="26" t="e">
        <f>IF(AND('Mapa final'!#REF!="Baja",'Mapa final'!#REF!="Catastrófico"),CONCATENATE("R3C",'Mapa final'!#REF!),"")</f>
        <v>#REF!</v>
      </c>
      <c r="AJ38" s="26" t="e">
        <f>IF(AND('Mapa final'!#REF!="Baja",'Mapa final'!#REF!="Catastrófico"),CONCATENATE("R3C",'Mapa final'!#REF!),"")</f>
        <v>#REF!</v>
      </c>
      <c r="AK38" s="26" t="e">
        <f>IF(AND('Mapa final'!#REF!="Baja",'Mapa final'!#REF!="Catastrófico"),CONCATENATE("R3C",'Mapa final'!#REF!),"")</f>
        <v>#REF!</v>
      </c>
      <c r="AL38" s="26" t="e">
        <f>IF(AND('Mapa final'!#REF!="Baja",'Mapa final'!#REF!="Catastrófico"),CONCATENATE("R3C",'Mapa final'!#REF!),"")</f>
        <v>#REF!</v>
      </c>
      <c r="AM38" s="27" t="e">
        <f>IF(AND('Mapa final'!#REF!="Baja",'Mapa final'!#REF!="Catastrófico"),CONCATENATE("R3C",'Mapa final'!#REF!),"")</f>
        <v>#REF!</v>
      </c>
      <c r="AN38" s="53"/>
      <c r="AO38" s="415"/>
      <c r="AP38" s="416"/>
      <c r="AQ38" s="416"/>
      <c r="AR38" s="416"/>
      <c r="AS38" s="416"/>
      <c r="AT38" s="417"/>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row>
    <row r="39" spans="1:80" ht="15" customHeight="1" x14ac:dyDescent="0.3">
      <c r="A39" s="53"/>
      <c r="B39" s="343"/>
      <c r="C39" s="343"/>
      <c r="D39" s="344"/>
      <c r="E39" s="384"/>
      <c r="F39" s="385"/>
      <c r="G39" s="385"/>
      <c r="H39" s="385"/>
      <c r="I39" s="385"/>
      <c r="J39" s="46" t="e">
        <f>IF(AND('Mapa final'!#REF!="Baja",'Mapa final'!#REF!="Leve"),CONCATENATE("R4C",'Mapa final'!#REF!),"")</f>
        <v>#REF!</v>
      </c>
      <c r="K39" s="47" t="e">
        <f>IF(AND('Mapa final'!#REF!="Baja",'Mapa final'!#REF!="Leve"),CONCATENATE("R4C",'Mapa final'!#REF!),"")</f>
        <v>#REF!</v>
      </c>
      <c r="L39" s="47" t="e">
        <f>IF(AND('Mapa final'!#REF!="Baja",'Mapa final'!#REF!="Leve"),CONCATENATE("R4C",'Mapa final'!#REF!),"")</f>
        <v>#REF!</v>
      </c>
      <c r="M39" s="47" t="e">
        <f>IF(AND('Mapa final'!#REF!="Baja",'Mapa final'!#REF!="Leve"),CONCATENATE("R4C",'Mapa final'!#REF!),"")</f>
        <v>#REF!</v>
      </c>
      <c r="N39" s="47" t="e">
        <f>IF(AND('Mapa final'!#REF!="Baja",'Mapa final'!#REF!="Leve"),CONCATENATE("R4C",'Mapa final'!#REF!),"")</f>
        <v>#REF!</v>
      </c>
      <c r="O39" s="48" t="e">
        <f>IF(AND('Mapa final'!#REF!="Baja",'Mapa final'!#REF!="Leve"),CONCATENATE("R4C",'Mapa final'!#REF!),"")</f>
        <v>#REF!</v>
      </c>
      <c r="P39" s="37" t="e">
        <f>IF(AND('Mapa final'!#REF!="Baja",'Mapa final'!#REF!="Menor"),CONCATENATE("R4C",'Mapa final'!#REF!),"")</f>
        <v>#REF!</v>
      </c>
      <c r="Q39" s="38" t="e">
        <f>IF(AND('Mapa final'!#REF!="Baja",'Mapa final'!#REF!="Menor"),CONCATENATE("R4C",'Mapa final'!#REF!),"")</f>
        <v>#REF!</v>
      </c>
      <c r="R39" s="38" t="e">
        <f>IF(AND('Mapa final'!#REF!="Baja",'Mapa final'!#REF!="Menor"),CONCATENATE("R4C",'Mapa final'!#REF!),"")</f>
        <v>#REF!</v>
      </c>
      <c r="S39" s="38" t="e">
        <f>IF(AND('Mapa final'!#REF!="Baja",'Mapa final'!#REF!="Menor"),CONCATENATE("R4C",'Mapa final'!#REF!),"")</f>
        <v>#REF!</v>
      </c>
      <c r="T39" s="38" t="e">
        <f>IF(AND('Mapa final'!#REF!="Baja",'Mapa final'!#REF!="Menor"),CONCATENATE("R4C",'Mapa final'!#REF!),"")</f>
        <v>#REF!</v>
      </c>
      <c r="U39" s="39" t="e">
        <f>IF(AND('Mapa final'!#REF!="Baja",'Mapa final'!#REF!="Menor"),CONCATENATE("R4C",'Mapa final'!#REF!),"")</f>
        <v>#REF!</v>
      </c>
      <c r="V39" s="37" t="e">
        <f>IF(AND('Mapa final'!#REF!="Baja",'Mapa final'!#REF!="Moderado"),CONCATENATE("R4C",'Mapa final'!#REF!),"")</f>
        <v>#REF!</v>
      </c>
      <c r="W39" s="38" t="e">
        <f>IF(AND('Mapa final'!#REF!="Baja",'Mapa final'!#REF!="Moderado"),CONCATENATE("R4C",'Mapa final'!#REF!),"")</f>
        <v>#REF!</v>
      </c>
      <c r="X39" s="38" t="e">
        <f>IF(AND('Mapa final'!#REF!="Baja",'Mapa final'!#REF!="Moderado"),CONCATENATE("R4C",'Mapa final'!#REF!),"")</f>
        <v>#REF!</v>
      </c>
      <c r="Y39" s="38" t="e">
        <f>IF(AND('Mapa final'!#REF!="Baja",'Mapa final'!#REF!="Moderado"),CONCATENATE("R4C",'Mapa final'!#REF!),"")</f>
        <v>#REF!</v>
      </c>
      <c r="Z39" s="38" t="e">
        <f>IF(AND('Mapa final'!#REF!="Baja",'Mapa final'!#REF!="Moderado"),CONCATENATE("R4C",'Mapa final'!#REF!),"")</f>
        <v>#REF!</v>
      </c>
      <c r="AA39" s="39" t="e">
        <f>IF(AND('Mapa final'!#REF!="Baja",'Mapa final'!#REF!="Moderado"),CONCATENATE("R4C",'Mapa final'!#REF!),"")</f>
        <v>#REF!</v>
      </c>
      <c r="AB39" s="22" t="e">
        <f>IF(AND('Mapa final'!#REF!="Baja",'Mapa final'!#REF!="Mayor"),CONCATENATE("R4C",'Mapa final'!#REF!),"")</f>
        <v>#REF!</v>
      </c>
      <c r="AC39" s="23" t="e">
        <f>IF(AND('Mapa final'!#REF!="Baja",'Mapa final'!#REF!="Mayor"),CONCATENATE("R4C",'Mapa final'!#REF!),"")</f>
        <v>#REF!</v>
      </c>
      <c r="AD39" s="23" t="e">
        <f>IF(AND('Mapa final'!#REF!="Baja",'Mapa final'!#REF!="Mayor"),CONCATENATE("R4C",'Mapa final'!#REF!),"")</f>
        <v>#REF!</v>
      </c>
      <c r="AE39" s="23" t="e">
        <f>IF(AND('Mapa final'!#REF!="Baja",'Mapa final'!#REF!="Mayor"),CONCATENATE("R4C",'Mapa final'!#REF!),"")</f>
        <v>#REF!</v>
      </c>
      <c r="AF39" s="23" t="e">
        <f>IF(AND('Mapa final'!#REF!="Baja",'Mapa final'!#REF!="Mayor"),CONCATENATE("R4C",'Mapa final'!#REF!),"")</f>
        <v>#REF!</v>
      </c>
      <c r="AG39" s="24" t="e">
        <f>IF(AND('Mapa final'!#REF!="Baja",'Mapa final'!#REF!="Mayor"),CONCATENATE("R4C",'Mapa final'!#REF!),"")</f>
        <v>#REF!</v>
      </c>
      <c r="AH39" s="25" t="e">
        <f>IF(AND('Mapa final'!#REF!="Baja",'Mapa final'!#REF!="Catastrófico"),CONCATENATE("R4C",'Mapa final'!#REF!),"")</f>
        <v>#REF!</v>
      </c>
      <c r="AI39" s="26" t="e">
        <f>IF(AND('Mapa final'!#REF!="Baja",'Mapa final'!#REF!="Catastrófico"),CONCATENATE("R4C",'Mapa final'!#REF!),"")</f>
        <v>#REF!</v>
      </c>
      <c r="AJ39" s="26" t="e">
        <f>IF(AND('Mapa final'!#REF!="Baja",'Mapa final'!#REF!="Catastrófico"),CONCATENATE("R4C",'Mapa final'!#REF!),"")</f>
        <v>#REF!</v>
      </c>
      <c r="AK39" s="26" t="e">
        <f>IF(AND('Mapa final'!#REF!="Baja",'Mapa final'!#REF!="Catastrófico"),CONCATENATE("R4C",'Mapa final'!#REF!),"")</f>
        <v>#REF!</v>
      </c>
      <c r="AL39" s="26" t="e">
        <f>IF(AND('Mapa final'!#REF!="Baja",'Mapa final'!#REF!="Catastrófico"),CONCATENATE("R4C",'Mapa final'!#REF!),"")</f>
        <v>#REF!</v>
      </c>
      <c r="AM39" s="27" t="e">
        <f>IF(AND('Mapa final'!#REF!="Baja",'Mapa final'!#REF!="Catastrófico"),CONCATENATE("R4C",'Mapa final'!#REF!),"")</f>
        <v>#REF!</v>
      </c>
      <c r="AN39" s="53"/>
      <c r="AO39" s="415"/>
      <c r="AP39" s="416"/>
      <c r="AQ39" s="416"/>
      <c r="AR39" s="416"/>
      <c r="AS39" s="416"/>
      <c r="AT39" s="417"/>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row>
    <row r="40" spans="1:80" ht="15" customHeight="1" x14ac:dyDescent="0.3">
      <c r="A40" s="53"/>
      <c r="B40" s="343"/>
      <c r="C40" s="343"/>
      <c r="D40" s="344"/>
      <c r="E40" s="384"/>
      <c r="F40" s="385"/>
      <c r="G40" s="385"/>
      <c r="H40" s="385"/>
      <c r="I40" s="385"/>
      <c r="J40" s="46" t="str">
        <f>IF(AND('Mapa final'!$AA$19="Baja",'Mapa final'!$AC$19="Leve"),CONCATENATE("R5C",'Mapa final'!$Q$19),"")</f>
        <v/>
      </c>
      <c r="K40" s="47" t="str">
        <f>IF(AND('Mapa final'!$AA$20="Baja",'Mapa final'!$AC$20="Leve"),CONCATENATE("R5C",'Mapa final'!$Q$20),"")</f>
        <v/>
      </c>
      <c r="L40" s="47" t="str">
        <f>IF(AND('Mapa final'!$AA$21="Baja",'Mapa final'!$AC$21="Leve"),CONCATENATE("R5C",'Mapa final'!$Q$21),"")</f>
        <v/>
      </c>
      <c r="M40" s="47" t="str">
        <f>IF(AND('Mapa final'!$AA$22="Baja",'Mapa final'!$AC$22="Leve"),CONCATENATE("R5C",'Mapa final'!$Q$22),"")</f>
        <v/>
      </c>
      <c r="N40" s="47" t="str">
        <f>IF(AND('Mapa final'!$AA$23="Baja",'Mapa final'!$AC$23="Leve"),CONCATENATE("R5C",'Mapa final'!$Q$23),"")</f>
        <v/>
      </c>
      <c r="O40" s="48" t="str">
        <f>IF(AND('Mapa final'!$AA$24="Baja",'Mapa final'!$AC$24="Leve"),CONCATENATE("R5C",'Mapa final'!$Q$24),"")</f>
        <v/>
      </c>
      <c r="P40" s="37" t="str">
        <f>IF(AND('Mapa final'!$AA$19="Baja",'Mapa final'!$AC$19="Menor"),CONCATENATE("R5C",'Mapa final'!$Q$19),"")</f>
        <v/>
      </c>
      <c r="Q40" s="38" t="str">
        <f>IF(AND('Mapa final'!$AA$20="Baja",'Mapa final'!$AC$20="Menor"),CONCATENATE("R5C",'Mapa final'!$Q$20),"")</f>
        <v/>
      </c>
      <c r="R40" s="38" t="str">
        <f>IF(AND('Mapa final'!$AA$21="Baja",'Mapa final'!$AC$21="Menor"),CONCATENATE("R5C",'Mapa final'!$Q$21),"")</f>
        <v/>
      </c>
      <c r="S40" s="38" t="str">
        <f>IF(AND('Mapa final'!$AA$22="Baja",'Mapa final'!$AC$22="Menor"),CONCATENATE("R5C",'Mapa final'!$Q$22),"")</f>
        <v/>
      </c>
      <c r="T40" s="38" t="str">
        <f>IF(AND('Mapa final'!$AA$23="Baja",'Mapa final'!$AC$23="Menor"),CONCATENATE("R5C",'Mapa final'!$Q$23),"")</f>
        <v/>
      </c>
      <c r="U40" s="39" t="str">
        <f>IF(AND('Mapa final'!$AA$24="Baja",'Mapa final'!$AC$24="Menor"),CONCATENATE("R5C",'Mapa final'!$Q$24),"")</f>
        <v/>
      </c>
      <c r="V40" s="37" t="str">
        <f>IF(AND('Mapa final'!$AA$19="Baja",'Mapa final'!$AC$19="Moderado"),CONCATENATE("R5C",'Mapa final'!$Q$19),"")</f>
        <v/>
      </c>
      <c r="W40" s="38" t="str">
        <f>IF(AND('Mapa final'!$AA$20="Baja",'Mapa final'!$AC$20="Moderado"),CONCATENATE("R5C",'Mapa final'!$Q$20),"")</f>
        <v/>
      </c>
      <c r="X40" s="38" t="str">
        <f>IF(AND('Mapa final'!$AA$21="Baja",'Mapa final'!$AC$21="Moderado"),CONCATENATE("R5C",'Mapa final'!$Q$21),"")</f>
        <v/>
      </c>
      <c r="Y40" s="38" t="str">
        <f>IF(AND('Mapa final'!$AA$22="Baja",'Mapa final'!$AC$22="Moderado"),CONCATENATE("R5C",'Mapa final'!$Q$22),"")</f>
        <v/>
      </c>
      <c r="Z40" s="38" t="str">
        <f>IF(AND('Mapa final'!$AA$23="Baja",'Mapa final'!$AC$23="Moderado"),CONCATENATE("R5C",'Mapa final'!$Q$23),"")</f>
        <v/>
      </c>
      <c r="AA40" s="39" t="str">
        <f>IF(AND('Mapa final'!$AA$24="Baja",'Mapa final'!$AC$24="Moderado"),CONCATENATE("R5C",'Mapa final'!$Q$24),"")</f>
        <v/>
      </c>
      <c r="AB40" s="22" t="str">
        <f>IF(AND('Mapa final'!$AA$19="Baja",'Mapa final'!$AC$19="Mayor"),CONCATENATE("R5C",'Mapa final'!$Q$19),"")</f>
        <v/>
      </c>
      <c r="AC40" s="23" t="str">
        <f>IF(AND('Mapa final'!$AA$20="Baja",'Mapa final'!$AC$20="Mayor"),CONCATENATE("R5C",'Mapa final'!$Q$20),"")</f>
        <v/>
      </c>
      <c r="AD40" s="23" t="str">
        <f>IF(AND('Mapa final'!$AA$21="Baja",'Mapa final'!$AC$21="Mayor"),CONCATENATE("R5C",'Mapa final'!$Q$21),"")</f>
        <v/>
      </c>
      <c r="AE40" s="23" t="str">
        <f>IF(AND('Mapa final'!$AA$22="Baja",'Mapa final'!$AC$22="Mayor"),CONCATENATE("R5C",'Mapa final'!$Q$22),"")</f>
        <v/>
      </c>
      <c r="AF40" s="23" t="str">
        <f>IF(AND('Mapa final'!$AA$23="Baja",'Mapa final'!$AC$23="Mayor"),CONCATENATE("R5C",'Mapa final'!$Q$23),"")</f>
        <v/>
      </c>
      <c r="AG40" s="24" t="str">
        <f>IF(AND('Mapa final'!$AA$24="Baja",'Mapa final'!$AC$24="Mayor"),CONCATENATE("R5C",'Mapa final'!$Q$24),"")</f>
        <v/>
      </c>
      <c r="AH40" s="25" t="str">
        <f>IF(AND('Mapa final'!$AA$19="Baja",'Mapa final'!$AC$19="Catastrófico"),CONCATENATE("R5C",'Mapa final'!$Q$19),"")</f>
        <v/>
      </c>
      <c r="AI40" s="26" t="str">
        <f>IF(AND('Mapa final'!$AA$20="Baja",'Mapa final'!$AC$20="Catastrófico"),CONCATENATE("R5C",'Mapa final'!$Q$20),"")</f>
        <v/>
      </c>
      <c r="AJ40" s="26" t="str">
        <f>IF(AND('Mapa final'!$AA$21="Baja",'Mapa final'!$AC$21="Catastrófico"),CONCATENATE("R5C",'Mapa final'!$Q$21),"")</f>
        <v/>
      </c>
      <c r="AK40" s="26" t="str">
        <f>IF(AND('Mapa final'!$AA$22="Baja",'Mapa final'!$AC$22="Catastrófico"),CONCATENATE("R5C",'Mapa final'!$Q$22),"")</f>
        <v/>
      </c>
      <c r="AL40" s="26" t="str">
        <f>IF(AND('Mapa final'!$AA$23="Baja",'Mapa final'!$AC$23="Catastrófico"),CONCATENATE("R5C",'Mapa final'!$Q$23),"")</f>
        <v/>
      </c>
      <c r="AM40" s="27" t="str">
        <f>IF(AND('Mapa final'!$AA$24="Baja",'Mapa final'!$AC$24="Catastrófico"),CONCATENATE("R5C",'Mapa final'!$Q$24),"")</f>
        <v/>
      </c>
      <c r="AN40" s="53"/>
      <c r="AO40" s="415"/>
      <c r="AP40" s="416"/>
      <c r="AQ40" s="416"/>
      <c r="AR40" s="416"/>
      <c r="AS40" s="416"/>
      <c r="AT40" s="417"/>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row>
    <row r="41" spans="1:80" ht="15" customHeight="1" x14ac:dyDescent="0.3">
      <c r="A41" s="53"/>
      <c r="B41" s="343"/>
      <c r="C41" s="343"/>
      <c r="D41" s="344"/>
      <c r="E41" s="384"/>
      <c r="F41" s="385"/>
      <c r="G41" s="385"/>
      <c r="H41" s="385"/>
      <c r="I41" s="385"/>
      <c r="J41" s="46" t="str">
        <f>IF(AND('Mapa final'!$AA$25="Baja",'Mapa final'!$AC$25="Leve"),CONCATENATE("R6C",'Mapa final'!$Q$25),"")</f>
        <v/>
      </c>
      <c r="K41" s="47" t="str">
        <f>IF(AND('Mapa final'!$AA$26="Baja",'Mapa final'!$AC$26="Leve"),CONCATENATE("R6C",'Mapa final'!$Q$26),"")</f>
        <v/>
      </c>
      <c r="L41" s="47" t="str">
        <f>IF(AND('Mapa final'!$AA$27="Baja",'Mapa final'!$AC$27="Leve"),CONCATENATE("R6C",'Mapa final'!$Q$27),"")</f>
        <v/>
      </c>
      <c r="M41" s="47" t="str">
        <f>IF(AND('Mapa final'!$AA$28="Baja",'Mapa final'!$AC$28="Leve"),CONCATENATE("R6C",'Mapa final'!$Q$28),"")</f>
        <v/>
      </c>
      <c r="N41" s="47" t="str">
        <f>IF(AND('Mapa final'!$AA$29="Baja",'Mapa final'!$AC$29="Leve"),CONCATENATE("R6C",'Mapa final'!$Q$29),"")</f>
        <v/>
      </c>
      <c r="O41" s="48" t="str">
        <f>IF(AND('Mapa final'!$AA$30="Baja",'Mapa final'!$AC$30="Leve"),CONCATENATE("R6C",'Mapa final'!$Q$30),"")</f>
        <v/>
      </c>
      <c r="P41" s="37" t="str">
        <f>IF(AND('Mapa final'!$AA$25="Baja",'Mapa final'!$AC$25="Menor"),CONCATENATE("R6C",'Mapa final'!$Q$25),"")</f>
        <v/>
      </c>
      <c r="Q41" s="38" t="str">
        <f>IF(AND('Mapa final'!$AA$26="Baja",'Mapa final'!$AC$26="Menor"),CONCATENATE("R6C",'Mapa final'!$Q$26),"")</f>
        <v/>
      </c>
      <c r="R41" s="38" t="str">
        <f>IF(AND('Mapa final'!$AA$27="Baja",'Mapa final'!$AC$27="Menor"),CONCATENATE("R6C",'Mapa final'!$Q$27),"")</f>
        <v/>
      </c>
      <c r="S41" s="38" t="str">
        <f>IF(AND('Mapa final'!$AA$28="Baja",'Mapa final'!$AC$28="Menor"),CONCATENATE("R6C",'Mapa final'!$Q$28),"")</f>
        <v/>
      </c>
      <c r="T41" s="38" t="str">
        <f>IF(AND('Mapa final'!$AA$29="Baja",'Mapa final'!$AC$29="Menor"),CONCATENATE("R6C",'Mapa final'!$Q$29),"")</f>
        <v/>
      </c>
      <c r="U41" s="39" t="str">
        <f>IF(AND('Mapa final'!$AA$30="Baja",'Mapa final'!$AC$30="Menor"),CONCATENATE("R6C",'Mapa final'!$Q$30),"")</f>
        <v/>
      </c>
      <c r="V41" s="37" t="str">
        <f>IF(AND('Mapa final'!$AA$25="Baja",'Mapa final'!$AC$25="Moderado"),CONCATENATE("R6C",'Mapa final'!$Q$25),"")</f>
        <v/>
      </c>
      <c r="W41" s="38" t="str">
        <f>IF(AND('Mapa final'!$AA$26="Baja",'Mapa final'!$AC$26="Moderado"),CONCATENATE("R6C",'Mapa final'!$Q$26),"")</f>
        <v/>
      </c>
      <c r="X41" s="38" t="str">
        <f>IF(AND('Mapa final'!$AA$27="Baja",'Mapa final'!$AC$27="Moderado"),CONCATENATE("R6C",'Mapa final'!$Q$27),"")</f>
        <v/>
      </c>
      <c r="Y41" s="38" t="str">
        <f>IF(AND('Mapa final'!$AA$28="Baja",'Mapa final'!$AC$28="Moderado"),CONCATENATE("R6C",'Mapa final'!$Q$28),"")</f>
        <v/>
      </c>
      <c r="Z41" s="38" t="str">
        <f>IF(AND('Mapa final'!$AA$29="Baja",'Mapa final'!$AC$29="Moderado"),CONCATENATE("R6C",'Mapa final'!$Q$29),"")</f>
        <v/>
      </c>
      <c r="AA41" s="39" t="str">
        <f>IF(AND('Mapa final'!$AA$30="Baja",'Mapa final'!$AC$30="Moderado"),CONCATENATE("R6C",'Mapa final'!$Q$30),"")</f>
        <v/>
      </c>
      <c r="AB41" s="22" t="str">
        <f>IF(AND('Mapa final'!$AA$25="Baja",'Mapa final'!$AC$25="Mayor"),CONCATENATE("R6C",'Mapa final'!$Q$25),"")</f>
        <v/>
      </c>
      <c r="AC41" s="23" t="str">
        <f>IF(AND('Mapa final'!$AA$26="Baja",'Mapa final'!$AC$26="Mayor"),CONCATENATE("R6C",'Mapa final'!$Q$26),"")</f>
        <v/>
      </c>
      <c r="AD41" s="23" t="str">
        <f>IF(AND('Mapa final'!$AA$27="Baja",'Mapa final'!$AC$27="Mayor"),CONCATENATE("R6C",'Mapa final'!$Q$27),"")</f>
        <v/>
      </c>
      <c r="AE41" s="23" t="str">
        <f>IF(AND('Mapa final'!$AA$28="Baja",'Mapa final'!$AC$28="Mayor"),CONCATENATE("R6C",'Mapa final'!$Q$28),"")</f>
        <v/>
      </c>
      <c r="AF41" s="23" t="str">
        <f>IF(AND('Mapa final'!$AA$29="Baja",'Mapa final'!$AC$29="Mayor"),CONCATENATE("R6C",'Mapa final'!$Q$29),"")</f>
        <v/>
      </c>
      <c r="AG41" s="24" t="str">
        <f>IF(AND('Mapa final'!$AA$30="Baja",'Mapa final'!$AC$30="Mayor"),CONCATENATE("R6C",'Mapa final'!$Q$30),"")</f>
        <v/>
      </c>
      <c r="AH41" s="25" t="str">
        <f>IF(AND('Mapa final'!$AA$25="Baja",'Mapa final'!$AC$25="Catastrófico"),CONCATENATE("R6C",'Mapa final'!$Q$25),"")</f>
        <v/>
      </c>
      <c r="AI41" s="26" t="str">
        <f>IF(AND('Mapa final'!$AA$26="Baja",'Mapa final'!$AC$26="Catastrófico"),CONCATENATE("R6C",'Mapa final'!$Q$26),"")</f>
        <v/>
      </c>
      <c r="AJ41" s="26" t="str">
        <f>IF(AND('Mapa final'!$AA$27="Baja",'Mapa final'!$AC$27="Catastrófico"),CONCATENATE("R6C",'Mapa final'!$Q$27),"")</f>
        <v/>
      </c>
      <c r="AK41" s="26" t="str">
        <f>IF(AND('Mapa final'!$AA$28="Baja",'Mapa final'!$AC$28="Catastrófico"),CONCATENATE("R6C",'Mapa final'!$Q$28),"")</f>
        <v/>
      </c>
      <c r="AL41" s="26" t="str">
        <f>IF(AND('Mapa final'!$AA$29="Baja",'Mapa final'!$AC$29="Catastrófico"),CONCATENATE("R6C",'Mapa final'!$Q$29),"")</f>
        <v/>
      </c>
      <c r="AM41" s="27" t="str">
        <f>IF(AND('Mapa final'!$AA$30="Baja",'Mapa final'!$AC$30="Catastrófico"),CONCATENATE("R6C",'Mapa final'!$Q$30),"")</f>
        <v/>
      </c>
      <c r="AN41" s="53"/>
      <c r="AO41" s="415"/>
      <c r="AP41" s="416"/>
      <c r="AQ41" s="416"/>
      <c r="AR41" s="416"/>
      <c r="AS41" s="416"/>
      <c r="AT41" s="417"/>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row>
    <row r="42" spans="1:80" ht="15" customHeight="1" x14ac:dyDescent="0.3">
      <c r="A42" s="53"/>
      <c r="B42" s="343"/>
      <c r="C42" s="343"/>
      <c r="D42" s="344"/>
      <c r="E42" s="384"/>
      <c r="F42" s="385"/>
      <c r="G42" s="385"/>
      <c r="H42" s="385"/>
      <c r="I42" s="385"/>
      <c r="J42" s="46" t="str">
        <f>IF(AND('Mapa final'!$AA$31="Baja",'Mapa final'!$AC$31="Leve"),CONCATENATE("R7C",'Mapa final'!$Q$31),"")</f>
        <v/>
      </c>
      <c r="K42" s="47" t="str">
        <f>IF(AND('Mapa final'!$AA$32="Baja",'Mapa final'!$AC$32="Leve"),CONCATENATE("R7C",'Mapa final'!$Q$32),"")</f>
        <v/>
      </c>
      <c r="L42" s="47" t="str">
        <f>IF(AND('Mapa final'!$AA$33="Baja",'Mapa final'!$AC$33="Leve"),CONCATENATE("R7C",'Mapa final'!$Q$33),"")</f>
        <v/>
      </c>
      <c r="M42" s="47" t="str">
        <f>IF(AND('Mapa final'!$AA$34="Baja",'Mapa final'!$AC$34="Leve"),CONCATENATE("R7C",'Mapa final'!$Q$34),"")</f>
        <v/>
      </c>
      <c r="N42" s="47" t="str">
        <f>IF(AND('Mapa final'!$AA$35="Baja",'Mapa final'!$AC$35="Leve"),CONCATENATE("R7C",'Mapa final'!$Q$35),"")</f>
        <v/>
      </c>
      <c r="O42" s="48" t="str">
        <f>IF(AND('Mapa final'!$AA$36="Baja",'Mapa final'!$AC$36="Leve"),CONCATENATE("R7C",'Mapa final'!$Q$36),"")</f>
        <v/>
      </c>
      <c r="P42" s="37" t="str">
        <f>IF(AND('Mapa final'!$AA$31="Baja",'Mapa final'!$AC$31="Menor"),CONCATENATE("R7C",'Mapa final'!$Q$31),"")</f>
        <v/>
      </c>
      <c r="Q42" s="38" t="str">
        <f>IF(AND('Mapa final'!$AA$32="Baja",'Mapa final'!$AC$32="Menor"),CONCATENATE("R7C",'Mapa final'!$Q$32),"")</f>
        <v/>
      </c>
      <c r="R42" s="38" t="str">
        <f>IF(AND('Mapa final'!$AA$33="Baja",'Mapa final'!$AC$33="Menor"),CONCATENATE("R7C",'Mapa final'!$Q$33),"")</f>
        <v/>
      </c>
      <c r="S42" s="38" t="str">
        <f>IF(AND('Mapa final'!$AA$34="Baja",'Mapa final'!$AC$34="Menor"),CONCATENATE("R7C",'Mapa final'!$Q$34),"")</f>
        <v/>
      </c>
      <c r="T42" s="38" t="str">
        <f>IF(AND('Mapa final'!$AA$35="Baja",'Mapa final'!$AC$35="Menor"),CONCATENATE("R7C",'Mapa final'!$Q$35),"")</f>
        <v/>
      </c>
      <c r="U42" s="39" t="str">
        <f>IF(AND('Mapa final'!$AA$36="Baja",'Mapa final'!$AC$36="Menor"),CONCATENATE("R7C",'Mapa final'!$Q$36),"")</f>
        <v/>
      </c>
      <c r="V42" s="37" t="str">
        <f>IF(AND('Mapa final'!$AA$31="Baja",'Mapa final'!$AC$31="Moderado"),CONCATENATE("R7C",'Mapa final'!$Q$31),"")</f>
        <v/>
      </c>
      <c r="W42" s="38" t="str">
        <f>IF(AND('Mapa final'!$AA$32="Baja",'Mapa final'!$AC$32="Moderado"),CONCATENATE("R7C",'Mapa final'!$Q$32),"")</f>
        <v/>
      </c>
      <c r="X42" s="38" t="str">
        <f>IF(AND('Mapa final'!$AA$33="Baja",'Mapa final'!$AC$33="Moderado"),CONCATENATE("R7C",'Mapa final'!$Q$33),"")</f>
        <v/>
      </c>
      <c r="Y42" s="38" t="str">
        <f>IF(AND('Mapa final'!$AA$34="Baja",'Mapa final'!$AC$34="Moderado"),CONCATENATE("R7C",'Mapa final'!$Q$34),"")</f>
        <v/>
      </c>
      <c r="Z42" s="38" t="str">
        <f>IF(AND('Mapa final'!$AA$35="Baja",'Mapa final'!$AC$35="Moderado"),CONCATENATE("R7C",'Mapa final'!$Q$35),"")</f>
        <v/>
      </c>
      <c r="AA42" s="39" t="str">
        <f>IF(AND('Mapa final'!$AA$36="Baja",'Mapa final'!$AC$36="Moderado"),CONCATENATE("R7C",'Mapa final'!$Q$36),"")</f>
        <v/>
      </c>
      <c r="AB42" s="22" t="str">
        <f>IF(AND('Mapa final'!$AA$31="Baja",'Mapa final'!$AC$31="Mayor"),CONCATENATE("R7C",'Mapa final'!$Q$31),"")</f>
        <v/>
      </c>
      <c r="AC42" s="23" t="str">
        <f>IF(AND('Mapa final'!$AA$32="Baja",'Mapa final'!$AC$32="Mayor"),CONCATENATE("R7C",'Mapa final'!$Q$32),"")</f>
        <v/>
      </c>
      <c r="AD42" s="23" t="str">
        <f>IF(AND('Mapa final'!$AA$33="Baja",'Mapa final'!$AC$33="Mayor"),CONCATENATE("R7C",'Mapa final'!$Q$33),"")</f>
        <v/>
      </c>
      <c r="AE42" s="23" t="str">
        <f>IF(AND('Mapa final'!$AA$34="Baja",'Mapa final'!$AC$34="Mayor"),CONCATENATE("R7C",'Mapa final'!$Q$34),"")</f>
        <v/>
      </c>
      <c r="AF42" s="23" t="str">
        <f>IF(AND('Mapa final'!$AA$35="Baja",'Mapa final'!$AC$35="Mayor"),CONCATENATE("R7C",'Mapa final'!$Q$35),"")</f>
        <v/>
      </c>
      <c r="AG42" s="24" t="str">
        <f>IF(AND('Mapa final'!$AA$36="Baja",'Mapa final'!$AC$36="Mayor"),CONCATENATE("R7C",'Mapa final'!$Q$36),"")</f>
        <v/>
      </c>
      <c r="AH42" s="25" t="str">
        <f>IF(AND('Mapa final'!$AA$31="Baja",'Mapa final'!$AC$31="Catastrófico"),CONCATENATE("R7C",'Mapa final'!$Q$31),"")</f>
        <v/>
      </c>
      <c r="AI42" s="26" t="str">
        <f>IF(AND('Mapa final'!$AA$32="Baja",'Mapa final'!$AC$32="Catastrófico"),CONCATENATE("R7C",'Mapa final'!$Q$32),"")</f>
        <v/>
      </c>
      <c r="AJ42" s="26" t="str">
        <f>IF(AND('Mapa final'!$AA$33="Baja",'Mapa final'!$AC$33="Catastrófico"),CONCATENATE("R7C",'Mapa final'!$Q$33),"")</f>
        <v/>
      </c>
      <c r="AK42" s="26" t="str">
        <f>IF(AND('Mapa final'!$AA$34="Baja",'Mapa final'!$AC$34="Catastrófico"),CONCATENATE("R7C",'Mapa final'!$Q$34),"")</f>
        <v/>
      </c>
      <c r="AL42" s="26" t="str">
        <f>IF(AND('Mapa final'!$AA$35="Baja",'Mapa final'!$AC$35="Catastrófico"),CONCATENATE("R7C",'Mapa final'!$Q$35),"")</f>
        <v/>
      </c>
      <c r="AM42" s="27" t="str">
        <f>IF(AND('Mapa final'!$AA$36="Baja",'Mapa final'!$AC$36="Catastrófico"),CONCATENATE("R7C",'Mapa final'!$Q$36),"")</f>
        <v/>
      </c>
      <c r="AN42" s="53"/>
      <c r="AO42" s="415"/>
      <c r="AP42" s="416"/>
      <c r="AQ42" s="416"/>
      <c r="AR42" s="416"/>
      <c r="AS42" s="416"/>
      <c r="AT42" s="417"/>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row>
    <row r="43" spans="1:80" ht="15" customHeight="1" x14ac:dyDescent="0.3">
      <c r="A43" s="53"/>
      <c r="B43" s="343"/>
      <c r="C43" s="343"/>
      <c r="D43" s="344"/>
      <c r="E43" s="384"/>
      <c r="F43" s="385"/>
      <c r="G43" s="385"/>
      <c r="H43" s="385"/>
      <c r="I43" s="385"/>
      <c r="J43" s="46" t="str">
        <f>IF(AND('Mapa final'!$AA$37="Baja",'Mapa final'!$AC$37="Leve"),CONCATENATE("R8C",'Mapa final'!$Q$37),"")</f>
        <v/>
      </c>
      <c r="K43" s="47" t="str">
        <f>IF(AND('Mapa final'!$AA$38="Baja",'Mapa final'!$AC$38="Leve"),CONCATENATE("R8C",'Mapa final'!$Q$38),"")</f>
        <v/>
      </c>
      <c r="L43" s="47" t="str">
        <f>IF(AND('Mapa final'!$AA$39="Baja",'Mapa final'!$AC$39="Leve"),CONCATENATE("R8C",'Mapa final'!$Q$39),"")</f>
        <v/>
      </c>
      <c r="M43" s="47" t="str">
        <f>IF(AND('Mapa final'!$AA$40="Baja",'Mapa final'!$AC$40="Leve"),CONCATENATE("R8C",'Mapa final'!$Q$40),"")</f>
        <v/>
      </c>
      <c r="N43" s="47" t="str">
        <f>IF(AND('Mapa final'!$AA$41="Baja",'Mapa final'!$AC$41="Leve"),CONCATENATE("R8C",'Mapa final'!$Q$41),"")</f>
        <v/>
      </c>
      <c r="O43" s="48" t="str">
        <f>IF(AND('Mapa final'!$AA$42="Baja",'Mapa final'!$AC$42="Leve"),CONCATENATE("R8C",'Mapa final'!$Q$42),"")</f>
        <v/>
      </c>
      <c r="P43" s="37" t="str">
        <f>IF(AND('Mapa final'!$AA$37="Baja",'Mapa final'!$AC$37="Menor"),CONCATENATE("R8C",'Mapa final'!$Q$37),"")</f>
        <v/>
      </c>
      <c r="Q43" s="38" t="str">
        <f>IF(AND('Mapa final'!$AA$38="Baja",'Mapa final'!$AC$38="Menor"),CONCATENATE("R8C",'Mapa final'!$Q$38),"")</f>
        <v/>
      </c>
      <c r="R43" s="38" t="str">
        <f>IF(AND('Mapa final'!$AA$39="Baja",'Mapa final'!$AC$39="Menor"),CONCATENATE("R8C",'Mapa final'!$Q$39),"")</f>
        <v/>
      </c>
      <c r="S43" s="38" t="str">
        <f>IF(AND('Mapa final'!$AA$40="Baja",'Mapa final'!$AC$40="Menor"),CONCATENATE("R8C",'Mapa final'!$Q$40),"")</f>
        <v/>
      </c>
      <c r="T43" s="38" t="str">
        <f>IF(AND('Mapa final'!$AA$41="Baja",'Mapa final'!$AC$41="Menor"),CONCATENATE("R8C",'Mapa final'!$Q$41),"")</f>
        <v/>
      </c>
      <c r="U43" s="39" t="str">
        <f>IF(AND('Mapa final'!$AA$42="Baja",'Mapa final'!$AC$42="Menor"),CONCATENATE("R8C",'Mapa final'!$Q$42),"")</f>
        <v/>
      </c>
      <c r="V43" s="37" t="str">
        <f>IF(AND('Mapa final'!$AA$37="Baja",'Mapa final'!$AC$37="Moderado"),CONCATENATE("R8C",'Mapa final'!$Q$37),"")</f>
        <v/>
      </c>
      <c r="W43" s="38" t="str">
        <f>IF(AND('Mapa final'!$AA$38="Baja",'Mapa final'!$AC$38="Moderado"),CONCATENATE("R8C",'Mapa final'!$Q$38),"")</f>
        <v/>
      </c>
      <c r="X43" s="38" t="str">
        <f>IF(AND('Mapa final'!$AA$39="Baja",'Mapa final'!$AC$39="Moderado"),CONCATENATE("R8C",'Mapa final'!$Q$39),"")</f>
        <v/>
      </c>
      <c r="Y43" s="38" t="str">
        <f>IF(AND('Mapa final'!$AA$40="Baja",'Mapa final'!$AC$40="Moderado"),CONCATENATE("R8C",'Mapa final'!$Q$40),"")</f>
        <v/>
      </c>
      <c r="Z43" s="38" t="str">
        <f>IF(AND('Mapa final'!$AA$41="Baja",'Mapa final'!$AC$41="Moderado"),CONCATENATE("R8C",'Mapa final'!$Q$41),"")</f>
        <v/>
      </c>
      <c r="AA43" s="39" t="str">
        <f>IF(AND('Mapa final'!$AA$42="Baja",'Mapa final'!$AC$42="Moderado"),CONCATENATE("R8C",'Mapa final'!$Q$42),"")</f>
        <v/>
      </c>
      <c r="AB43" s="22" t="str">
        <f>IF(AND('Mapa final'!$AA$37="Baja",'Mapa final'!$AC$37="Mayor"),CONCATENATE("R8C",'Mapa final'!$Q$37),"")</f>
        <v/>
      </c>
      <c r="AC43" s="23" t="str">
        <f>IF(AND('Mapa final'!$AA$38="Baja",'Mapa final'!$AC$38="Mayor"),CONCATENATE("R8C",'Mapa final'!$Q$38),"")</f>
        <v/>
      </c>
      <c r="AD43" s="23" t="str">
        <f>IF(AND('Mapa final'!$AA$39="Baja",'Mapa final'!$AC$39="Mayor"),CONCATENATE("R8C",'Mapa final'!$Q$39),"")</f>
        <v/>
      </c>
      <c r="AE43" s="23" t="str">
        <f>IF(AND('Mapa final'!$AA$40="Baja",'Mapa final'!$AC$40="Mayor"),CONCATENATE("R8C",'Mapa final'!$Q$40),"")</f>
        <v/>
      </c>
      <c r="AF43" s="23" t="str">
        <f>IF(AND('Mapa final'!$AA$41="Baja",'Mapa final'!$AC$41="Mayor"),CONCATENATE("R8C",'Mapa final'!$Q$41),"")</f>
        <v/>
      </c>
      <c r="AG43" s="24" t="str">
        <f>IF(AND('Mapa final'!$AA$42="Baja",'Mapa final'!$AC$42="Mayor"),CONCATENATE("R8C",'Mapa final'!$Q$42),"")</f>
        <v/>
      </c>
      <c r="AH43" s="25" t="str">
        <f>IF(AND('Mapa final'!$AA$37="Baja",'Mapa final'!$AC$37="Catastrófico"),CONCATENATE("R8C",'Mapa final'!$Q$37),"")</f>
        <v/>
      </c>
      <c r="AI43" s="26" t="str">
        <f>IF(AND('Mapa final'!$AA$38="Baja",'Mapa final'!$AC$38="Catastrófico"),CONCATENATE("R8C",'Mapa final'!$Q$38),"")</f>
        <v/>
      </c>
      <c r="AJ43" s="26" t="str">
        <f>IF(AND('Mapa final'!$AA$39="Baja",'Mapa final'!$AC$39="Catastrófico"),CONCATENATE("R8C",'Mapa final'!$Q$39),"")</f>
        <v/>
      </c>
      <c r="AK43" s="26" t="str">
        <f>IF(AND('Mapa final'!$AA$40="Baja",'Mapa final'!$AC$40="Catastrófico"),CONCATENATE("R8C",'Mapa final'!$Q$40),"")</f>
        <v/>
      </c>
      <c r="AL43" s="26" t="str">
        <f>IF(AND('Mapa final'!$AA$41="Baja",'Mapa final'!$AC$41="Catastrófico"),CONCATENATE("R8C",'Mapa final'!$Q$41),"")</f>
        <v/>
      </c>
      <c r="AM43" s="27" t="str">
        <f>IF(AND('Mapa final'!$AA$42="Baja",'Mapa final'!$AC$42="Catastrófico"),CONCATENATE("R8C",'Mapa final'!$Q$42),"")</f>
        <v/>
      </c>
      <c r="AN43" s="53"/>
      <c r="AO43" s="415"/>
      <c r="AP43" s="416"/>
      <c r="AQ43" s="416"/>
      <c r="AR43" s="416"/>
      <c r="AS43" s="416"/>
      <c r="AT43" s="417"/>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row>
    <row r="44" spans="1:80" ht="15" customHeight="1" x14ac:dyDescent="0.3">
      <c r="A44" s="53"/>
      <c r="B44" s="343"/>
      <c r="C44" s="343"/>
      <c r="D44" s="344"/>
      <c r="E44" s="384"/>
      <c r="F44" s="385"/>
      <c r="G44" s="385"/>
      <c r="H44" s="385"/>
      <c r="I44" s="385"/>
      <c r="J44" s="46" t="str">
        <f>IF(AND('Mapa final'!$AA$43="Baja",'Mapa final'!$AC$43="Leve"),CONCATENATE("R9C",'Mapa final'!$Q$43),"")</f>
        <v/>
      </c>
      <c r="K44" s="47" t="str">
        <f>IF(AND('Mapa final'!$AA$44="Baja",'Mapa final'!$AC$44="Leve"),CONCATENATE("R9C",'Mapa final'!$Q$44),"")</f>
        <v/>
      </c>
      <c r="L44" s="47" t="str">
        <f>IF(AND('Mapa final'!$AA$45="Baja",'Mapa final'!$AC$45="Leve"),CONCATENATE("R9C",'Mapa final'!$Q$45),"")</f>
        <v/>
      </c>
      <c r="M44" s="47" t="str">
        <f>IF(AND('Mapa final'!$AA$46="Baja",'Mapa final'!$AC$46="Leve"),CONCATENATE("R9C",'Mapa final'!$Q$46),"")</f>
        <v/>
      </c>
      <c r="N44" s="47" t="str">
        <f>IF(AND('Mapa final'!$AA$47="Baja",'Mapa final'!$AC$47="Leve"),CONCATENATE("R9C",'Mapa final'!$Q$47),"")</f>
        <v/>
      </c>
      <c r="O44" s="48" t="str">
        <f>IF(AND('Mapa final'!$AA$48="Baja",'Mapa final'!$AC$48="Leve"),CONCATENATE("R9C",'Mapa final'!$Q$48),"")</f>
        <v/>
      </c>
      <c r="P44" s="37" t="str">
        <f>IF(AND('Mapa final'!$AA$43="Baja",'Mapa final'!$AC$43="Menor"),CONCATENATE("R9C",'Mapa final'!$Q$43),"")</f>
        <v/>
      </c>
      <c r="Q44" s="38" t="str">
        <f>IF(AND('Mapa final'!$AA$44="Baja",'Mapa final'!$AC$44="Menor"),CONCATENATE("R9C",'Mapa final'!$Q$44),"")</f>
        <v/>
      </c>
      <c r="R44" s="38" t="str">
        <f>IF(AND('Mapa final'!$AA$45="Baja",'Mapa final'!$AC$45="Menor"),CONCATENATE("R9C",'Mapa final'!$Q$45),"")</f>
        <v/>
      </c>
      <c r="S44" s="38" t="str">
        <f>IF(AND('Mapa final'!$AA$46="Baja",'Mapa final'!$AC$46="Menor"),CONCATENATE("R9C",'Mapa final'!$Q$46),"")</f>
        <v/>
      </c>
      <c r="T44" s="38" t="str">
        <f>IF(AND('Mapa final'!$AA$47="Baja",'Mapa final'!$AC$47="Menor"),CONCATENATE("R9C",'Mapa final'!$Q$47),"")</f>
        <v/>
      </c>
      <c r="U44" s="39" t="str">
        <f>IF(AND('Mapa final'!$AA$48="Baja",'Mapa final'!$AC$48="Menor"),CONCATENATE("R9C",'Mapa final'!$Q$48),"")</f>
        <v/>
      </c>
      <c r="V44" s="37" t="str">
        <f>IF(AND('Mapa final'!$AA$43="Baja",'Mapa final'!$AC$43="Moderado"),CONCATENATE("R9C",'Mapa final'!$Q$43),"")</f>
        <v/>
      </c>
      <c r="W44" s="38" t="str">
        <f>IF(AND('Mapa final'!$AA$44="Baja",'Mapa final'!$AC$44="Moderado"),CONCATENATE("R9C",'Mapa final'!$Q$44),"")</f>
        <v/>
      </c>
      <c r="X44" s="38" t="str">
        <f>IF(AND('Mapa final'!$AA$45="Baja",'Mapa final'!$AC$45="Moderado"),CONCATENATE("R9C",'Mapa final'!$Q$45),"")</f>
        <v/>
      </c>
      <c r="Y44" s="38" t="str">
        <f>IF(AND('Mapa final'!$AA$46="Baja",'Mapa final'!$AC$46="Moderado"),CONCATENATE("R9C",'Mapa final'!$Q$46),"")</f>
        <v/>
      </c>
      <c r="Z44" s="38" t="str">
        <f>IF(AND('Mapa final'!$AA$47="Baja",'Mapa final'!$AC$47="Moderado"),CONCATENATE("R9C",'Mapa final'!$Q$47),"")</f>
        <v/>
      </c>
      <c r="AA44" s="39" t="str">
        <f>IF(AND('Mapa final'!$AA$48="Baja",'Mapa final'!$AC$48="Moderado"),CONCATENATE("R9C",'Mapa final'!$Q$48),"")</f>
        <v/>
      </c>
      <c r="AB44" s="22" t="str">
        <f>IF(AND('Mapa final'!$AA$43="Baja",'Mapa final'!$AC$43="Mayor"),CONCATENATE("R9C",'Mapa final'!$Q$43),"")</f>
        <v/>
      </c>
      <c r="AC44" s="23" t="str">
        <f>IF(AND('Mapa final'!$AA$44="Baja",'Mapa final'!$AC$44="Mayor"),CONCATENATE("R9C",'Mapa final'!$Q$44),"")</f>
        <v/>
      </c>
      <c r="AD44" s="23" t="str">
        <f>IF(AND('Mapa final'!$AA$45="Baja",'Mapa final'!$AC$45="Mayor"),CONCATENATE("R9C",'Mapa final'!$Q$45),"")</f>
        <v/>
      </c>
      <c r="AE44" s="23" t="str">
        <f>IF(AND('Mapa final'!$AA$46="Baja",'Mapa final'!$AC$46="Mayor"),CONCATENATE("R9C",'Mapa final'!$Q$46),"")</f>
        <v/>
      </c>
      <c r="AF44" s="23" t="str">
        <f>IF(AND('Mapa final'!$AA$47="Baja",'Mapa final'!$AC$47="Mayor"),CONCATENATE("R9C",'Mapa final'!$Q$47),"")</f>
        <v/>
      </c>
      <c r="AG44" s="24" t="str">
        <f>IF(AND('Mapa final'!$AA$48="Baja",'Mapa final'!$AC$48="Mayor"),CONCATENATE("R9C",'Mapa final'!$Q$48),"")</f>
        <v/>
      </c>
      <c r="AH44" s="25" t="str">
        <f>IF(AND('Mapa final'!$AA$43="Baja",'Mapa final'!$AC$43="Catastrófico"),CONCATENATE("R9C",'Mapa final'!$Q$43),"")</f>
        <v/>
      </c>
      <c r="AI44" s="26" t="str">
        <f>IF(AND('Mapa final'!$AA$44="Baja",'Mapa final'!$AC$44="Catastrófico"),CONCATENATE("R9C",'Mapa final'!$Q$44),"")</f>
        <v/>
      </c>
      <c r="AJ44" s="26" t="str">
        <f>IF(AND('Mapa final'!$AA$45="Baja",'Mapa final'!$AC$45="Catastrófico"),CONCATENATE("R9C",'Mapa final'!$Q$45),"")</f>
        <v/>
      </c>
      <c r="AK44" s="26" t="str">
        <f>IF(AND('Mapa final'!$AA$46="Baja",'Mapa final'!$AC$46="Catastrófico"),CONCATENATE("R9C",'Mapa final'!$Q$46),"")</f>
        <v/>
      </c>
      <c r="AL44" s="26" t="str">
        <f>IF(AND('Mapa final'!$AA$47="Baja",'Mapa final'!$AC$47="Catastrófico"),CONCATENATE("R9C",'Mapa final'!$Q$47),"")</f>
        <v/>
      </c>
      <c r="AM44" s="27" t="str">
        <f>IF(AND('Mapa final'!$AA$48="Baja",'Mapa final'!$AC$48="Catastrófico"),CONCATENATE("R9C",'Mapa final'!$Q$48),"")</f>
        <v/>
      </c>
      <c r="AN44" s="53"/>
      <c r="AO44" s="415"/>
      <c r="AP44" s="416"/>
      <c r="AQ44" s="416"/>
      <c r="AR44" s="416"/>
      <c r="AS44" s="416"/>
      <c r="AT44" s="417"/>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row>
    <row r="45" spans="1:80" ht="15.75" customHeight="1" thickBot="1" x14ac:dyDescent="0.35">
      <c r="A45" s="53"/>
      <c r="B45" s="343"/>
      <c r="C45" s="343"/>
      <c r="D45" s="344"/>
      <c r="E45" s="387"/>
      <c r="F45" s="388"/>
      <c r="G45" s="388"/>
      <c r="H45" s="388"/>
      <c r="I45" s="388"/>
      <c r="J45" s="49" t="str">
        <f>IF(AND('Mapa final'!$AA$49="Baja",'Mapa final'!$AC$49="Leve"),CONCATENATE("R10C",'Mapa final'!$Q$49),"")</f>
        <v/>
      </c>
      <c r="K45" s="50" t="str">
        <f>IF(AND('Mapa final'!$AA$50="Baja",'Mapa final'!$AC$50="Leve"),CONCATENATE("R10C",'Mapa final'!$Q$50),"")</f>
        <v/>
      </c>
      <c r="L45" s="50" t="str">
        <f>IF(AND('Mapa final'!$AA$51="Baja",'Mapa final'!$AC$51="Leve"),CONCATENATE("R10C",'Mapa final'!$Q$51),"")</f>
        <v/>
      </c>
      <c r="M45" s="50" t="str">
        <f>IF(AND('Mapa final'!$AA$52="Baja",'Mapa final'!$AC$52="Leve"),CONCATENATE("R10C",'Mapa final'!$Q$52),"")</f>
        <v/>
      </c>
      <c r="N45" s="50" t="str">
        <f>IF(AND('Mapa final'!$AA$53="Baja",'Mapa final'!$AC$53="Leve"),CONCATENATE("R10C",'Mapa final'!$Q$53),"")</f>
        <v/>
      </c>
      <c r="O45" s="51" t="str">
        <f>IF(AND('Mapa final'!$AA$54="Baja",'Mapa final'!$AC$54="Leve"),CONCATENATE("R10C",'Mapa final'!$Q$54),"")</f>
        <v/>
      </c>
      <c r="P45" s="37" t="str">
        <f>IF(AND('Mapa final'!$AA$49="Baja",'Mapa final'!$AC$49="Menor"),CONCATENATE("R10C",'Mapa final'!$Q$49),"")</f>
        <v/>
      </c>
      <c r="Q45" s="38" t="str">
        <f>IF(AND('Mapa final'!$AA$50="Baja",'Mapa final'!$AC$50="Menor"),CONCATENATE("R10C",'Mapa final'!$Q$50),"")</f>
        <v/>
      </c>
      <c r="R45" s="38" t="str">
        <f>IF(AND('Mapa final'!$AA$51="Baja",'Mapa final'!$AC$51="Menor"),CONCATENATE("R10C",'Mapa final'!$Q$51),"")</f>
        <v/>
      </c>
      <c r="S45" s="38" t="str">
        <f>IF(AND('Mapa final'!$AA$52="Baja",'Mapa final'!$AC$52="Menor"),CONCATENATE("R10C",'Mapa final'!$Q$52),"")</f>
        <v/>
      </c>
      <c r="T45" s="38" t="str">
        <f>IF(AND('Mapa final'!$AA$53="Baja",'Mapa final'!$AC$53="Menor"),CONCATENATE("R10C",'Mapa final'!$Q$53),"")</f>
        <v/>
      </c>
      <c r="U45" s="39" t="str">
        <f>IF(AND('Mapa final'!$AA$54="Baja",'Mapa final'!$AC$54="Menor"),CONCATENATE("R10C",'Mapa final'!$Q$54),"")</f>
        <v/>
      </c>
      <c r="V45" s="40" t="str">
        <f>IF(AND('Mapa final'!$AA$49="Baja",'Mapa final'!$AC$49="Moderado"),CONCATENATE("R10C",'Mapa final'!$Q$49),"")</f>
        <v/>
      </c>
      <c r="W45" s="41" t="str">
        <f>IF(AND('Mapa final'!$AA$50="Baja",'Mapa final'!$AC$50="Moderado"),CONCATENATE("R10C",'Mapa final'!$Q$50),"")</f>
        <v/>
      </c>
      <c r="X45" s="41" t="str">
        <f>IF(AND('Mapa final'!$AA$51="Baja",'Mapa final'!$AC$51="Moderado"),CONCATENATE("R10C",'Mapa final'!$Q$51),"")</f>
        <v/>
      </c>
      <c r="Y45" s="41" t="str">
        <f>IF(AND('Mapa final'!$AA$52="Baja",'Mapa final'!$AC$52="Moderado"),CONCATENATE("R10C",'Mapa final'!$Q$52),"")</f>
        <v/>
      </c>
      <c r="Z45" s="41" t="str">
        <f>IF(AND('Mapa final'!$AA$53="Baja",'Mapa final'!$AC$53="Moderado"),CONCATENATE("R10C",'Mapa final'!$Q$53),"")</f>
        <v/>
      </c>
      <c r="AA45" s="42" t="str">
        <f>IF(AND('Mapa final'!$AA$54="Baja",'Mapa final'!$AC$54="Moderado"),CONCATENATE("R10C",'Mapa final'!$Q$54),"")</f>
        <v/>
      </c>
      <c r="AB45" s="28" t="str">
        <f>IF(AND('Mapa final'!$AA$49="Baja",'Mapa final'!$AC$49="Mayor"),CONCATENATE("R10C",'Mapa final'!$Q$49),"")</f>
        <v/>
      </c>
      <c r="AC45" s="29" t="str">
        <f>IF(AND('Mapa final'!$AA$50="Baja",'Mapa final'!$AC$50="Mayor"),CONCATENATE("R10C",'Mapa final'!$Q$50),"")</f>
        <v/>
      </c>
      <c r="AD45" s="29" t="str">
        <f>IF(AND('Mapa final'!$AA$51="Baja",'Mapa final'!$AC$51="Mayor"),CONCATENATE("R10C",'Mapa final'!$Q$51),"")</f>
        <v/>
      </c>
      <c r="AE45" s="29" t="str">
        <f>IF(AND('Mapa final'!$AA$52="Baja",'Mapa final'!$AC$52="Mayor"),CONCATENATE("R10C",'Mapa final'!$Q$52),"")</f>
        <v/>
      </c>
      <c r="AF45" s="29" t="str">
        <f>IF(AND('Mapa final'!$AA$53="Baja",'Mapa final'!$AC$53="Mayor"),CONCATENATE("R10C",'Mapa final'!$Q$53),"")</f>
        <v/>
      </c>
      <c r="AG45" s="30" t="str">
        <f>IF(AND('Mapa final'!$AA$54="Baja",'Mapa final'!$AC$54="Mayor"),CONCATENATE("R10C",'Mapa final'!$Q$54),"")</f>
        <v/>
      </c>
      <c r="AH45" s="31" t="str">
        <f>IF(AND('Mapa final'!$AA$49="Baja",'Mapa final'!$AC$49="Catastrófico"),CONCATENATE("R10C",'Mapa final'!$Q$49),"")</f>
        <v/>
      </c>
      <c r="AI45" s="32" t="str">
        <f>IF(AND('Mapa final'!$AA$50="Baja",'Mapa final'!$AC$50="Catastrófico"),CONCATENATE("R10C",'Mapa final'!$Q$50),"")</f>
        <v/>
      </c>
      <c r="AJ45" s="32" t="str">
        <f>IF(AND('Mapa final'!$AA$51="Baja",'Mapa final'!$AC$51="Catastrófico"),CONCATENATE("R10C",'Mapa final'!$Q$51),"")</f>
        <v/>
      </c>
      <c r="AK45" s="32" t="str">
        <f>IF(AND('Mapa final'!$AA$52="Baja",'Mapa final'!$AC$52="Catastrófico"),CONCATENATE("R10C",'Mapa final'!$Q$52),"")</f>
        <v/>
      </c>
      <c r="AL45" s="32" t="str">
        <f>IF(AND('Mapa final'!$AA$53="Baja",'Mapa final'!$AC$53="Catastrófico"),CONCATENATE("R10C",'Mapa final'!$Q$53),"")</f>
        <v/>
      </c>
      <c r="AM45" s="33" t="str">
        <f>IF(AND('Mapa final'!$AA$54="Baja",'Mapa final'!$AC$54="Catastrófico"),CONCATENATE("R10C",'Mapa final'!$Q$54),"")</f>
        <v/>
      </c>
      <c r="AN45" s="53"/>
      <c r="AO45" s="418"/>
      <c r="AP45" s="419"/>
      <c r="AQ45" s="419"/>
      <c r="AR45" s="419"/>
      <c r="AS45" s="419"/>
      <c r="AT45" s="420"/>
    </row>
    <row r="46" spans="1:80" ht="46.5" customHeight="1" x14ac:dyDescent="0.45">
      <c r="A46" s="53"/>
      <c r="B46" s="343"/>
      <c r="C46" s="343"/>
      <c r="D46" s="344"/>
      <c r="E46" s="381" t="s">
        <v>108</v>
      </c>
      <c r="F46" s="382"/>
      <c r="G46" s="382"/>
      <c r="H46" s="382"/>
      <c r="I46" s="383"/>
      <c r="J46" s="43" t="str">
        <f ca="1">IF(AND('Mapa final'!$AA$10="Muy Baja",'Mapa final'!$AC$10="Leve"),CONCATENATE("R1C",'Mapa final'!$Q$10),"")</f>
        <v/>
      </c>
      <c r="K46" s="44" t="str">
        <f ca="1">IF(AND('Mapa final'!$AA$11="Muy Baja",'Mapa final'!$AC$11="Leve"),CONCATENATE("R1C",'Mapa final'!$Q$11),"")</f>
        <v/>
      </c>
      <c r="L46" s="44" t="str">
        <f ca="1">IF(AND('Mapa final'!$AA$12="Muy Baja",'Mapa final'!$AC$12="Leve"),CONCATENATE("R1C",'Mapa final'!$Q$12),"")</f>
        <v/>
      </c>
      <c r="M46" s="44" t="str">
        <f ca="1">IF(AND('Mapa final'!$AA$13="Muy Baja",'Mapa final'!$AC$13="Leve"),CONCATENATE("R1C",'Mapa final'!$Q$13),"")</f>
        <v/>
      </c>
      <c r="N46" s="44" t="str">
        <f ca="1">IF(AND('Mapa final'!$AA$14="Muy Baja",'Mapa final'!$AC$14="Leve"),CONCATENATE("R1C",'Mapa final'!$Q$14),"")</f>
        <v/>
      </c>
      <c r="O46" s="45" t="e">
        <f>IF(AND('Mapa final'!#REF!="Muy Baja",'Mapa final'!#REF!="Leve"),CONCATENATE("R1C",'Mapa final'!#REF!),"")</f>
        <v>#REF!</v>
      </c>
      <c r="P46" s="43" t="str">
        <f ca="1">IF(AND('Mapa final'!$AA$10="Muy Baja",'Mapa final'!$AC$10="Menor"),CONCATENATE("R1C",'Mapa final'!$Q$10),"")</f>
        <v/>
      </c>
      <c r="Q46" s="44" t="str">
        <f ca="1">IF(AND('Mapa final'!$AA$11="Muy Baja",'Mapa final'!$AC$11="Menor"),CONCATENATE("R1C",'Mapa final'!$Q$11),"")</f>
        <v/>
      </c>
      <c r="R46" s="44" t="str">
        <f ca="1">IF(AND('Mapa final'!$AA$12="Muy Baja",'Mapa final'!$AC$12="Menor"),CONCATENATE("R1C",'Mapa final'!$Q$12),"")</f>
        <v/>
      </c>
      <c r="S46" s="44" t="str">
        <f ca="1">IF(AND('Mapa final'!$AA$13="Muy Baja",'Mapa final'!$AC$13="Menor"),CONCATENATE("R1C",'Mapa final'!$Q$13),"")</f>
        <v/>
      </c>
      <c r="T46" s="44" t="str">
        <f ca="1">IF(AND('Mapa final'!$AA$14="Muy Baja",'Mapa final'!$AC$14="Menor"),CONCATENATE("R1C",'Mapa final'!$Q$14),"")</f>
        <v/>
      </c>
      <c r="U46" s="45" t="e">
        <f>IF(AND('Mapa final'!#REF!="Muy Baja",'Mapa final'!#REF!="Menor"),CONCATENATE("R1C",'Mapa final'!#REF!),"")</f>
        <v>#REF!</v>
      </c>
      <c r="V46" s="34" t="str">
        <f ca="1">IF(AND('Mapa final'!$AA$10="Muy Baja",'Mapa final'!$AC$10="Moderado"),CONCATENATE("R1C",'Mapa final'!$Q$10),"")</f>
        <v/>
      </c>
      <c r="W46" s="52" t="str">
        <f ca="1">IF(AND('Mapa final'!$AA$11="Muy Baja",'Mapa final'!$AC$11="Moderado"),CONCATENATE("R1C",'Mapa final'!$Q$11),"")</f>
        <v/>
      </c>
      <c r="X46" s="35" t="str">
        <f ca="1">IF(AND('Mapa final'!$AA$12="Muy Baja",'Mapa final'!$AC$12="Moderado"),CONCATENATE("R1C",'Mapa final'!$Q$12),"")</f>
        <v/>
      </c>
      <c r="Y46" s="35" t="str">
        <f ca="1">IF(AND('Mapa final'!$AA$13="Muy Baja",'Mapa final'!$AC$13="Moderado"),CONCATENATE("R1C",'Mapa final'!$Q$13),"")</f>
        <v/>
      </c>
      <c r="Z46" s="35" t="str">
        <f ca="1">IF(AND('Mapa final'!$AA$14="Muy Baja",'Mapa final'!$AC$14="Moderado"),CONCATENATE("R1C",'Mapa final'!$Q$14),"")</f>
        <v/>
      </c>
      <c r="AA46" s="36" t="e">
        <f>IF(AND('Mapa final'!#REF!="Muy Baja",'Mapa final'!#REF!="Moderado"),CONCATENATE("R1C",'Mapa final'!#REF!),"")</f>
        <v>#REF!</v>
      </c>
      <c r="AB46" s="16" t="str">
        <f ca="1">IF(AND('Mapa final'!$AA$10="Muy Baja",'Mapa final'!$AC$10="Mayor"),CONCATENATE("R1C",'Mapa final'!$Q$10),"")</f>
        <v/>
      </c>
      <c r="AC46" s="17" t="str">
        <f ca="1">IF(AND('Mapa final'!$AA$11="Muy Baja",'Mapa final'!$AC$11="Mayor"),CONCATENATE("R1C",'Mapa final'!$Q$11),"")</f>
        <v/>
      </c>
      <c r="AD46" s="17" t="str">
        <f ca="1">IF(AND('Mapa final'!$AA$12="Muy Baja",'Mapa final'!$AC$12="Mayor"),CONCATENATE("R1C",'Mapa final'!$Q$12),"")</f>
        <v>R1C3</v>
      </c>
      <c r="AE46" s="17" t="str">
        <f ca="1">IF(AND('Mapa final'!$AA$13="Muy Baja",'Mapa final'!$AC$13="Mayor"),CONCATENATE("R1C",'Mapa final'!$Q$13),"")</f>
        <v>R1C4</v>
      </c>
      <c r="AF46" s="17" t="str">
        <f ca="1">IF(AND('Mapa final'!$AA$14="Muy Baja",'Mapa final'!$AC$14="Mayor"),CONCATENATE("R1C",'Mapa final'!$Q$14),"")</f>
        <v>R1C5</v>
      </c>
      <c r="AG46" s="18" t="e">
        <f>IF(AND('Mapa final'!#REF!="Muy Baja",'Mapa final'!#REF!="Mayor"),CONCATENATE("R1C",'Mapa final'!#REF!),"")</f>
        <v>#REF!</v>
      </c>
      <c r="AH46" s="19" t="str">
        <f ca="1">IF(AND('Mapa final'!$AA$10="Muy Baja",'Mapa final'!$AC$10="Catastrófico"),CONCATENATE("R1C",'Mapa final'!$Q$10),"")</f>
        <v/>
      </c>
      <c r="AI46" s="20" t="str">
        <f ca="1">IF(AND('Mapa final'!$AA$11="Muy Baja",'Mapa final'!$AC$11="Catastrófico"),CONCATENATE("R1C",'Mapa final'!$Q$11),"")</f>
        <v/>
      </c>
      <c r="AJ46" s="20" t="str">
        <f ca="1">IF(AND('Mapa final'!$AA$12="Muy Baja",'Mapa final'!$AC$12="Catastrófico"),CONCATENATE("R1C",'Mapa final'!$Q$12),"")</f>
        <v/>
      </c>
      <c r="AK46" s="20" t="str">
        <f ca="1">IF(AND('Mapa final'!$AA$13="Muy Baja",'Mapa final'!$AC$13="Catastrófico"),CONCATENATE("R1C",'Mapa final'!$Q$13),"")</f>
        <v/>
      </c>
      <c r="AL46" s="20" t="str">
        <f ca="1">IF(AND('Mapa final'!$AA$14="Muy Baja",'Mapa final'!$AC$14="Catastrófico"),CONCATENATE("R1C",'Mapa final'!$Q$14),"")</f>
        <v/>
      </c>
      <c r="AM46" s="21" t="e">
        <f>IF(AND('Mapa final'!#REF!="Muy Baja",'Mapa final'!#REF!="Catastrófico"),CONCATENATE("R1C",'Mapa final'!#REF!),"")</f>
        <v>#REF!</v>
      </c>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row>
    <row r="47" spans="1:80" ht="46.5" customHeight="1" x14ac:dyDescent="0.3">
      <c r="A47" s="53"/>
      <c r="B47" s="343"/>
      <c r="C47" s="343"/>
      <c r="D47" s="344"/>
      <c r="E47" s="400"/>
      <c r="F47" s="385"/>
      <c r="G47" s="385"/>
      <c r="H47" s="385"/>
      <c r="I47" s="386"/>
      <c r="J47" s="46" t="str">
        <f ca="1">IF(AND('Mapa final'!$AA$15="Muy Baja",'Mapa final'!$AC$15="Leve"),CONCATENATE("R2C",'Mapa final'!$Q$15),"")</f>
        <v/>
      </c>
      <c r="K47" s="47" t="str">
        <f ca="1">IF(AND('Mapa final'!$AA$16="Muy Baja",'Mapa final'!$AC$16="Leve"),CONCATENATE("R2C",'Mapa final'!$Q$16),"")</f>
        <v/>
      </c>
      <c r="L47" s="47" t="e">
        <f>IF(AND('Mapa final'!#REF!="Muy Baja",'Mapa final'!#REF!="Leve"),CONCATENATE("R2C",'Mapa final'!$Q$17),"")</f>
        <v>#REF!</v>
      </c>
      <c r="M47" s="47" t="e">
        <f>IF(AND('Mapa final'!#REF!="Muy Baja",'Mapa final'!#REF!="Leve"),CONCATENATE("R2C",'Mapa final'!#REF!),"")</f>
        <v>#REF!</v>
      </c>
      <c r="N47" s="47" t="e">
        <f>IF(AND('Mapa final'!#REF!="Muy Baja",'Mapa final'!#REF!="Leve"),CONCATENATE("R2C",'Mapa final'!#REF!),"")</f>
        <v>#REF!</v>
      </c>
      <c r="O47" s="48" t="e">
        <f>IF(AND('Mapa final'!#REF!="Muy Baja",'Mapa final'!#REF!="Leve"),CONCATENATE("R2C",'Mapa final'!#REF!),"")</f>
        <v>#REF!</v>
      </c>
      <c r="P47" s="46" t="str">
        <f ca="1">IF(AND('Mapa final'!$AA$15="Muy Baja",'Mapa final'!$AC$15="Menor"),CONCATENATE("R2C",'Mapa final'!$Q$15),"")</f>
        <v/>
      </c>
      <c r="Q47" s="47" t="str">
        <f ca="1">IF(AND('Mapa final'!$AA$16="Muy Baja",'Mapa final'!$AC$16="Menor"),CONCATENATE("R2C",'Mapa final'!$Q$16),"")</f>
        <v/>
      </c>
      <c r="R47" s="47" t="e">
        <f>IF(AND('Mapa final'!#REF!="Muy Baja",'Mapa final'!#REF!="Menor"),CONCATENATE("R2C",'Mapa final'!$Q$17),"")</f>
        <v>#REF!</v>
      </c>
      <c r="S47" s="47" t="e">
        <f>IF(AND('Mapa final'!#REF!="Muy Baja",'Mapa final'!#REF!="Menor"),CONCATENATE("R2C",'Mapa final'!#REF!),"")</f>
        <v>#REF!</v>
      </c>
      <c r="T47" s="47" t="e">
        <f>IF(AND('Mapa final'!#REF!="Muy Baja",'Mapa final'!#REF!="Menor"),CONCATENATE("R2C",'Mapa final'!#REF!),"")</f>
        <v>#REF!</v>
      </c>
      <c r="U47" s="48" t="e">
        <f>IF(AND('Mapa final'!#REF!="Muy Baja",'Mapa final'!#REF!="Menor"),CONCATENATE("R2C",'Mapa final'!#REF!),"")</f>
        <v>#REF!</v>
      </c>
      <c r="V47" s="37" t="str">
        <f ca="1">IF(AND('Mapa final'!$AA$15="Muy Baja",'Mapa final'!$AC$15="Moderado"),CONCATENATE("R2C",'Mapa final'!$Q$15),"")</f>
        <v/>
      </c>
      <c r="W47" s="38" t="str">
        <f ca="1">IF(AND('Mapa final'!$AA$16="Muy Baja",'Mapa final'!$AC$16="Moderado"),CONCATENATE("R2C",'Mapa final'!$Q$16),"")</f>
        <v/>
      </c>
      <c r="X47" s="38" t="e">
        <f>IF(AND('Mapa final'!#REF!="Muy Baja",'Mapa final'!#REF!="Moderado"),CONCATENATE("R2C",'Mapa final'!$Q$17),"")</f>
        <v>#REF!</v>
      </c>
      <c r="Y47" s="38" t="e">
        <f>IF(AND('Mapa final'!#REF!="Muy Baja",'Mapa final'!#REF!="Moderado"),CONCATENATE("R2C",'Mapa final'!#REF!),"")</f>
        <v>#REF!</v>
      </c>
      <c r="Z47" s="38" t="e">
        <f>IF(AND('Mapa final'!#REF!="Muy Baja",'Mapa final'!#REF!="Moderado"),CONCATENATE("R2C",'Mapa final'!#REF!),"")</f>
        <v>#REF!</v>
      </c>
      <c r="AA47" s="39" t="e">
        <f>IF(AND('Mapa final'!#REF!="Muy Baja",'Mapa final'!#REF!="Moderado"),CONCATENATE("R2C",'Mapa final'!#REF!),"")</f>
        <v>#REF!</v>
      </c>
      <c r="AB47" s="22" t="str">
        <f ca="1">IF(AND('Mapa final'!$AA$15="Muy Baja",'Mapa final'!$AC$15="Mayor"),CONCATENATE("R2C",'Mapa final'!$Q$15),"")</f>
        <v/>
      </c>
      <c r="AC47" s="23" t="str">
        <f ca="1">IF(AND('Mapa final'!$AA$16="Muy Baja",'Mapa final'!$AC$16="Mayor"),CONCATENATE("R2C",'Mapa final'!$Q$16),"")</f>
        <v/>
      </c>
      <c r="AD47" s="23" t="e">
        <f>IF(AND('Mapa final'!#REF!="Muy Baja",'Mapa final'!#REF!="Mayor"),CONCATENATE("R2C",'Mapa final'!$Q$17),"")</f>
        <v>#REF!</v>
      </c>
      <c r="AE47" s="23" t="e">
        <f>IF(AND('Mapa final'!#REF!="Muy Baja",'Mapa final'!#REF!="Mayor"),CONCATENATE("R2C",'Mapa final'!#REF!),"")</f>
        <v>#REF!</v>
      </c>
      <c r="AF47" s="23" t="e">
        <f>IF(AND('Mapa final'!#REF!="Muy Baja",'Mapa final'!#REF!="Mayor"),CONCATENATE("R2C",'Mapa final'!#REF!),"")</f>
        <v>#REF!</v>
      </c>
      <c r="AG47" s="24" t="e">
        <f>IF(AND('Mapa final'!#REF!="Muy Baja",'Mapa final'!#REF!="Mayor"),CONCATENATE("R2C",'Mapa final'!#REF!),"")</f>
        <v>#REF!</v>
      </c>
      <c r="AH47" s="25" t="str">
        <f ca="1">IF(AND('Mapa final'!$AA$15="Muy Baja",'Mapa final'!$AC$15="Catastrófico"),CONCATENATE("R2C",'Mapa final'!$Q$15),"")</f>
        <v/>
      </c>
      <c r="AI47" s="26" t="str">
        <f ca="1">IF(AND('Mapa final'!$AA$16="Muy Baja",'Mapa final'!$AC$16="Catastrófico"),CONCATENATE("R2C",'Mapa final'!$Q$16),"")</f>
        <v/>
      </c>
      <c r="AJ47" s="26" t="e">
        <f>IF(AND('Mapa final'!#REF!="Muy Baja",'Mapa final'!#REF!="Catastrófico"),CONCATENATE("R2C",'Mapa final'!$Q$17),"")</f>
        <v>#REF!</v>
      </c>
      <c r="AK47" s="26" t="e">
        <f>IF(AND('Mapa final'!#REF!="Muy Baja",'Mapa final'!#REF!="Catastrófico"),CONCATENATE("R2C",'Mapa final'!#REF!),"")</f>
        <v>#REF!</v>
      </c>
      <c r="AL47" s="26" t="e">
        <f>IF(AND('Mapa final'!#REF!="Muy Baja",'Mapa final'!#REF!="Catastrófico"),CONCATENATE("R2C",'Mapa final'!#REF!),"")</f>
        <v>#REF!</v>
      </c>
      <c r="AM47" s="27" t="e">
        <f>IF(AND('Mapa final'!#REF!="Muy Baja",'Mapa final'!#REF!="Catastrófico"),CONCATENATE("R2C",'Mapa final'!#REF!),"")</f>
        <v>#REF!</v>
      </c>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row>
    <row r="48" spans="1:80" ht="15" customHeight="1" x14ac:dyDescent="0.3">
      <c r="A48" s="53"/>
      <c r="B48" s="343"/>
      <c r="C48" s="343"/>
      <c r="D48" s="344"/>
      <c r="E48" s="400"/>
      <c r="F48" s="385"/>
      <c r="G48" s="385"/>
      <c r="H48" s="385"/>
      <c r="I48" s="386"/>
      <c r="J48" s="46" t="e">
        <f>IF(AND('Mapa final'!#REF!="Muy Baja",'Mapa final'!#REF!="Leve"),CONCATENATE("R3C",'Mapa final'!#REF!),"")</f>
        <v>#REF!</v>
      </c>
      <c r="K48" s="47" t="e">
        <f>IF(AND('Mapa final'!#REF!="Muy Baja",'Mapa final'!#REF!="Leve"),CONCATENATE("R3C",'Mapa final'!#REF!),"")</f>
        <v>#REF!</v>
      </c>
      <c r="L48" s="47" t="e">
        <f>IF(AND('Mapa final'!#REF!="Muy Baja",'Mapa final'!#REF!="Leve"),CONCATENATE("R3C",'Mapa final'!#REF!),"")</f>
        <v>#REF!</v>
      </c>
      <c r="M48" s="47" t="e">
        <f>IF(AND('Mapa final'!#REF!="Muy Baja",'Mapa final'!#REF!="Leve"),CONCATENATE("R3C",'Mapa final'!#REF!),"")</f>
        <v>#REF!</v>
      </c>
      <c r="N48" s="47" t="e">
        <f>IF(AND('Mapa final'!#REF!="Muy Baja",'Mapa final'!#REF!="Leve"),CONCATENATE("R3C",'Mapa final'!#REF!),"")</f>
        <v>#REF!</v>
      </c>
      <c r="O48" s="48" t="e">
        <f>IF(AND('Mapa final'!#REF!="Muy Baja",'Mapa final'!#REF!="Leve"),CONCATENATE("R3C",'Mapa final'!#REF!),"")</f>
        <v>#REF!</v>
      </c>
      <c r="P48" s="46" t="e">
        <f>IF(AND('Mapa final'!#REF!="Muy Baja",'Mapa final'!#REF!="Menor"),CONCATENATE("R3C",'Mapa final'!#REF!),"")</f>
        <v>#REF!</v>
      </c>
      <c r="Q48" s="47" t="e">
        <f>IF(AND('Mapa final'!#REF!="Muy Baja",'Mapa final'!#REF!="Menor"),CONCATENATE("R3C",'Mapa final'!#REF!),"")</f>
        <v>#REF!</v>
      </c>
      <c r="R48" s="47" t="e">
        <f>IF(AND('Mapa final'!#REF!="Muy Baja",'Mapa final'!#REF!="Menor"),CONCATENATE("R3C",'Mapa final'!#REF!),"")</f>
        <v>#REF!</v>
      </c>
      <c r="S48" s="47" t="e">
        <f>IF(AND('Mapa final'!#REF!="Muy Baja",'Mapa final'!#REF!="Menor"),CONCATENATE("R3C",'Mapa final'!#REF!),"")</f>
        <v>#REF!</v>
      </c>
      <c r="T48" s="47" t="e">
        <f>IF(AND('Mapa final'!#REF!="Muy Baja",'Mapa final'!#REF!="Menor"),CONCATENATE("R3C",'Mapa final'!#REF!),"")</f>
        <v>#REF!</v>
      </c>
      <c r="U48" s="48" t="e">
        <f>IF(AND('Mapa final'!#REF!="Muy Baja",'Mapa final'!#REF!="Menor"),CONCATENATE("R3C",'Mapa final'!#REF!),"")</f>
        <v>#REF!</v>
      </c>
      <c r="V48" s="37" t="e">
        <f>IF(AND('Mapa final'!#REF!="Muy Baja",'Mapa final'!#REF!="Moderado"),CONCATENATE("R3C",'Mapa final'!#REF!),"")</f>
        <v>#REF!</v>
      </c>
      <c r="W48" s="38" t="e">
        <f>IF(AND('Mapa final'!#REF!="Muy Baja",'Mapa final'!#REF!="Moderado"),CONCATENATE("R3C",'Mapa final'!#REF!),"")</f>
        <v>#REF!</v>
      </c>
      <c r="X48" s="38" t="e">
        <f>IF(AND('Mapa final'!#REF!="Muy Baja",'Mapa final'!#REF!="Moderado"),CONCATENATE("R3C",'Mapa final'!#REF!),"")</f>
        <v>#REF!</v>
      </c>
      <c r="Y48" s="38" t="e">
        <f>IF(AND('Mapa final'!#REF!="Muy Baja",'Mapa final'!#REF!="Moderado"),CONCATENATE("R3C",'Mapa final'!#REF!),"")</f>
        <v>#REF!</v>
      </c>
      <c r="Z48" s="38" t="e">
        <f>IF(AND('Mapa final'!#REF!="Muy Baja",'Mapa final'!#REF!="Moderado"),CONCATENATE("R3C",'Mapa final'!#REF!),"")</f>
        <v>#REF!</v>
      </c>
      <c r="AA48" s="39" t="e">
        <f>IF(AND('Mapa final'!#REF!="Muy Baja",'Mapa final'!#REF!="Moderado"),CONCATENATE("R3C",'Mapa final'!#REF!),"")</f>
        <v>#REF!</v>
      </c>
      <c r="AB48" s="22" t="e">
        <f>IF(AND('Mapa final'!#REF!="Muy Baja",'Mapa final'!#REF!="Mayor"),CONCATENATE("R3C",'Mapa final'!#REF!),"")</f>
        <v>#REF!</v>
      </c>
      <c r="AC48" s="23" t="e">
        <f>IF(AND('Mapa final'!#REF!="Muy Baja",'Mapa final'!#REF!="Mayor"),CONCATENATE("R3C",'Mapa final'!#REF!),"")</f>
        <v>#REF!</v>
      </c>
      <c r="AD48" s="23" t="e">
        <f>IF(AND('Mapa final'!#REF!="Muy Baja",'Mapa final'!#REF!="Mayor"),CONCATENATE("R3C",'Mapa final'!#REF!),"")</f>
        <v>#REF!</v>
      </c>
      <c r="AE48" s="23" t="e">
        <f>IF(AND('Mapa final'!#REF!="Muy Baja",'Mapa final'!#REF!="Mayor"),CONCATENATE("R3C",'Mapa final'!#REF!),"")</f>
        <v>#REF!</v>
      </c>
      <c r="AF48" s="23" t="e">
        <f>IF(AND('Mapa final'!#REF!="Muy Baja",'Mapa final'!#REF!="Mayor"),CONCATENATE("R3C",'Mapa final'!#REF!),"")</f>
        <v>#REF!</v>
      </c>
      <c r="AG48" s="24" t="e">
        <f>IF(AND('Mapa final'!#REF!="Muy Baja",'Mapa final'!#REF!="Mayor"),CONCATENATE("R3C",'Mapa final'!#REF!),"")</f>
        <v>#REF!</v>
      </c>
      <c r="AH48" s="25" t="e">
        <f>IF(AND('Mapa final'!#REF!="Muy Baja",'Mapa final'!#REF!="Catastrófico"),CONCATENATE("R3C",'Mapa final'!#REF!),"")</f>
        <v>#REF!</v>
      </c>
      <c r="AI48" s="26" t="e">
        <f>IF(AND('Mapa final'!#REF!="Muy Baja",'Mapa final'!#REF!="Catastrófico"),CONCATENATE("R3C",'Mapa final'!#REF!),"")</f>
        <v>#REF!</v>
      </c>
      <c r="AJ48" s="26" t="e">
        <f>IF(AND('Mapa final'!#REF!="Muy Baja",'Mapa final'!#REF!="Catastrófico"),CONCATENATE("R3C",'Mapa final'!#REF!),"")</f>
        <v>#REF!</v>
      </c>
      <c r="AK48" s="26" t="e">
        <f>IF(AND('Mapa final'!#REF!="Muy Baja",'Mapa final'!#REF!="Catastrófico"),CONCATENATE("R3C",'Mapa final'!#REF!),"")</f>
        <v>#REF!</v>
      </c>
      <c r="AL48" s="26" t="e">
        <f>IF(AND('Mapa final'!#REF!="Muy Baja",'Mapa final'!#REF!="Catastrófico"),CONCATENATE("R3C",'Mapa final'!#REF!),"")</f>
        <v>#REF!</v>
      </c>
      <c r="AM48" s="27" t="e">
        <f>IF(AND('Mapa final'!#REF!="Muy Baja",'Mapa final'!#REF!="Catastrófico"),CONCATENATE("R3C",'Mapa final'!#REF!),"")</f>
        <v>#REF!</v>
      </c>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row>
    <row r="49" spans="1:80" ht="15" customHeight="1" x14ac:dyDescent="0.3">
      <c r="A49" s="53"/>
      <c r="B49" s="343"/>
      <c r="C49" s="343"/>
      <c r="D49" s="344"/>
      <c r="E49" s="384"/>
      <c r="F49" s="385"/>
      <c r="G49" s="385"/>
      <c r="H49" s="385"/>
      <c r="I49" s="386"/>
      <c r="J49" s="46" t="e">
        <f>IF(AND('Mapa final'!#REF!="Muy Baja",'Mapa final'!#REF!="Leve"),CONCATENATE("R4C",'Mapa final'!#REF!),"")</f>
        <v>#REF!</v>
      </c>
      <c r="K49" s="47" t="e">
        <f>IF(AND('Mapa final'!#REF!="Muy Baja",'Mapa final'!#REF!="Leve"),CONCATENATE("R4C",'Mapa final'!#REF!),"")</f>
        <v>#REF!</v>
      </c>
      <c r="L49" s="47" t="e">
        <f>IF(AND('Mapa final'!#REF!="Muy Baja",'Mapa final'!#REF!="Leve"),CONCATENATE("R4C",'Mapa final'!#REF!),"")</f>
        <v>#REF!</v>
      </c>
      <c r="M49" s="47" t="e">
        <f>IF(AND('Mapa final'!#REF!="Muy Baja",'Mapa final'!#REF!="Leve"),CONCATENATE("R4C",'Mapa final'!#REF!),"")</f>
        <v>#REF!</v>
      </c>
      <c r="N49" s="47" t="e">
        <f>IF(AND('Mapa final'!#REF!="Muy Baja",'Mapa final'!#REF!="Leve"),CONCATENATE("R4C",'Mapa final'!#REF!),"")</f>
        <v>#REF!</v>
      </c>
      <c r="O49" s="48" t="e">
        <f>IF(AND('Mapa final'!#REF!="Muy Baja",'Mapa final'!#REF!="Leve"),CONCATENATE("R4C",'Mapa final'!#REF!),"")</f>
        <v>#REF!</v>
      </c>
      <c r="P49" s="46" t="e">
        <f>IF(AND('Mapa final'!#REF!="Muy Baja",'Mapa final'!#REF!="Menor"),CONCATENATE("R4C",'Mapa final'!#REF!),"")</f>
        <v>#REF!</v>
      </c>
      <c r="Q49" s="47" t="e">
        <f>IF(AND('Mapa final'!#REF!="Muy Baja",'Mapa final'!#REF!="Menor"),CONCATENATE("R4C",'Mapa final'!#REF!),"")</f>
        <v>#REF!</v>
      </c>
      <c r="R49" s="47" t="e">
        <f>IF(AND('Mapa final'!#REF!="Muy Baja",'Mapa final'!#REF!="Menor"),CONCATENATE("R4C",'Mapa final'!#REF!),"")</f>
        <v>#REF!</v>
      </c>
      <c r="S49" s="47" t="e">
        <f>IF(AND('Mapa final'!#REF!="Muy Baja",'Mapa final'!#REF!="Menor"),CONCATENATE("R4C",'Mapa final'!#REF!),"")</f>
        <v>#REF!</v>
      </c>
      <c r="T49" s="47" t="e">
        <f>IF(AND('Mapa final'!#REF!="Muy Baja",'Mapa final'!#REF!="Menor"),CONCATENATE("R4C",'Mapa final'!#REF!),"")</f>
        <v>#REF!</v>
      </c>
      <c r="U49" s="48" t="e">
        <f>IF(AND('Mapa final'!#REF!="Muy Baja",'Mapa final'!#REF!="Menor"),CONCATENATE("R4C",'Mapa final'!#REF!),"")</f>
        <v>#REF!</v>
      </c>
      <c r="V49" s="37" t="e">
        <f>IF(AND('Mapa final'!#REF!="Muy Baja",'Mapa final'!#REF!="Moderado"),CONCATENATE("R4C",'Mapa final'!#REF!),"")</f>
        <v>#REF!</v>
      </c>
      <c r="W49" s="38" t="e">
        <f>IF(AND('Mapa final'!#REF!="Muy Baja",'Mapa final'!#REF!="Moderado"),CONCATENATE("R4C",'Mapa final'!#REF!),"")</f>
        <v>#REF!</v>
      </c>
      <c r="X49" s="38" t="e">
        <f>IF(AND('Mapa final'!#REF!="Muy Baja",'Mapa final'!#REF!="Moderado"),CONCATENATE("R4C",'Mapa final'!#REF!),"")</f>
        <v>#REF!</v>
      </c>
      <c r="Y49" s="38" t="e">
        <f>IF(AND('Mapa final'!#REF!="Muy Baja",'Mapa final'!#REF!="Moderado"),CONCATENATE("R4C",'Mapa final'!#REF!),"")</f>
        <v>#REF!</v>
      </c>
      <c r="Z49" s="38" t="e">
        <f>IF(AND('Mapa final'!#REF!="Muy Baja",'Mapa final'!#REF!="Moderado"),CONCATENATE("R4C",'Mapa final'!#REF!),"")</f>
        <v>#REF!</v>
      </c>
      <c r="AA49" s="39" t="e">
        <f>IF(AND('Mapa final'!#REF!="Muy Baja",'Mapa final'!#REF!="Moderado"),CONCATENATE("R4C",'Mapa final'!#REF!),"")</f>
        <v>#REF!</v>
      </c>
      <c r="AB49" s="22" t="e">
        <f>IF(AND('Mapa final'!#REF!="Muy Baja",'Mapa final'!#REF!="Mayor"),CONCATENATE("R4C",'Mapa final'!#REF!),"")</f>
        <v>#REF!</v>
      </c>
      <c r="AC49" s="23" t="e">
        <f>IF(AND('Mapa final'!#REF!="Muy Baja",'Mapa final'!#REF!="Mayor"),CONCATENATE("R4C",'Mapa final'!#REF!),"")</f>
        <v>#REF!</v>
      </c>
      <c r="AD49" s="23" t="e">
        <f>IF(AND('Mapa final'!#REF!="Muy Baja",'Mapa final'!#REF!="Mayor"),CONCATENATE("R4C",'Mapa final'!#REF!),"")</f>
        <v>#REF!</v>
      </c>
      <c r="AE49" s="23" t="e">
        <f>IF(AND('Mapa final'!#REF!="Muy Baja",'Mapa final'!#REF!="Mayor"),CONCATENATE("R4C",'Mapa final'!#REF!),"")</f>
        <v>#REF!</v>
      </c>
      <c r="AF49" s="23" t="e">
        <f>IF(AND('Mapa final'!#REF!="Muy Baja",'Mapa final'!#REF!="Mayor"),CONCATENATE("R4C",'Mapa final'!#REF!),"")</f>
        <v>#REF!</v>
      </c>
      <c r="AG49" s="24" t="e">
        <f>IF(AND('Mapa final'!#REF!="Muy Baja",'Mapa final'!#REF!="Mayor"),CONCATENATE("R4C",'Mapa final'!#REF!),"")</f>
        <v>#REF!</v>
      </c>
      <c r="AH49" s="25" t="e">
        <f>IF(AND('Mapa final'!#REF!="Muy Baja",'Mapa final'!#REF!="Catastrófico"),CONCATENATE("R4C",'Mapa final'!#REF!),"")</f>
        <v>#REF!</v>
      </c>
      <c r="AI49" s="26" t="e">
        <f>IF(AND('Mapa final'!#REF!="Muy Baja",'Mapa final'!#REF!="Catastrófico"),CONCATENATE("R4C",'Mapa final'!#REF!),"")</f>
        <v>#REF!</v>
      </c>
      <c r="AJ49" s="26" t="e">
        <f>IF(AND('Mapa final'!#REF!="Muy Baja",'Mapa final'!#REF!="Catastrófico"),CONCATENATE("R4C",'Mapa final'!#REF!),"")</f>
        <v>#REF!</v>
      </c>
      <c r="AK49" s="26" t="e">
        <f>IF(AND('Mapa final'!#REF!="Muy Baja",'Mapa final'!#REF!="Catastrófico"),CONCATENATE("R4C",'Mapa final'!#REF!),"")</f>
        <v>#REF!</v>
      </c>
      <c r="AL49" s="26" t="e">
        <f>IF(AND('Mapa final'!#REF!="Muy Baja",'Mapa final'!#REF!="Catastrófico"),CONCATENATE("R4C",'Mapa final'!#REF!),"")</f>
        <v>#REF!</v>
      </c>
      <c r="AM49" s="27" t="e">
        <f>IF(AND('Mapa final'!#REF!="Muy Baja",'Mapa final'!#REF!="Catastrófico"),CONCATENATE("R4C",'Mapa final'!#REF!),"")</f>
        <v>#REF!</v>
      </c>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row>
    <row r="50" spans="1:80" ht="15" customHeight="1" x14ac:dyDescent="0.3">
      <c r="A50" s="53"/>
      <c r="B50" s="343"/>
      <c r="C50" s="343"/>
      <c r="D50" s="344"/>
      <c r="E50" s="384"/>
      <c r="F50" s="385"/>
      <c r="G50" s="385"/>
      <c r="H50" s="385"/>
      <c r="I50" s="386"/>
      <c r="J50" s="46" t="str">
        <f>IF(AND('Mapa final'!$AA$19="Muy Baja",'Mapa final'!$AC$19="Leve"),CONCATENATE("R5C",'Mapa final'!$Q$19),"")</f>
        <v/>
      </c>
      <c r="K50" s="47" t="str">
        <f>IF(AND('Mapa final'!$AA$20="Muy Baja",'Mapa final'!$AC$20="Leve"),CONCATENATE("R5C",'Mapa final'!$Q$20),"")</f>
        <v/>
      </c>
      <c r="L50" s="47" t="str">
        <f>IF(AND('Mapa final'!$AA$21="Muy Baja",'Mapa final'!$AC$21="Leve"),CONCATENATE("R5C",'Mapa final'!$Q$21),"")</f>
        <v/>
      </c>
      <c r="M50" s="47" t="str">
        <f>IF(AND('Mapa final'!$AA$22="Muy Baja",'Mapa final'!$AC$22="Leve"),CONCATENATE("R5C",'Mapa final'!$Q$22),"")</f>
        <v/>
      </c>
      <c r="N50" s="47" t="str">
        <f>IF(AND('Mapa final'!$AA$23="Muy Baja",'Mapa final'!$AC$23="Leve"),CONCATENATE("R5C",'Mapa final'!$Q$23),"")</f>
        <v/>
      </c>
      <c r="O50" s="48" t="str">
        <f>IF(AND('Mapa final'!$AA$24="Muy Baja",'Mapa final'!$AC$24="Leve"),CONCATENATE("R5C",'Mapa final'!$Q$24),"")</f>
        <v/>
      </c>
      <c r="P50" s="46" t="str">
        <f>IF(AND('Mapa final'!$AA$19="Muy Baja",'Mapa final'!$AC$19="Menor"),CONCATENATE("R5C",'Mapa final'!$Q$19),"")</f>
        <v/>
      </c>
      <c r="Q50" s="47" t="str">
        <f>IF(AND('Mapa final'!$AA$20="Muy Baja",'Mapa final'!$AC$20="Menor"),CONCATENATE("R5C",'Mapa final'!$Q$20),"")</f>
        <v/>
      </c>
      <c r="R50" s="47" t="str">
        <f>IF(AND('Mapa final'!$AA$21="Muy Baja",'Mapa final'!$AC$21="Menor"),CONCATENATE("R5C",'Mapa final'!$Q$21),"")</f>
        <v/>
      </c>
      <c r="S50" s="47" t="str">
        <f>IF(AND('Mapa final'!$AA$22="Muy Baja",'Mapa final'!$AC$22="Menor"),CONCATENATE("R5C",'Mapa final'!$Q$22),"")</f>
        <v/>
      </c>
      <c r="T50" s="47" t="str">
        <f>IF(AND('Mapa final'!$AA$23="Muy Baja",'Mapa final'!$AC$23="Menor"),CONCATENATE("R5C",'Mapa final'!$Q$23),"")</f>
        <v/>
      </c>
      <c r="U50" s="48" t="str">
        <f>IF(AND('Mapa final'!$AA$24="Muy Baja",'Mapa final'!$AC$24="Menor"),CONCATENATE("R5C",'Mapa final'!$Q$24),"")</f>
        <v/>
      </c>
      <c r="V50" s="37" t="str">
        <f>IF(AND('Mapa final'!$AA$19="Muy Baja",'Mapa final'!$AC$19="Moderado"),CONCATENATE("R5C",'Mapa final'!$Q$19),"")</f>
        <v/>
      </c>
      <c r="W50" s="38" t="str">
        <f>IF(AND('Mapa final'!$AA$20="Muy Baja",'Mapa final'!$AC$20="Moderado"),CONCATENATE("R5C",'Mapa final'!$Q$20),"")</f>
        <v/>
      </c>
      <c r="X50" s="38" t="str">
        <f>IF(AND('Mapa final'!$AA$21="Muy Baja",'Mapa final'!$AC$21="Moderado"),CONCATENATE("R5C",'Mapa final'!$Q$21),"")</f>
        <v/>
      </c>
      <c r="Y50" s="38" t="str">
        <f>IF(AND('Mapa final'!$AA$22="Muy Baja",'Mapa final'!$AC$22="Moderado"),CONCATENATE("R5C",'Mapa final'!$Q$22),"")</f>
        <v/>
      </c>
      <c r="Z50" s="38" t="str">
        <f>IF(AND('Mapa final'!$AA$23="Muy Baja",'Mapa final'!$AC$23="Moderado"),CONCATENATE("R5C",'Mapa final'!$Q$23),"")</f>
        <v/>
      </c>
      <c r="AA50" s="39" t="str">
        <f>IF(AND('Mapa final'!$AA$24="Muy Baja",'Mapa final'!$AC$24="Moderado"),CONCATENATE("R5C",'Mapa final'!$Q$24),"")</f>
        <v/>
      </c>
      <c r="AB50" s="22" t="str">
        <f>IF(AND('Mapa final'!$AA$19="Muy Baja",'Mapa final'!$AC$19="Mayor"),CONCATENATE("R5C",'Mapa final'!$Q$19),"")</f>
        <v/>
      </c>
      <c r="AC50" s="23" t="str">
        <f>IF(AND('Mapa final'!$AA$20="Muy Baja",'Mapa final'!$AC$20="Mayor"),CONCATENATE("R5C",'Mapa final'!$Q$20),"")</f>
        <v/>
      </c>
      <c r="AD50" s="23" t="str">
        <f>IF(AND('Mapa final'!$AA$21="Muy Baja",'Mapa final'!$AC$21="Mayor"),CONCATENATE("R5C",'Mapa final'!$Q$21),"")</f>
        <v/>
      </c>
      <c r="AE50" s="23" t="str">
        <f>IF(AND('Mapa final'!$AA$22="Muy Baja",'Mapa final'!$AC$22="Mayor"),CONCATENATE("R5C",'Mapa final'!$Q$22),"")</f>
        <v/>
      </c>
      <c r="AF50" s="23" t="str">
        <f>IF(AND('Mapa final'!$AA$23="Muy Baja",'Mapa final'!$AC$23="Mayor"),CONCATENATE("R5C",'Mapa final'!$Q$23),"")</f>
        <v/>
      </c>
      <c r="AG50" s="24" t="str">
        <f>IF(AND('Mapa final'!$AA$24="Muy Baja",'Mapa final'!$AC$24="Mayor"),CONCATENATE("R5C",'Mapa final'!$Q$24),"")</f>
        <v/>
      </c>
      <c r="AH50" s="25" t="str">
        <f>IF(AND('Mapa final'!$AA$19="Muy Baja",'Mapa final'!$AC$19="Catastrófico"),CONCATENATE("R5C",'Mapa final'!$Q$19),"")</f>
        <v/>
      </c>
      <c r="AI50" s="26" t="str">
        <f>IF(AND('Mapa final'!$AA$20="Muy Baja",'Mapa final'!$AC$20="Catastrófico"),CONCATENATE("R5C",'Mapa final'!$Q$20),"")</f>
        <v/>
      </c>
      <c r="AJ50" s="26" t="str">
        <f>IF(AND('Mapa final'!$AA$21="Muy Baja",'Mapa final'!$AC$21="Catastrófico"),CONCATENATE("R5C",'Mapa final'!$Q$21),"")</f>
        <v/>
      </c>
      <c r="AK50" s="26" t="str">
        <f>IF(AND('Mapa final'!$AA$22="Muy Baja",'Mapa final'!$AC$22="Catastrófico"),CONCATENATE("R5C",'Mapa final'!$Q$22),"")</f>
        <v/>
      </c>
      <c r="AL50" s="26" t="str">
        <f>IF(AND('Mapa final'!$AA$23="Muy Baja",'Mapa final'!$AC$23="Catastrófico"),CONCATENATE("R5C",'Mapa final'!$Q$23),"")</f>
        <v/>
      </c>
      <c r="AM50" s="27" t="str">
        <f>IF(AND('Mapa final'!$AA$24="Muy Baja",'Mapa final'!$AC$24="Catastrófico"),CONCATENATE("R5C",'Mapa final'!$Q$24),"")</f>
        <v/>
      </c>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row>
    <row r="51" spans="1:80" ht="15" customHeight="1" x14ac:dyDescent="0.3">
      <c r="A51" s="53"/>
      <c r="B51" s="343"/>
      <c r="C51" s="343"/>
      <c r="D51" s="344"/>
      <c r="E51" s="384"/>
      <c r="F51" s="385"/>
      <c r="G51" s="385"/>
      <c r="H51" s="385"/>
      <c r="I51" s="386"/>
      <c r="J51" s="46" t="str">
        <f>IF(AND('Mapa final'!$AA$25="Muy Baja",'Mapa final'!$AC$25="Leve"),CONCATENATE("R6C",'Mapa final'!$Q$25),"")</f>
        <v/>
      </c>
      <c r="K51" s="47" t="str">
        <f>IF(AND('Mapa final'!$AA$26="Muy Baja",'Mapa final'!$AC$26="Leve"),CONCATENATE("R6C",'Mapa final'!$Q$26),"")</f>
        <v/>
      </c>
      <c r="L51" s="47" t="str">
        <f>IF(AND('Mapa final'!$AA$27="Muy Baja",'Mapa final'!$AC$27="Leve"),CONCATENATE("R6C",'Mapa final'!$Q$27),"")</f>
        <v/>
      </c>
      <c r="M51" s="47" t="str">
        <f>IF(AND('Mapa final'!$AA$28="Muy Baja",'Mapa final'!$AC$28="Leve"),CONCATENATE("R6C",'Mapa final'!$Q$28),"")</f>
        <v/>
      </c>
      <c r="N51" s="47" t="str">
        <f>IF(AND('Mapa final'!$AA$29="Muy Baja",'Mapa final'!$AC$29="Leve"),CONCATENATE("R6C",'Mapa final'!$Q$29),"")</f>
        <v/>
      </c>
      <c r="O51" s="48" t="str">
        <f>IF(AND('Mapa final'!$AA$30="Muy Baja",'Mapa final'!$AC$30="Leve"),CONCATENATE("R6C",'Mapa final'!$Q$30),"")</f>
        <v/>
      </c>
      <c r="P51" s="46" t="str">
        <f>IF(AND('Mapa final'!$AA$25="Muy Baja",'Mapa final'!$AC$25="Menor"),CONCATENATE("R6C",'Mapa final'!$Q$25),"")</f>
        <v/>
      </c>
      <c r="Q51" s="47" t="str">
        <f>IF(AND('Mapa final'!$AA$26="Muy Baja",'Mapa final'!$AC$26="Menor"),CONCATENATE("R6C",'Mapa final'!$Q$26),"")</f>
        <v/>
      </c>
      <c r="R51" s="47" t="str">
        <f>IF(AND('Mapa final'!$AA$27="Muy Baja",'Mapa final'!$AC$27="Menor"),CONCATENATE("R6C",'Mapa final'!$Q$27),"")</f>
        <v/>
      </c>
      <c r="S51" s="47" t="str">
        <f>IF(AND('Mapa final'!$AA$28="Muy Baja",'Mapa final'!$AC$28="Menor"),CONCATENATE("R6C",'Mapa final'!$Q$28),"")</f>
        <v/>
      </c>
      <c r="T51" s="47" t="str">
        <f>IF(AND('Mapa final'!$AA$29="Muy Baja",'Mapa final'!$AC$29="Menor"),CONCATENATE("R6C",'Mapa final'!$Q$29),"")</f>
        <v/>
      </c>
      <c r="U51" s="48" t="str">
        <f>IF(AND('Mapa final'!$AA$30="Muy Baja",'Mapa final'!$AC$30="Menor"),CONCATENATE("R6C",'Mapa final'!$Q$30),"")</f>
        <v/>
      </c>
      <c r="V51" s="37" t="str">
        <f>IF(AND('Mapa final'!$AA$25="Muy Baja",'Mapa final'!$AC$25="Moderado"),CONCATENATE("R6C",'Mapa final'!$Q$25),"")</f>
        <v/>
      </c>
      <c r="W51" s="38" t="str">
        <f>IF(AND('Mapa final'!$AA$26="Muy Baja",'Mapa final'!$AC$26="Moderado"),CONCATENATE("R6C",'Mapa final'!$Q$26),"")</f>
        <v/>
      </c>
      <c r="X51" s="38" t="str">
        <f>IF(AND('Mapa final'!$AA$27="Muy Baja",'Mapa final'!$AC$27="Moderado"),CONCATENATE("R6C",'Mapa final'!$Q$27),"")</f>
        <v/>
      </c>
      <c r="Y51" s="38" t="str">
        <f>IF(AND('Mapa final'!$AA$28="Muy Baja",'Mapa final'!$AC$28="Moderado"),CONCATENATE("R6C",'Mapa final'!$Q$28),"")</f>
        <v/>
      </c>
      <c r="Z51" s="38" t="str">
        <f>IF(AND('Mapa final'!$AA$29="Muy Baja",'Mapa final'!$AC$29="Moderado"),CONCATENATE("R6C",'Mapa final'!$Q$29),"")</f>
        <v/>
      </c>
      <c r="AA51" s="39" t="str">
        <f>IF(AND('Mapa final'!$AA$30="Muy Baja",'Mapa final'!$AC$30="Moderado"),CONCATENATE("R6C",'Mapa final'!$Q$30),"")</f>
        <v/>
      </c>
      <c r="AB51" s="22" t="str">
        <f>IF(AND('Mapa final'!$AA$25="Muy Baja",'Mapa final'!$AC$25="Mayor"),CONCATENATE("R6C",'Mapa final'!$Q$25),"")</f>
        <v/>
      </c>
      <c r="AC51" s="23" t="str">
        <f>IF(AND('Mapa final'!$AA$26="Muy Baja",'Mapa final'!$AC$26="Mayor"),CONCATENATE("R6C",'Mapa final'!$Q$26),"")</f>
        <v/>
      </c>
      <c r="AD51" s="23" t="str">
        <f>IF(AND('Mapa final'!$AA$27="Muy Baja",'Mapa final'!$AC$27="Mayor"),CONCATENATE("R6C",'Mapa final'!$Q$27),"")</f>
        <v/>
      </c>
      <c r="AE51" s="23" t="str">
        <f>IF(AND('Mapa final'!$AA$28="Muy Baja",'Mapa final'!$AC$28="Mayor"),CONCATENATE("R6C",'Mapa final'!$Q$28),"")</f>
        <v/>
      </c>
      <c r="AF51" s="23" t="str">
        <f>IF(AND('Mapa final'!$AA$29="Muy Baja",'Mapa final'!$AC$29="Mayor"),CONCATENATE("R6C",'Mapa final'!$Q$29),"")</f>
        <v/>
      </c>
      <c r="AG51" s="24" t="str">
        <f>IF(AND('Mapa final'!$AA$30="Muy Baja",'Mapa final'!$AC$30="Mayor"),CONCATENATE("R6C",'Mapa final'!$Q$30),"")</f>
        <v/>
      </c>
      <c r="AH51" s="25" t="str">
        <f>IF(AND('Mapa final'!$AA$25="Muy Baja",'Mapa final'!$AC$25="Catastrófico"),CONCATENATE("R6C",'Mapa final'!$Q$25),"")</f>
        <v/>
      </c>
      <c r="AI51" s="26" t="str">
        <f>IF(AND('Mapa final'!$AA$26="Muy Baja",'Mapa final'!$AC$26="Catastrófico"),CONCATENATE("R6C",'Mapa final'!$Q$26),"")</f>
        <v/>
      </c>
      <c r="AJ51" s="26" t="str">
        <f>IF(AND('Mapa final'!$AA$27="Muy Baja",'Mapa final'!$AC$27="Catastrófico"),CONCATENATE("R6C",'Mapa final'!$Q$27),"")</f>
        <v/>
      </c>
      <c r="AK51" s="26" t="str">
        <f>IF(AND('Mapa final'!$AA$28="Muy Baja",'Mapa final'!$AC$28="Catastrófico"),CONCATENATE("R6C",'Mapa final'!$Q$28),"")</f>
        <v/>
      </c>
      <c r="AL51" s="26" t="str">
        <f>IF(AND('Mapa final'!$AA$29="Muy Baja",'Mapa final'!$AC$29="Catastrófico"),CONCATENATE("R6C",'Mapa final'!$Q$29),"")</f>
        <v/>
      </c>
      <c r="AM51" s="27" t="str">
        <f>IF(AND('Mapa final'!$AA$30="Muy Baja",'Mapa final'!$AC$30="Catastrófico"),CONCATENATE("R6C",'Mapa final'!$Q$30),"")</f>
        <v/>
      </c>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row>
    <row r="52" spans="1:80" ht="15" customHeight="1" x14ac:dyDescent="0.3">
      <c r="A52" s="53"/>
      <c r="B52" s="343"/>
      <c r="C52" s="343"/>
      <c r="D52" s="344"/>
      <c r="E52" s="384"/>
      <c r="F52" s="385"/>
      <c r="G52" s="385"/>
      <c r="H52" s="385"/>
      <c r="I52" s="386"/>
      <c r="J52" s="46" t="str">
        <f>IF(AND('Mapa final'!$AA$31="Muy Baja",'Mapa final'!$AC$31="Leve"),CONCATENATE("R7C",'Mapa final'!$Q$31),"")</f>
        <v/>
      </c>
      <c r="K52" s="47" t="str">
        <f>IF(AND('Mapa final'!$AA$32="Muy Baja",'Mapa final'!$AC$32="Leve"),CONCATENATE("R7C",'Mapa final'!$Q$32),"")</f>
        <v/>
      </c>
      <c r="L52" s="47" t="str">
        <f>IF(AND('Mapa final'!$AA$33="Muy Baja",'Mapa final'!$AC$33="Leve"),CONCATENATE("R7C",'Mapa final'!$Q$33),"")</f>
        <v/>
      </c>
      <c r="M52" s="47" t="str">
        <f>IF(AND('Mapa final'!$AA$34="Muy Baja",'Mapa final'!$AC$34="Leve"),CONCATENATE("R7C",'Mapa final'!$Q$34),"")</f>
        <v/>
      </c>
      <c r="N52" s="47" t="str">
        <f>IF(AND('Mapa final'!$AA$35="Muy Baja",'Mapa final'!$AC$35="Leve"),CONCATENATE("R7C",'Mapa final'!$Q$35),"")</f>
        <v/>
      </c>
      <c r="O52" s="48" t="str">
        <f>IF(AND('Mapa final'!$AA$36="Muy Baja",'Mapa final'!$AC$36="Leve"),CONCATENATE("R7C",'Mapa final'!$Q$36),"")</f>
        <v/>
      </c>
      <c r="P52" s="46" t="str">
        <f>IF(AND('Mapa final'!$AA$31="Muy Baja",'Mapa final'!$AC$31="Menor"),CONCATENATE("R7C",'Mapa final'!$Q$31),"")</f>
        <v/>
      </c>
      <c r="Q52" s="47" t="str">
        <f>IF(AND('Mapa final'!$AA$32="Muy Baja",'Mapa final'!$AC$32="Menor"),CONCATENATE("R7C",'Mapa final'!$Q$32),"")</f>
        <v/>
      </c>
      <c r="R52" s="47" t="str">
        <f>IF(AND('Mapa final'!$AA$33="Muy Baja",'Mapa final'!$AC$33="Menor"),CONCATENATE("R7C",'Mapa final'!$Q$33),"")</f>
        <v/>
      </c>
      <c r="S52" s="47" t="str">
        <f>IF(AND('Mapa final'!$AA$34="Muy Baja",'Mapa final'!$AC$34="Menor"),CONCATENATE("R7C",'Mapa final'!$Q$34),"")</f>
        <v/>
      </c>
      <c r="T52" s="47" t="str">
        <f>IF(AND('Mapa final'!$AA$35="Muy Baja",'Mapa final'!$AC$35="Menor"),CONCATENATE("R7C",'Mapa final'!$Q$35),"")</f>
        <v/>
      </c>
      <c r="U52" s="48" t="str">
        <f>IF(AND('Mapa final'!$AA$36="Muy Baja",'Mapa final'!$AC$36="Menor"),CONCATENATE("R7C",'Mapa final'!$Q$36),"")</f>
        <v/>
      </c>
      <c r="V52" s="37" t="str">
        <f>IF(AND('Mapa final'!$AA$31="Muy Baja",'Mapa final'!$AC$31="Moderado"),CONCATENATE("R7C",'Mapa final'!$Q$31),"")</f>
        <v/>
      </c>
      <c r="W52" s="38" t="str">
        <f>IF(AND('Mapa final'!$AA$32="Muy Baja",'Mapa final'!$AC$32="Moderado"),CONCATENATE("R7C",'Mapa final'!$Q$32),"")</f>
        <v/>
      </c>
      <c r="X52" s="38" t="str">
        <f>IF(AND('Mapa final'!$AA$33="Muy Baja",'Mapa final'!$AC$33="Moderado"),CONCATENATE("R7C",'Mapa final'!$Q$33),"")</f>
        <v/>
      </c>
      <c r="Y52" s="38" t="str">
        <f>IF(AND('Mapa final'!$AA$34="Muy Baja",'Mapa final'!$AC$34="Moderado"),CONCATENATE("R7C",'Mapa final'!$Q$34),"")</f>
        <v/>
      </c>
      <c r="Z52" s="38" t="str">
        <f>IF(AND('Mapa final'!$AA$35="Muy Baja",'Mapa final'!$AC$35="Moderado"),CONCATENATE("R7C",'Mapa final'!$Q$35),"")</f>
        <v/>
      </c>
      <c r="AA52" s="39" t="str">
        <f>IF(AND('Mapa final'!$AA$36="Muy Baja",'Mapa final'!$AC$36="Moderado"),CONCATENATE("R7C",'Mapa final'!$Q$36),"")</f>
        <v/>
      </c>
      <c r="AB52" s="22" t="str">
        <f>IF(AND('Mapa final'!$AA$31="Muy Baja",'Mapa final'!$AC$31="Mayor"),CONCATENATE("R7C",'Mapa final'!$Q$31),"")</f>
        <v/>
      </c>
      <c r="AC52" s="23" t="str">
        <f>IF(AND('Mapa final'!$AA$32="Muy Baja",'Mapa final'!$AC$32="Mayor"),CONCATENATE("R7C",'Mapa final'!$Q$32),"")</f>
        <v/>
      </c>
      <c r="AD52" s="23" t="str">
        <f>IF(AND('Mapa final'!$AA$33="Muy Baja",'Mapa final'!$AC$33="Mayor"),CONCATENATE("R7C",'Mapa final'!$Q$33),"")</f>
        <v/>
      </c>
      <c r="AE52" s="23" t="str">
        <f>IF(AND('Mapa final'!$AA$34="Muy Baja",'Mapa final'!$AC$34="Mayor"),CONCATENATE("R7C",'Mapa final'!$Q$34),"")</f>
        <v/>
      </c>
      <c r="AF52" s="23" t="str">
        <f>IF(AND('Mapa final'!$AA$35="Muy Baja",'Mapa final'!$AC$35="Mayor"),CONCATENATE("R7C",'Mapa final'!$Q$35),"")</f>
        <v/>
      </c>
      <c r="AG52" s="24" t="str">
        <f>IF(AND('Mapa final'!$AA$36="Muy Baja",'Mapa final'!$AC$36="Mayor"),CONCATENATE("R7C",'Mapa final'!$Q$36),"")</f>
        <v/>
      </c>
      <c r="AH52" s="25" t="str">
        <f>IF(AND('Mapa final'!$AA$31="Muy Baja",'Mapa final'!$AC$31="Catastrófico"),CONCATENATE("R7C",'Mapa final'!$Q$31),"")</f>
        <v/>
      </c>
      <c r="AI52" s="26" t="str">
        <f>IF(AND('Mapa final'!$AA$32="Muy Baja",'Mapa final'!$AC$32="Catastrófico"),CONCATENATE("R7C",'Mapa final'!$Q$32),"")</f>
        <v/>
      </c>
      <c r="AJ52" s="26" t="str">
        <f>IF(AND('Mapa final'!$AA$33="Muy Baja",'Mapa final'!$AC$33="Catastrófico"),CONCATENATE("R7C",'Mapa final'!$Q$33),"")</f>
        <v/>
      </c>
      <c r="AK52" s="26" t="str">
        <f>IF(AND('Mapa final'!$AA$34="Muy Baja",'Mapa final'!$AC$34="Catastrófico"),CONCATENATE("R7C",'Mapa final'!$Q$34),"")</f>
        <v/>
      </c>
      <c r="AL52" s="26" t="str">
        <f>IF(AND('Mapa final'!$AA$35="Muy Baja",'Mapa final'!$AC$35="Catastrófico"),CONCATENATE("R7C",'Mapa final'!$Q$35),"")</f>
        <v/>
      </c>
      <c r="AM52" s="27" t="str">
        <f>IF(AND('Mapa final'!$AA$36="Muy Baja",'Mapa final'!$AC$36="Catastrófico"),CONCATENATE("R7C",'Mapa final'!$Q$36),"")</f>
        <v/>
      </c>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row>
    <row r="53" spans="1:80" ht="15" customHeight="1" x14ac:dyDescent="0.3">
      <c r="A53" s="53"/>
      <c r="B53" s="343"/>
      <c r="C53" s="343"/>
      <c r="D53" s="344"/>
      <c r="E53" s="384"/>
      <c r="F53" s="385"/>
      <c r="G53" s="385"/>
      <c r="H53" s="385"/>
      <c r="I53" s="386"/>
      <c r="J53" s="46" t="str">
        <f>IF(AND('Mapa final'!$AA$37="Muy Baja",'Mapa final'!$AC$37="Leve"),CONCATENATE("R8C",'Mapa final'!$Q$37),"")</f>
        <v/>
      </c>
      <c r="K53" s="47" t="str">
        <f>IF(AND('Mapa final'!$AA$38="Muy Baja",'Mapa final'!$AC$38="Leve"),CONCATENATE("R8C",'Mapa final'!$Q$38),"")</f>
        <v/>
      </c>
      <c r="L53" s="47" t="str">
        <f>IF(AND('Mapa final'!$AA$39="Muy Baja",'Mapa final'!$AC$39="Leve"),CONCATENATE("R8C",'Mapa final'!$Q$39),"")</f>
        <v/>
      </c>
      <c r="M53" s="47" t="str">
        <f>IF(AND('Mapa final'!$AA$40="Muy Baja",'Mapa final'!$AC$40="Leve"),CONCATENATE("R8C",'Mapa final'!$Q$40),"")</f>
        <v/>
      </c>
      <c r="N53" s="47" t="str">
        <f>IF(AND('Mapa final'!$AA$41="Muy Baja",'Mapa final'!$AC$41="Leve"),CONCATENATE("R8C",'Mapa final'!$Q$41),"")</f>
        <v/>
      </c>
      <c r="O53" s="48" t="str">
        <f>IF(AND('Mapa final'!$AA$42="Muy Baja",'Mapa final'!$AC$42="Leve"),CONCATENATE("R8C",'Mapa final'!$Q$42),"")</f>
        <v/>
      </c>
      <c r="P53" s="46" t="str">
        <f>IF(AND('Mapa final'!$AA$37="Muy Baja",'Mapa final'!$AC$37="Menor"),CONCATENATE("R8C",'Mapa final'!$Q$37),"")</f>
        <v/>
      </c>
      <c r="Q53" s="47" t="str">
        <f>IF(AND('Mapa final'!$AA$38="Muy Baja",'Mapa final'!$AC$38="Menor"),CONCATENATE("R8C",'Mapa final'!$Q$38),"")</f>
        <v/>
      </c>
      <c r="R53" s="47" t="str">
        <f>IF(AND('Mapa final'!$AA$39="Muy Baja",'Mapa final'!$AC$39="Menor"),CONCATENATE("R8C",'Mapa final'!$Q$39),"")</f>
        <v/>
      </c>
      <c r="S53" s="47" t="str">
        <f>IF(AND('Mapa final'!$AA$40="Muy Baja",'Mapa final'!$AC$40="Menor"),CONCATENATE("R8C",'Mapa final'!$Q$40),"")</f>
        <v/>
      </c>
      <c r="T53" s="47" t="str">
        <f>IF(AND('Mapa final'!$AA$41="Muy Baja",'Mapa final'!$AC$41="Menor"),CONCATENATE("R8C",'Mapa final'!$Q$41),"")</f>
        <v/>
      </c>
      <c r="U53" s="48" t="str">
        <f>IF(AND('Mapa final'!$AA$42="Muy Baja",'Mapa final'!$AC$42="Menor"),CONCATENATE("R8C",'Mapa final'!$Q$42),"")</f>
        <v/>
      </c>
      <c r="V53" s="37" t="str">
        <f>IF(AND('Mapa final'!$AA$37="Muy Baja",'Mapa final'!$AC$37="Moderado"),CONCATENATE("R8C",'Mapa final'!$Q$37),"")</f>
        <v/>
      </c>
      <c r="W53" s="38" t="str">
        <f>IF(AND('Mapa final'!$AA$38="Muy Baja",'Mapa final'!$AC$38="Moderado"),CONCATENATE("R8C",'Mapa final'!$Q$38),"")</f>
        <v/>
      </c>
      <c r="X53" s="38" t="str">
        <f>IF(AND('Mapa final'!$AA$39="Muy Baja",'Mapa final'!$AC$39="Moderado"),CONCATENATE("R8C",'Mapa final'!$Q$39),"")</f>
        <v/>
      </c>
      <c r="Y53" s="38" t="str">
        <f>IF(AND('Mapa final'!$AA$40="Muy Baja",'Mapa final'!$AC$40="Moderado"),CONCATENATE("R8C",'Mapa final'!$Q$40),"")</f>
        <v/>
      </c>
      <c r="Z53" s="38" t="str">
        <f>IF(AND('Mapa final'!$AA$41="Muy Baja",'Mapa final'!$AC$41="Moderado"),CONCATENATE("R8C",'Mapa final'!$Q$41),"")</f>
        <v/>
      </c>
      <c r="AA53" s="39" t="str">
        <f>IF(AND('Mapa final'!$AA$42="Muy Baja",'Mapa final'!$AC$42="Moderado"),CONCATENATE("R8C",'Mapa final'!$Q$42),"")</f>
        <v/>
      </c>
      <c r="AB53" s="22" t="str">
        <f>IF(AND('Mapa final'!$AA$37="Muy Baja",'Mapa final'!$AC$37="Mayor"),CONCATENATE("R8C",'Mapa final'!$Q$37),"")</f>
        <v/>
      </c>
      <c r="AC53" s="23" t="str">
        <f>IF(AND('Mapa final'!$AA$38="Muy Baja",'Mapa final'!$AC$38="Mayor"),CONCATENATE("R8C",'Mapa final'!$Q$38),"")</f>
        <v/>
      </c>
      <c r="AD53" s="23" t="str">
        <f>IF(AND('Mapa final'!$AA$39="Muy Baja",'Mapa final'!$AC$39="Mayor"),CONCATENATE("R8C",'Mapa final'!$Q$39),"")</f>
        <v/>
      </c>
      <c r="AE53" s="23" t="str">
        <f>IF(AND('Mapa final'!$AA$40="Muy Baja",'Mapa final'!$AC$40="Mayor"),CONCATENATE("R8C",'Mapa final'!$Q$40),"")</f>
        <v/>
      </c>
      <c r="AF53" s="23" t="str">
        <f>IF(AND('Mapa final'!$AA$41="Muy Baja",'Mapa final'!$AC$41="Mayor"),CONCATENATE("R8C",'Mapa final'!$Q$41),"")</f>
        <v/>
      </c>
      <c r="AG53" s="24" t="str">
        <f>IF(AND('Mapa final'!$AA$42="Muy Baja",'Mapa final'!$AC$42="Mayor"),CONCATENATE("R8C",'Mapa final'!$Q$42),"")</f>
        <v/>
      </c>
      <c r="AH53" s="25" t="str">
        <f>IF(AND('Mapa final'!$AA$37="Muy Baja",'Mapa final'!$AC$37="Catastrófico"),CONCATENATE("R8C",'Mapa final'!$Q$37),"")</f>
        <v/>
      </c>
      <c r="AI53" s="26" t="str">
        <f>IF(AND('Mapa final'!$AA$38="Muy Baja",'Mapa final'!$AC$38="Catastrófico"),CONCATENATE("R8C",'Mapa final'!$Q$38),"")</f>
        <v/>
      </c>
      <c r="AJ53" s="26" t="str">
        <f>IF(AND('Mapa final'!$AA$39="Muy Baja",'Mapa final'!$AC$39="Catastrófico"),CONCATENATE("R8C",'Mapa final'!$Q$39),"")</f>
        <v/>
      </c>
      <c r="AK53" s="26" t="str">
        <f>IF(AND('Mapa final'!$AA$40="Muy Baja",'Mapa final'!$AC$40="Catastrófico"),CONCATENATE("R8C",'Mapa final'!$Q$40),"")</f>
        <v/>
      </c>
      <c r="AL53" s="26" t="str">
        <f>IF(AND('Mapa final'!$AA$41="Muy Baja",'Mapa final'!$AC$41="Catastrófico"),CONCATENATE("R8C",'Mapa final'!$Q$41),"")</f>
        <v/>
      </c>
      <c r="AM53" s="27" t="str">
        <f>IF(AND('Mapa final'!$AA$42="Muy Baja",'Mapa final'!$AC$42="Catastrófico"),CONCATENATE("R8C",'Mapa final'!$Q$42),"")</f>
        <v/>
      </c>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row>
    <row r="54" spans="1:80" ht="15" customHeight="1" x14ac:dyDescent="0.3">
      <c r="A54" s="53"/>
      <c r="B54" s="343"/>
      <c r="C54" s="343"/>
      <c r="D54" s="344"/>
      <c r="E54" s="384"/>
      <c r="F54" s="385"/>
      <c r="G54" s="385"/>
      <c r="H54" s="385"/>
      <c r="I54" s="386"/>
      <c r="J54" s="46" t="str">
        <f>IF(AND('Mapa final'!$AA$43="Muy Baja",'Mapa final'!$AC$43="Leve"),CONCATENATE("R9C",'Mapa final'!$Q$43),"")</f>
        <v/>
      </c>
      <c r="K54" s="47" t="str">
        <f>IF(AND('Mapa final'!$AA$44="Muy Baja",'Mapa final'!$AC$44="Leve"),CONCATENATE("R9C",'Mapa final'!$Q$44),"")</f>
        <v/>
      </c>
      <c r="L54" s="47" t="str">
        <f>IF(AND('Mapa final'!$AA$45="Muy Baja",'Mapa final'!$AC$45="Leve"),CONCATENATE("R9C",'Mapa final'!$Q$45),"")</f>
        <v/>
      </c>
      <c r="M54" s="47" t="str">
        <f>IF(AND('Mapa final'!$AA$46="Muy Baja",'Mapa final'!$AC$46="Leve"),CONCATENATE("R9C",'Mapa final'!$Q$46),"")</f>
        <v/>
      </c>
      <c r="N54" s="47" t="str">
        <f>IF(AND('Mapa final'!$AA$47="Muy Baja",'Mapa final'!$AC$47="Leve"),CONCATENATE("R9C",'Mapa final'!$Q$47),"")</f>
        <v/>
      </c>
      <c r="O54" s="48" t="str">
        <f>IF(AND('Mapa final'!$AA$48="Muy Baja",'Mapa final'!$AC$48="Leve"),CONCATENATE("R9C",'Mapa final'!$Q$48),"")</f>
        <v/>
      </c>
      <c r="P54" s="46" t="str">
        <f>IF(AND('Mapa final'!$AA$43="Muy Baja",'Mapa final'!$AC$43="Menor"),CONCATENATE("R9C",'Mapa final'!$Q$43),"")</f>
        <v/>
      </c>
      <c r="Q54" s="47" t="str">
        <f>IF(AND('Mapa final'!$AA$44="Muy Baja",'Mapa final'!$AC$44="Menor"),CONCATENATE("R9C",'Mapa final'!$Q$44),"")</f>
        <v/>
      </c>
      <c r="R54" s="47" t="str">
        <f>IF(AND('Mapa final'!$AA$45="Muy Baja",'Mapa final'!$AC$45="Menor"),CONCATENATE("R9C",'Mapa final'!$Q$45),"")</f>
        <v/>
      </c>
      <c r="S54" s="47" t="str">
        <f>IF(AND('Mapa final'!$AA$46="Muy Baja",'Mapa final'!$AC$46="Menor"),CONCATENATE("R9C",'Mapa final'!$Q$46),"")</f>
        <v/>
      </c>
      <c r="T54" s="47" t="str">
        <f>IF(AND('Mapa final'!$AA$47="Muy Baja",'Mapa final'!$AC$47="Menor"),CONCATENATE("R9C",'Mapa final'!$Q$47),"")</f>
        <v/>
      </c>
      <c r="U54" s="48" t="str">
        <f>IF(AND('Mapa final'!$AA$48="Muy Baja",'Mapa final'!$AC$48="Menor"),CONCATENATE("R9C",'Mapa final'!$Q$48),"")</f>
        <v/>
      </c>
      <c r="V54" s="37" t="str">
        <f>IF(AND('Mapa final'!$AA$43="Muy Baja",'Mapa final'!$AC$43="Moderado"),CONCATENATE("R9C",'Mapa final'!$Q$43),"")</f>
        <v/>
      </c>
      <c r="W54" s="38" t="str">
        <f>IF(AND('Mapa final'!$AA$44="Muy Baja",'Mapa final'!$AC$44="Moderado"),CONCATENATE("R9C",'Mapa final'!$Q$44),"")</f>
        <v/>
      </c>
      <c r="X54" s="38" t="str">
        <f>IF(AND('Mapa final'!$AA$45="Muy Baja",'Mapa final'!$AC$45="Moderado"),CONCATENATE("R9C",'Mapa final'!$Q$45),"")</f>
        <v/>
      </c>
      <c r="Y54" s="38" t="str">
        <f>IF(AND('Mapa final'!$AA$46="Muy Baja",'Mapa final'!$AC$46="Moderado"),CONCATENATE("R9C",'Mapa final'!$Q$46),"")</f>
        <v/>
      </c>
      <c r="Z54" s="38" t="str">
        <f>IF(AND('Mapa final'!$AA$47="Muy Baja",'Mapa final'!$AC$47="Moderado"),CONCATENATE("R9C",'Mapa final'!$Q$47),"")</f>
        <v/>
      </c>
      <c r="AA54" s="39" t="str">
        <f>IF(AND('Mapa final'!$AA$48="Muy Baja",'Mapa final'!$AC$48="Moderado"),CONCATENATE("R9C",'Mapa final'!$Q$48),"")</f>
        <v/>
      </c>
      <c r="AB54" s="22" t="str">
        <f>IF(AND('Mapa final'!$AA$43="Muy Baja",'Mapa final'!$AC$43="Mayor"),CONCATENATE("R9C",'Mapa final'!$Q$43),"")</f>
        <v/>
      </c>
      <c r="AC54" s="23" t="str">
        <f>IF(AND('Mapa final'!$AA$44="Muy Baja",'Mapa final'!$AC$44="Mayor"),CONCATENATE("R9C",'Mapa final'!$Q$44),"")</f>
        <v/>
      </c>
      <c r="AD54" s="23" t="str">
        <f>IF(AND('Mapa final'!$AA$45="Muy Baja",'Mapa final'!$AC$45="Mayor"),CONCATENATE("R9C",'Mapa final'!$Q$45),"")</f>
        <v/>
      </c>
      <c r="AE54" s="23" t="str">
        <f>IF(AND('Mapa final'!$AA$46="Muy Baja",'Mapa final'!$AC$46="Mayor"),CONCATENATE("R9C",'Mapa final'!$Q$46),"")</f>
        <v/>
      </c>
      <c r="AF54" s="23" t="str">
        <f>IF(AND('Mapa final'!$AA$47="Muy Baja",'Mapa final'!$AC$47="Mayor"),CONCATENATE("R9C",'Mapa final'!$Q$47),"")</f>
        <v/>
      </c>
      <c r="AG54" s="24" t="str">
        <f>IF(AND('Mapa final'!$AA$48="Muy Baja",'Mapa final'!$AC$48="Mayor"),CONCATENATE("R9C",'Mapa final'!$Q$48),"")</f>
        <v/>
      </c>
      <c r="AH54" s="25" t="str">
        <f>IF(AND('Mapa final'!$AA$43="Muy Baja",'Mapa final'!$AC$43="Catastrófico"),CONCATENATE("R9C",'Mapa final'!$Q$43),"")</f>
        <v/>
      </c>
      <c r="AI54" s="26" t="str">
        <f>IF(AND('Mapa final'!$AA$44="Muy Baja",'Mapa final'!$AC$44="Catastrófico"),CONCATENATE("R9C",'Mapa final'!$Q$44),"")</f>
        <v/>
      </c>
      <c r="AJ54" s="26" t="str">
        <f>IF(AND('Mapa final'!$AA$45="Muy Baja",'Mapa final'!$AC$45="Catastrófico"),CONCATENATE("R9C",'Mapa final'!$Q$45),"")</f>
        <v/>
      </c>
      <c r="AK54" s="26" t="str">
        <f>IF(AND('Mapa final'!$AA$46="Muy Baja",'Mapa final'!$AC$46="Catastrófico"),CONCATENATE("R9C",'Mapa final'!$Q$46),"")</f>
        <v/>
      </c>
      <c r="AL54" s="26" t="str">
        <f>IF(AND('Mapa final'!$AA$47="Muy Baja",'Mapa final'!$AC$47="Catastrófico"),CONCATENATE("R9C",'Mapa final'!$Q$47),"")</f>
        <v/>
      </c>
      <c r="AM54" s="27" t="str">
        <f>IF(AND('Mapa final'!$AA$48="Muy Baja",'Mapa final'!$AC$48="Catastrófico"),CONCATENATE("R9C",'Mapa final'!$Q$48),"")</f>
        <v/>
      </c>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row>
    <row r="55" spans="1:80" ht="15.75" customHeight="1" thickBot="1" x14ac:dyDescent="0.35">
      <c r="A55" s="53"/>
      <c r="B55" s="343"/>
      <c r="C55" s="343"/>
      <c r="D55" s="344"/>
      <c r="E55" s="387"/>
      <c r="F55" s="388"/>
      <c r="G55" s="388"/>
      <c r="H55" s="388"/>
      <c r="I55" s="389"/>
      <c r="J55" s="49" t="str">
        <f>IF(AND('Mapa final'!$AA$49="Muy Baja",'Mapa final'!$AC$49="Leve"),CONCATENATE("R10C",'Mapa final'!$Q$49),"")</f>
        <v/>
      </c>
      <c r="K55" s="50" t="str">
        <f>IF(AND('Mapa final'!$AA$50="Muy Baja",'Mapa final'!$AC$50="Leve"),CONCATENATE("R10C",'Mapa final'!$Q$50),"")</f>
        <v/>
      </c>
      <c r="L55" s="50" t="str">
        <f>IF(AND('Mapa final'!$AA$51="Muy Baja",'Mapa final'!$AC$51="Leve"),CONCATENATE("R10C",'Mapa final'!$Q$51),"")</f>
        <v/>
      </c>
      <c r="M55" s="50" t="str">
        <f>IF(AND('Mapa final'!$AA$52="Muy Baja",'Mapa final'!$AC$52="Leve"),CONCATENATE("R10C",'Mapa final'!$Q$52),"")</f>
        <v/>
      </c>
      <c r="N55" s="50" t="str">
        <f>IF(AND('Mapa final'!$AA$53="Muy Baja",'Mapa final'!$AC$53="Leve"),CONCATENATE("R10C",'Mapa final'!$Q$53),"")</f>
        <v/>
      </c>
      <c r="O55" s="51" t="str">
        <f>IF(AND('Mapa final'!$AA$54="Muy Baja",'Mapa final'!$AC$54="Leve"),CONCATENATE("R10C",'Mapa final'!$Q$54),"")</f>
        <v/>
      </c>
      <c r="P55" s="49" t="str">
        <f>IF(AND('Mapa final'!$AA$49="Muy Baja",'Mapa final'!$AC$49="Menor"),CONCATENATE("R10C",'Mapa final'!$Q$49),"")</f>
        <v/>
      </c>
      <c r="Q55" s="50" t="str">
        <f>IF(AND('Mapa final'!$AA$50="Muy Baja",'Mapa final'!$AC$50="Menor"),CONCATENATE("R10C",'Mapa final'!$Q$50),"")</f>
        <v/>
      </c>
      <c r="R55" s="50" t="str">
        <f>IF(AND('Mapa final'!$AA$51="Muy Baja",'Mapa final'!$AC$51="Menor"),CONCATENATE("R10C",'Mapa final'!$Q$51),"")</f>
        <v/>
      </c>
      <c r="S55" s="50" t="str">
        <f>IF(AND('Mapa final'!$AA$52="Muy Baja",'Mapa final'!$AC$52="Menor"),CONCATENATE("R10C",'Mapa final'!$Q$52),"")</f>
        <v/>
      </c>
      <c r="T55" s="50" t="str">
        <f>IF(AND('Mapa final'!$AA$53="Muy Baja",'Mapa final'!$AC$53="Menor"),CONCATENATE("R10C",'Mapa final'!$Q$53),"")</f>
        <v/>
      </c>
      <c r="U55" s="51" t="str">
        <f>IF(AND('Mapa final'!$AA$54="Muy Baja",'Mapa final'!$AC$54="Menor"),CONCATENATE("R10C",'Mapa final'!$Q$54),"")</f>
        <v/>
      </c>
      <c r="V55" s="40" t="str">
        <f>IF(AND('Mapa final'!$AA$49="Muy Baja",'Mapa final'!$AC$49="Moderado"),CONCATENATE("R10C",'Mapa final'!$Q$49),"")</f>
        <v/>
      </c>
      <c r="W55" s="41" t="str">
        <f>IF(AND('Mapa final'!$AA$50="Muy Baja",'Mapa final'!$AC$50="Moderado"),CONCATENATE("R10C",'Mapa final'!$Q$50),"")</f>
        <v/>
      </c>
      <c r="X55" s="41" t="str">
        <f>IF(AND('Mapa final'!$AA$51="Muy Baja",'Mapa final'!$AC$51="Moderado"),CONCATENATE("R10C",'Mapa final'!$Q$51),"")</f>
        <v/>
      </c>
      <c r="Y55" s="41" t="str">
        <f>IF(AND('Mapa final'!$AA$52="Muy Baja",'Mapa final'!$AC$52="Moderado"),CONCATENATE("R10C",'Mapa final'!$Q$52),"")</f>
        <v/>
      </c>
      <c r="Z55" s="41" t="str">
        <f>IF(AND('Mapa final'!$AA$53="Muy Baja",'Mapa final'!$AC$53="Moderado"),CONCATENATE("R10C",'Mapa final'!$Q$53),"")</f>
        <v/>
      </c>
      <c r="AA55" s="42" t="str">
        <f>IF(AND('Mapa final'!$AA$54="Muy Baja",'Mapa final'!$AC$54="Moderado"),CONCATENATE("R10C",'Mapa final'!$Q$54),"")</f>
        <v/>
      </c>
      <c r="AB55" s="28" t="str">
        <f>IF(AND('Mapa final'!$AA$49="Muy Baja",'Mapa final'!$AC$49="Mayor"),CONCATENATE("R10C",'Mapa final'!$Q$49),"")</f>
        <v/>
      </c>
      <c r="AC55" s="29" t="str">
        <f>IF(AND('Mapa final'!$AA$50="Muy Baja",'Mapa final'!$AC$50="Mayor"),CONCATENATE("R10C",'Mapa final'!$Q$50),"")</f>
        <v/>
      </c>
      <c r="AD55" s="29" t="str">
        <f>IF(AND('Mapa final'!$AA$51="Muy Baja",'Mapa final'!$AC$51="Mayor"),CONCATENATE("R10C",'Mapa final'!$Q$51),"")</f>
        <v/>
      </c>
      <c r="AE55" s="29" t="str">
        <f>IF(AND('Mapa final'!$AA$52="Muy Baja",'Mapa final'!$AC$52="Mayor"),CONCATENATE("R10C",'Mapa final'!$Q$52),"")</f>
        <v/>
      </c>
      <c r="AF55" s="29" t="str">
        <f>IF(AND('Mapa final'!$AA$53="Muy Baja",'Mapa final'!$AC$53="Mayor"),CONCATENATE("R10C",'Mapa final'!$Q$53),"")</f>
        <v/>
      </c>
      <c r="AG55" s="30" t="str">
        <f>IF(AND('Mapa final'!$AA$54="Muy Baja",'Mapa final'!$AC$54="Mayor"),CONCATENATE("R10C",'Mapa final'!$Q$54),"")</f>
        <v/>
      </c>
      <c r="AH55" s="31" t="str">
        <f>IF(AND('Mapa final'!$AA$49="Muy Baja",'Mapa final'!$AC$49="Catastrófico"),CONCATENATE("R10C",'Mapa final'!$Q$49),"")</f>
        <v/>
      </c>
      <c r="AI55" s="32" t="str">
        <f>IF(AND('Mapa final'!$AA$50="Muy Baja",'Mapa final'!$AC$50="Catastrófico"),CONCATENATE("R10C",'Mapa final'!$Q$50),"")</f>
        <v/>
      </c>
      <c r="AJ55" s="32" t="str">
        <f>IF(AND('Mapa final'!$AA$51="Muy Baja",'Mapa final'!$AC$51="Catastrófico"),CONCATENATE("R10C",'Mapa final'!$Q$51),"")</f>
        <v/>
      </c>
      <c r="AK55" s="32" t="str">
        <f>IF(AND('Mapa final'!$AA$52="Muy Baja",'Mapa final'!$AC$52="Catastrófico"),CONCATENATE("R10C",'Mapa final'!$Q$52),"")</f>
        <v/>
      </c>
      <c r="AL55" s="32" t="str">
        <f>IF(AND('Mapa final'!$AA$53="Muy Baja",'Mapa final'!$AC$53="Catastrófico"),CONCATENATE("R10C",'Mapa final'!$Q$53),"")</f>
        <v/>
      </c>
      <c r="AM55" s="33" t="str">
        <f>IF(AND('Mapa final'!$AA$54="Muy Baja",'Mapa final'!$AC$54="Catastrófico"),CONCATENATE("R10C",'Mapa final'!$Q$54),"")</f>
        <v/>
      </c>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row>
    <row r="56" spans="1:80" x14ac:dyDescent="0.3">
      <c r="A56" s="53"/>
      <c r="B56" s="53"/>
      <c r="C56" s="53"/>
      <c r="D56" s="53"/>
      <c r="E56" s="53"/>
      <c r="F56" s="53"/>
      <c r="G56" s="53"/>
      <c r="H56" s="53"/>
      <c r="I56" s="53"/>
      <c r="J56" s="381" t="s">
        <v>107</v>
      </c>
      <c r="K56" s="382"/>
      <c r="L56" s="382"/>
      <c r="M56" s="382"/>
      <c r="N56" s="382"/>
      <c r="O56" s="383"/>
      <c r="P56" s="381" t="s">
        <v>106</v>
      </c>
      <c r="Q56" s="382"/>
      <c r="R56" s="382"/>
      <c r="S56" s="382"/>
      <c r="T56" s="382"/>
      <c r="U56" s="383"/>
      <c r="V56" s="381" t="s">
        <v>105</v>
      </c>
      <c r="W56" s="382"/>
      <c r="X56" s="382"/>
      <c r="Y56" s="382"/>
      <c r="Z56" s="382"/>
      <c r="AA56" s="383"/>
      <c r="AB56" s="381" t="s">
        <v>104</v>
      </c>
      <c r="AC56" s="390"/>
      <c r="AD56" s="382"/>
      <c r="AE56" s="382"/>
      <c r="AF56" s="382"/>
      <c r="AG56" s="383"/>
      <c r="AH56" s="381" t="s">
        <v>103</v>
      </c>
      <c r="AI56" s="382"/>
      <c r="AJ56" s="382"/>
      <c r="AK56" s="382"/>
      <c r="AL56" s="382"/>
      <c r="AM56" s="38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row>
    <row r="57" spans="1:80" x14ac:dyDescent="0.3">
      <c r="A57" s="53"/>
      <c r="B57" s="53"/>
      <c r="C57" s="53"/>
      <c r="D57" s="53"/>
      <c r="E57" s="53"/>
      <c r="F57" s="53"/>
      <c r="G57" s="53"/>
      <c r="H57" s="53"/>
      <c r="I57" s="53"/>
      <c r="J57" s="384"/>
      <c r="K57" s="385"/>
      <c r="L57" s="385"/>
      <c r="M57" s="385"/>
      <c r="N57" s="385"/>
      <c r="O57" s="386"/>
      <c r="P57" s="384"/>
      <c r="Q57" s="385"/>
      <c r="R57" s="385"/>
      <c r="S57" s="385"/>
      <c r="T57" s="385"/>
      <c r="U57" s="386"/>
      <c r="V57" s="384"/>
      <c r="W57" s="385"/>
      <c r="X57" s="385"/>
      <c r="Y57" s="385"/>
      <c r="Z57" s="385"/>
      <c r="AA57" s="386"/>
      <c r="AB57" s="384"/>
      <c r="AC57" s="385"/>
      <c r="AD57" s="385"/>
      <c r="AE57" s="385"/>
      <c r="AF57" s="385"/>
      <c r="AG57" s="386"/>
      <c r="AH57" s="384"/>
      <c r="AI57" s="385"/>
      <c r="AJ57" s="385"/>
      <c r="AK57" s="385"/>
      <c r="AL57" s="385"/>
      <c r="AM57" s="386"/>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row>
    <row r="58" spans="1:80" x14ac:dyDescent="0.3">
      <c r="A58" s="53"/>
      <c r="B58" s="53"/>
      <c r="C58" s="53"/>
      <c r="D58" s="53"/>
      <c r="E58" s="53"/>
      <c r="F58" s="53"/>
      <c r="G58" s="53"/>
      <c r="H58" s="53"/>
      <c r="I58" s="53"/>
      <c r="J58" s="384"/>
      <c r="K58" s="385"/>
      <c r="L58" s="385"/>
      <c r="M58" s="385"/>
      <c r="N58" s="385"/>
      <c r="O58" s="386"/>
      <c r="P58" s="384"/>
      <c r="Q58" s="385"/>
      <c r="R58" s="385"/>
      <c r="S58" s="385"/>
      <c r="T58" s="385"/>
      <c r="U58" s="386"/>
      <c r="V58" s="384"/>
      <c r="W58" s="385"/>
      <c r="X58" s="385"/>
      <c r="Y58" s="385"/>
      <c r="Z58" s="385"/>
      <c r="AA58" s="386"/>
      <c r="AB58" s="384"/>
      <c r="AC58" s="385"/>
      <c r="AD58" s="385"/>
      <c r="AE58" s="385"/>
      <c r="AF58" s="385"/>
      <c r="AG58" s="386"/>
      <c r="AH58" s="384"/>
      <c r="AI58" s="385"/>
      <c r="AJ58" s="385"/>
      <c r="AK58" s="385"/>
      <c r="AL58" s="385"/>
      <c r="AM58" s="386"/>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row>
    <row r="59" spans="1:80" x14ac:dyDescent="0.3">
      <c r="A59" s="53"/>
      <c r="B59" s="53"/>
      <c r="C59" s="53"/>
      <c r="D59" s="53"/>
      <c r="E59" s="53"/>
      <c r="F59" s="53"/>
      <c r="G59" s="53"/>
      <c r="H59" s="53"/>
      <c r="I59" s="53"/>
      <c r="J59" s="384"/>
      <c r="K59" s="385"/>
      <c r="L59" s="385"/>
      <c r="M59" s="385"/>
      <c r="N59" s="385"/>
      <c r="O59" s="386"/>
      <c r="P59" s="384"/>
      <c r="Q59" s="385"/>
      <c r="R59" s="385"/>
      <c r="S59" s="385"/>
      <c r="T59" s="385"/>
      <c r="U59" s="386"/>
      <c r="V59" s="384"/>
      <c r="W59" s="385"/>
      <c r="X59" s="385"/>
      <c r="Y59" s="385"/>
      <c r="Z59" s="385"/>
      <c r="AA59" s="386"/>
      <c r="AB59" s="384"/>
      <c r="AC59" s="385"/>
      <c r="AD59" s="385"/>
      <c r="AE59" s="385"/>
      <c r="AF59" s="385"/>
      <c r="AG59" s="386"/>
      <c r="AH59" s="384"/>
      <c r="AI59" s="385"/>
      <c r="AJ59" s="385"/>
      <c r="AK59" s="385"/>
      <c r="AL59" s="385"/>
      <c r="AM59" s="386"/>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row>
    <row r="60" spans="1:80" x14ac:dyDescent="0.3">
      <c r="A60" s="53"/>
      <c r="B60" s="53"/>
      <c r="C60" s="53"/>
      <c r="D60" s="53"/>
      <c r="E60" s="53"/>
      <c r="F60" s="53"/>
      <c r="G60" s="53"/>
      <c r="H60" s="53"/>
      <c r="I60" s="53"/>
      <c r="J60" s="384"/>
      <c r="K60" s="385"/>
      <c r="L60" s="385"/>
      <c r="M60" s="385"/>
      <c r="N60" s="385"/>
      <c r="O60" s="386"/>
      <c r="P60" s="384"/>
      <c r="Q60" s="385"/>
      <c r="R60" s="385"/>
      <c r="S60" s="385"/>
      <c r="T60" s="385"/>
      <c r="U60" s="386"/>
      <c r="V60" s="384"/>
      <c r="W60" s="385"/>
      <c r="X60" s="385"/>
      <c r="Y60" s="385"/>
      <c r="Z60" s="385"/>
      <c r="AA60" s="386"/>
      <c r="AB60" s="384"/>
      <c r="AC60" s="385"/>
      <c r="AD60" s="385"/>
      <c r="AE60" s="385"/>
      <c r="AF60" s="385"/>
      <c r="AG60" s="386"/>
      <c r="AH60" s="384"/>
      <c r="AI60" s="385"/>
      <c r="AJ60" s="385"/>
      <c r="AK60" s="385"/>
      <c r="AL60" s="385"/>
      <c r="AM60" s="386"/>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row>
    <row r="61" spans="1:80" ht="15" thickBot="1" x14ac:dyDescent="0.35">
      <c r="A61" s="53"/>
      <c r="B61" s="53"/>
      <c r="C61" s="53"/>
      <c r="D61" s="53"/>
      <c r="E61" s="53"/>
      <c r="F61" s="53"/>
      <c r="G61" s="53"/>
      <c r="H61" s="53"/>
      <c r="I61" s="53"/>
      <c r="J61" s="387"/>
      <c r="K61" s="388"/>
      <c r="L61" s="388"/>
      <c r="M61" s="388"/>
      <c r="N61" s="388"/>
      <c r="O61" s="389"/>
      <c r="P61" s="387"/>
      <c r="Q61" s="388"/>
      <c r="R61" s="388"/>
      <c r="S61" s="388"/>
      <c r="T61" s="388"/>
      <c r="U61" s="389"/>
      <c r="V61" s="387"/>
      <c r="W61" s="388"/>
      <c r="X61" s="388"/>
      <c r="Y61" s="388"/>
      <c r="Z61" s="388"/>
      <c r="AA61" s="389"/>
      <c r="AB61" s="387"/>
      <c r="AC61" s="388"/>
      <c r="AD61" s="388"/>
      <c r="AE61" s="388"/>
      <c r="AF61" s="388"/>
      <c r="AG61" s="389"/>
      <c r="AH61" s="387"/>
      <c r="AI61" s="388"/>
      <c r="AJ61" s="388"/>
      <c r="AK61" s="388"/>
      <c r="AL61" s="388"/>
      <c r="AM61" s="389"/>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row>
    <row r="62" spans="1:80" x14ac:dyDescent="0.3">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row>
    <row r="63" spans="1:80" ht="15" customHeight="1" x14ac:dyDescent="0.3">
      <c r="A63" s="53"/>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3"/>
      <c r="AV63" s="53"/>
      <c r="AW63" s="53"/>
      <c r="AX63" s="53"/>
      <c r="AY63" s="53"/>
      <c r="AZ63" s="53"/>
      <c r="BA63" s="53"/>
      <c r="BB63" s="53"/>
      <c r="BC63" s="53"/>
      <c r="BD63" s="53"/>
      <c r="BE63" s="53"/>
      <c r="BF63" s="53"/>
      <c r="BG63" s="53"/>
      <c r="BH63" s="53"/>
    </row>
    <row r="64" spans="1:80" ht="15" customHeight="1" x14ac:dyDescent="0.3">
      <c r="A64" s="53"/>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3"/>
      <c r="AV64" s="53"/>
      <c r="AW64" s="53"/>
      <c r="AX64" s="53"/>
      <c r="AY64" s="53"/>
      <c r="AZ64" s="53"/>
      <c r="BA64" s="53"/>
      <c r="BB64" s="53"/>
      <c r="BC64" s="53"/>
      <c r="BD64" s="53"/>
      <c r="BE64" s="53"/>
      <c r="BF64" s="53"/>
      <c r="BG64" s="53"/>
      <c r="BH64" s="53"/>
    </row>
    <row r="65" spans="1:60" x14ac:dyDescent="0.3">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row>
    <row r="66" spans="1:60" x14ac:dyDescent="0.3">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row>
    <row r="67" spans="1:60" x14ac:dyDescent="0.3">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row>
    <row r="68" spans="1:60" x14ac:dyDescent="0.3">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row>
    <row r="69" spans="1:60" x14ac:dyDescent="0.3">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row>
    <row r="70" spans="1:60" x14ac:dyDescent="0.3">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row>
    <row r="71" spans="1:60" x14ac:dyDescent="0.3">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row>
    <row r="72" spans="1:60" x14ac:dyDescent="0.3">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row>
    <row r="73" spans="1:60" x14ac:dyDescent="0.3">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row>
    <row r="74" spans="1:60" x14ac:dyDescent="0.3">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row>
    <row r="75" spans="1:60" x14ac:dyDescent="0.3">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row>
    <row r="76" spans="1:60" x14ac:dyDescent="0.3">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row>
    <row r="77" spans="1:60" x14ac:dyDescent="0.3">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row>
    <row r="78" spans="1:60" x14ac:dyDescent="0.3">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row>
    <row r="79" spans="1:60" x14ac:dyDescent="0.3">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row>
    <row r="80" spans="1:60" x14ac:dyDescent="0.3">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row>
    <row r="81" spans="1:60" x14ac:dyDescent="0.3">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row>
    <row r="82" spans="1:60" x14ac:dyDescent="0.3">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row>
    <row r="83" spans="1:60" x14ac:dyDescent="0.3">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row>
    <row r="84" spans="1:60" x14ac:dyDescent="0.3">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row>
    <row r="85" spans="1:60" x14ac:dyDescent="0.3">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row>
    <row r="86" spans="1:60" x14ac:dyDescent="0.3">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row>
    <row r="87" spans="1:60" x14ac:dyDescent="0.3">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row>
    <row r="88" spans="1:60" x14ac:dyDescent="0.3">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row>
    <row r="89" spans="1:60" x14ac:dyDescent="0.3">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row>
    <row r="90" spans="1:60" x14ac:dyDescent="0.3">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row>
    <row r="91" spans="1:60" x14ac:dyDescent="0.3">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row>
    <row r="92" spans="1:60" x14ac:dyDescent="0.3">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row>
    <row r="93" spans="1:60" x14ac:dyDescent="0.3">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row>
    <row r="94" spans="1:60" x14ac:dyDescent="0.3">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row>
    <row r="95" spans="1:60" x14ac:dyDescent="0.3">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row>
    <row r="96" spans="1:60" x14ac:dyDescent="0.3">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row>
    <row r="97" spans="1:60" x14ac:dyDescent="0.3">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row>
    <row r="98" spans="1:60" x14ac:dyDescent="0.3">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row>
    <row r="99" spans="1:60" x14ac:dyDescent="0.3">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row>
    <row r="100" spans="1:60" x14ac:dyDescent="0.3">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row>
    <row r="101" spans="1:60" x14ac:dyDescent="0.3">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row>
    <row r="102" spans="1:60" x14ac:dyDescent="0.3">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row>
    <row r="103" spans="1:60" x14ac:dyDescent="0.3">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row>
    <row r="104" spans="1:60" x14ac:dyDescent="0.3">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row>
    <row r="105" spans="1:60" x14ac:dyDescent="0.3">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row>
    <row r="106" spans="1:60" x14ac:dyDescent="0.3">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row>
    <row r="107" spans="1:60" x14ac:dyDescent="0.3">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row>
    <row r="108" spans="1:60" x14ac:dyDescent="0.3">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row>
    <row r="109" spans="1:60" x14ac:dyDescent="0.3">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row>
    <row r="110" spans="1:60" x14ac:dyDescent="0.3">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row>
    <row r="111" spans="1:60" x14ac:dyDescent="0.3">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row>
    <row r="112" spans="1:60" x14ac:dyDescent="0.3">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row>
    <row r="113" spans="1:60" x14ac:dyDescent="0.3">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row>
    <row r="114" spans="1:60" x14ac:dyDescent="0.3">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row>
    <row r="115" spans="1:60" x14ac:dyDescent="0.3">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row>
    <row r="116" spans="1:60" x14ac:dyDescent="0.3">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row>
    <row r="117" spans="1:60" x14ac:dyDescent="0.3">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row>
    <row r="118" spans="1:60" x14ac:dyDescent="0.3">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row>
    <row r="119" spans="1:60" x14ac:dyDescent="0.3">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row>
    <row r="120" spans="1:60" x14ac:dyDescent="0.3">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row>
    <row r="121" spans="1:60" x14ac:dyDescent="0.3">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row>
    <row r="122" spans="1:60" x14ac:dyDescent="0.3">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row>
    <row r="123" spans="1:60" x14ac:dyDescent="0.3">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row>
    <row r="124" spans="1:60" x14ac:dyDescent="0.3">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row>
    <row r="125" spans="1:60" x14ac:dyDescent="0.3">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row>
    <row r="126" spans="1:60" x14ac:dyDescent="0.3">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row>
    <row r="127" spans="1:60" x14ac:dyDescent="0.3">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row>
    <row r="128" spans="1:60" x14ac:dyDescent="0.3">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row>
    <row r="129" spans="1:60" x14ac:dyDescent="0.3">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row>
    <row r="130" spans="1:60" x14ac:dyDescent="0.3">
      <c r="A130" s="5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row>
    <row r="131" spans="1:60" x14ac:dyDescent="0.3">
      <c r="A131" s="5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row>
    <row r="132" spans="1:60" x14ac:dyDescent="0.3">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row>
    <row r="133" spans="1:60" x14ac:dyDescent="0.3">
      <c r="A133" s="5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row>
    <row r="134" spans="1:60" x14ac:dyDescent="0.3">
      <c r="A134" s="5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row>
    <row r="135" spans="1:60" x14ac:dyDescent="0.3">
      <c r="A135" s="5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row>
    <row r="136" spans="1:60" x14ac:dyDescent="0.3">
      <c r="A136" s="5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row>
    <row r="137" spans="1:60" x14ac:dyDescent="0.3">
      <c r="A137" s="53"/>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3"/>
      <c r="BA137" s="53"/>
      <c r="BB137" s="53"/>
      <c r="BC137" s="53"/>
      <c r="BD137" s="53"/>
      <c r="BE137" s="53"/>
      <c r="BF137" s="53"/>
      <c r="BG137" s="53"/>
      <c r="BH137" s="53"/>
    </row>
    <row r="138" spans="1:60" x14ac:dyDescent="0.3">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G138" s="53"/>
      <c r="BH138" s="53"/>
    </row>
    <row r="139" spans="1:60" x14ac:dyDescent="0.3">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row>
    <row r="140" spans="1:60" x14ac:dyDescent="0.3">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c r="BE140" s="53"/>
      <c r="BF140" s="53"/>
      <c r="BG140" s="53"/>
      <c r="BH140" s="53"/>
    </row>
    <row r="141" spans="1:60" x14ac:dyDescent="0.3">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3"/>
      <c r="BF141" s="53"/>
      <c r="BG141" s="53"/>
      <c r="BH141" s="53"/>
    </row>
    <row r="142" spans="1:60" x14ac:dyDescent="0.3">
      <c r="A142" s="53"/>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3"/>
      <c r="AY142" s="53"/>
      <c r="AZ142" s="53"/>
      <c r="BA142" s="53"/>
      <c r="BB142" s="53"/>
      <c r="BC142" s="53"/>
      <c r="BD142" s="53"/>
      <c r="BE142" s="53"/>
      <c r="BF142" s="53"/>
      <c r="BG142" s="53"/>
      <c r="BH142" s="53"/>
    </row>
    <row r="143" spans="1:60" x14ac:dyDescent="0.3">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3"/>
      <c r="AY143" s="53"/>
      <c r="AZ143" s="53"/>
      <c r="BA143" s="53"/>
      <c r="BB143" s="53"/>
      <c r="BC143" s="53"/>
      <c r="BD143" s="53"/>
      <c r="BE143" s="53"/>
      <c r="BF143" s="53"/>
      <c r="BG143" s="53"/>
      <c r="BH143" s="53"/>
    </row>
    <row r="144" spans="1:60" x14ac:dyDescent="0.3">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3"/>
      <c r="AY144" s="53"/>
      <c r="AZ144" s="53"/>
      <c r="BA144" s="53"/>
      <c r="BB144" s="53"/>
      <c r="BC144" s="53"/>
      <c r="BD144" s="53"/>
      <c r="BE144" s="53"/>
      <c r="BF144" s="53"/>
      <c r="BG144" s="53"/>
      <c r="BH144" s="53"/>
    </row>
    <row r="145" spans="1:60" x14ac:dyDescent="0.3">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3"/>
      <c r="AY145" s="53"/>
      <c r="AZ145" s="53"/>
      <c r="BA145" s="53"/>
      <c r="BB145" s="53"/>
      <c r="BC145" s="53"/>
      <c r="BD145" s="53"/>
      <c r="BE145" s="53"/>
      <c r="BF145" s="53"/>
      <c r="BG145" s="53"/>
      <c r="BH145" s="53"/>
    </row>
    <row r="146" spans="1:60" x14ac:dyDescent="0.3">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53"/>
      <c r="BC146" s="53"/>
      <c r="BD146" s="53"/>
      <c r="BE146" s="53"/>
      <c r="BF146" s="53"/>
      <c r="BG146" s="53"/>
      <c r="BH146" s="53"/>
    </row>
    <row r="147" spans="1:60" x14ac:dyDescent="0.3">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3"/>
      <c r="AY147" s="53"/>
      <c r="AZ147" s="53"/>
      <c r="BA147" s="53"/>
      <c r="BB147" s="53"/>
      <c r="BC147" s="53"/>
      <c r="BD147" s="53"/>
      <c r="BE147" s="53"/>
      <c r="BF147" s="53"/>
      <c r="BG147" s="53"/>
      <c r="BH147" s="53"/>
    </row>
    <row r="148" spans="1:60" x14ac:dyDescent="0.3">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3"/>
      <c r="AY148" s="53"/>
      <c r="AZ148" s="53"/>
      <c r="BA148" s="53"/>
      <c r="BB148" s="53"/>
      <c r="BC148" s="53"/>
      <c r="BD148" s="53"/>
      <c r="BE148" s="53"/>
      <c r="BF148" s="53"/>
      <c r="BG148" s="53"/>
      <c r="BH148" s="53"/>
    </row>
    <row r="149" spans="1:60" x14ac:dyDescent="0.3">
      <c r="A149" s="53"/>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3"/>
      <c r="AY149" s="53"/>
      <c r="AZ149" s="53"/>
      <c r="BA149" s="53"/>
      <c r="BB149" s="53"/>
      <c r="BC149" s="53"/>
      <c r="BD149" s="53"/>
      <c r="BE149" s="53"/>
      <c r="BF149" s="53"/>
      <c r="BG149" s="53"/>
      <c r="BH149" s="53"/>
    </row>
    <row r="150" spans="1:60" x14ac:dyDescent="0.3">
      <c r="A150" s="53"/>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3"/>
      <c r="AY150" s="53"/>
      <c r="AZ150" s="53"/>
      <c r="BA150" s="53"/>
      <c r="BB150" s="53"/>
      <c r="BC150" s="53"/>
      <c r="BD150" s="53"/>
      <c r="BE150" s="53"/>
      <c r="BF150" s="53"/>
      <c r="BG150" s="53"/>
      <c r="BH150" s="53"/>
    </row>
    <row r="151" spans="1:60" x14ac:dyDescent="0.3">
      <c r="A151" s="53"/>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3"/>
      <c r="AY151" s="53"/>
      <c r="AZ151" s="53"/>
      <c r="BA151" s="53"/>
      <c r="BB151" s="53"/>
      <c r="BC151" s="53"/>
      <c r="BD151" s="53"/>
      <c r="BE151" s="53"/>
      <c r="BF151" s="53"/>
      <c r="BG151" s="53"/>
      <c r="BH151" s="53"/>
    </row>
    <row r="152" spans="1:60" x14ac:dyDescent="0.3">
      <c r="A152" s="53"/>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row>
    <row r="153" spans="1:60" x14ac:dyDescent="0.3">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row>
    <row r="154" spans="1:60" x14ac:dyDescent="0.3">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row>
    <row r="155" spans="1:60" x14ac:dyDescent="0.3">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row>
    <row r="156" spans="1:60" x14ac:dyDescent="0.3">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row>
    <row r="157" spans="1:60" x14ac:dyDescent="0.3">
      <c r="A157" s="53"/>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3"/>
      <c r="AY157" s="53"/>
      <c r="AZ157" s="53"/>
      <c r="BA157" s="53"/>
      <c r="BB157" s="53"/>
      <c r="BC157" s="53"/>
      <c r="BD157" s="53"/>
      <c r="BE157" s="53"/>
      <c r="BF157" s="53"/>
      <c r="BG157" s="53"/>
      <c r="BH157" s="53"/>
    </row>
    <row r="158" spans="1:60" x14ac:dyDescent="0.3">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row>
    <row r="159" spans="1:60" x14ac:dyDescent="0.3">
      <c r="A159" s="53"/>
      <c r="B159" s="53"/>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row>
    <row r="160" spans="1:60" x14ac:dyDescent="0.3">
      <c r="A160" s="53"/>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row>
    <row r="161" spans="1:60" x14ac:dyDescent="0.3">
      <c r="A161" s="53"/>
      <c r="B161" s="53"/>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row>
    <row r="162" spans="1:60" x14ac:dyDescent="0.3">
      <c r="A162" s="53"/>
      <c r="B162" s="53"/>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3"/>
      <c r="AY162" s="53"/>
      <c r="AZ162" s="53"/>
      <c r="BA162" s="53"/>
      <c r="BB162" s="53"/>
      <c r="BC162" s="53"/>
      <c r="BD162" s="53"/>
      <c r="BE162" s="53"/>
      <c r="BF162" s="53"/>
      <c r="BG162" s="53"/>
      <c r="BH162" s="53"/>
    </row>
    <row r="163" spans="1:60" x14ac:dyDescent="0.3">
      <c r="A163" s="53"/>
      <c r="B163" s="53"/>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53"/>
      <c r="BC163" s="53"/>
      <c r="BD163" s="53"/>
      <c r="BE163" s="53"/>
      <c r="BF163" s="53"/>
      <c r="BG163" s="53"/>
      <c r="BH163" s="53"/>
    </row>
    <row r="164" spans="1:60" x14ac:dyDescent="0.3">
      <c r="A164" s="53"/>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3"/>
      <c r="AY164" s="53"/>
      <c r="AZ164" s="53"/>
      <c r="BA164" s="53"/>
      <c r="BB164" s="53"/>
      <c r="BC164" s="53"/>
      <c r="BD164" s="53"/>
      <c r="BE164" s="53"/>
      <c r="BF164" s="53"/>
      <c r="BG164" s="53"/>
      <c r="BH164" s="53"/>
    </row>
    <row r="165" spans="1:60" x14ac:dyDescent="0.3">
      <c r="A165" s="53"/>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3"/>
      <c r="AY165" s="53"/>
      <c r="AZ165" s="53"/>
      <c r="BA165" s="53"/>
      <c r="BB165" s="53"/>
      <c r="BC165" s="53"/>
      <c r="BD165" s="53"/>
      <c r="BE165" s="53"/>
      <c r="BF165" s="53"/>
      <c r="BG165" s="53"/>
      <c r="BH165" s="53"/>
    </row>
    <row r="166" spans="1:60" x14ac:dyDescent="0.3">
      <c r="A166" s="53"/>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53"/>
      <c r="BC166" s="53"/>
      <c r="BD166" s="53"/>
      <c r="BE166" s="53"/>
      <c r="BF166" s="53"/>
      <c r="BG166" s="53"/>
      <c r="BH166" s="53"/>
    </row>
    <row r="167" spans="1:60" x14ac:dyDescent="0.3">
      <c r="A167" s="53"/>
      <c r="B167" s="53"/>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3"/>
      <c r="AY167" s="53"/>
      <c r="AZ167" s="53"/>
      <c r="BA167" s="53"/>
      <c r="BB167" s="53"/>
      <c r="BC167" s="53"/>
      <c r="BD167" s="53"/>
      <c r="BE167" s="53"/>
      <c r="BF167" s="53"/>
      <c r="BG167" s="53"/>
      <c r="BH167" s="53"/>
    </row>
    <row r="168" spans="1:60" x14ac:dyDescent="0.3">
      <c r="A168" s="53"/>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3"/>
      <c r="AY168" s="53"/>
      <c r="AZ168" s="53"/>
      <c r="BA168" s="53"/>
      <c r="BB168" s="53"/>
      <c r="BC168" s="53"/>
      <c r="BD168" s="53"/>
      <c r="BE168" s="53"/>
      <c r="BF168" s="53"/>
      <c r="BG168" s="53"/>
      <c r="BH168" s="53"/>
    </row>
    <row r="169" spans="1:60" x14ac:dyDescent="0.3">
      <c r="A169" s="53"/>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3"/>
      <c r="AY169" s="53"/>
      <c r="AZ169" s="53"/>
      <c r="BA169" s="53"/>
      <c r="BB169" s="53"/>
      <c r="BC169" s="53"/>
      <c r="BD169" s="53"/>
      <c r="BE169" s="53"/>
      <c r="BF169" s="53"/>
      <c r="BG169" s="53"/>
      <c r="BH169" s="53"/>
    </row>
    <row r="170" spans="1:60" x14ac:dyDescent="0.3">
      <c r="A170" s="53"/>
      <c r="B170" s="53"/>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3"/>
      <c r="AY170" s="53"/>
      <c r="AZ170" s="53"/>
      <c r="BA170" s="53"/>
      <c r="BB170" s="53"/>
      <c r="BC170" s="53"/>
      <c r="BD170" s="53"/>
      <c r="BE170" s="53"/>
      <c r="BF170" s="53"/>
      <c r="BG170" s="53"/>
      <c r="BH170" s="53"/>
    </row>
    <row r="171" spans="1:60" x14ac:dyDescent="0.3">
      <c r="A171" s="53"/>
      <c r="B171" s="53"/>
      <c r="C171" s="53"/>
      <c r="D171" s="53"/>
      <c r="E171" s="53"/>
      <c r="F171" s="53"/>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3"/>
      <c r="AY171" s="53"/>
      <c r="AZ171" s="53"/>
      <c r="BA171" s="53"/>
      <c r="BB171" s="53"/>
      <c r="BC171" s="53"/>
      <c r="BD171" s="53"/>
      <c r="BE171" s="53"/>
      <c r="BF171" s="53"/>
      <c r="BG171" s="53"/>
      <c r="BH171" s="53"/>
    </row>
    <row r="172" spans="1:60" x14ac:dyDescent="0.3">
      <c r="A172" s="53"/>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3"/>
      <c r="AY172" s="53"/>
      <c r="AZ172" s="53"/>
      <c r="BA172" s="53"/>
      <c r="BB172" s="53"/>
      <c r="BC172" s="53"/>
      <c r="BD172" s="53"/>
      <c r="BE172" s="53"/>
      <c r="BF172" s="53"/>
      <c r="BG172" s="53"/>
      <c r="BH172" s="53"/>
    </row>
    <row r="173" spans="1:60" x14ac:dyDescent="0.3">
      <c r="A173" s="53"/>
      <c r="B173" s="53"/>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3"/>
      <c r="BA173" s="53"/>
      <c r="BB173" s="53"/>
      <c r="BC173" s="53"/>
      <c r="BD173" s="53"/>
      <c r="BE173" s="53"/>
      <c r="BF173" s="53"/>
      <c r="BG173" s="53"/>
      <c r="BH173" s="53"/>
    </row>
    <row r="174" spans="1:60" x14ac:dyDescent="0.3">
      <c r="A174" s="53"/>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3"/>
      <c r="AY174" s="53"/>
      <c r="AZ174" s="53"/>
      <c r="BA174" s="53"/>
      <c r="BB174" s="53"/>
      <c r="BC174" s="53"/>
      <c r="BD174" s="53"/>
      <c r="BE174" s="53"/>
      <c r="BF174" s="53"/>
      <c r="BG174" s="53"/>
      <c r="BH174" s="53"/>
    </row>
    <row r="175" spans="1:60" x14ac:dyDescent="0.3">
      <c r="A175" s="53"/>
      <c r="B175" s="53"/>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3"/>
      <c r="AY175" s="53"/>
      <c r="AZ175" s="53"/>
      <c r="BA175" s="53"/>
      <c r="BB175" s="53"/>
      <c r="BC175" s="53"/>
      <c r="BD175" s="53"/>
      <c r="BE175" s="53"/>
      <c r="BF175" s="53"/>
      <c r="BG175" s="53"/>
      <c r="BH175" s="53"/>
    </row>
    <row r="176" spans="1:60" x14ac:dyDescent="0.3">
      <c r="A176" s="53"/>
      <c r="B176" s="53"/>
      <c r="C176" s="53"/>
      <c r="D176" s="53"/>
      <c r="E176" s="53"/>
      <c r="F176" s="53"/>
      <c r="G176" s="53"/>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3"/>
      <c r="AY176" s="53"/>
      <c r="AZ176" s="53"/>
      <c r="BA176" s="53"/>
      <c r="BB176" s="53"/>
      <c r="BC176" s="53"/>
      <c r="BD176" s="53"/>
      <c r="BE176" s="53"/>
      <c r="BF176" s="53"/>
      <c r="BG176" s="53"/>
      <c r="BH176" s="53"/>
    </row>
    <row r="177" spans="1:60" x14ac:dyDescent="0.3">
      <c r="A177" s="53"/>
      <c r="B177" s="53"/>
      <c r="C177" s="53"/>
      <c r="D177" s="53"/>
      <c r="E177" s="53"/>
      <c r="F177" s="53"/>
      <c r="G177" s="53"/>
      <c r="H177" s="53"/>
      <c r="I177" s="53"/>
      <c r="J177" s="53"/>
      <c r="K177" s="53"/>
      <c r="L177" s="53"/>
      <c r="M177" s="53"/>
      <c r="N177" s="53"/>
      <c r="O177" s="53"/>
      <c r="P177" s="53"/>
      <c r="Q177" s="53"/>
      <c r="R177" s="53"/>
      <c r="S177" s="53"/>
      <c r="T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c r="AS177" s="53"/>
      <c r="AT177" s="53"/>
      <c r="AU177" s="53"/>
      <c r="AV177" s="53"/>
      <c r="AW177" s="53"/>
      <c r="AX177" s="53"/>
      <c r="AY177" s="53"/>
      <c r="AZ177" s="53"/>
      <c r="BA177" s="53"/>
      <c r="BB177" s="53"/>
      <c r="BC177" s="53"/>
      <c r="BD177" s="53"/>
      <c r="BE177" s="53"/>
      <c r="BF177" s="53"/>
      <c r="BG177" s="53"/>
      <c r="BH177" s="53"/>
    </row>
    <row r="178" spans="1:60" x14ac:dyDescent="0.3">
      <c r="A178" s="53"/>
      <c r="B178" s="53"/>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c r="AS178" s="53"/>
      <c r="AT178" s="53"/>
      <c r="AU178" s="53"/>
      <c r="AV178" s="53"/>
      <c r="AW178" s="53"/>
      <c r="AX178" s="53"/>
      <c r="AY178" s="53"/>
      <c r="AZ178" s="53"/>
      <c r="BA178" s="53"/>
      <c r="BB178" s="53"/>
      <c r="BC178" s="53"/>
      <c r="BD178" s="53"/>
      <c r="BE178" s="53"/>
      <c r="BF178" s="53"/>
      <c r="BG178" s="53"/>
      <c r="BH178" s="53"/>
    </row>
    <row r="179" spans="1:60" x14ac:dyDescent="0.3">
      <c r="A179" s="53"/>
      <c r="B179" s="53"/>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c r="AR179" s="53"/>
      <c r="AS179" s="53"/>
      <c r="AT179" s="53"/>
      <c r="AU179" s="53"/>
      <c r="AV179" s="53"/>
      <c r="AW179" s="53"/>
      <c r="AX179" s="53"/>
      <c r="AY179" s="53"/>
      <c r="AZ179" s="53"/>
      <c r="BA179" s="53"/>
      <c r="BB179" s="53"/>
      <c r="BC179" s="53"/>
      <c r="BD179" s="53"/>
      <c r="BE179" s="53"/>
      <c r="BF179" s="53"/>
      <c r="BG179" s="53"/>
      <c r="BH179" s="53"/>
    </row>
    <row r="180" spans="1:60" x14ac:dyDescent="0.3">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3"/>
      <c r="AZ180" s="53"/>
      <c r="BA180" s="53"/>
      <c r="BB180" s="53"/>
      <c r="BC180" s="53"/>
      <c r="BD180" s="53"/>
      <c r="BE180" s="53"/>
      <c r="BF180" s="53"/>
      <c r="BG180" s="53"/>
      <c r="BH180" s="53"/>
    </row>
    <row r="181" spans="1:60" x14ac:dyDescent="0.3">
      <c r="A181" s="53"/>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c r="AR181" s="53"/>
      <c r="AS181" s="53"/>
      <c r="AT181" s="53"/>
      <c r="AU181" s="53"/>
      <c r="AV181" s="53"/>
      <c r="AW181" s="53"/>
      <c r="AX181" s="53"/>
      <c r="AY181" s="53"/>
      <c r="AZ181" s="53"/>
      <c r="BA181" s="53"/>
      <c r="BB181" s="53"/>
      <c r="BC181" s="53"/>
      <c r="BD181" s="53"/>
      <c r="BE181" s="53"/>
      <c r="BF181" s="53"/>
      <c r="BG181" s="53"/>
      <c r="BH181" s="53"/>
    </row>
    <row r="182" spans="1:60" x14ac:dyDescent="0.3">
      <c r="A182" s="53"/>
      <c r="B182" s="53"/>
      <c r="C182" s="53"/>
      <c r="D182" s="53"/>
      <c r="E182" s="53"/>
      <c r="F182" s="53"/>
      <c r="G182" s="53"/>
      <c r="H182" s="53"/>
      <c r="I182" s="53"/>
      <c r="J182" s="53"/>
      <c r="K182" s="53"/>
      <c r="L182" s="53"/>
      <c r="M182" s="53"/>
      <c r="N182" s="53"/>
      <c r="O182" s="53"/>
      <c r="P182" s="53"/>
      <c r="Q182" s="53"/>
      <c r="R182" s="53"/>
      <c r="S182" s="53"/>
      <c r="T182" s="53"/>
      <c r="U182" s="53"/>
      <c r="V182" s="53"/>
      <c r="W182" s="53"/>
      <c r="X182" s="53"/>
      <c r="Y182" s="53"/>
      <c r="Z182" s="53"/>
      <c r="AA182" s="53"/>
      <c r="AB182" s="53"/>
      <c r="AC182" s="53"/>
      <c r="AD182" s="53"/>
      <c r="AE182" s="53"/>
      <c r="AF182" s="53"/>
      <c r="AG182" s="53"/>
      <c r="AH182" s="53"/>
      <c r="AI182" s="53"/>
      <c r="AJ182" s="53"/>
      <c r="AK182" s="53"/>
      <c r="AL182" s="53"/>
      <c r="AM182" s="53"/>
      <c r="AN182" s="53"/>
      <c r="AO182" s="53"/>
      <c r="AP182" s="53"/>
      <c r="AQ182" s="53"/>
      <c r="AR182" s="53"/>
      <c r="AS182" s="53"/>
      <c r="AT182" s="53"/>
      <c r="AU182" s="53"/>
      <c r="AV182" s="53"/>
      <c r="AW182" s="53"/>
      <c r="AX182" s="53"/>
      <c r="AY182" s="53"/>
      <c r="AZ182" s="53"/>
      <c r="BA182" s="53"/>
      <c r="BB182" s="53"/>
      <c r="BC182" s="53"/>
      <c r="BD182" s="53"/>
      <c r="BE182" s="53"/>
      <c r="BF182" s="53"/>
      <c r="BG182" s="53"/>
      <c r="BH182" s="53"/>
    </row>
    <row r="183" spans="1:60" x14ac:dyDescent="0.3">
      <c r="A183" s="53"/>
      <c r="B183" s="53"/>
      <c r="C183" s="53"/>
      <c r="D183" s="53"/>
      <c r="E183" s="53"/>
      <c r="F183" s="53"/>
      <c r="G183" s="53"/>
      <c r="H183" s="53"/>
      <c r="I183" s="53"/>
      <c r="J183" s="53"/>
      <c r="K183" s="53"/>
      <c r="L183" s="53"/>
      <c r="M183" s="53"/>
      <c r="N183" s="53"/>
      <c r="O183" s="53"/>
      <c r="P183" s="53"/>
      <c r="Q183" s="53"/>
      <c r="R183" s="53"/>
      <c r="S183" s="53"/>
      <c r="T183" s="53"/>
      <c r="U183" s="53"/>
      <c r="V183" s="53"/>
      <c r="W183" s="53"/>
      <c r="X183" s="53"/>
      <c r="Y183" s="53"/>
      <c r="Z183" s="53"/>
      <c r="AA183" s="53"/>
      <c r="AB183" s="53"/>
      <c r="AC183" s="53"/>
      <c r="AD183" s="53"/>
      <c r="AE183" s="53"/>
      <c r="AF183" s="53"/>
      <c r="AG183" s="53"/>
      <c r="AH183" s="53"/>
      <c r="AI183" s="53"/>
      <c r="AJ183" s="53"/>
      <c r="AK183" s="53"/>
      <c r="AL183" s="53"/>
      <c r="AM183" s="53"/>
      <c r="AN183" s="53"/>
      <c r="AO183" s="53"/>
      <c r="AP183" s="53"/>
      <c r="AQ183" s="53"/>
      <c r="AR183" s="53"/>
      <c r="AS183" s="53"/>
      <c r="AT183" s="53"/>
      <c r="AU183" s="53"/>
      <c r="AV183" s="53"/>
      <c r="AW183" s="53"/>
      <c r="AX183" s="53"/>
      <c r="AY183" s="53"/>
      <c r="AZ183" s="53"/>
      <c r="BA183" s="53"/>
      <c r="BB183" s="53"/>
      <c r="BC183" s="53"/>
      <c r="BD183" s="53"/>
      <c r="BE183" s="53"/>
      <c r="BF183" s="53"/>
      <c r="BG183" s="53"/>
      <c r="BH183" s="53"/>
    </row>
    <row r="184" spans="1:60" x14ac:dyDescent="0.3">
      <c r="A184" s="53"/>
      <c r="B184" s="53"/>
      <c r="C184" s="53"/>
      <c r="D184" s="53"/>
      <c r="E184" s="53"/>
      <c r="F184" s="53"/>
      <c r="G184" s="53"/>
      <c r="H184" s="53"/>
      <c r="I184" s="53"/>
      <c r="J184" s="53"/>
      <c r="K184" s="53"/>
      <c r="L184" s="53"/>
      <c r="M184" s="53"/>
      <c r="N184" s="53"/>
      <c r="O184" s="53"/>
      <c r="P184" s="53"/>
      <c r="Q184" s="53"/>
      <c r="R184" s="53"/>
      <c r="S184" s="53"/>
      <c r="T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c r="AR184" s="53"/>
      <c r="AS184" s="53"/>
      <c r="AT184" s="53"/>
      <c r="AU184" s="53"/>
      <c r="AV184" s="53"/>
      <c r="AW184" s="53"/>
      <c r="AX184" s="53"/>
      <c r="AY184" s="53"/>
      <c r="AZ184" s="53"/>
      <c r="BA184" s="53"/>
      <c r="BB184" s="53"/>
      <c r="BC184" s="53"/>
      <c r="BD184" s="53"/>
      <c r="BE184" s="53"/>
      <c r="BF184" s="53"/>
      <c r="BG184" s="53"/>
      <c r="BH184" s="53"/>
    </row>
    <row r="185" spans="1:60" x14ac:dyDescent="0.3">
      <c r="A185" s="53"/>
      <c r="B185" s="53"/>
      <c r="C185" s="53"/>
      <c r="D185" s="53"/>
      <c r="E185" s="53"/>
      <c r="F185" s="53"/>
      <c r="G185" s="53"/>
      <c r="H185" s="53"/>
      <c r="I185" s="53"/>
      <c r="J185" s="53"/>
      <c r="K185" s="53"/>
      <c r="L185" s="53"/>
      <c r="M185" s="53"/>
      <c r="N185" s="53"/>
      <c r="O185" s="53"/>
      <c r="P185" s="53"/>
      <c r="Q185" s="53"/>
      <c r="R185" s="53"/>
      <c r="S185" s="53"/>
      <c r="T185" s="53"/>
      <c r="U185" s="53"/>
      <c r="V185" s="53"/>
      <c r="W185" s="53"/>
      <c r="X185" s="53"/>
      <c r="Y185" s="53"/>
      <c r="Z185" s="53"/>
      <c r="AA185" s="53"/>
      <c r="AB185" s="53"/>
      <c r="AC185" s="53"/>
      <c r="AD185" s="53"/>
      <c r="AE185" s="53"/>
      <c r="AF185" s="53"/>
      <c r="AG185" s="53"/>
      <c r="AH185" s="53"/>
      <c r="AI185" s="53"/>
      <c r="AJ185" s="53"/>
      <c r="AK185" s="53"/>
      <c r="AL185" s="53"/>
      <c r="AM185" s="53"/>
      <c r="AN185" s="53"/>
      <c r="AO185" s="53"/>
      <c r="AP185" s="53"/>
      <c r="AQ185" s="53"/>
      <c r="AR185" s="53"/>
      <c r="AS185" s="53"/>
      <c r="AT185" s="53"/>
      <c r="AU185" s="53"/>
      <c r="AV185" s="53"/>
      <c r="AW185" s="53"/>
      <c r="AX185" s="53"/>
      <c r="AY185" s="53"/>
      <c r="AZ185" s="53"/>
      <c r="BA185" s="53"/>
      <c r="BB185" s="53"/>
      <c r="BC185" s="53"/>
      <c r="BD185" s="53"/>
      <c r="BE185" s="53"/>
      <c r="BF185" s="53"/>
      <c r="BG185" s="53"/>
      <c r="BH185" s="53"/>
    </row>
    <row r="186" spans="1:60" x14ac:dyDescent="0.3">
      <c r="A186" s="53"/>
      <c r="B186" s="53"/>
      <c r="C186" s="53"/>
      <c r="D186" s="53"/>
      <c r="E186" s="53"/>
      <c r="F186" s="53"/>
      <c r="G186" s="53"/>
      <c r="H186" s="53"/>
      <c r="I186" s="53"/>
      <c r="J186" s="53"/>
      <c r="K186" s="53"/>
      <c r="L186" s="53"/>
      <c r="M186" s="53"/>
      <c r="N186" s="53"/>
      <c r="O186" s="53"/>
      <c r="P186" s="53"/>
      <c r="Q186" s="53"/>
      <c r="R186" s="53"/>
      <c r="S186" s="53"/>
      <c r="T186" s="53"/>
      <c r="U186" s="53"/>
      <c r="V186" s="53"/>
      <c r="W186" s="53"/>
      <c r="X186" s="53"/>
      <c r="Y186" s="53"/>
      <c r="Z186" s="53"/>
      <c r="AA186" s="53"/>
      <c r="AB186" s="53"/>
      <c r="AC186" s="53"/>
      <c r="AD186" s="53"/>
      <c r="AE186" s="53"/>
      <c r="AF186" s="53"/>
      <c r="AG186" s="53"/>
      <c r="AH186" s="53"/>
      <c r="AI186" s="53"/>
      <c r="AJ186" s="53"/>
      <c r="AK186" s="53"/>
      <c r="AL186" s="53"/>
      <c r="AM186" s="53"/>
      <c r="AN186" s="53"/>
      <c r="AO186" s="53"/>
      <c r="AP186" s="53"/>
      <c r="AQ186" s="53"/>
      <c r="AR186" s="53"/>
      <c r="AS186" s="53"/>
      <c r="AT186" s="53"/>
      <c r="AU186" s="53"/>
      <c r="AV186" s="53"/>
      <c r="AW186" s="53"/>
      <c r="AX186" s="53"/>
      <c r="AY186" s="53"/>
      <c r="AZ186" s="53"/>
      <c r="BA186" s="53"/>
      <c r="BB186" s="53"/>
      <c r="BC186" s="53"/>
      <c r="BD186" s="53"/>
      <c r="BE186" s="53"/>
      <c r="BF186" s="53"/>
      <c r="BG186" s="53"/>
      <c r="BH186" s="53"/>
    </row>
    <row r="187" spans="1:60" x14ac:dyDescent="0.3">
      <c r="A187" s="53"/>
      <c r="B187" s="53"/>
      <c r="C187" s="53"/>
      <c r="D187" s="53"/>
      <c r="E187" s="53"/>
      <c r="F187" s="53"/>
      <c r="G187" s="53"/>
      <c r="H187" s="53"/>
      <c r="I187" s="53"/>
      <c r="J187" s="53"/>
      <c r="K187" s="53"/>
      <c r="L187" s="53"/>
      <c r="M187" s="53"/>
      <c r="N187" s="53"/>
      <c r="O187" s="53"/>
      <c r="P187" s="53"/>
      <c r="Q187" s="53"/>
      <c r="R187" s="53"/>
      <c r="S187" s="53"/>
      <c r="T187" s="53"/>
      <c r="U187" s="53"/>
      <c r="V187" s="53"/>
      <c r="W187" s="53"/>
      <c r="X187" s="53"/>
      <c r="Y187" s="53"/>
      <c r="Z187" s="53"/>
      <c r="AA187" s="53"/>
      <c r="AB187" s="53"/>
      <c r="AC187" s="53"/>
      <c r="AD187" s="53"/>
      <c r="AE187" s="53"/>
      <c r="AF187" s="53"/>
      <c r="AG187" s="53"/>
      <c r="AH187" s="53"/>
      <c r="AI187" s="53"/>
      <c r="AJ187" s="53"/>
      <c r="AK187" s="53"/>
      <c r="AL187" s="53"/>
      <c r="AM187" s="53"/>
      <c r="AN187" s="53"/>
      <c r="AO187" s="53"/>
      <c r="AP187" s="53"/>
      <c r="AQ187" s="53"/>
      <c r="AR187" s="53"/>
      <c r="AS187" s="53"/>
      <c r="AT187" s="53"/>
      <c r="AU187" s="53"/>
      <c r="AV187" s="53"/>
      <c r="AW187" s="53"/>
      <c r="AX187" s="53"/>
      <c r="AY187" s="53"/>
      <c r="AZ187" s="53"/>
      <c r="BA187" s="53"/>
      <c r="BB187" s="53"/>
      <c r="BC187" s="53"/>
      <c r="BD187" s="53"/>
      <c r="BE187" s="53"/>
      <c r="BF187" s="53"/>
      <c r="BG187" s="53"/>
      <c r="BH187" s="53"/>
    </row>
    <row r="188" spans="1:60" x14ac:dyDescent="0.3">
      <c r="A188" s="53"/>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53"/>
      <c r="Z188" s="53"/>
      <c r="AA188" s="53"/>
      <c r="AB188" s="53"/>
      <c r="AC188" s="53"/>
      <c r="AD188" s="53"/>
      <c r="AE188" s="53"/>
      <c r="AF188" s="53"/>
      <c r="AG188" s="53"/>
      <c r="AH188" s="53"/>
      <c r="AI188" s="53"/>
      <c r="AJ188" s="53"/>
      <c r="AK188" s="53"/>
      <c r="AL188" s="53"/>
      <c r="AM188" s="53"/>
      <c r="AN188" s="53"/>
      <c r="AO188" s="53"/>
      <c r="AP188" s="53"/>
      <c r="AQ188" s="53"/>
      <c r="AR188" s="53"/>
      <c r="AS188" s="53"/>
      <c r="AT188" s="53"/>
      <c r="AU188" s="53"/>
      <c r="AV188" s="53"/>
      <c r="AW188" s="53"/>
      <c r="AX188" s="53"/>
      <c r="AY188" s="53"/>
      <c r="AZ188" s="53"/>
      <c r="BA188" s="53"/>
      <c r="BB188" s="53"/>
      <c r="BC188" s="53"/>
      <c r="BD188" s="53"/>
      <c r="BE188" s="53"/>
      <c r="BF188" s="53"/>
      <c r="BG188" s="53"/>
      <c r="BH188" s="53"/>
    </row>
    <row r="189" spans="1:60" x14ac:dyDescent="0.3">
      <c r="A189" s="53"/>
      <c r="B189" s="53"/>
      <c r="C189" s="53"/>
      <c r="D189" s="53"/>
      <c r="E189" s="53"/>
      <c r="F189" s="53"/>
      <c r="G189" s="53"/>
      <c r="H189" s="53"/>
      <c r="I189" s="53"/>
      <c r="J189" s="53"/>
      <c r="K189" s="53"/>
      <c r="L189" s="53"/>
      <c r="M189" s="53"/>
      <c r="N189" s="53"/>
      <c r="O189" s="53"/>
      <c r="P189" s="53"/>
      <c r="Q189" s="53"/>
      <c r="R189" s="53"/>
      <c r="S189" s="53"/>
      <c r="T189" s="53"/>
      <c r="U189" s="53"/>
      <c r="V189" s="53"/>
      <c r="W189" s="53"/>
      <c r="X189" s="53"/>
      <c r="Y189" s="53"/>
      <c r="Z189" s="53"/>
      <c r="AA189" s="53"/>
      <c r="AB189" s="53"/>
      <c r="AC189" s="53"/>
      <c r="AD189" s="53"/>
      <c r="AE189" s="53"/>
      <c r="AF189" s="53"/>
      <c r="AG189" s="53"/>
      <c r="AH189" s="53"/>
      <c r="AI189" s="53"/>
      <c r="AJ189" s="53"/>
      <c r="AK189" s="53"/>
      <c r="AL189" s="53"/>
      <c r="AM189" s="53"/>
      <c r="AN189" s="53"/>
      <c r="AO189" s="53"/>
      <c r="AP189" s="53"/>
      <c r="AQ189" s="53"/>
      <c r="AR189" s="53"/>
      <c r="AS189" s="53"/>
      <c r="AT189" s="53"/>
      <c r="AU189" s="53"/>
      <c r="AV189" s="53"/>
      <c r="AW189" s="53"/>
      <c r="AX189" s="53"/>
      <c r="AY189" s="53"/>
      <c r="AZ189" s="53"/>
      <c r="BA189" s="53"/>
      <c r="BB189" s="53"/>
      <c r="BC189" s="53"/>
      <c r="BD189" s="53"/>
      <c r="BE189" s="53"/>
      <c r="BF189" s="53"/>
      <c r="BG189" s="53"/>
      <c r="BH189" s="53"/>
    </row>
    <row r="190" spans="1:60" x14ac:dyDescent="0.3">
      <c r="A190" s="53"/>
      <c r="B190" s="53"/>
      <c r="C190" s="53"/>
      <c r="D190" s="53"/>
      <c r="E190" s="53"/>
      <c r="F190" s="53"/>
      <c r="G190" s="53"/>
      <c r="H190" s="53"/>
      <c r="I190" s="53"/>
      <c r="J190" s="53"/>
      <c r="K190" s="53"/>
      <c r="L190" s="53"/>
      <c r="M190" s="53"/>
      <c r="N190" s="53"/>
      <c r="O190" s="53"/>
      <c r="P190" s="53"/>
      <c r="Q190" s="53"/>
      <c r="R190" s="53"/>
      <c r="S190" s="53"/>
      <c r="T190" s="53"/>
      <c r="U190" s="53"/>
      <c r="V190" s="53"/>
      <c r="W190" s="53"/>
      <c r="X190" s="53"/>
      <c r="Y190" s="53"/>
      <c r="Z190" s="53"/>
      <c r="AA190" s="53"/>
      <c r="AB190" s="53"/>
      <c r="AC190" s="53"/>
      <c r="AD190" s="53"/>
      <c r="AE190" s="53"/>
      <c r="AF190" s="53"/>
      <c r="AG190" s="53"/>
      <c r="AH190" s="53"/>
      <c r="AI190" s="53"/>
      <c r="AJ190" s="53"/>
      <c r="AK190" s="53"/>
      <c r="AL190" s="53"/>
      <c r="AM190" s="53"/>
      <c r="AN190" s="53"/>
      <c r="AO190" s="53"/>
      <c r="AP190" s="53"/>
      <c r="AQ190" s="53"/>
      <c r="AR190" s="53"/>
      <c r="AS190" s="53"/>
      <c r="AT190" s="53"/>
      <c r="AU190" s="53"/>
      <c r="AV190" s="53"/>
      <c r="AW190" s="53"/>
      <c r="AX190" s="53"/>
      <c r="AY190" s="53"/>
      <c r="AZ190" s="53"/>
      <c r="BA190" s="53"/>
      <c r="BB190" s="53"/>
      <c r="BC190" s="53"/>
      <c r="BD190" s="53"/>
      <c r="BE190" s="53"/>
      <c r="BF190" s="53"/>
      <c r="BG190" s="53"/>
      <c r="BH190" s="53"/>
    </row>
    <row r="191" spans="1:60" x14ac:dyDescent="0.3">
      <c r="A191" s="53"/>
      <c r="J191" s="53"/>
      <c r="K191" s="53"/>
      <c r="L191" s="53"/>
      <c r="M191" s="53"/>
      <c r="N191" s="53"/>
      <c r="O191" s="53"/>
      <c r="P191" s="53"/>
      <c r="Q191" s="53"/>
      <c r="R191" s="53"/>
      <c r="S191" s="53"/>
      <c r="T191" s="53"/>
      <c r="U191" s="53"/>
      <c r="V191" s="53"/>
      <c r="W191" s="53"/>
      <c r="X191" s="53"/>
      <c r="Y191" s="53"/>
      <c r="Z191" s="53"/>
      <c r="AA191" s="53"/>
      <c r="AB191" s="53"/>
      <c r="AC191" s="53"/>
      <c r="AD191" s="53"/>
      <c r="AE191" s="53"/>
      <c r="AF191" s="53"/>
      <c r="AG191" s="53"/>
      <c r="AH191" s="53"/>
      <c r="AI191" s="53"/>
      <c r="AJ191" s="53"/>
      <c r="AK191" s="53"/>
      <c r="AL191" s="53"/>
      <c r="AM191" s="53"/>
      <c r="AN191" s="53"/>
      <c r="AO191" s="53"/>
      <c r="AP191" s="53"/>
      <c r="AQ191" s="53"/>
      <c r="AR191" s="53"/>
      <c r="AS191" s="53"/>
      <c r="AT191" s="53"/>
      <c r="AU191" s="53"/>
      <c r="AV191" s="53"/>
      <c r="AW191" s="53"/>
      <c r="AX191" s="53"/>
      <c r="AY191" s="53"/>
      <c r="AZ191" s="53"/>
      <c r="BA191" s="53"/>
      <c r="BB191" s="53"/>
      <c r="BC191" s="53"/>
      <c r="BD191" s="53"/>
      <c r="BE191" s="53"/>
      <c r="BF191" s="53"/>
      <c r="BG191" s="53"/>
      <c r="BH191" s="53"/>
    </row>
    <row r="192" spans="1:60" x14ac:dyDescent="0.3">
      <c r="A192" s="53"/>
      <c r="J192" s="53"/>
      <c r="K192" s="53"/>
      <c r="L192" s="53"/>
      <c r="M192" s="53"/>
      <c r="N192" s="53"/>
      <c r="O192" s="53"/>
      <c r="P192" s="53"/>
      <c r="Q192" s="53"/>
      <c r="R192" s="53"/>
      <c r="S192" s="53"/>
      <c r="T192" s="53"/>
      <c r="U192" s="53"/>
      <c r="V192" s="53"/>
      <c r="W192" s="53"/>
      <c r="X192" s="53"/>
      <c r="Y192" s="53"/>
      <c r="Z192" s="53"/>
      <c r="AA192" s="53"/>
      <c r="AB192" s="53"/>
      <c r="AC192" s="53"/>
      <c r="AD192" s="53"/>
      <c r="AE192" s="53"/>
      <c r="AF192" s="53"/>
      <c r="AG192" s="53"/>
      <c r="AH192" s="53"/>
      <c r="AI192" s="53"/>
      <c r="AJ192" s="53"/>
      <c r="AK192" s="53"/>
      <c r="AL192" s="53"/>
      <c r="AM192" s="53"/>
      <c r="AN192" s="53"/>
      <c r="AO192" s="53"/>
      <c r="AP192" s="53"/>
      <c r="AQ192" s="53"/>
      <c r="AR192" s="53"/>
      <c r="AS192" s="53"/>
      <c r="AT192" s="53"/>
      <c r="AU192" s="53"/>
      <c r="AV192" s="53"/>
      <c r="AW192" s="53"/>
      <c r="AX192" s="53"/>
      <c r="AY192" s="53"/>
      <c r="AZ192" s="53"/>
      <c r="BA192" s="53"/>
      <c r="BB192" s="53"/>
      <c r="BC192" s="53"/>
      <c r="BD192" s="53"/>
      <c r="BE192" s="53"/>
      <c r="BF192" s="53"/>
      <c r="BG192" s="53"/>
      <c r="BH192" s="53"/>
    </row>
    <row r="193" spans="1:60" x14ac:dyDescent="0.3">
      <c r="A193" s="53"/>
      <c r="J193" s="53"/>
      <c r="K193" s="53"/>
      <c r="L193" s="53"/>
      <c r="M193" s="53"/>
      <c r="N193" s="53"/>
      <c r="O193" s="53"/>
      <c r="P193" s="53"/>
      <c r="Q193" s="53"/>
      <c r="R193" s="53"/>
      <c r="S193" s="53"/>
      <c r="T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row>
    <row r="194" spans="1:60" x14ac:dyDescent="0.3">
      <c r="A194" s="53"/>
      <c r="J194" s="53"/>
      <c r="K194" s="53"/>
      <c r="L194" s="53"/>
      <c r="M194" s="53"/>
      <c r="N194" s="53"/>
      <c r="O194" s="53"/>
      <c r="P194" s="53"/>
      <c r="Q194" s="53"/>
      <c r="R194" s="53"/>
      <c r="S194" s="53"/>
      <c r="T194" s="53"/>
      <c r="U194" s="53"/>
      <c r="V194" s="53"/>
      <c r="W194" s="53"/>
      <c r="X194" s="53"/>
      <c r="Y194" s="53"/>
      <c r="Z194" s="53"/>
      <c r="AA194" s="53"/>
      <c r="AB194" s="53"/>
      <c r="AC194" s="53"/>
      <c r="AD194" s="53"/>
      <c r="AE194" s="53"/>
      <c r="AF194" s="53"/>
      <c r="AG194" s="53"/>
      <c r="AH194" s="53"/>
      <c r="AI194" s="53"/>
      <c r="AJ194" s="53"/>
      <c r="AK194" s="53"/>
      <c r="AL194" s="53"/>
      <c r="AM194" s="53"/>
      <c r="AN194" s="53"/>
      <c r="AO194" s="53"/>
      <c r="AP194" s="53"/>
      <c r="AQ194" s="53"/>
      <c r="AR194" s="53"/>
      <c r="AS194" s="53"/>
      <c r="AT194" s="53"/>
      <c r="AU194" s="53"/>
      <c r="AV194" s="53"/>
      <c r="AW194" s="53"/>
      <c r="AX194" s="53"/>
      <c r="AY194" s="53"/>
      <c r="AZ194" s="53"/>
      <c r="BA194" s="53"/>
      <c r="BB194" s="53"/>
      <c r="BC194" s="53"/>
      <c r="BD194" s="53"/>
      <c r="BE194" s="53"/>
      <c r="BF194" s="53"/>
      <c r="BG194" s="53"/>
      <c r="BH194" s="53"/>
    </row>
    <row r="195" spans="1:60" x14ac:dyDescent="0.3">
      <c r="A195" s="53"/>
      <c r="J195" s="53"/>
      <c r="K195" s="53"/>
      <c r="L195" s="53"/>
      <c r="M195" s="53"/>
      <c r="N195" s="53"/>
      <c r="O195" s="53"/>
      <c r="P195" s="53"/>
      <c r="Q195" s="53"/>
      <c r="R195" s="53"/>
      <c r="S195" s="53"/>
      <c r="T195" s="53"/>
      <c r="U195" s="53"/>
      <c r="V195" s="53"/>
      <c r="W195" s="53"/>
      <c r="X195" s="53"/>
      <c r="Y195" s="53"/>
      <c r="Z195" s="53"/>
      <c r="AA195" s="53"/>
      <c r="AB195" s="53"/>
      <c r="AC195" s="53"/>
      <c r="AD195" s="53"/>
      <c r="AE195" s="53"/>
      <c r="AF195" s="53"/>
      <c r="AG195" s="53"/>
      <c r="AH195" s="53"/>
      <c r="AI195" s="53"/>
      <c r="AJ195" s="53"/>
      <c r="AK195" s="53"/>
      <c r="AL195" s="53"/>
      <c r="AM195" s="53"/>
      <c r="AN195" s="53"/>
      <c r="AO195" s="53"/>
      <c r="AP195" s="53"/>
      <c r="AQ195" s="53"/>
      <c r="AR195" s="53"/>
      <c r="AS195" s="53"/>
      <c r="AT195" s="53"/>
      <c r="AU195" s="53"/>
      <c r="AV195" s="53"/>
      <c r="AW195" s="53"/>
      <c r="AX195" s="53"/>
      <c r="AY195" s="53"/>
      <c r="AZ195" s="53"/>
      <c r="BA195" s="53"/>
      <c r="BB195" s="53"/>
      <c r="BC195" s="53"/>
      <c r="BD195" s="53"/>
      <c r="BE195" s="53"/>
      <c r="BF195" s="53"/>
      <c r="BG195" s="53"/>
      <c r="BH195" s="53"/>
    </row>
    <row r="196" spans="1:60" x14ac:dyDescent="0.3">
      <c r="A196" s="53"/>
      <c r="J196" s="53"/>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c r="AI196" s="53"/>
      <c r="AJ196" s="53"/>
      <c r="AK196" s="53"/>
      <c r="AL196" s="53"/>
      <c r="AM196" s="53"/>
      <c r="AN196" s="53"/>
      <c r="AO196" s="53"/>
      <c r="AP196" s="53"/>
      <c r="AQ196" s="53"/>
      <c r="AR196" s="53"/>
      <c r="AS196" s="53"/>
      <c r="AT196" s="53"/>
      <c r="AU196" s="53"/>
      <c r="AV196" s="53"/>
      <c r="AW196" s="53"/>
      <c r="AX196" s="53"/>
      <c r="AY196" s="53"/>
      <c r="AZ196" s="53"/>
      <c r="BA196" s="53"/>
      <c r="BB196" s="53"/>
      <c r="BC196" s="53"/>
      <c r="BD196" s="53"/>
      <c r="BE196" s="53"/>
      <c r="BF196" s="53"/>
      <c r="BG196" s="53"/>
      <c r="BH196" s="53"/>
    </row>
    <row r="197" spans="1:60" x14ac:dyDescent="0.3">
      <c r="A197" s="53"/>
      <c r="J197" s="53"/>
      <c r="K197" s="53"/>
      <c r="L197" s="53"/>
      <c r="M197" s="53"/>
      <c r="N197" s="53"/>
      <c r="O197" s="53"/>
      <c r="P197" s="53"/>
      <c r="Q197" s="53"/>
      <c r="R197" s="53"/>
      <c r="S197" s="53"/>
      <c r="T197" s="53"/>
      <c r="U197" s="53"/>
      <c r="V197" s="53"/>
      <c r="W197" s="53"/>
      <c r="X197" s="53"/>
      <c r="Y197" s="53"/>
      <c r="Z197" s="53"/>
      <c r="AA197" s="53"/>
      <c r="AB197" s="53"/>
      <c r="AC197" s="53"/>
      <c r="AD197" s="53"/>
      <c r="AE197" s="53"/>
      <c r="AF197" s="53"/>
      <c r="AG197" s="53"/>
      <c r="AH197" s="53"/>
      <c r="AI197" s="53"/>
      <c r="AJ197" s="53"/>
      <c r="AK197" s="53"/>
      <c r="AL197" s="53"/>
      <c r="AM197" s="53"/>
      <c r="AN197" s="53"/>
      <c r="AO197" s="53"/>
      <c r="AP197" s="53"/>
      <c r="AQ197" s="53"/>
      <c r="AR197" s="53"/>
      <c r="AS197" s="53"/>
      <c r="AT197" s="53"/>
      <c r="AU197" s="53"/>
      <c r="AV197" s="53"/>
      <c r="AW197" s="53"/>
      <c r="AX197" s="53"/>
      <c r="AY197" s="53"/>
      <c r="AZ197" s="53"/>
      <c r="BA197" s="53"/>
      <c r="BB197" s="53"/>
      <c r="BC197" s="53"/>
      <c r="BD197" s="53"/>
      <c r="BE197" s="53"/>
      <c r="BF197" s="53"/>
      <c r="BG197" s="53"/>
      <c r="BH197" s="53"/>
    </row>
    <row r="198" spans="1:60" x14ac:dyDescent="0.3">
      <c r="A198" s="53"/>
      <c r="J198" s="53"/>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3"/>
      <c r="AI198" s="53"/>
      <c r="AJ198" s="53"/>
      <c r="AK198" s="53"/>
      <c r="AL198" s="53"/>
      <c r="AM198" s="53"/>
      <c r="AN198" s="53"/>
      <c r="AO198" s="53"/>
      <c r="AP198" s="53"/>
      <c r="AQ198" s="53"/>
      <c r="AR198" s="53"/>
      <c r="AS198" s="53"/>
      <c r="AT198" s="53"/>
      <c r="AU198" s="53"/>
      <c r="AV198" s="53"/>
      <c r="AW198" s="53"/>
      <c r="AX198" s="53"/>
      <c r="AY198" s="53"/>
      <c r="AZ198" s="53"/>
      <c r="BA198" s="53"/>
      <c r="BB198" s="53"/>
      <c r="BC198" s="53"/>
      <c r="BD198" s="53"/>
      <c r="BE198" s="53"/>
      <c r="BF198" s="53"/>
      <c r="BG198" s="53"/>
      <c r="BH198" s="53"/>
    </row>
    <row r="199" spans="1:60" x14ac:dyDescent="0.3">
      <c r="A199" s="53"/>
      <c r="J199" s="53"/>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c r="AH199" s="53"/>
      <c r="AI199" s="53"/>
      <c r="AJ199" s="53"/>
      <c r="AK199" s="53"/>
      <c r="AL199" s="53"/>
      <c r="AM199" s="53"/>
      <c r="AN199" s="53"/>
      <c r="AO199" s="53"/>
      <c r="AP199" s="53"/>
      <c r="AQ199" s="53"/>
      <c r="AR199" s="53"/>
      <c r="AS199" s="53"/>
      <c r="AT199" s="53"/>
      <c r="AU199" s="53"/>
      <c r="AV199" s="53"/>
      <c r="AW199" s="53"/>
      <c r="AX199" s="53"/>
      <c r="AY199" s="53"/>
      <c r="AZ199" s="53"/>
      <c r="BA199" s="53"/>
      <c r="BB199" s="53"/>
      <c r="BC199" s="53"/>
      <c r="BD199" s="53"/>
      <c r="BE199" s="53"/>
      <c r="BF199" s="53"/>
      <c r="BG199" s="53"/>
      <c r="BH199" s="53"/>
    </row>
    <row r="200" spans="1:60" x14ac:dyDescent="0.3">
      <c r="A200" s="53"/>
      <c r="J200" s="53"/>
      <c r="K200" s="53"/>
      <c r="L200" s="53"/>
      <c r="M200" s="53"/>
      <c r="N200" s="53"/>
      <c r="O200" s="53"/>
      <c r="P200" s="53"/>
      <c r="Q200" s="53"/>
      <c r="R200" s="53"/>
      <c r="S200" s="53"/>
      <c r="T200" s="53"/>
      <c r="U200" s="53"/>
      <c r="V200" s="53"/>
      <c r="W200" s="53"/>
      <c r="X200" s="53"/>
      <c r="Y200" s="53"/>
      <c r="Z200" s="53"/>
      <c r="AA200" s="53"/>
      <c r="AB200" s="53"/>
      <c r="AC200" s="53"/>
      <c r="AD200" s="53"/>
      <c r="AE200" s="53"/>
      <c r="AF200" s="53"/>
      <c r="AG200" s="53"/>
      <c r="AH200" s="53"/>
      <c r="AI200" s="53"/>
      <c r="AJ200" s="53"/>
      <c r="AK200" s="53"/>
      <c r="AL200" s="53"/>
      <c r="AM200" s="53"/>
      <c r="AN200" s="53"/>
      <c r="AO200" s="53"/>
      <c r="AP200" s="53"/>
      <c r="AQ200" s="53"/>
      <c r="AR200" s="53"/>
      <c r="AS200" s="53"/>
      <c r="AT200" s="53"/>
      <c r="AU200" s="53"/>
      <c r="AV200" s="53"/>
      <c r="AW200" s="53"/>
      <c r="AX200" s="53"/>
      <c r="AY200" s="53"/>
      <c r="AZ200" s="53"/>
      <c r="BA200" s="53"/>
      <c r="BB200" s="53"/>
      <c r="BC200" s="53"/>
      <c r="BD200" s="53"/>
      <c r="BE200" s="53"/>
      <c r="BF200" s="53"/>
      <c r="BG200" s="53"/>
      <c r="BH200" s="53"/>
    </row>
    <row r="201" spans="1:60" x14ac:dyDescent="0.3">
      <c r="A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3"/>
      <c r="AJ201" s="53"/>
      <c r="AK201" s="53"/>
      <c r="AL201" s="53"/>
      <c r="AM201" s="53"/>
      <c r="AN201" s="53"/>
      <c r="AO201" s="53"/>
      <c r="AP201" s="53"/>
      <c r="AQ201" s="53"/>
      <c r="AR201" s="53"/>
      <c r="AS201" s="53"/>
      <c r="AT201" s="53"/>
      <c r="AU201" s="53"/>
      <c r="AV201" s="53"/>
      <c r="AW201" s="53"/>
      <c r="AX201" s="53"/>
      <c r="AY201" s="53"/>
      <c r="AZ201" s="53"/>
      <c r="BA201" s="53"/>
      <c r="BB201" s="53"/>
      <c r="BC201" s="53"/>
      <c r="BD201" s="53"/>
      <c r="BE201" s="53"/>
      <c r="BF201" s="53"/>
      <c r="BG201" s="53"/>
      <c r="BH201" s="53"/>
    </row>
    <row r="202" spans="1:60" x14ac:dyDescent="0.3">
      <c r="A202" s="53"/>
      <c r="J202" s="53"/>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3"/>
      <c r="AJ202" s="53"/>
      <c r="AK202" s="53"/>
      <c r="AL202" s="53"/>
      <c r="AM202" s="53"/>
      <c r="AN202" s="53"/>
      <c r="AO202" s="53"/>
      <c r="AP202" s="53"/>
      <c r="AQ202" s="53"/>
      <c r="AR202" s="53"/>
      <c r="AS202" s="53"/>
      <c r="AT202" s="53"/>
      <c r="AU202" s="53"/>
      <c r="AV202" s="53"/>
      <c r="AW202" s="53"/>
      <c r="AX202" s="53"/>
      <c r="AY202" s="53"/>
      <c r="AZ202" s="53"/>
      <c r="BA202" s="53"/>
      <c r="BB202" s="53"/>
      <c r="BC202" s="53"/>
      <c r="BD202" s="53"/>
      <c r="BE202" s="53"/>
      <c r="BF202" s="53"/>
      <c r="BG202" s="53"/>
      <c r="BH202" s="53"/>
    </row>
    <row r="203" spans="1:60" x14ac:dyDescent="0.3">
      <c r="A203" s="53"/>
      <c r="J203" s="53"/>
      <c r="K203" s="53"/>
      <c r="L203" s="53"/>
      <c r="M203" s="53"/>
      <c r="N203" s="53"/>
      <c r="O203" s="53"/>
      <c r="P203" s="53"/>
      <c r="Q203" s="53"/>
      <c r="R203" s="53"/>
      <c r="S203" s="53"/>
      <c r="T203" s="53"/>
      <c r="U203" s="53"/>
      <c r="V203" s="53"/>
      <c r="W203" s="53"/>
      <c r="X203" s="53"/>
      <c r="Y203" s="53"/>
      <c r="Z203" s="53"/>
      <c r="AA203" s="53"/>
      <c r="AB203" s="53"/>
      <c r="AC203" s="53"/>
      <c r="AD203" s="53"/>
      <c r="AE203" s="53"/>
      <c r="AF203" s="53"/>
      <c r="AG203" s="53"/>
      <c r="AH203" s="53"/>
      <c r="AI203" s="53"/>
      <c r="AJ203" s="53"/>
      <c r="AK203" s="53"/>
      <c r="AL203" s="53"/>
      <c r="AM203" s="53"/>
      <c r="AN203" s="53"/>
      <c r="AO203" s="53"/>
      <c r="AP203" s="53"/>
      <c r="AQ203" s="53"/>
      <c r="AR203" s="53"/>
      <c r="AS203" s="53"/>
      <c r="AT203" s="53"/>
      <c r="AU203" s="53"/>
      <c r="AV203" s="53"/>
      <c r="AW203" s="53"/>
      <c r="AX203" s="53"/>
      <c r="AY203" s="53"/>
      <c r="AZ203" s="53"/>
      <c r="BA203" s="53"/>
      <c r="BB203" s="53"/>
      <c r="BC203" s="53"/>
      <c r="BD203" s="53"/>
      <c r="BE203" s="53"/>
      <c r="BF203" s="53"/>
      <c r="BG203" s="53"/>
      <c r="BH203" s="53"/>
    </row>
    <row r="204" spans="1:60" x14ac:dyDescent="0.3">
      <c r="A204" s="53"/>
      <c r="J204" s="53"/>
      <c r="K204" s="53"/>
      <c r="L204" s="53"/>
      <c r="M204" s="53"/>
      <c r="N204" s="53"/>
      <c r="O204" s="53"/>
      <c r="P204" s="53"/>
      <c r="Q204" s="53"/>
      <c r="R204" s="53"/>
      <c r="S204" s="53"/>
      <c r="T204" s="53"/>
      <c r="U204" s="53"/>
      <c r="V204" s="53"/>
      <c r="W204" s="53"/>
      <c r="X204" s="53"/>
      <c r="Y204" s="53"/>
      <c r="Z204" s="53"/>
      <c r="AA204" s="53"/>
      <c r="AB204" s="53"/>
      <c r="AC204" s="53"/>
      <c r="AD204" s="53"/>
      <c r="AE204" s="53"/>
      <c r="AF204" s="53"/>
      <c r="AG204" s="53"/>
      <c r="AH204" s="53"/>
      <c r="AI204" s="53"/>
      <c r="AJ204" s="53"/>
      <c r="AK204" s="53"/>
      <c r="AL204" s="53"/>
      <c r="AM204" s="53"/>
      <c r="AN204" s="53"/>
      <c r="AO204" s="53"/>
      <c r="AP204" s="53"/>
      <c r="AQ204" s="53"/>
      <c r="AR204" s="53"/>
      <c r="AS204" s="53"/>
      <c r="AT204" s="53"/>
      <c r="AU204" s="53"/>
      <c r="AV204" s="53"/>
      <c r="AW204" s="53"/>
      <c r="AX204" s="53"/>
      <c r="AY204" s="53"/>
      <c r="AZ204" s="53"/>
      <c r="BA204" s="53"/>
      <c r="BB204" s="53"/>
      <c r="BC204" s="53"/>
      <c r="BD204" s="53"/>
      <c r="BE204" s="53"/>
      <c r="BF204" s="53"/>
      <c r="BG204" s="53"/>
      <c r="BH204" s="53"/>
    </row>
    <row r="205" spans="1:60" x14ac:dyDescent="0.3">
      <c r="A205" s="53"/>
      <c r="J205" s="53"/>
      <c r="K205" s="53"/>
      <c r="L205" s="53"/>
      <c r="M205" s="53"/>
      <c r="N205" s="53"/>
      <c r="O205" s="53"/>
      <c r="P205" s="53"/>
      <c r="Q205" s="53"/>
      <c r="R205" s="53"/>
      <c r="S205" s="53"/>
      <c r="T205" s="53"/>
      <c r="U205" s="53"/>
      <c r="V205" s="53"/>
      <c r="W205" s="53"/>
      <c r="X205" s="53"/>
      <c r="Y205" s="53"/>
      <c r="Z205" s="53"/>
      <c r="AA205" s="53"/>
      <c r="AB205" s="53"/>
      <c r="AC205" s="53"/>
      <c r="AD205" s="53"/>
      <c r="AE205" s="53"/>
      <c r="AF205" s="53"/>
      <c r="AG205" s="53"/>
      <c r="AH205" s="53"/>
      <c r="AI205" s="53"/>
      <c r="AJ205" s="53"/>
      <c r="AK205" s="53"/>
      <c r="AL205" s="53"/>
      <c r="AM205" s="53"/>
      <c r="AN205" s="53"/>
      <c r="AO205" s="53"/>
      <c r="AP205" s="53"/>
      <c r="AQ205" s="53"/>
      <c r="AR205" s="53"/>
      <c r="AS205" s="53"/>
      <c r="AT205" s="53"/>
      <c r="AU205" s="53"/>
      <c r="AV205" s="53"/>
      <c r="AW205" s="53"/>
      <c r="AX205" s="53"/>
      <c r="AY205" s="53"/>
      <c r="AZ205" s="53"/>
      <c r="BA205" s="53"/>
      <c r="BB205" s="53"/>
      <c r="BC205" s="53"/>
      <c r="BD205" s="53"/>
      <c r="BE205" s="53"/>
      <c r="BF205" s="53"/>
      <c r="BG205" s="53"/>
      <c r="BH205" s="53"/>
    </row>
    <row r="206" spans="1:60" x14ac:dyDescent="0.3">
      <c r="A206" s="53"/>
      <c r="J206" s="53"/>
      <c r="K206" s="53"/>
      <c r="L206" s="53"/>
      <c r="M206" s="53"/>
      <c r="N206" s="53"/>
      <c r="O206" s="53"/>
      <c r="P206" s="53"/>
      <c r="Q206" s="53"/>
      <c r="R206" s="53"/>
      <c r="S206" s="53"/>
      <c r="T206" s="53"/>
      <c r="U206" s="53"/>
      <c r="V206" s="53"/>
      <c r="W206" s="53"/>
      <c r="X206" s="53"/>
      <c r="Y206" s="53"/>
      <c r="Z206" s="53"/>
      <c r="AA206" s="53"/>
      <c r="AB206" s="53"/>
      <c r="AC206" s="53"/>
      <c r="AD206" s="53"/>
      <c r="AE206" s="53"/>
      <c r="AF206" s="53"/>
      <c r="AG206" s="53"/>
      <c r="AH206" s="53"/>
      <c r="AI206" s="53"/>
      <c r="AJ206" s="53"/>
      <c r="AK206" s="53"/>
      <c r="AL206" s="53"/>
      <c r="AM206" s="53"/>
      <c r="AN206" s="53"/>
      <c r="AO206" s="53"/>
      <c r="AP206" s="53"/>
      <c r="AQ206" s="53"/>
      <c r="AR206" s="53"/>
      <c r="AS206" s="53"/>
      <c r="AT206" s="53"/>
      <c r="AU206" s="53"/>
      <c r="AV206" s="53"/>
      <c r="AW206" s="53"/>
      <c r="AX206" s="53"/>
      <c r="AY206" s="53"/>
      <c r="AZ206" s="53"/>
      <c r="BA206" s="53"/>
      <c r="BB206" s="53"/>
      <c r="BC206" s="53"/>
      <c r="BD206" s="53"/>
      <c r="BE206" s="53"/>
      <c r="BF206" s="53"/>
      <c r="BG206" s="53"/>
      <c r="BH206" s="53"/>
    </row>
    <row r="207" spans="1:60" x14ac:dyDescent="0.3">
      <c r="A207" s="53"/>
      <c r="J207" s="53"/>
      <c r="K207" s="53"/>
      <c r="L207" s="53"/>
      <c r="M207" s="53"/>
      <c r="N207" s="53"/>
      <c r="O207" s="53"/>
      <c r="P207" s="53"/>
      <c r="Q207" s="53"/>
      <c r="R207" s="53"/>
      <c r="S207" s="53"/>
      <c r="T207" s="53"/>
      <c r="U207" s="53"/>
      <c r="V207" s="53"/>
      <c r="W207" s="53"/>
      <c r="X207" s="53"/>
      <c r="Y207" s="53"/>
      <c r="Z207" s="53"/>
      <c r="AA207" s="53"/>
      <c r="AB207" s="53"/>
      <c r="AC207" s="53"/>
      <c r="AD207" s="53"/>
      <c r="AE207" s="53"/>
      <c r="AF207" s="53"/>
      <c r="AG207" s="53"/>
      <c r="AH207" s="53"/>
      <c r="AI207" s="53"/>
      <c r="AJ207" s="53"/>
      <c r="AK207" s="53"/>
      <c r="AL207" s="53"/>
      <c r="AM207" s="53"/>
      <c r="AN207" s="53"/>
      <c r="AO207" s="53"/>
      <c r="AP207" s="53"/>
      <c r="AQ207" s="53"/>
      <c r="AR207" s="53"/>
      <c r="AS207" s="53"/>
      <c r="AT207" s="53"/>
      <c r="AU207" s="53"/>
      <c r="AV207" s="53"/>
      <c r="AW207" s="53"/>
      <c r="AX207" s="53"/>
      <c r="AY207" s="53"/>
      <c r="AZ207" s="53"/>
      <c r="BA207" s="53"/>
      <c r="BB207" s="53"/>
      <c r="BC207" s="53"/>
      <c r="BD207" s="53"/>
      <c r="BE207" s="53"/>
      <c r="BF207" s="53"/>
      <c r="BG207" s="53"/>
      <c r="BH207" s="53"/>
    </row>
    <row r="208" spans="1:60" x14ac:dyDescent="0.3">
      <c r="A208" s="53"/>
      <c r="J208" s="53"/>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c r="AH208" s="53"/>
      <c r="AI208" s="53"/>
      <c r="AJ208" s="53"/>
      <c r="AK208" s="53"/>
      <c r="AL208" s="53"/>
      <c r="AM208" s="53"/>
      <c r="AN208" s="53"/>
      <c r="AO208" s="53"/>
      <c r="AP208" s="53"/>
      <c r="AQ208" s="53"/>
      <c r="AR208" s="53"/>
      <c r="AS208" s="53"/>
      <c r="AT208" s="53"/>
      <c r="AU208" s="53"/>
      <c r="AV208" s="53"/>
      <c r="AW208" s="53"/>
      <c r="AX208" s="53"/>
      <c r="AY208" s="53"/>
      <c r="AZ208" s="53"/>
      <c r="BA208" s="53"/>
      <c r="BB208" s="53"/>
      <c r="BC208" s="53"/>
      <c r="BD208" s="53"/>
      <c r="BE208" s="53"/>
      <c r="BF208" s="53"/>
      <c r="BG208" s="53"/>
      <c r="BH208" s="53"/>
    </row>
    <row r="209" spans="1:60" x14ac:dyDescent="0.3">
      <c r="A209" s="53"/>
      <c r="J209" s="53"/>
      <c r="K209" s="53"/>
      <c r="L209" s="53"/>
      <c r="M209" s="53"/>
      <c r="N209" s="53"/>
      <c r="O209" s="53"/>
      <c r="P209" s="53"/>
      <c r="Q209" s="53"/>
      <c r="R209" s="53"/>
      <c r="S209" s="53"/>
      <c r="T209" s="53"/>
      <c r="U209" s="53"/>
      <c r="V209" s="53"/>
      <c r="W209" s="53"/>
      <c r="X209" s="53"/>
      <c r="Y209" s="53"/>
      <c r="Z209" s="53"/>
      <c r="AA209" s="53"/>
      <c r="AB209" s="53"/>
      <c r="AC209" s="53"/>
      <c r="AD209" s="53"/>
      <c r="AE209" s="53"/>
      <c r="AF209" s="53"/>
      <c r="AG209" s="53"/>
      <c r="AH209" s="53"/>
      <c r="AI209" s="53"/>
      <c r="AJ209" s="53"/>
      <c r="AK209" s="53"/>
      <c r="AL209" s="53"/>
      <c r="AM209" s="53"/>
      <c r="AN209" s="53"/>
      <c r="AO209" s="53"/>
      <c r="AP209" s="53"/>
      <c r="AQ209" s="53"/>
      <c r="AR209" s="53"/>
      <c r="AS209" s="53"/>
      <c r="AT209" s="53"/>
      <c r="AU209" s="53"/>
      <c r="AV209" s="53"/>
      <c r="AW209" s="53"/>
      <c r="AX209" s="53"/>
      <c r="AY209" s="53"/>
      <c r="AZ209" s="53"/>
      <c r="BA209" s="53"/>
      <c r="BB209" s="53"/>
      <c r="BC209" s="53"/>
      <c r="BD209" s="53"/>
      <c r="BE209" s="53"/>
      <c r="BF209" s="53"/>
      <c r="BG209" s="53"/>
      <c r="BH209" s="53"/>
    </row>
    <row r="210" spans="1:60" x14ac:dyDescent="0.3">
      <c r="A210" s="53"/>
      <c r="J210" s="53"/>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3"/>
      <c r="BA210" s="53"/>
      <c r="BB210" s="53"/>
      <c r="BC210" s="53"/>
      <c r="BD210" s="53"/>
      <c r="BE210" s="53"/>
      <c r="BF210" s="53"/>
      <c r="BG210" s="53"/>
      <c r="BH210" s="53"/>
    </row>
    <row r="211" spans="1:60" x14ac:dyDescent="0.3">
      <c r="A211" s="53"/>
      <c r="J211" s="53"/>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c r="AH211" s="53"/>
      <c r="AI211" s="53"/>
      <c r="AJ211" s="53"/>
      <c r="AK211" s="53"/>
      <c r="AL211" s="53"/>
      <c r="AM211" s="53"/>
      <c r="AN211" s="53"/>
      <c r="AO211" s="53"/>
      <c r="AP211" s="53"/>
      <c r="AQ211" s="53"/>
      <c r="AR211" s="53"/>
      <c r="AS211" s="53"/>
      <c r="AT211" s="53"/>
      <c r="AU211" s="53"/>
      <c r="AV211" s="53"/>
      <c r="AW211" s="53"/>
      <c r="AX211" s="53"/>
      <c r="AY211" s="53"/>
      <c r="AZ211" s="53"/>
      <c r="BA211" s="53"/>
      <c r="BB211" s="53"/>
      <c r="BC211" s="53"/>
      <c r="BD211" s="53"/>
      <c r="BE211" s="53"/>
      <c r="BF211" s="53"/>
      <c r="BG211" s="53"/>
      <c r="BH211" s="53"/>
    </row>
    <row r="212" spans="1:60" x14ac:dyDescent="0.3">
      <c r="A212" s="53"/>
      <c r="J212" s="53"/>
      <c r="K212" s="53"/>
      <c r="L212" s="53"/>
      <c r="M212" s="53"/>
      <c r="N212" s="53"/>
      <c r="O212" s="53"/>
      <c r="P212" s="53"/>
      <c r="Q212" s="53"/>
      <c r="R212" s="53"/>
      <c r="S212" s="53"/>
      <c r="T212" s="53"/>
      <c r="U212" s="53"/>
      <c r="V212" s="53"/>
      <c r="W212" s="53"/>
      <c r="X212" s="53"/>
      <c r="Y212" s="53"/>
      <c r="Z212" s="53"/>
      <c r="AA212" s="53"/>
      <c r="AB212" s="53"/>
      <c r="AC212" s="53"/>
      <c r="AD212" s="53"/>
      <c r="AE212" s="53"/>
      <c r="AF212" s="53"/>
      <c r="AG212" s="53"/>
      <c r="AH212" s="53"/>
      <c r="AI212" s="53"/>
      <c r="AJ212" s="53"/>
      <c r="AK212" s="53"/>
      <c r="AL212" s="53"/>
      <c r="AM212" s="53"/>
      <c r="AN212" s="53"/>
      <c r="AO212" s="53"/>
      <c r="AP212" s="53"/>
      <c r="AQ212" s="53"/>
      <c r="AR212" s="53"/>
      <c r="AS212" s="53"/>
      <c r="AT212" s="53"/>
      <c r="AU212" s="53"/>
      <c r="AV212" s="53"/>
      <c r="AW212" s="53"/>
      <c r="AX212" s="53"/>
      <c r="AY212" s="53"/>
      <c r="AZ212" s="53"/>
      <c r="BA212" s="53"/>
      <c r="BB212" s="53"/>
      <c r="BC212" s="53"/>
      <c r="BD212" s="53"/>
      <c r="BE212" s="53"/>
      <c r="BF212" s="53"/>
      <c r="BG212" s="53"/>
      <c r="BH212" s="53"/>
    </row>
    <row r="213" spans="1:60" x14ac:dyDescent="0.3">
      <c r="A213" s="53"/>
      <c r="J213" s="53"/>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c r="AH213" s="53"/>
      <c r="AI213" s="53"/>
      <c r="AJ213" s="53"/>
      <c r="AK213" s="53"/>
      <c r="AL213" s="53"/>
      <c r="AM213" s="53"/>
      <c r="AN213" s="53"/>
      <c r="AO213" s="53"/>
      <c r="AP213" s="53"/>
      <c r="AQ213" s="53"/>
      <c r="AR213" s="53"/>
      <c r="AS213" s="53"/>
      <c r="AT213" s="53"/>
      <c r="AU213" s="53"/>
      <c r="AV213" s="53"/>
      <c r="AW213" s="53"/>
      <c r="AX213" s="53"/>
      <c r="AY213" s="53"/>
      <c r="AZ213" s="53"/>
      <c r="BA213" s="53"/>
      <c r="BB213" s="53"/>
      <c r="BC213" s="53"/>
      <c r="BD213" s="53"/>
      <c r="BE213" s="53"/>
      <c r="BF213" s="53"/>
      <c r="BG213" s="53"/>
      <c r="BH213" s="53"/>
    </row>
    <row r="214" spans="1:60" x14ac:dyDescent="0.3">
      <c r="A214" s="53"/>
      <c r="J214" s="53"/>
      <c r="K214" s="53"/>
      <c r="L214" s="53"/>
      <c r="M214" s="53"/>
      <c r="N214" s="53"/>
      <c r="O214" s="53"/>
      <c r="P214" s="53"/>
      <c r="Q214" s="53"/>
      <c r="R214" s="53"/>
      <c r="S214" s="53"/>
      <c r="T214" s="53"/>
      <c r="U214" s="53"/>
      <c r="V214" s="53"/>
      <c r="W214" s="53"/>
      <c r="X214" s="53"/>
      <c r="Y214" s="53"/>
      <c r="Z214" s="53"/>
      <c r="AA214" s="53"/>
      <c r="AB214" s="53"/>
      <c r="AC214" s="53"/>
      <c r="AD214" s="53"/>
      <c r="AE214" s="53"/>
      <c r="AF214" s="53"/>
      <c r="AG214" s="53"/>
      <c r="AH214" s="53"/>
      <c r="AI214" s="53"/>
      <c r="AJ214" s="53"/>
      <c r="AK214" s="53"/>
      <c r="AL214" s="53"/>
      <c r="AM214" s="53"/>
      <c r="AN214" s="53"/>
      <c r="AO214" s="53"/>
      <c r="AP214" s="53"/>
      <c r="AQ214" s="53"/>
      <c r="AR214" s="53"/>
      <c r="AS214" s="53"/>
      <c r="AT214" s="53"/>
      <c r="AU214" s="53"/>
      <c r="AV214" s="53"/>
      <c r="AW214" s="53"/>
      <c r="AX214" s="53"/>
      <c r="AY214" s="53"/>
      <c r="AZ214" s="53"/>
      <c r="BA214" s="53"/>
      <c r="BB214" s="53"/>
      <c r="BC214" s="53"/>
      <c r="BD214" s="53"/>
      <c r="BE214" s="53"/>
      <c r="BF214" s="53"/>
      <c r="BG214" s="53"/>
      <c r="BH214" s="53"/>
    </row>
    <row r="215" spans="1:60" x14ac:dyDescent="0.3">
      <c r="A215" s="53"/>
      <c r="J215" s="53"/>
      <c r="K215" s="53"/>
      <c r="L215" s="53"/>
      <c r="M215" s="53"/>
      <c r="N215" s="53"/>
      <c r="O215" s="53"/>
      <c r="P215" s="53"/>
      <c r="Q215" s="53"/>
      <c r="R215" s="53"/>
      <c r="S215" s="53"/>
      <c r="T215" s="53"/>
      <c r="U215" s="53"/>
      <c r="V215" s="53"/>
      <c r="W215" s="53"/>
      <c r="X215" s="53"/>
      <c r="Y215" s="53"/>
      <c r="Z215" s="53"/>
      <c r="AA215" s="53"/>
      <c r="AB215" s="53"/>
      <c r="AC215" s="53"/>
      <c r="AD215" s="53"/>
      <c r="AE215" s="53"/>
      <c r="AF215" s="53"/>
      <c r="AG215" s="53"/>
      <c r="AH215" s="53"/>
      <c r="AI215" s="53"/>
      <c r="AJ215" s="53"/>
      <c r="AK215" s="53"/>
      <c r="AL215" s="53"/>
      <c r="AM215" s="53"/>
      <c r="AN215" s="53"/>
      <c r="AO215" s="53"/>
      <c r="AP215" s="53"/>
      <c r="AQ215" s="53"/>
      <c r="AR215" s="53"/>
      <c r="AS215" s="53"/>
      <c r="AT215" s="53"/>
      <c r="AU215" s="53"/>
      <c r="AV215" s="53"/>
      <c r="AW215" s="53"/>
      <c r="AX215" s="53"/>
      <c r="AY215" s="53"/>
      <c r="AZ215" s="53"/>
      <c r="BA215" s="53"/>
      <c r="BB215" s="53"/>
      <c r="BC215" s="53"/>
      <c r="BD215" s="53"/>
      <c r="BE215" s="53"/>
      <c r="BF215" s="53"/>
      <c r="BG215" s="53"/>
      <c r="BH215" s="53"/>
    </row>
    <row r="216" spans="1:60" x14ac:dyDescent="0.3">
      <c r="A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c r="AI216" s="53"/>
      <c r="AJ216" s="53"/>
      <c r="AK216" s="53"/>
      <c r="AL216" s="53"/>
      <c r="AM216" s="53"/>
      <c r="AN216" s="53"/>
      <c r="AO216" s="53"/>
      <c r="AP216" s="53"/>
      <c r="AQ216" s="53"/>
      <c r="AR216" s="53"/>
      <c r="AS216" s="53"/>
      <c r="AT216" s="53"/>
      <c r="AU216" s="53"/>
      <c r="AV216" s="53"/>
      <c r="AW216" s="53"/>
      <c r="AX216" s="53"/>
      <c r="AY216" s="53"/>
      <c r="AZ216" s="53"/>
      <c r="BA216" s="53"/>
      <c r="BB216" s="53"/>
      <c r="BC216" s="53"/>
      <c r="BD216" s="53"/>
      <c r="BE216" s="53"/>
      <c r="BF216" s="53"/>
      <c r="BG216" s="53"/>
      <c r="BH216" s="53"/>
    </row>
    <row r="217" spans="1:60" x14ac:dyDescent="0.3">
      <c r="A217" s="53"/>
      <c r="J217" s="53"/>
      <c r="K217" s="53"/>
      <c r="L217" s="53"/>
      <c r="M217" s="53"/>
      <c r="N217" s="53"/>
      <c r="O217" s="53"/>
      <c r="P217" s="53"/>
      <c r="Q217" s="53"/>
      <c r="R217" s="53"/>
      <c r="S217" s="53"/>
      <c r="T217" s="53"/>
      <c r="U217" s="53"/>
      <c r="V217" s="53"/>
      <c r="W217" s="53"/>
      <c r="X217" s="53"/>
      <c r="Y217" s="53"/>
      <c r="Z217" s="53"/>
      <c r="AA217" s="53"/>
      <c r="AB217" s="53"/>
      <c r="AC217" s="53"/>
      <c r="AD217" s="53"/>
      <c r="AE217" s="53"/>
      <c r="AF217" s="53"/>
      <c r="AG217" s="53"/>
      <c r="AH217" s="53"/>
      <c r="AI217" s="53"/>
      <c r="AJ217" s="53"/>
      <c r="AK217" s="53"/>
      <c r="AL217" s="53"/>
      <c r="AM217" s="53"/>
      <c r="AN217" s="53"/>
      <c r="AO217" s="53"/>
      <c r="AP217" s="53"/>
      <c r="AQ217" s="53"/>
      <c r="AR217" s="53"/>
      <c r="AS217" s="53"/>
      <c r="AT217" s="53"/>
      <c r="AU217" s="53"/>
      <c r="AV217" s="53"/>
      <c r="AW217" s="53"/>
      <c r="AX217" s="53"/>
      <c r="AY217" s="53"/>
      <c r="AZ217" s="53"/>
      <c r="BA217" s="53"/>
      <c r="BB217" s="53"/>
      <c r="BC217" s="53"/>
      <c r="BD217" s="53"/>
      <c r="BE217" s="53"/>
      <c r="BF217" s="53"/>
      <c r="BG217" s="53"/>
      <c r="BH217" s="53"/>
    </row>
    <row r="218" spans="1:60" x14ac:dyDescent="0.3">
      <c r="A218" s="53"/>
      <c r="J218" s="53"/>
      <c r="K218" s="53"/>
      <c r="L218" s="53"/>
      <c r="M218" s="53"/>
      <c r="N218" s="53"/>
      <c r="O218" s="53"/>
      <c r="P218" s="53"/>
      <c r="Q218" s="53"/>
      <c r="R218" s="53"/>
      <c r="S218" s="53"/>
      <c r="T218" s="53"/>
      <c r="U218" s="53"/>
      <c r="V218" s="53"/>
      <c r="W218" s="53"/>
      <c r="X218" s="53"/>
      <c r="Y218" s="53"/>
      <c r="Z218" s="53"/>
      <c r="AA218" s="53"/>
      <c r="AB218" s="53"/>
      <c r="AC218" s="53"/>
      <c r="AD218" s="53"/>
      <c r="AE218" s="53"/>
      <c r="AF218" s="53"/>
      <c r="AG218" s="53"/>
      <c r="AH218" s="53"/>
      <c r="AI218" s="53"/>
      <c r="AJ218" s="53"/>
      <c r="AK218" s="53"/>
      <c r="AL218" s="53"/>
      <c r="AM218" s="53"/>
      <c r="AN218" s="53"/>
      <c r="AO218" s="53"/>
      <c r="AP218" s="53"/>
      <c r="AQ218" s="53"/>
      <c r="AR218" s="53"/>
      <c r="AS218" s="53"/>
      <c r="AT218" s="53"/>
      <c r="AU218" s="53"/>
      <c r="AV218" s="53"/>
      <c r="AW218" s="53"/>
      <c r="AX218" s="53"/>
      <c r="AY218" s="53"/>
      <c r="AZ218" s="53"/>
      <c r="BA218" s="53"/>
      <c r="BB218" s="53"/>
      <c r="BC218" s="53"/>
      <c r="BD218" s="53"/>
      <c r="BE218" s="53"/>
      <c r="BF218" s="53"/>
      <c r="BG218" s="53"/>
      <c r="BH218" s="53"/>
    </row>
    <row r="219" spans="1:60" x14ac:dyDescent="0.3">
      <c r="A219" s="53"/>
      <c r="J219" s="53"/>
      <c r="K219" s="53"/>
      <c r="L219" s="53"/>
      <c r="M219" s="53"/>
      <c r="N219" s="53"/>
      <c r="O219" s="53"/>
      <c r="P219" s="53"/>
      <c r="Q219" s="53"/>
      <c r="R219" s="53"/>
      <c r="S219" s="53"/>
      <c r="T219" s="53"/>
      <c r="U219" s="53"/>
      <c r="V219" s="53"/>
      <c r="W219" s="53"/>
      <c r="X219" s="53"/>
      <c r="Y219" s="53"/>
      <c r="Z219" s="53"/>
      <c r="AA219" s="53"/>
      <c r="AB219" s="53"/>
      <c r="AC219" s="53"/>
      <c r="AD219" s="53"/>
      <c r="AE219" s="53"/>
      <c r="AF219" s="53"/>
      <c r="AG219" s="53"/>
      <c r="AH219" s="53"/>
      <c r="AI219" s="53"/>
      <c r="AJ219" s="53"/>
      <c r="AK219" s="53"/>
      <c r="AL219" s="53"/>
      <c r="AM219" s="53"/>
      <c r="AN219" s="53"/>
      <c r="AO219" s="53"/>
      <c r="AP219" s="53"/>
      <c r="AQ219" s="53"/>
      <c r="AR219" s="53"/>
      <c r="AS219" s="53"/>
      <c r="AT219" s="53"/>
      <c r="AU219" s="53"/>
      <c r="AV219" s="53"/>
      <c r="AW219" s="53"/>
      <c r="AX219" s="53"/>
      <c r="AY219" s="53"/>
      <c r="AZ219" s="53"/>
      <c r="BA219" s="53"/>
      <c r="BB219" s="53"/>
      <c r="BC219" s="53"/>
      <c r="BD219" s="53"/>
      <c r="BE219" s="53"/>
      <c r="BF219" s="53"/>
      <c r="BG219" s="53"/>
      <c r="BH219" s="53"/>
    </row>
    <row r="220" spans="1:60" x14ac:dyDescent="0.3">
      <c r="A220" s="53"/>
      <c r="J220" s="53"/>
      <c r="K220" s="53"/>
      <c r="L220" s="53"/>
      <c r="M220" s="53"/>
      <c r="N220" s="53"/>
      <c r="O220" s="53"/>
      <c r="P220" s="53"/>
      <c r="Q220" s="53"/>
      <c r="R220" s="53"/>
      <c r="S220" s="53"/>
      <c r="T220" s="53"/>
      <c r="U220" s="53"/>
      <c r="V220" s="53"/>
      <c r="W220" s="53"/>
      <c r="X220" s="53"/>
      <c r="Y220" s="53"/>
      <c r="Z220" s="53"/>
      <c r="AA220" s="53"/>
      <c r="AB220" s="53"/>
      <c r="AC220" s="53"/>
      <c r="AD220" s="53"/>
      <c r="AE220" s="53"/>
      <c r="AF220" s="53"/>
      <c r="AG220" s="53"/>
      <c r="AH220" s="53"/>
      <c r="AI220" s="53"/>
      <c r="AJ220" s="53"/>
      <c r="AK220" s="53"/>
      <c r="AL220" s="53"/>
      <c r="AM220" s="53"/>
      <c r="AN220" s="53"/>
      <c r="AO220" s="53"/>
      <c r="AP220" s="53"/>
      <c r="AQ220" s="53"/>
      <c r="AR220" s="53"/>
      <c r="AS220" s="53"/>
      <c r="AT220" s="53"/>
      <c r="AU220" s="53"/>
      <c r="AV220" s="53"/>
      <c r="AW220" s="53"/>
      <c r="AX220" s="53"/>
      <c r="AY220" s="53"/>
      <c r="AZ220" s="53"/>
      <c r="BA220" s="53"/>
      <c r="BB220" s="53"/>
      <c r="BC220" s="53"/>
      <c r="BD220" s="53"/>
      <c r="BE220" s="53"/>
      <c r="BF220" s="53"/>
      <c r="BG220" s="53"/>
      <c r="BH220" s="53"/>
    </row>
    <row r="221" spans="1:60" x14ac:dyDescent="0.3">
      <c r="A221" s="53"/>
      <c r="J221" s="53"/>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3"/>
      <c r="AJ221" s="53"/>
      <c r="AK221" s="53"/>
      <c r="AL221" s="53"/>
      <c r="AM221" s="53"/>
      <c r="AN221" s="53"/>
      <c r="AO221" s="53"/>
      <c r="AP221" s="53"/>
      <c r="AQ221" s="53"/>
      <c r="AR221" s="53"/>
      <c r="AS221" s="53"/>
      <c r="AT221" s="53"/>
      <c r="AU221" s="53"/>
      <c r="AV221" s="53"/>
      <c r="AW221" s="53"/>
      <c r="AX221" s="53"/>
      <c r="AY221" s="53"/>
      <c r="AZ221" s="53"/>
      <c r="BA221" s="53"/>
      <c r="BB221" s="53"/>
      <c r="BC221" s="53"/>
      <c r="BD221" s="53"/>
      <c r="BE221" s="53"/>
      <c r="BF221" s="53"/>
      <c r="BG221" s="53"/>
      <c r="BH221" s="53"/>
    </row>
    <row r="222" spans="1:60" x14ac:dyDescent="0.3">
      <c r="A222" s="53"/>
      <c r="J222" s="53"/>
      <c r="K222" s="53"/>
      <c r="L222" s="53"/>
      <c r="M222" s="53"/>
      <c r="N222" s="53"/>
      <c r="O222" s="53"/>
      <c r="P222" s="53"/>
      <c r="Q222" s="53"/>
      <c r="R222" s="53"/>
      <c r="S222" s="53"/>
      <c r="T222" s="53"/>
      <c r="U222" s="53"/>
      <c r="V222" s="53"/>
      <c r="W222" s="53"/>
      <c r="X222" s="53"/>
      <c r="Y222" s="53"/>
      <c r="Z222" s="53"/>
      <c r="AA222" s="53"/>
      <c r="AB222" s="53"/>
      <c r="AC222" s="53"/>
      <c r="AD222" s="53"/>
      <c r="AE222" s="53"/>
      <c r="AF222" s="53"/>
      <c r="AG222" s="53"/>
      <c r="AH222" s="53"/>
      <c r="AI222" s="53"/>
      <c r="AJ222" s="53"/>
      <c r="AK222" s="53"/>
      <c r="AL222" s="53"/>
      <c r="AM222" s="53"/>
      <c r="AN222" s="53"/>
      <c r="AO222" s="53"/>
      <c r="AP222" s="53"/>
      <c r="AQ222" s="53"/>
      <c r="AR222" s="53"/>
      <c r="AS222" s="53"/>
      <c r="AT222" s="53"/>
      <c r="AU222" s="53"/>
      <c r="AV222" s="53"/>
      <c r="AW222" s="53"/>
      <c r="AX222" s="53"/>
      <c r="AY222" s="53"/>
      <c r="AZ222" s="53"/>
      <c r="BA222" s="53"/>
      <c r="BB222" s="53"/>
      <c r="BC222" s="53"/>
      <c r="BD222" s="53"/>
      <c r="BE222" s="53"/>
      <c r="BF222" s="53"/>
      <c r="BG222" s="53"/>
      <c r="BH222" s="53"/>
    </row>
    <row r="223" spans="1:60" x14ac:dyDescent="0.3">
      <c r="A223" s="53"/>
      <c r="J223" s="53"/>
      <c r="K223" s="53"/>
      <c r="L223" s="53"/>
      <c r="M223" s="53"/>
      <c r="N223" s="53"/>
      <c r="O223" s="53"/>
      <c r="P223" s="53"/>
      <c r="Q223" s="53"/>
      <c r="R223" s="53"/>
      <c r="S223" s="53"/>
      <c r="T223" s="53"/>
      <c r="U223" s="53"/>
      <c r="V223" s="53"/>
      <c r="W223" s="53"/>
      <c r="X223" s="53"/>
      <c r="Y223" s="53"/>
      <c r="Z223" s="53"/>
      <c r="AA223" s="53"/>
      <c r="AB223" s="53"/>
      <c r="AC223" s="53"/>
      <c r="AD223" s="53"/>
      <c r="AE223" s="53"/>
      <c r="AF223" s="53"/>
      <c r="AG223" s="53"/>
      <c r="AH223" s="53"/>
      <c r="AI223" s="53"/>
      <c r="AJ223" s="53"/>
      <c r="AK223" s="53"/>
      <c r="AL223" s="53"/>
      <c r="AM223" s="53"/>
      <c r="AN223" s="53"/>
      <c r="AO223" s="53"/>
      <c r="AP223" s="53"/>
      <c r="AQ223" s="53"/>
      <c r="AR223" s="53"/>
      <c r="AS223" s="53"/>
      <c r="AT223" s="53"/>
      <c r="AU223" s="53"/>
      <c r="AV223" s="53"/>
      <c r="AW223" s="53"/>
      <c r="AX223" s="53"/>
      <c r="AY223" s="53"/>
      <c r="AZ223" s="53"/>
      <c r="BA223" s="53"/>
      <c r="BB223" s="53"/>
      <c r="BC223" s="53"/>
      <c r="BD223" s="53"/>
      <c r="BE223" s="53"/>
      <c r="BF223" s="53"/>
      <c r="BG223" s="53"/>
      <c r="BH223" s="53"/>
    </row>
    <row r="224" spans="1:60" x14ac:dyDescent="0.3">
      <c r="A224" s="53"/>
      <c r="J224" s="53"/>
      <c r="K224" s="53"/>
      <c r="L224" s="53"/>
      <c r="M224" s="53"/>
      <c r="N224" s="53"/>
      <c r="O224" s="53"/>
      <c r="P224" s="53"/>
      <c r="Q224" s="53"/>
      <c r="R224" s="53"/>
      <c r="S224" s="53"/>
      <c r="T224" s="53"/>
      <c r="U224" s="53"/>
      <c r="V224" s="53"/>
      <c r="W224" s="53"/>
      <c r="X224" s="53"/>
      <c r="Y224" s="53"/>
      <c r="Z224" s="53"/>
      <c r="AA224" s="53"/>
      <c r="AB224" s="53"/>
      <c r="AC224" s="53"/>
      <c r="AD224" s="53"/>
      <c r="AE224" s="53"/>
      <c r="AF224" s="53"/>
      <c r="AG224" s="53"/>
      <c r="AH224" s="53"/>
      <c r="AI224" s="53"/>
      <c r="AJ224" s="53"/>
      <c r="AK224" s="53"/>
      <c r="AL224" s="53"/>
      <c r="AM224" s="53"/>
      <c r="AN224" s="53"/>
      <c r="AO224" s="53"/>
      <c r="AP224" s="53"/>
      <c r="AQ224" s="53"/>
      <c r="AR224" s="53"/>
      <c r="AS224" s="53"/>
      <c r="AT224" s="53"/>
      <c r="AU224" s="53"/>
      <c r="AV224" s="53"/>
      <c r="AW224" s="53"/>
      <c r="AX224" s="53"/>
      <c r="AY224" s="53"/>
      <c r="AZ224" s="53"/>
      <c r="BA224" s="53"/>
      <c r="BB224" s="53"/>
      <c r="BC224" s="53"/>
      <c r="BD224" s="53"/>
      <c r="BE224" s="53"/>
      <c r="BF224" s="53"/>
      <c r="BG224" s="53"/>
      <c r="BH224" s="53"/>
    </row>
    <row r="225" spans="1:60" x14ac:dyDescent="0.3">
      <c r="A225" s="53"/>
      <c r="J225" s="53"/>
      <c r="K225" s="53"/>
      <c r="L225" s="53"/>
      <c r="M225" s="53"/>
      <c r="N225" s="53"/>
      <c r="O225" s="53"/>
      <c r="P225" s="53"/>
      <c r="Q225" s="53"/>
      <c r="R225" s="53"/>
      <c r="S225" s="53"/>
      <c r="T225" s="53"/>
      <c r="U225" s="53"/>
      <c r="V225" s="53"/>
      <c r="W225" s="53"/>
      <c r="X225" s="53"/>
      <c r="Y225" s="53"/>
      <c r="Z225" s="53"/>
      <c r="AA225" s="53"/>
      <c r="AB225" s="53"/>
      <c r="AC225" s="53"/>
      <c r="AD225" s="53"/>
      <c r="AE225" s="53"/>
      <c r="AF225" s="53"/>
      <c r="AG225" s="53"/>
      <c r="AH225" s="53"/>
      <c r="AI225" s="53"/>
      <c r="AJ225" s="53"/>
      <c r="AK225" s="53"/>
      <c r="AL225" s="53"/>
      <c r="AM225" s="53"/>
      <c r="AN225" s="53"/>
      <c r="AO225" s="53"/>
      <c r="AP225" s="53"/>
      <c r="AQ225" s="53"/>
      <c r="AR225" s="53"/>
      <c r="AS225" s="53"/>
      <c r="AT225" s="53"/>
      <c r="AU225" s="53"/>
      <c r="AV225" s="53"/>
      <c r="AW225" s="53"/>
      <c r="AX225" s="53"/>
      <c r="AY225" s="53"/>
      <c r="AZ225" s="53"/>
      <c r="BA225" s="53"/>
      <c r="BB225" s="53"/>
      <c r="BC225" s="53"/>
      <c r="BD225" s="53"/>
      <c r="BE225" s="53"/>
      <c r="BF225" s="53"/>
      <c r="BG225" s="53"/>
      <c r="BH225" s="53"/>
    </row>
    <row r="226" spans="1:60" x14ac:dyDescent="0.3">
      <c r="A226" s="53"/>
      <c r="J226" s="53"/>
      <c r="K226" s="53"/>
      <c r="L226" s="53"/>
      <c r="M226" s="53"/>
      <c r="N226" s="53"/>
      <c r="O226" s="53"/>
      <c r="P226" s="53"/>
      <c r="Q226" s="53"/>
      <c r="R226" s="53"/>
      <c r="S226" s="53"/>
      <c r="T226" s="53"/>
      <c r="U226" s="53"/>
      <c r="V226" s="53"/>
      <c r="W226" s="53"/>
      <c r="X226" s="53"/>
      <c r="Y226" s="53"/>
      <c r="Z226" s="53"/>
      <c r="AA226" s="53"/>
      <c r="AB226" s="53"/>
      <c r="AC226" s="53"/>
      <c r="AD226" s="53"/>
      <c r="AE226" s="53"/>
      <c r="AF226" s="53"/>
      <c r="AG226" s="53"/>
      <c r="AH226" s="53"/>
      <c r="AI226" s="53"/>
      <c r="AJ226" s="53"/>
      <c r="AK226" s="53"/>
      <c r="AL226" s="53"/>
      <c r="AM226" s="53"/>
      <c r="AN226" s="53"/>
      <c r="AO226" s="53"/>
      <c r="AP226" s="53"/>
      <c r="AQ226" s="53"/>
      <c r="AR226" s="53"/>
      <c r="AS226" s="53"/>
      <c r="AT226" s="53"/>
      <c r="AU226" s="53"/>
      <c r="AV226" s="53"/>
      <c r="AW226" s="53"/>
      <c r="AX226" s="53"/>
      <c r="AY226" s="53"/>
      <c r="AZ226" s="53"/>
      <c r="BA226" s="53"/>
      <c r="BB226" s="53"/>
      <c r="BC226" s="53"/>
      <c r="BD226" s="53"/>
      <c r="BE226" s="53"/>
      <c r="BF226" s="53"/>
      <c r="BG226" s="53"/>
      <c r="BH226" s="53"/>
    </row>
    <row r="227" spans="1:60" x14ac:dyDescent="0.3">
      <c r="A227" s="53"/>
      <c r="J227" s="53"/>
      <c r="K227" s="53"/>
      <c r="L227" s="53"/>
      <c r="M227" s="53"/>
      <c r="N227" s="53"/>
      <c r="O227" s="53"/>
      <c r="P227" s="53"/>
      <c r="Q227" s="53"/>
      <c r="R227" s="53"/>
      <c r="S227" s="53"/>
      <c r="T227" s="53"/>
      <c r="U227" s="53"/>
      <c r="V227" s="53"/>
      <c r="W227" s="53"/>
      <c r="X227" s="53"/>
      <c r="Y227" s="53"/>
      <c r="Z227" s="53"/>
      <c r="AA227" s="53"/>
      <c r="AB227" s="53"/>
      <c r="AC227" s="53"/>
      <c r="AD227" s="53"/>
      <c r="AE227" s="53"/>
      <c r="AF227" s="53"/>
      <c r="AG227" s="53"/>
      <c r="AH227" s="53"/>
      <c r="AI227" s="53"/>
      <c r="AJ227" s="53"/>
      <c r="AK227" s="53"/>
      <c r="AL227" s="53"/>
      <c r="AM227" s="53"/>
      <c r="AN227" s="53"/>
      <c r="AO227" s="53"/>
      <c r="AP227" s="53"/>
      <c r="AQ227" s="53"/>
      <c r="AR227" s="53"/>
      <c r="AS227" s="53"/>
      <c r="AT227" s="53"/>
      <c r="AU227" s="53"/>
      <c r="AV227" s="53"/>
      <c r="AW227" s="53"/>
      <c r="AX227" s="53"/>
      <c r="AY227" s="53"/>
      <c r="AZ227" s="53"/>
      <c r="BA227" s="53"/>
      <c r="BB227" s="53"/>
      <c r="BC227" s="53"/>
      <c r="BD227" s="53"/>
      <c r="BE227" s="53"/>
      <c r="BF227" s="53"/>
      <c r="BG227" s="53"/>
      <c r="BH227" s="53"/>
    </row>
    <row r="228" spans="1:60" x14ac:dyDescent="0.3">
      <c r="A228" s="53"/>
      <c r="J228" s="53"/>
      <c r="K228" s="53"/>
      <c r="L228" s="53"/>
      <c r="M228" s="53"/>
      <c r="N228" s="53"/>
      <c r="O228" s="53"/>
      <c r="P228" s="53"/>
      <c r="Q228" s="53"/>
      <c r="R228" s="53"/>
      <c r="S228" s="53"/>
      <c r="T228" s="53"/>
      <c r="U228" s="53"/>
      <c r="V228" s="53"/>
      <c r="W228" s="53"/>
      <c r="X228" s="53"/>
      <c r="Y228" s="53"/>
      <c r="Z228" s="53"/>
      <c r="AA228" s="53"/>
      <c r="AB228" s="53"/>
      <c r="AC228" s="53"/>
      <c r="AD228" s="53"/>
      <c r="AE228" s="53"/>
      <c r="AF228" s="53"/>
      <c r="AG228" s="53"/>
      <c r="AH228" s="53"/>
      <c r="AI228" s="53"/>
      <c r="AJ228" s="53"/>
      <c r="AK228" s="53"/>
      <c r="AL228" s="53"/>
      <c r="AM228" s="53"/>
      <c r="AN228" s="53"/>
      <c r="AO228" s="53"/>
      <c r="AP228" s="53"/>
      <c r="AQ228" s="53"/>
      <c r="AR228" s="53"/>
      <c r="AS228" s="53"/>
      <c r="AT228" s="53"/>
      <c r="AU228" s="53"/>
      <c r="AV228" s="53"/>
      <c r="AW228" s="53"/>
      <c r="AX228" s="53"/>
      <c r="AY228" s="53"/>
      <c r="AZ228" s="53"/>
      <c r="BA228" s="53"/>
      <c r="BB228" s="53"/>
      <c r="BC228" s="53"/>
      <c r="BD228" s="53"/>
      <c r="BE228" s="53"/>
      <c r="BF228" s="53"/>
      <c r="BG228" s="53"/>
      <c r="BH228" s="53"/>
    </row>
    <row r="229" spans="1:60" x14ac:dyDescent="0.3">
      <c r="A229" s="53"/>
      <c r="J229" s="53"/>
      <c r="K229" s="53"/>
      <c r="L229" s="53"/>
      <c r="M229" s="53"/>
      <c r="N229" s="53"/>
      <c r="O229" s="53"/>
      <c r="P229" s="53"/>
      <c r="Q229" s="53"/>
      <c r="R229" s="53"/>
      <c r="S229" s="53"/>
      <c r="T229" s="53"/>
      <c r="U229" s="53"/>
      <c r="V229" s="53"/>
      <c r="W229" s="53"/>
      <c r="X229" s="53"/>
      <c r="Y229" s="53"/>
      <c r="Z229" s="53"/>
      <c r="AA229" s="53"/>
      <c r="AB229" s="53"/>
      <c r="AC229" s="53"/>
      <c r="AD229" s="53"/>
      <c r="AE229" s="53"/>
      <c r="AF229" s="53"/>
      <c r="AG229" s="53"/>
      <c r="AH229" s="53"/>
      <c r="AI229" s="53"/>
      <c r="AJ229" s="53"/>
      <c r="AK229" s="53"/>
      <c r="AL229" s="53"/>
      <c r="AM229" s="53"/>
      <c r="AN229" s="53"/>
      <c r="AO229" s="53"/>
      <c r="AP229" s="53"/>
      <c r="AQ229" s="53"/>
      <c r="AR229" s="53"/>
      <c r="AS229" s="53"/>
      <c r="AT229" s="53"/>
      <c r="AU229" s="53"/>
      <c r="AV229" s="53"/>
      <c r="AW229" s="53"/>
      <c r="AX229" s="53"/>
      <c r="AY229" s="53"/>
      <c r="AZ229" s="53"/>
      <c r="BA229" s="53"/>
      <c r="BB229" s="53"/>
      <c r="BC229" s="53"/>
      <c r="BD229" s="53"/>
      <c r="BE229" s="53"/>
      <c r="BF229" s="53"/>
      <c r="BG229" s="53"/>
      <c r="BH229" s="53"/>
    </row>
    <row r="230" spans="1:60" x14ac:dyDescent="0.3">
      <c r="A230" s="53"/>
      <c r="J230" s="53"/>
      <c r="K230" s="53"/>
      <c r="L230" s="53"/>
      <c r="M230" s="53"/>
      <c r="N230" s="53"/>
      <c r="O230" s="53"/>
      <c r="P230" s="53"/>
      <c r="Q230" s="53"/>
      <c r="R230" s="53"/>
      <c r="S230" s="53"/>
      <c r="T230" s="53"/>
      <c r="U230" s="53"/>
      <c r="V230" s="53"/>
      <c r="W230" s="53"/>
      <c r="X230" s="53"/>
      <c r="Y230" s="53"/>
      <c r="Z230" s="53"/>
      <c r="AA230" s="53"/>
      <c r="AB230" s="53"/>
      <c r="AC230" s="53"/>
      <c r="AD230" s="53"/>
      <c r="AE230" s="53"/>
      <c r="AF230" s="53"/>
      <c r="AG230" s="53"/>
      <c r="AH230" s="53"/>
      <c r="AI230" s="53"/>
      <c r="AJ230" s="53"/>
      <c r="AK230" s="53"/>
      <c r="AL230" s="53"/>
      <c r="AM230" s="53"/>
      <c r="AN230" s="53"/>
      <c r="AO230" s="53"/>
      <c r="AP230" s="53"/>
      <c r="AQ230" s="53"/>
      <c r="AR230" s="53"/>
      <c r="AS230" s="53"/>
      <c r="AT230" s="53"/>
      <c r="AU230" s="53"/>
      <c r="AV230" s="53"/>
      <c r="AW230" s="53"/>
      <c r="AX230" s="53"/>
      <c r="AY230" s="53"/>
      <c r="AZ230" s="53"/>
      <c r="BA230" s="53"/>
      <c r="BB230" s="53"/>
      <c r="BC230" s="53"/>
      <c r="BD230" s="53"/>
      <c r="BE230" s="53"/>
      <c r="BF230" s="53"/>
      <c r="BG230" s="53"/>
      <c r="BH230" s="53"/>
    </row>
    <row r="231" spans="1:60" x14ac:dyDescent="0.3">
      <c r="A231" s="53"/>
      <c r="J231" s="53"/>
      <c r="K231" s="53"/>
      <c r="L231" s="53"/>
      <c r="M231" s="53"/>
      <c r="N231" s="53"/>
      <c r="O231" s="53"/>
      <c r="P231" s="53"/>
      <c r="Q231" s="53"/>
      <c r="R231" s="53"/>
      <c r="S231" s="53"/>
      <c r="T231" s="53"/>
      <c r="U231" s="53"/>
      <c r="V231" s="53"/>
      <c r="W231" s="53"/>
      <c r="X231" s="53"/>
      <c r="Y231" s="53"/>
      <c r="Z231" s="53"/>
      <c r="AA231" s="53"/>
      <c r="AB231" s="53"/>
      <c r="AC231" s="53"/>
      <c r="AD231" s="53"/>
      <c r="AE231" s="53"/>
      <c r="AF231" s="53"/>
      <c r="AG231" s="53"/>
      <c r="AH231" s="53"/>
      <c r="AI231" s="53"/>
      <c r="AJ231" s="53"/>
      <c r="AK231" s="53"/>
      <c r="AL231" s="53"/>
      <c r="AM231" s="53"/>
      <c r="AN231" s="53"/>
      <c r="AO231" s="53"/>
      <c r="AP231" s="53"/>
      <c r="AQ231" s="53"/>
      <c r="AR231" s="53"/>
      <c r="AS231" s="53"/>
      <c r="AT231" s="53"/>
      <c r="AU231" s="53"/>
      <c r="AV231" s="53"/>
      <c r="AW231" s="53"/>
      <c r="AX231" s="53"/>
      <c r="AY231" s="53"/>
      <c r="AZ231" s="53"/>
      <c r="BA231" s="53"/>
      <c r="BB231" s="53"/>
      <c r="BC231" s="53"/>
      <c r="BD231" s="53"/>
      <c r="BE231" s="53"/>
      <c r="BF231" s="53"/>
      <c r="BG231" s="53"/>
      <c r="BH231" s="53"/>
    </row>
    <row r="232" spans="1:60" x14ac:dyDescent="0.3">
      <c r="A232" s="53"/>
      <c r="J232" s="53"/>
      <c r="K232" s="53"/>
      <c r="L232" s="53"/>
      <c r="M232" s="53"/>
      <c r="N232" s="53"/>
      <c r="O232" s="53"/>
      <c r="P232" s="53"/>
      <c r="Q232" s="53"/>
      <c r="R232" s="53"/>
      <c r="S232" s="53"/>
      <c r="T232" s="53"/>
      <c r="U232" s="53"/>
      <c r="V232" s="53"/>
      <c r="W232" s="53"/>
      <c r="X232" s="53"/>
      <c r="Y232" s="53"/>
      <c r="Z232" s="53"/>
      <c r="AA232" s="53"/>
      <c r="AB232" s="53"/>
      <c r="AC232" s="53"/>
      <c r="AD232" s="53"/>
      <c r="AE232" s="53"/>
      <c r="AF232" s="53"/>
      <c r="AG232" s="53"/>
      <c r="AH232" s="53"/>
      <c r="AI232" s="53"/>
      <c r="AJ232" s="53"/>
      <c r="AK232" s="53"/>
      <c r="AL232" s="53"/>
      <c r="AM232" s="53"/>
      <c r="AN232" s="53"/>
      <c r="AO232" s="53"/>
      <c r="AP232" s="53"/>
      <c r="AQ232" s="53"/>
      <c r="AR232" s="53"/>
      <c r="AS232" s="53"/>
      <c r="AT232" s="53"/>
      <c r="AU232" s="53"/>
      <c r="AV232" s="53"/>
      <c r="AW232" s="53"/>
      <c r="AX232" s="53"/>
      <c r="AY232" s="53"/>
      <c r="AZ232" s="53"/>
      <c r="BA232" s="53"/>
      <c r="BB232" s="53"/>
      <c r="BC232" s="53"/>
      <c r="BD232" s="53"/>
      <c r="BE232" s="53"/>
      <c r="BF232" s="53"/>
      <c r="BG232" s="53"/>
      <c r="BH232" s="53"/>
    </row>
    <row r="233" spans="1:60" x14ac:dyDescent="0.3">
      <c r="A233" s="53"/>
      <c r="J233" s="53"/>
      <c r="K233" s="53"/>
      <c r="L233" s="53"/>
      <c r="M233" s="53"/>
      <c r="N233" s="53"/>
      <c r="O233" s="53"/>
      <c r="P233" s="53"/>
      <c r="Q233" s="53"/>
      <c r="R233" s="53"/>
      <c r="S233" s="53"/>
      <c r="T233" s="53"/>
      <c r="U233" s="53"/>
      <c r="V233" s="53"/>
      <c r="W233" s="53"/>
      <c r="X233" s="53"/>
      <c r="Y233" s="53"/>
      <c r="Z233" s="53"/>
      <c r="AA233" s="53"/>
      <c r="AB233" s="53"/>
      <c r="AC233" s="53"/>
      <c r="AD233" s="53"/>
      <c r="AE233" s="53"/>
      <c r="AF233" s="53"/>
      <c r="AG233" s="53"/>
      <c r="AH233" s="53"/>
      <c r="AI233" s="53"/>
      <c r="AJ233" s="53"/>
      <c r="AK233" s="53"/>
      <c r="AL233" s="53"/>
      <c r="AM233" s="53"/>
      <c r="AN233" s="53"/>
      <c r="AO233" s="53"/>
      <c r="AP233" s="53"/>
      <c r="AQ233" s="53"/>
      <c r="AR233" s="53"/>
      <c r="AS233" s="53"/>
      <c r="AT233" s="53"/>
      <c r="AU233" s="53"/>
      <c r="AV233" s="53"/>
      <c r="AW233" s="53"/>
      <c r="AX233" s="53"/>
      <c r="AY233" s="53"/>
      <c r="AZ233" s="53"/>
      <c r="BA233" s="53"/>
      <c r="BB233" s="53"/>
      <c r="BC233" s="53"/>
      <c r="BD233" s="53"/>
      <c r="BE233" s="53"/>
      <c r="BF233" s="53"/>
      <c r="BG233" s="53"/>
      <c r="BH233" s="53"/>
    </row>
    <row r="234" spans="1:60" x14ac:dyDescent="0.3">
      <c r="A234" s="53"/>
      <c r="J234" s="53"/>
      <c r="K234" s="53"/>
      <c r="L234" s="53"/>
      <c r="M234" s="53"/>
      <c r="N234" s="53"/>
      <c r="O234" s="53"/>
      <c r="P234" s="53"/>
      <c r="Q234" s="53"/>
      <c r="R234" s="53"/>
      <c r="S234" s="53"/>
      <c r="T234" s="53"/>
      <c r="U234" s="53"/>
      <c r="V234" s="53"/>
      <c r="W234" s="53"/>
      <c r="X234" s="53"/>
      <c r="Y234" s="53"/>
      <c r="Z234" s="53"/>
      <c r="AA234" s="53"/>
      <c r="AB234" s="53"/>
      <c r="AC234" s="53"/>
      <c r="AD234" s="53"/>
      <c r="AE234" s="53"/>
      <c r="AF234" s="53"/>
      <c r="AG234" s="53"/>
      <c r="AH234" s="53"/>
      <c r="AI234" s="53"/>
      <c r="AJ234" s="53"/>
      <c r="AK234" s="53"/>
      <c r="AL234" s="53"/>
      <c r="AM234" s="53"/>
      <c r="AN234" s="53"/>
      <c r="AO234" s="53"/>
      <c r="AP234" s="53"/>
      <c r="AQ234" s="53"/>
      <c r="AR234" s="53"/>
      <c r="AS234" s="53"/>
      <c r="AT234" s="53"/>
      <c r="AU234" s="53"/>
      <c r="AV234" s="53"/>
      <c r="AW234" s="53"/>
      <c r="AX234" s="53"/>
      <c r="AY234" s="53"/>
      <c r="AZ234" s="53"/>
      <c r="BA234" s="53"/>
      <c r="BB234" s="53"/>
      <c r="BC234" s="53"/>
      <c r="BD234" s="53"/>
      <c r="BE234" s="53"/>
      <c r="BF234" s="53"/>
      <c r="BG234" s="53"/>
      <c r="BH234" s="53"/>
    </row>
    <row r="235" spans="1:60" x14ac:dyDescent="0.3">
      <c r="A235" s="53"/>
      <c r="J235" s="53"/>
      <c r="K235" s="53"/>
      <c r="L235" s="53"/>
      <c r="M235" s="53"/>
      <c r="N235" s="53"/>
      <c r="O235" s="53"/>
      <c r="P235" s="53"/>
      <c r="Q235" s="53"/>
      <c r="R235" s="53"/>
      <c r="S235" s="53"/>
      <c r="T235" s="53"/>
      <c r="U235" s="53"/>
      <c r="V235" s="53"/>
      <c r="W235" s="53"/>
      <c r="X235" s="53"/>
      <c r="Y235" s="53"/>
      <c r="Z235" s="53"/>
      <c r="AA235" s="53"/>
      <c r="AB235" s="53"/>
      <c r="AC235" s="53"/>
      <c r="AD235" s="53"/>
      <c r="AE235" s="53"/>
      <c r="AF235" s="53"/>
      <c r="AG235" s="53"/>
      <c r="AH235" s="53"/>
      <c r="AI235" s="53"/>
      <c r="AJ235" s="53"/>
      <c r="AK235" s="53"/>
      <c r="AL235" s="53"/>
      <c r="AM235" s="53"/>
      <c r="AN235" s="53"/>
      <c r="AO235" s="53"/>
      <c r="AP235" s="53"/>
      <c r="AQ235" s="53"/>
      <c r="AR235" s="53"/>
      <c r="AS235" s="53"/>
      <c r="AT235" s="53"/>
      <c r="AU235" s="53"/>
      <c r="AV235" s="53"/>
      <c r="AW235" s="53"/>
      <c r="AX235" s="53"/>
      <c r="AY235" s="53"/>
      <c r="AZ235" s="53"/>
      <c r="BA235" s="53"/>
      <c r="BB235" s="53"/>
      <c r="BC235" s="53"/>
      <c r="BD235" s="53"/>
      <c r="BE235" s="53"/>
      <c r="BF235" s="53"/>
      <c r="BG235" s="53"/>
      <c r="BH235" s="53"/>
    </row>
    <row r="236" spans="1:60" x14ac:dyDescent="0.3">
      <c r="A236" s="53"/>
      <c r="J236" s="53"/>
      <c r="K236" s="53"/>
      <c r="L236" s="53"/>
      <c r="M236" s="53"/>
      <c r="N236" s="53"/>
      <c r="O236" s="53"/>
      <c r="P236" s="53"/>
      <c r="Q236" s="53"/>
      <c r="R236" s="53"/>
      <c r="S236" s="53"/>
      <c r="T236" s="53"/>
      <c r="U236" s="53"/>
      <c r="V236" s="53"/>
      <c r="W236" s="53"/>
      <c r="X236" s="53"/>
      <c r="Y236" s="53"/>
      <c r="Z236" s="53"/>
      <c r="AA236" s="53"/>
      <c r="AB236" s="53"/>
      <c r="AC236" s="53"/>
      <c r="AD236" s="53"/>
      <c r="AE236" s="53"/>
      <c r="AF236" s="53"/>
      <c r="AG236" s="53"/>
      <c r="AH236" s="53"/>
      <c r="AI236" s="53"/>
      <c r="AJ236" s="53"/>
      <c r="AK236" s="53"/>
      <c r="AL236" s="53"/>
      <c r="AM236" s="53"/>
      <c r="AN236" s="53"/>
      <c r="AO236" s="53"/>
      <c r="AP236" s="53"/>
      <c r="AQ236" s="53"/>
      <c r="AR236" s="53"/>
      <c r="AS236" s="53"/>
      <c r="AT236" s="53"/>
      <c r="AU236" s="53"/>
      <c r="AV236" s="53"/>
      <c r="AW236" s="53"/>
      <c r="AX236" s="53"/>
      <c r="AY236" s="53"/>
      <c r="AZ236" s="53"/>
      <c r="BA236" s="53"/>
      <c r="BB236" s="53"/>
      <c r="BC236" s="53"/>
      <c r="BD236" s="53"/>
      <c r="BE236" s="53"/>
      <c r="BF236" s="53"/>
      <c r="BG236" s="53"/>
      <c r="BH236" s="53"/>
    </row>
    <row r="237" spans="1:60" x14ac:dyDescent="0.3">
      <c r="A237" s="53"/>
      <c r="J237" s="53"/>
      <c r="K237" s="53"/>
      <c r="L237" s="53"/>
      <c r="M237" s="53"/>
      <c r="N237" s="53"/>
      <c r="O237" s="53"/>
      <c r="P237" s="53"/>
      <c r="Q237" s="53"/>
      <c r="R237" s="53"/>
      <c r="S237" s="53"/>
      <c r="T237" s="53"/>
      <c r="U237" s="53"/>
      <c r="V237" s="53"/>
      <c r="W237" s="53"/>
      <c r="X237" s="53"/>
      <c r="Y237" s="53"/>
      <c r="Z237" s="53"/>
      <c r="AA237" s="53"/>
      <c r="AB237" s="53"/>
      <c r="AC237" s="53"/>
      <c r="AD237" s="53"/>
      <c r="AE237" s="53"/>
      <c r="AF237" s="53"/>
      <c r="AG237" s="53"/>
      <c r="AH237" s="53"/>
      <c r="AI237" s="53"/>
      <c r="AJ237" s="53"/>
      <c r="AK237" s="53"/>
      <c r="AL237" s="53"/>
      <c r="AM237" s="53"/>
      <c r="AN237" s="53"/>
      <c r="AO237" s="53"/>
      <c r="AP237" s="53"/>
      <c r="AQ237" s="53"/>
      <c r="AR237" s="53"/>
      <c r="AS237" s="53"/>
      <c r="AT237" s="53"/>
      <c r="AU237" s="53"/>
      <c r="AV237" s="53"/>
      <c r="AW237" s="53"/>
      <c r="AX237" s="53"/>
      <c r="AY237" s="53"/>
      <c r="AZ237" s="53"/>
      <c r="BA237" s="53"/>
      <c r="BB237" s="53"/>
      <c r="BC237" s="53"/>
      <c r="BD237" s="53"/>
      <c r="BE237" s="53"/>
      <c r="BF237" s="53"/>
      <c r="BG237" s="53"/>
      <c r="BH237" s="53"/>
    </row>
    <row r="238" spans="1:60" x14ac:dyDescent="0.3">
      <c r="A238" s="53"/>
      <c r="J238" s="53"/>
      <c r="K238" s="53"/>
      <c r="L238" s="53"/>
      <c r="M238" s="53"/>
      <c r="N238" s="53"/>
      <c r="O238" s="53"/>
      <c r="P238" s="53"/>
      <c r="Q238" s="53"/>
      <c r="R238" s="53"/>
      <c r="S238" s="53"/>
      <c r="T238" s="53"/>
      <c r="U238" s="53"/>
      <c r="V238" s="53"/>
      <c r="W238" s="53"/>
      <c r="X238" s="53"/>
      <c r="Y238" s="53"/>
      <c r="Z238" s="53"/>
      <c r="AA238" s="53"/>
      <c r="AB238" s="53"/>
      <c r="AC238" s="53"/>
      <c r="AD238" s="53"/>
      <c r="AE238" s="53"/>
      <c r="AF238" s="53"/>
      <c r="AG238" s="53"/>
      <c r="AH238" s="53"/>
      <c r="AI238" s="53"/>
      <c r="AJ238" s="53"/>
      <c r="AK238" s="53"/>
      <c r="AL238" s="53"/>
      <c r="AM238" s="53"/>
      <c r="AN238" s="53"/>
      <c r="AO238" s="53"/>
      <c r="AP238" s="53"/>
      <c r="AQ238" s="53"/>
      <c r="AR238" s="53"/>
      <c r="AS238" s="53"/>
      <c r="AT238" s="53"/>
      <c r="AU238" s="53"/>
      <c r="AV238" s="53"/>
      <c r="AW238" s="53"/>
      <c r="AX238" s="53"/>
      <c r="AY238" s="53"/>
      <c r="AZ238" s="53"/>
      <c r="BA238" s="53"/>
      <c r="BB238" s="53"/>
      <c r="BC238" s="53"/>
      <c r="BD238" s="53"/>
      <c r="BE238" s="53"/>
      <c r="BF238" s="53"/>
      <c r="BG238" s="53"/>
      <c r="BH238" s="53"/>
    </row>
    <row r="239" spans="1:60" x14ac:dyDescent="0.3">
      <c r="A239" s="53"/>
      <c r="J239" s="53"/>
      <c r="K239" s="53"/>
      <c r="L239" s="53"/>
      <c r="M239" s="53"/>
      <c r="N239" s="53"/>
      <c r="O239" s="53"/>
      <c r="P239" s="53"/>
      <c r="Q239" s="53"/>
      <c r="R239" s="53"/>
      <c r="S239" s="53"/>
      <c r="T239" s="53"/>
      <c r="U239" s="53"/>
      <c r="V239" s="53"/>
      <c r="W239" s="53"/>
      <c r="X239" s="53"/>
      <c r="Y239" s="53"/>
      <c r="Z239" s="53"/>
      <c r="AA239" s="53"/>
      <c r="AB239" s="53"/>
      <c r="AC239" s="53"/>
      <c r="AD239" s="53"/>
      <c r="AE239" s="53"/>
      <c r="AF239" s="53"/>
      <c r="AG239" s="53"/>
      <c r="AH239" s="53"/>
      <c r="AI239" s="53"/>
      <c r="AJ239" s="53"/>
      <c r="AK239" s="53"/>
      <c r="AL239" s="53"/>
      <c r="AM239" s="53"/>
      <c r="AN239" s="53"/>
      <c r="AO239" s="53"/>
      <c r="AP239" s="53"/>
      <c r="AQ239" s="53"/>
      <c r="AR239" s="53"/>
      <c r="AS239" s="53"/>
      <c r="AT239" s="53"/>
      <c r="AU239" s="53"/>
      <c r="AV239" s="53"/>
      <c r="AW239" s="53"/>
      <c r="AX239" s="53"/>
      <c r="AY239" s="53"/>
      <c r="AZ239" s="53"/>
      <c r="BA239" s="53"/>
      <c r="BB239" s="53"/>
      <c r="BC239" s="53"/>
      <c r="BD239" s="53"/>
      <c r="BE239" s="53"/>
      <c r="BF239" s="53"/>
      <c r="BG239" s="53"/>
      <c r="BH239" s="53"/>
    </row>
    <row r="240" spans="1:60" x14ac:dyDescent="0.3">
      <c r="A240" s="53"/>
      <c r="J240" s="53"/>
      <c r="K240" s="53"/>
      <c r="L240" s="53"/>
      <c r="M240" s="53"/>
      <c r="N240" s="53"/>
      <c r="O240" s="53"/>
      <c r="P240" s="53"/>
      <c r="Q240" s="53"/>
      <c r="R240" s="53"/>
      <c r="S240" s="53"/>
      <c r="T240" s="53"/>
      <c r="U240" s="53"/>
      <c r="V240" s="53"/>
      <c r="W240" s="53"/>
      <c r="X240" s="53"/>
      <c r="Y240" s="53"/>
      <c r="Z240" s="53"/>
      <c r="AA240" s="53"/>
      <c r="AB240" s="53"/>
      <c r="AC240" s="53"/>
      <c r="AD240" s="53"/>
      <c r="AE240" s="53"/>
      <c r="AF240" s="53"/>
      <c r="AG240" s="53"/>
      <c r="AH240" s="53"/>
      <c r="AI240" s="53"/>
      <c r="AJ240" s="53"/>
      <c r="AK240" s="53"/>
      <c r="AL240" s="53"/>
      <c r="AM240" s="53"/>
      <c r="AN240" s="53"/>
      <c r="AO240" s="53"/>
      <c r="AP240" s="53"/>
      <c r="AQ240" s="53"/>
      <c r="AR240" s="53"/>
      <c r="AS240" s="53"/>
      <c r="AT240" s="53"/>
      <c r="AU240" s="53"/>
      <c r="AV240" s="53"/>
      <c r="AW240" s="53"/>
      <c r="AX240" s="53"/>
      <c r="AY240" s="53"/>
      <c r="AZ240" s="53"/>
      <c r="BA240" s="53"/>
      <c r="BB240" s="53"/>
      <c r="BC240" s="53"/>
      <c r="BD240" s="53"/>
      <c r="BE240" s="53"/>
      <c r="BF240" s="53"/>
      <c r="BG240" s="53"/>
      <c r="BH240" s="53"/>
    </row>
    <row r="241" spans="1:60" x14ac:dyDescent="0.3">
      <c r="A241" s="53"/>
      <c r="J241" s="53"/>
      <c r="K241" s="53"/>
      <c r="L241" s="53"/>
      <c r="M241" s="53"/>
      <c r="N241" s="53"/>
      <c r="O241" s="53"/>
      <c r="P241" s="53"/>
      <c r="Q241" s="53"/>
      <c r="R241" s="53"/>
      <c r="S241" s="53"/>
      <c r="T241" s="53"/>
      <c r="U241" s="53"/>
      <c r="V241" s="53"/>
      <c r="W241" s="53"/>
      <c r="X241" s="53"/>
      <c r="Y241" s="53"/>
      <c r="Z241" s="53"/>
      <c r="AA241" s="53"/>
      <c r="AB241" s="53"/>
      <c r="AC241" s="53"/>
      <c r="AD241" s="53"/>
      <c r="AE241" s="53"/>
      <c r="AF241" s="53"/>
      <c r="AG241" s="53"/>
      <c r="AH241" s="53"/>
      <c r="AI241" s="53"/>
      <c r="AJ241" s="53"/>
      <c r="AK241" s="53"/>
      <c r="AL241" s="53"/>
      <c r="AM241" s="53"/>
      <c r="AN241" s="53"/>
      <c r="AO241" s="53"/>
      <c r="AP241" s="53"/>
      <c r="AQ241" s="53"/>
      <c r="AR241" s="53"/>
      <c r="AS241" s="53"/>
      <c r="AT241" s="53"/>
      <c r="AU241" s="53"/>
      <c r="AV241" s="53"/>
      <c r="AW241" s="53"/>
      <c r="AX241" s="53"/>
      <c r="AY241" s="53"/>
      <c r="AZ241" s="53"/>
      <c r="BA241" s="53"/>
      <c r="BB241" s="53"/>
      <c r="BC241" s="53"/>
      <c r="BD241" s="53"/>
      <c r="BE241" s="53"/>
      <c r="BF241" s="53"/>
      <c r="BG241" s="53"/>
      <c r="BH241" s="53"/>
    </row>
    <row r="242" spans="1:60" x14ac:dyDescent="0.3">
      <c r="A242" s="53"/>
      <c r="J242" s="53"/>
      <c r="K242" s="53"/>
      <c r="L242" s="53"/>
      <c r="M242" s="53"/>
      <c r="N242" s="53"/>
      <c r="O242" s="53"/>
      <c r="P242" s="53"/>
      <c r="Q242" s="53"/>
      <c r="R242" s="53"/>
      <c r="S242" s="53"/>
      <c r="T242" s="53"/>
      <c r="U242" s="53"/>
      <c r="V242" s="53"/>
      <c r="W242" s="53"/>
      <c r="X242" s="53"/>
      <c r="Y242" s="53"/>
      <c r="Z242" s="53"/>
      <c r="AA242" s="53"/>
      <c r="AB242" s="53"/>
      <c r="AC242" s="53"/>
      <c r="AD242" s="53"/>
      <c r="AE242" s="53"/>
      <c r="AF242" s="53"/>
      <c r="AG242" s="53"/>
      <c r="AH242" s="53"/>
      <c r="AI242" s="53"/>
      <c r="AJ242" s="53"/>
      <c r="AK242" s="53"/>
      <c r="AL242" s="53"/>
      <c r="AM242" s="53"/>
      <c r="AN242" s="53"/>
      <c r="AO242" s="53"/>
      <c r="AP242" s="53"/>
      <c r="AQ242" s="53"/>
      <c r="AR242" s="53"/>
      <c r="AS242" s="53"/>
      <c r="AT242" s="53"/>
      <c r="AU242" s="53"/>
      <c r="AV242" s="53"/>
      <c r="AW242" s="53"/>
      <c r="AX242" s="53"/>
      <c r="AY242" s="53"/>
      <c r="AZ242" s="53"/>
      <c r="BA242" s="53"/>
      <c r="BB242" s="53"/>
      <c r="BC242" s="53"/>
      <c r="BD242" s="53"/>
      <c r="BE242" s="53"/>
      <c r="BF242" s="53"/>
      <c r="BG242" s="53"/>
      <c r="BH242" s="53"/>
    </row>
    <row r="243" spans="1:60" x14ac:dyDescent="0.3">
      <c r="A243" s="53"/>
      <c r="J243" s="53"/>
      <c r="K243" s="53"/>
      <c r="L243" s="53"/>
      <c r="M243" s="53"/>
      <c r="N243" s="53"/>
      <c r="O243" s="53"/>
      <c r="P243" s="53"/>
      <c r="Q243" s="53"/>
      <c r="R243" s="53"/>
      <c r="S243" s="53"/>
      <c r="T243" s="53"/>
      <c r="U243" s="53"/>
      <c r="V243" s="53"/>
      <c r="W243" s="53"/>
      <c r="X243" s="53"/>
      <c r="Y243" s="53"/>
      <c r="Z243" s="53"/>
      <c r="AA243" s="53"/>
      <c r="AB243" s="53"/>
      <c r="AC243" s="53"/>
      <c r="AD243" s="53"/>
      <c r="AE243" s="53"/>
      <c r="AF243" s="53"/>
      <c r="AG243" s="53"/>
      <c r="AH243" s="53"/>
      <c r="AI243" s="53"/>
      <c r="AJ243" s="53"/>
      <c r="AK243" s="53"/>
      <c r="AL243" s="53"/>
      <c r="AM243" s="53"/>
      <c r="AN243" s="53"/>
      <c r="AO243" s="53"/>
      <c r="AP243" s="53"/>
      <c r="AQ243" s="53"/>
      <c r="AR243" s="53"/>
      <c r="AS243" s="53"/>
      <c r="AT243" s="53"/>
      <c r="AU243" s="53"/>
      <c r="AV243" s="53"/>
      <c r="AW243" s="53"/>
      <c r="AX243" s="53"/>
      <c r="AY243" s="53"/>
      <c r="AZ243" s="53"/>
      <c r="BA243" s="53"/>
      <c r="BB243" s="53"/>
      <c r="BC243" s="53"/>
      <c r="BD243" s="53"/>
      <c r="BE243" s="53"/>
      <c r="BF243" s="53"/>
      <c r="BG243" s="53"/>
      <c r="BH243" s="53"/>
    </row>
    <row r="244" spans="1:60" x14ac:dyDescent="0.3">
      <c r="A244" s="53"/>
      <c r="J244" s="53"/>
      <c r="K244" s="53"/>
      <c r="L244" s="53"/>
      <c r="M244" s="53"/>
      <c r="N244" s="53"/>
      <c r="O244" s="53"/>
      <c r="P244" s="53"/>
      <c r="Q244" s="53"/>
      <c r="R244" s="53"/>
      <c r="S244" s="53"/>
      <c r="T244" s="53"/>
      <c r="U244" s="53"/>
      <c r="V244" s="53"/>
      <c r="W244" s="53"/>
      <c r="X244" s="53"/>
      <c r="Y244" s="53"/>
      <c r="Z244" s="53"/>
      <c r="AA244" s="53"/>
      <c r="AB244" s="53"/>
      <c r="AC244" s="53"/>
      <c r="AD244" s="53"/>
      <c r="AE244" s="53"/>
      <c r="AF244" s="53"/>
      <c r="AG244" s="53"/>
      <c r="AH244" s="53"/>
      <c r="AI244" s="53"/>
      <c r="AJ244" s="53"/>
      <c r="AK244" s="53"/>
      <c r="AL244" s="53"/>
      <c r="AM244" s="53"/>
      <c r="AN244" s="53"/>
      <c r="AO244" s="53"/>
      <c r="AP244" s="53"/>
      <c r="AQ244" s="53"/>
      <c r="AR244" s="53"/>
      <c r="AS244" s="53"/>
      <c r="AT244" s="53"/>
      <c r="AU244" s="53"/>
      <c r="AV244" s="53"/>
      <c r="AW244" s="53"/>
      <c r="AX244" s="53"/>
      <c r="AY244" s="53"/>
      <c r="AZ244" s="53"/>
      <c r="BA244" s="53"/>
      <c r="BB244" s="53"/>
      <c r="BC244" s="53"/>
      <c r="BD244" s="53"/>
      <c r="BE244" s="53"/>
      <c r="BF244" s="53"/>
      <c r="BG244" s="53"/>
      <c r="BH244" s="53"/>
    </row>
    <row r="245" spans="1:60" x14ac:dyDescent="0.3">
      <c r="A245" s="53"/>
    </row>
    <row r="246" spans="1:60" x14ac:dyDescent="0.3">
      <c r="A246" s="53"/>
    </row>
    <row r="247" spans="1:60" x14ac:dyDescent="0.3">
      <c r="A247" s="53"/>
    </row>
    <row r="248" spans="1:60" x14ac:dyDescent="0.3">
      <c r="A248" s="5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workbookViewId="0"/>
  </sheetViews>
  <sheetFormatPr baseColWidth="10" defaultColWidth="11.5546875" defaultRowHeight="14.4" x14ac:dyDescent="0.3"/>
  <cols>
    <col min="2" max="2" width="24.109375" customWidth="1"/>
    <col min="3" max="3" width="70.109375" customWidth="1"/>
    <col min="4" max="4" width="29.88671875" customWidth="1"/>
  </cols>
  <sheetData>
    <row r="1" spans="1:37" ht="23.4" x14ac:dyDescent="0.3">
      <c r="A1" s="53"/>
      <c r="B1" s="430" t="s">
        <v>55</v>
      </c>
      <c r="C1" s="430"/>
      <c r="D1" s="430"/>
      <c r="E1" s="53"/>
      <c r="F1" s="53"/>
      <c r="G1" s="53"/>
      <c r="H1" s="53"/>
      <c r="I1" s="53"/>
      <c r="J1" s="53"/>
      <c r="K1" s="53"/>
      <c r="L1" s="53"/>
      <c r="M1" s="53"/>
      <c r="N1" s="53"/>
      <c r="O1" s="53"/>
      <c r="P1" s="53"/>
      <c r="Q1" s="53"/>
      <c r="R1" s="53"/>
      <c r="S1" s="53"/>
      <c r="T1" s="53"/>
      <c r="U1" s="53"/>
      <c r="V1" s="53"/>
      <c r="W1" s="53"/>
      <c r="X1" s="53"/>
      <c r="Y1" s="53"/>
      <c r="Z1" s="53"/>
      <c r="AA1" s="53"/>
      <c r="AB1" s="53"/>
      <c r="AC1" s="53"/>
      <c r="AD1" s="53"/>
      <c r="AE1" s="53"/>
    </row>
    <row r="2" spans="1:37" x14ac:dyDescent="0.3">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row>
    <row r="3" spans="1:37" ht="25.2" x14ac:dyDescent="0.3">
      <c r="A3" s="53"/>
      <c r="B3" s="3"/>
      <c r="C3" s="4" t="s">
        <v>52</v>
      </c>
      <c r="D3" s="4" t="s">
        <v>4</v>
      </c>
      <c r="E3" s="53"/>
      <c r="F3" s="53"/>
      <c r="G3" s="53"/>
      <c r="H3" s="53"/>
      <c r="I3" s="53"/>
      <c r="J3" s="53"/>
      <c r="K3" s="53"/>
      <c r="L3" s="53"/>
      <c r="M3" s="53"/>
      <c r="N3" s="53"/>
      <c r="O3" s="53"/>
      <c r="P3" s="53"/>
      <c r="Q3" s="53"/>
      <c r="R3" s="53"/>
      <c r="S3" s="53"/>
      <c r="T3" s="53"/>
      <c r="U3" s="53"/>
      <c r="V3" s="53"/>
      <c r="W3" s="53"/>
      <c r="X3" s="53"/>
      <c r="Y3" s="53"/>
      <c r="Z3" s="53"/>
      <c r="AA3" s="53"/>
      <c r="AB3" s="53"/>
      <c r="AC3" s="53"/>
      <c r="AD3" s="53"/>
      <c r="AE3" s="53"/>
    </row>
    <row r="4" spans="1:37" ht="50.4" x14ac:dyDescent="0.3">
      <c r="A4" s="53"/>
      <c r="B4" s="5" t="s">
        <v>51</v>
      </c>
      <c r="C4" s="6" t="s">
        <v>97</v>
      </c>
      <c r="D4" s="7">
        <v>0.2</v>
      </c>
      <c r="E4" s="53"/>
      <c r="F4" s="53"/>
      <c r="G4" s="53"/>
      <c r="H4" s="53"/>
      <c r="I4" s="53"/>
      <c r="J4" s="53"/>
      <c r="K4" s="53"/>
      <c r="L4" s="53"/>
      <c r="M4" s="53"/>
      <c r="N4" s="53"/>
      <c r="O4" s="53"/>
      <c r="P4" s="53"/>
      <c r="Q4" s="53"/>
      <c r="R4" s="53"/>
      <c r="S4" s="53"/>
      <c r="T4" s="53"/>
      <c r="U4" s="53"/>
      <c r="V4" s="53"/>
      <c r="W4" s="53"/>
      <c r="X4" s="53"/>
      <c r="Y4" s="53"/>
      <c r="Z4" s="53"/>
      <c r="AA4" s="53"/>
      <c r="AB4" s="53"/>
      <c r="AC4" s="53"/>
      <c r="AD4" s="53"/>
      <c r="AE4" s="53"/>
    </row>
    <row r="5" spans="1:37" ht="50.4" x14ac:dyDescent="0.3">
      <c r="A5" s="53"/>
      <c r="B5" s="8" t="s">
        <v>53</v>
      </c>
      <c r="C5" s="9" t="s">
        <v>98</v>
      </c>
      <c r="D5" s="10">
        <v>0.4</v>
      </c>
      <c r="E5" s="53"/>
      <c r="F5" s="53"/>
      <c r="G5" s="53"/>
      <c r="H5" s="53"/>
      <c r="I5" s="53"/>
      <c r="J5" s="53"/>
      <c r="K5" s="53"/>
      <c r="L5" s="53"/>
      <c r="M5" s="53"/>
      <c r="N5" s="53"/>
      <c r="O5" s="53"/>
      <c r="P5" s="53"/>
      <c r="Q5" s="53"/>
      <c r="R5" s="53"/>
      <c r="S5" s="53"/>
      <c r="T5" s="53"/>
      <c r="U5" s="53"/>
      <c r="V5" s="53"/>
      <c r="W5" s="53"/>
      <c r="X5" s="53"/>
      <c r="Y5" s="53"/>
      <c r="Z5" s="53"/>
      <c r="AA5" s="53"/>
      <c r="AB5" s="53"/>
      <c r="AC5" s="53"/>
      <c r="AD5" s="53"/>
      <c r="AE5" s="53"/>
    </row>
    <row r="6" spans="1:37" ht="50.4" x14ac:dyDescent="0.3">
      <c r="A6" s="53"/>
      <c r="B6" s="11" t="s">
        <v>102</v>
      </c>
      <c r="C6" s="9" t="s">
        <v>99</v>
      </c>
      <c r="D6" s="10">
        <v>0.6</v>
      </c>
      <c r="E6" s="53"/>
      <c r="F6" s="53"/>
      <c r="G6" s="53"/>
      <c r="H6" s="53"/>
      <c r="I6" s="53"/>
      <c r="J6" s="53"/>
      <c r="K6" s="53"/>
      <c r="L6" s="53"/>
      <c r="M6" s="53"/>
      <c r="N6" s="53"/>
      <c r="O6" s="53"/>
      <c r="P6" s="53"/>
      <c r="Q6" s="53"/>
      <c r="R6" s="53"/>
      <c r="S6" s="53"/>
      <c r="T6" s="53"/>
      <c r="U6" s="53"/>
      <c r="V6" s="53"/>
      <c r="W6" s="53"/>
      <c r="X6" s="53"/>
      <c r="Y6" s="53"/>
      <c r="Z6" s="53"/>
      <c r="AA6" s="53"/>
      <c r="AB6" s="53"/>
      <c r="AC6" s="53"/>
      <c r="AD6" s="53"/>
      <c r="AE6" s="53"/>
    </row>
    <row r="7" spans="1:37" ht="75.599999999999994" x14ac:dyDescent="0.3">
      <c r="A7" s="53"/>
      <c r="B7" s="12" t="s">
        <v>6</v>
      </c>
      <c r="C7" s="9" t="s">
        <v>100</v>
      </c>
      <c r="D7" s="10">
        <v>0.8</v>
      </c>
      <c r="E7" s="53"/>
      <c r="F7" s="53"/>
      <c r="G7" s="53"/>
      <c r="H7" s="53"/>
      <c r="I7" s="53"/>
      <c r="J7" s="53"/>
      <c r="K7" s="53"/>
      <c r="L7" s="53"/>
      <c r="M7" s="53"/>
      <c r="N7" s="53"/>
      <c r="O7" s="53"/>
      <c r="P7" s="53"/>
      <c r="Q7" s="53"/>
      <c r="R7" s="53"/>
      <c r="S7" s="53"/>
      <c r="T7" s="53"/>
      <c r="U7" s="53"/>
      <c r="V7" s="53"/>
      <c r="W7" s="53"/>
      <c r="X7" s="53"/>
      <c r="Y7" s="53"/>
      <c r="Z7" s="53"/>
      <c r="AA7" s="53"/>
      <c r="AB7" s="53"/>
      <c r="AC7" s="53"/>
      <c r="AD7" s="53"/>
      <c r="AE7" s="53"/>
    </row>
    <row r="8" spans="1:37" ht="50.4" x14ac:dyDescent="0.3">
      <c r="A8" s="53"/>
      <c r="B8" s="13" t="s">
        <v>54</v>
      </c>
      <c r="C8" s="9" t="s">
        <v>101</v>
      </c>
      <c r="D8" s="10">
        <v>1</v>
      </c>
      <c r="E8" s="53"/>
      <c r="F8" s="53"/>
      <c r="G8" s="53"/>
      <c r="H8" s="53"/>
      <c r="I8" s="53"/>
      <c r="J8" s="53"/>
      <c r="K8" s="53"/>
      <c r="L8" s="53"/>
      <c r="M8" s="53"/>
      <c r="N8" s="53"/>
      <c r="O8" s="53"/>
      <c r="P8" s="53"/>
      <c r="Q8" s="53"/>
      <c r="R8" s="53"/>
      <c r="S8" s="53"/>
      <c r="T8" s="53"/>
      <c r="U8" s="53"/>
      <c r="V8" s="53"/>
      <c r="W8" s="53"/>
      <c r="X8" s="53"/>
      <c r="Y8" s="53"/>
      <c r="Z8" s="53"/>
      <c r="AA8" s="53"/>
      <c r="AB8" s="53"/>
      <c r="AC8" s="53"/>
      <c r="AD8" s="53"/>
      <c r="AE8" s="53"/>
    </row>
    <row r="9" spans="1:37" x14ac:dyDescent="0.3">
      <c r="A9" s="53"/>
      <c r="B9" s="75"/>
      <c r="C9" s="75"/>
      <c r="D9" s="75"/>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row>
    <row r="10" spans="1:37" x14ac:dyDescent="0.3">
      <c r="A10" s="53"/>
      <c r="B10" s="76"/>
      <c r="C10" s="75"/>
      <c r="D10" s="75"/>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row>
    <row r="11" spans="1:37" x14ac:dyDescent="0.3">
      <c r="A11" s="53"/>
      <c r="B11" s="75"/>
      <c r="C11" s="75"/>
      <c r="D11" s="75"/>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row>
    <row r="12" spans="1:37" x14ac:dyDescent="0.3">
      <c r="A12" s="53"/>
      <c r="B12" s="75"/>
      <c r="C12" s="75"/>
      <c r="D12" s="75"/>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row>
    <row r="13" spans="1:37" x14ac:dyDescent="0.3">
      <c r="A13" s="53"/>
      <c r="B13" s="75"/>
      <c r="C13" s="75"/>
      <c r="D13" s="75"/>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row>
    <row r="14" spans="1:37" x14ac:dyDescent="0.3">
      <c r="A14" s="53"/>
      <c r="B14" s="75"/>
      <c r="C14" s="75"/>
      <c r="D14" s="75"/>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row>
    <row r="15" spans="1:37" x14ac:dyDescent="0.3">
      <c r="A15" s="53"/>
      <c r="B15" s="75"/>
      <c r="C15" s="75"/>
      <c r="D15" s="75"/>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row>
    <row r="16" spans="1:37" x14ac:dyDescent="0.3">
      <c r="A16" s="53"/>
      <c r="B16" s="75"/>
      <c r="C16" s="75"/>
      <c r="D16" s="75"/>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row>
    <row r="17" spans="1:37" x14ac:dyDescent="0.3">
      <c r="A17" s="53"/>
      <c r="B17" s="75"/>
      <c r="C17" s="75"/>
      <c r="D17" s="75"/>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row>
    <row r="18" spans="1:37" x14ac:dyDescent="0.3">
      <c r="A18" s="53"/>
      <c r="B18" s="75"/>
      <c r="C18" s="75"/>
      <c r="D18" s="75"/>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row>
    <row r="19" spans="1:37" x14ac:dyDescent="0.3">
      <c r="A19" s="53"/>
      <c r="B19" s="53"/>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row>
    <row r="20" spans="1:37" x14ac:dyDescent="0.3">
      <c r="A20" s="53"/>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row>
    <row r="21" spans="1:37" x14ac:dyDescent="0.3">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row>
    <row r="22" spans="1:37" x14ac:dyDescent="0.3">
      <c r="A22" s="5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row>
    <row r="23" spans="1:37" x14ac:dyDescent="0.3">
      <c r="A23" s="53"/>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row>
    <row r="24" spans="1:37" x14ac:dyDescent="0.3">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row>
    <row r="25" spans="1:37" x14ac:dyDescent="0.3">
      <c r="A25" s="53"/>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row>
    <row r="26" spans="1:37" x14ac:dyDescent="0.3">
      <c r="A26" s="53"/>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row>
    <row r="27" spans="1:37" x14ac:dyDescent="0.3">
      <c r="A27" s="53"/>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row>
    <row r="28" spans="1:37" x14ac:dyDescent="0.3">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row>
    <row r="29" spans="1:37" x14ac:dyDescent="0.3">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row>
    <row r="30" spans="1:37" x14ac:dyDescent="0.3">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row>
    <row r="31" spans="1:37" x14ac:dyDescent="0.3">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row>
    <row r="32" spans="1:37" x14ac:dyDescent="0.3">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row>
    <row r="33" spans="1:31" x14ac:dyDescent="0.3">
      <c r="A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row>
    <row r="34" spans="1:31" x14ac:dyDescent="0.3">
      <c r="A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row>
    <row r="35" spans="1:31" x14ac:dyDescent="0.3">
      <c r="A35" s="53"/>
    </row>
    <row r="36" spans="1:31" x14ac:dyDescent="0.3">
      <c r="A36" s="53"/>
    </row>
    <row r="37" spans="1:31" x14ac:dyDescent="0.3">
      <c r="A37" s="53"/>
    </row>
    <row r="38" spans="1:31" x14ac:dyDescent="0.3">
      <c r="A38" s="53"/>
    </row>
    <row r="39" spans="1:31" x14ac:dyDescent="0.3">
      <c r="A39" s="53"/>
    </row>
    <row r="40" spans="1:31" x14ac:dyDescent="0.3">
      <c r="A40" s="53"/>
    </row>
    <row r="41" spans="1:31" x14ac:dyDescent="0.3">
      <c r="A41" s="53"/>
    </row>
    <row r="42" spans="1:31" x14ac:dyDescent="0.3">
      <c r="A42" s="53"/>
    </row>
    <row r="43" spans="1:31" x14ac:dyDescent="0.3">
      <c r="A43" s="53"/>
    </row>
    <row r="44" spans="1:31" x14ac:dyDescent="0.3">
      <c r="A44" s="53"/>
    </row>
    <row r="45" spans="1:31" x14ac:dyDescent="0.3">
      <c r="A45" s="53"/>
    </row>
    <row r="46" spans="1:31" x14ac:dyDescent="0.3">
      <c r="A46" s="53"/>
    </row>
    <row r="47" spans="1:31" x14ac:dyDescent="0.3">
      <c r="A47" s="53"/>
    </row>
    <row r="48" spans="1:31" x14ac:dyDescent="0.3">
      <c r="A48" s="53"/>
    </row>
    <row r="49" spans="1:1" x14ac:dyDescent="0.3">
      <c r="A49" s="53"/>
    </row>
    <row r="50" spans="1:1" x14ac:dyDescent="0.3">
      <c r="A50" s="53"/>
    </row>
    <row r="51" spans="1:1" x14ac:dyDescent="0.3">
      <c r="A51" s="53"/>
    </row>
    <row r="52" spans="1:1" x14ac:dyDescent="0.3">
      <c r="A52" s="53"/>
    </row>
    <row r="53" spans="1:1" x14ac:dyDescent="0.3">
      <c r="A53" s="53"/>
    </row>
    <row r="54" spans="1:1" x14ac:dyDescent="0.3">
      <c r="A54" s="53"/>
    </row>
    <row r="55" spans="1:1" x14ac:dyDescent="0.3">
      <c r="A55" s="5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14"/>
    <col min="2" max="2" width="40.44140625" style="14" customWidth="1"/>
    <col min="3" max="3" width="74.88671875" style="14" customWidth="1"/>
    <col min="4" max="4" width="135" style="14" bestFit="1" customWidth="1"/>
    <col min="5" max="5" width="137.88671875" style="14" customWidth="1"/>
    <col min="6" max="16384" width="11.44140625" style="14"/>
  </cols>
  <sheetData>
    <row r="1" spans="1:21" ht="32.4" x14ac:dyDescent="0.3">
      <c r="A1" s="75"/>
      <c r="B1" s="431" t="s">
        <v>62</v>
      </c>
      <c r="C1" s="431"/>
      <c r="D1" s="431"/>
      <c r="E1" s="75"/>
      <c r="F1" s="75"/>
      <c r="G1" s="75"/>
      <c r="H1" s="75"/>
      <c r="I1" s="75"/>
      <c r="J1" s="75"/>
      <c r="K1" s="75"/>
      <c r="L1" s="75"/>
      <c r="M1" s="75"/>
      <c r="N1" s="75"/>
      <c r="O1" s="75"/>
      <c r="P1" s="75"/>
      <c r="Q1" s="75"/>
      <c r="R1" s="75"/>
      <c r="S1" s="75"/>
      <c r="T1" s="75"/>
      <c r="U1" s="75"/>
    </row>
    <row r="2" spans="1:21" x14ac:dyDescent="0.3">
      <c r="A2" s="75"/>
      <c r="B2" s="75"/>
      <c r="C2" s="75"/>
      <c r="D2" s="75"/>
      <c r="E2" s="75"/>
      <c r="F2" s="75"/>
      <c r="G2" s="75"/>
      <c r="H2" s="75"/>
      <c r="I2" s="75"/>
      <c r="J2" s="75"/>
      <c r="K2" s="75"/>
      <c r="L2" s="75"/>
      <c r="M2" s="75"/>
      <c r="N2" s="75"/>
      <c r="O2" s="75"/>
      <c r="P2" s="75"/>
      <c r="Q2" s="75"/>
      <c r="R2" s="75"/>
      <c r="S2" s="75"/>
      <c r="T2" s="75"/>
      <c r="U2" s="75"/>
    </row>
    <row r="3" spans="1:21" ht="30" x14ac:dyDescent="0.3">
      <c r="A3" s="75"/>
      <c r="B3" s="74"/>
      <c r="C3" s="92" t="s">
        <v>56</v>
      </c>
      <c r="D3" s="92" t="s">
        <v>57</v>
      </c>
      <c r="E3" s="75"/>
      <c r="F3" s="75"/>
      <c r="G3" s="75"/>
      <c r="H3" s="75"/>
      <c r="I3" s="75"/>
      <c r="J3" s="75"/>
      <c r="K3" s="75"/>
      <c r="L3" s="75"/>
      <c r="M3" s="75"/>
      <c r="N3" s="75"/>
      <c r="O3" s="75"/>
      <c r="P3" s="75"/>
      <c r="Q3" s="75"/>
      <c r="R3" s="75"/>
      <c r="S3" s="75"/>
      <c r="T3" s="75"/>
      <c r="U3" s="75"/>
    </row>
    <row r="4" spans="1:21" ht="32.4" x14ac:dyDescent="0.3">
      <c r="A4" s="75" t="s">
        <v>82</v>
      </c>
      <c r="B4" s="93" t="s">
        <v>96</v>
      </c>
      <c r="C4" s="94" t="s">
        <v>204</v>
      </c>
      <c r="D4" s="95" t="s">
        <v>92</v>
      </c>
      <c r="E4" s="75"/>
      <c r="F4" s="75"/>
      <c r="G4" s="75"/>
      <c r="H4" s="75"/>
      <c r="I4" s="75"/>
      <c r="J4" s="75"/>
      <c r="K4" s="75"/>
      <c r="L4" s="75"/>
      <c r="M4" s="75"/>
      <c r="N4" s="75"/>
      <c r="O4" s="75"/>
      <c r="P4" s="75"/>
      <c r="Q4" s="75"/>
      <c r="R4" s="75"/>
      <c r="S4" s="75"/>
      <c r="T4" s="75"/>
      <c r="U4" s="75"/>
    </row>
    <row r="5" spans="1:21" ht="64.8" x14ac:dyDescent="0.3">
      <c r="A5" s="75" t="s">
        <v>83</v>
      </c>
      <c r="B5" s="96" t="s">
        <v>58</v>
      </c>
      <c r="C5" s="97" t="s">
        <v>205</v>
      </c>
      <c r="D5" s="98" t="s">
        <v>93</v>
      </c>
      <c r="E5" s="75"/>
      <c r="F5" s="75"/>
      <c r="G5" s="75"/>
      <c r="H5" s="75"/>
      <c r="I5" s="75"/>
      <c r="J5" s="75"/>
      <c r="K5" s="75"/>
      <c r="L5" s="75"/>
      <c r="M5" s="75"/>
      <c r="N5" s="75"/>
      <c r="O5" s="75"/>
      <c r="P5" s="75"/>
      <c r="Q5" s="75"/>
      <c r="R5" s="75"/>
      <c r="S5" s="75"/>
      <c r="T5" s="75"/>
      <c r="U5" s="75"/>
    </row>
    <row r="6" spans="1:21" ht="64.8" x14ac:dyDescent="0.3">
      <c r="A6" s="75" t="s">
        <v>80</v>
      </c>
      <c r="B6" s="99" t="s">
        <v>59</v>
      </c>
      <c r="C6" s="97" t="s">
        <v>209</v>
      </c>
      <c r="D6" s="98" t="s">
        <v>95</v>
      </c>
      <c r="E6" s="75"/>
      <c r="F6" s="75"/>
      <c r="G6" s="75"/>
      <c r="H6" s="75"/>
      <c r="I6" s="75"/>
      <c r="J6" s="75"/>
      <c r="K6" s="75"/>
      <c r="L6" s="75"/>
      <c r="M6" s="75"/>
      <c r="N6" s="75"/>
      <c r="O6" s="75"/>
      <c r="P6" s="75"/>
      <c r="Q6" s="75"/>
      <c r="R6" s="75"/>
      <c r="S6" s="75"/>
      <c r="T6" s="75"/>
      <c r="U6" s="75"/>
    </row>
    <row r="7" spans="1:21" ht="97.2" x14ac:dyDescent="0.3">
      <c r="A7" s="75" t="s">
        <v>7</v>
      </c>
      <c r="B7" s="100" t="s">
        <v>60</v>
      </c>
      <c r="C7" s="97" t="s">
        <v>210</v>
      </c>
      <c r="D7" s="98" t="s">
        <v>94</v>
      </c>
      <c r="E7" s="75"/>
      <c r="F7" s="75"/>
      <c r="G7" s="75"/>
      <c r="H7" s="75"/>
      <c r="I7" s="75"/>
      <c r="J7" s="75"/>
      <c r="K7" s="75"/>
      <c r="L7" s="75"/>
      <c r="M7" s="75"/>
      <c r="N7" s="75"/>
      <c r="O7" s="75"/>
      <c r="P7" s="75"/>
      <c r="Q7" s="75"/>
      <c r="R7" s="75"/>
      <c r="S7" s="75"/>
      <c r="T7" s="75"/>
      <c r="U7" s="75"/>
    </row>
    <row r="8" spans="1:21" ht="64.8" x14ac:dyDescent="0.3">
      <c r="A8" s="75" t="s">
        <v>84</v>
      </c>
      <c r="B8" s="101" t="s">
        <v>61</v>
      </c>
      <c r="C8" s="97" t="s">
        <v>206</v>
      </c>
      <c r="D8" s="98" t="s">
        <v>113</v>
      </c>
      <c r="E8" s="75"/>
      <c r="F8" s="75"/>
      <c r="G8" s="75"/>
      <c r="H8" s="75"/>
      <c r="I8" s="75"/>
      <c r="J8" s="75"/>
      <c r="K8" s="75"/>
      <c r="L8" s="75"/>
      <c r="M8" s="75"/>
      <c r="N8" s="75"/>
      <c r="O8" s="75"/>
      <c r="P8" s="75"/>
      <c r="Q8" s="75"/>
      <c r="R8" s="75"/>
      <c r="S8" s="75"/>
      <c r="T8" s="75"/>
      <c r="U8" s="75"/>
    </row>
    <row r="9" spans="1:21" s="15" customFormat="1" ht="20.399999999999999" x14ac:dyDescent="0.3">
      <c r="A9" s="73"/>
      <c r="B9" s="73"/>
      <c r="C9" s="102"/>
      <c r="D9" s="102"/>
      <c r="E9" s="73"/>
      <c r="F9" s="73"/>
      <c r="G9" s="73"/>
      <c r="H9" s="73"/>
      <c r="I9" s="73"/>
      <c r="J9" s="73"/>
      <c r="K9" s="73"/>
      <c r="L9" s="73"/>
      <c r="M9" s="73"/>
      <c r="N9" s="73"/>
      <c r="O9" s="73"/>
      <c r="P9" s="73"/>
      <c r="Q9" s="73"/>
      <c r="R9" s="73"/>
      <c r="S9" s="73"/>
      <c r="T9" s="73"/>
      <c r="U9" s="73"/>
    </row>
    <row r="10" spans="1:21" s="15" customFormat="1" x14ac:dyDescent="0.3">
      <c r="A10" s="73"/>
      <c r="B10" s="103"/>
      <c r="C10" s="103"/>
      <c r="D10" s="103"/>
      <c r="E10" s="73"/>
      <c r="F10" s="73"/>
      <c r="G10" s="73"/>
      <c r="H10" s="73"/>
      <c r="I10" s="73"/>
      <c r="J10" s="73"/>
      <c r="K10" s="73"/>
      <c r="L10" s="73"/>
      <c r="M10" s="73"/>
      <c r="N10" s="73"/>
      <c r="O10" s="73"/>
      <c r="P10" s="73"/>
      <c r="Q10" s="73"/>
      <c r="R10" s="73"/>
      <c r="S10" s="73"/>
      <c r="T10" s="73"/>
      <c r="U10" s="73"/>
    </row>
    <row r="11" spans="1:21" s="15" customFormat="1" x14ac:dyDescent="0.3">
      <c r="A11" s="73"/>
      <c r="B11" s="73" t="s">
        <v>90</v>
      </c>
      <c r="C11" s="73" t="s">
        <v>208</v>
      </c>
      <c r="D11" s="73" t="s">
        <v>142</v>
      </c>
      <c r="E11" s="73"/>
      <c r="F11" s="73"/>
      <c r="G11" s="73"/>
      <c r="H11" s="73"/>
      <c r="I11" s="73"/>
      <c r="J11" s="73"/>
      <c r="K11" s="73"/>
      <c r="L11" s="73"/>
      <c r="M11" s="73"/>
      <c r="N11" s="73"/>
      <c r="O11" s="73"/>
      <c r="P11" s="73"/>
      <c r="Q11" s="73"/>
      <c r="R11" s="73"/>
      <c r="S11" s="73"/>
      <c r="T11" s="73"/>
      <c r="U11" s="73"/>
    </row>
    <row r="12" spans="1:21" s="15" customFormat="1" x14ac:dyDescent="0.3">
      <c r="A12" s="73"/>
      <c r="B12" s="73" t="s">
        <v>88</v>
      </c>
      <c r="C12" s="73" t="s">
        <v>207</v>
      </c>
      <c r="D12" s="73" t="s">
        <v>143</v>
      </c>
      <c r="E12" s="73"/>
      <c r="F12" s="73"/>
      <c r="G12" s="73"/>
      <c r="H12" s="73"/>
      <c r="I12" s="73"/>
      <c r="J12" s="73"/>
      <c r="K12" s="73"/>
      <c r="L12" s="73"/>
      <c r="M12" s="73"/>
      <c r="N12" s="73"/>
      <c r="O12" s="73"/>
      <c r="P12" s="73"/>
      <c r="Q12" s="73"/>
      <c r="R12" s="73"/>
      <c r="S12" s="73"/>
      <c r="T12" s="73"/>
      <c r="U12" s="73"/>
    </row>
    <row r="13" spans="1:21" s="15" customFormat="1" x14ac:dyDescent="0.3">
      <c r="A13" s="73"/>
      <c r="B13" s="73"/>
      <c r="C13" s="73" t="s">
        <v>211</v>
      </c>
      <c r="D13" s="73" t="s">
        <v>144</v>
      </c>
      <c r="E13" s="73"/>
      <c r="F13" s="73"/>
      <c r="G13" s="73"/>
      <c r="H13" s="73"/>
      <c r="I13" s="73"/>
      <c r="J13" s="73"/>
      <c r="K13" s="73"/>
      <c r="L13" s="73"/>
      <c r="M13" s="73"/>
      <c r="N13" s="73"/>
      <c r="O13" s="73"/>
      <c r="P13" s="73"/>
      <c r="Q13" s="73"/>
      <c r="R13" s="73"/>
      <c r="S13" s="73"/>
      <c r="T13" s="73"/>
      <c r="U13" s="73"/>
    </row>
    <row r="14" spans="1:21" s="15" customFormat="1" x14ac:dyDescent="0.3">
      <c r="A14" s="73"/>
      <c r="B14" s="73"/>
      <c r="C14" s="73" t="s">
        <v>213</v>
      </c>
      <c r="D14" s="73" t="s">
        <v>145</v>
      </c>
      <c r="E14" s="73"/>
      <c r="F14" s="73"/>
      <c r="G14" s="73"/>
      <c r="H14" s="73"/>
      <c r="I14" s="73"/>
      <c r="J14" s="73"/>
      <c r="K14" s="73"/>
      <c r="L14" s="73"/>
      <c r="M14" s="73"/>
      <c r="N14" s="73"/>
      <c r="O14" s="73"/>
      <c r="P14" s="73"/>
      <c r="Q14" s="73"/>
      <c r="R14" s="73"/>
      <c r="S14" s="73"/>
      <c r="T14" s="73"/>
      <c r="U14" s="73"/>
    </row>
    <row r="15" spans="1:21" s="15" customFormat="1" x14ac:dyDescent="0.3">
      <c r="A15" s="73"/>
      <c r="B15" s="73"/>
      <c r="C15" s="73" t="s">
        <v>212</v>
      </c>
      <c r="D15" s="73" t="s">
        <v>146</v>
      </c>
      <c r="E15" s="73"/>
      <c r="F15" s="73"/>
      <c r="G15" s="73"/>
      <c r="H15" s="73"/>
      <c r="I15" s="73"/>
      <c r="J15" s="73"/>
      <c r="K15" s="73"/>
      <c r="L15" s="73"/>
      <c r="M15" s="73"/>
      <c r="N15" s="73"/>
      <c r="O15" s="73"/>
      <c r="P15" s="73"/>
      <c r="Q15" s="73"/>
      <c r="R15" s="73"/>
      <c r="S15" s="73"/>
      <c r="T15" s="73"/>
      <c r="U15" s="73"/>
    </row>
    <row r="16" spans="1:21" s="15" customFormat="1" x14ac:dyDescent="0.3">
      <c r="A16" s="73"/>
      <c r="B16" s="73"/>
      <c r="C16" s="73"/>
      <c r="D16" s="73"/>
      <c r="E16" s="73"/>
      <c r="F16" s="73"/>
      <c r="G16" s="73"/>
      <c r="H16" s="73"/>
      <c r="I16" s="73"/>
      <c r="J16" s="73"/>
      <c r="K16" s="73"/>
      <c r="L16" s="73"/>
      <c r="M16" s="73"/>
      <c r="N16" s="73"/>
      <c r="O16" s="73"/>
    </row>
    <row r="17" spans="1:15" s="15" customFormat="1" x14ac:dyDescent="0.3">
      <c r="A17" s="73"/>
      <c r="B17" s="73"/>
      <c r="C17" s="73"/>
      <c r="D17" s="73"/>
      <c r="E17" s="73"/>
      <c r="F17" s="73"/>
      <c r="G17" s="73"/>
      <c r="H17" s="73"/>
      <c r="I17" s="73"/>
      <c r="J17" s="73"/>
      <c r="K17" s="73"/>
      <c r="L17" s="73"/>
      <c r="M17" s="73"/>
      <c r="N17" s="73"/>
      <c r="O17" s="73"/>
    </row>
    <row r="18" spans="1:15" s="15" customFormat="1" x14ac:dyDescent="0.3">
      <c r="A18" s="73"/>
      <c r="B18" s="73"/>
      <c r="C18" s="73"/>
      <c r="D18" s="73"/>
      <c r="E18" s="73"/>
      <c r="F18" s="73"/>
      <c r="G18" s="73"/>
      <c r="H18" s="73"/>
      <c r="I18" s="73"/>
      <c r="J18" s="73"/>
      <c r="K18" s="73"/>
      <c r="L18" s="73"/>
      <c r="M18" s="73"/>
      <c r="N18" s="73"/>
      <c r="O18" s="73"/>
    </row>
    <row r="19" spans="1:15" s="15" customFormat="1" x14ac:dyDescent="0.3">
      <c r="A19" s="73"/>
      <c r="B19" s="73"/>
      <c r="C19" s="73"/>
      <c r="D19" s="73"/>
      <c r="E19" s="73"/>
      <c r="F19" s="73"/>
      <c r="G19" s="73"/>
      <c r="H19" s="73"/>
      <c r="I19" s="73"/>
      <c r="J19" s="73"/>
      <c r="K19" s="73"/>
      <c r="L19" s="73"/>
      <c r="M19" s="73"/>
      <c r="N19" s="73"/>
      <c r="O19" s="73"/>
    </row>
    <row r="20" spans="1:15" s="15" customFormat="1" x14ac:dyDescent="0.3">
      <c r="A20" s="73"/>
      <c r="B20" s="73"/>
      <c r="C20" s="73"/>
      <c r="D20" s="73"/>
      <c r="E20" s="73"/>
      <c r="F20" s="73"/>
      <c r="G20" s="73"/>
      <c r="H20" s="73"/>
      <c r="I20" s="73"/>
      <c r="J20" s="73"/>
      <c r="K20" s="73"/>
      <c r="L20" s="73"/>
      <c r="M20" s="73"/>
      <c r="N20" s="73"/>
      <c r="O20" s="73"/>
    </row>
    <row r="21" spans="1:15" s="15" customFormat="1" x14ac:dyDescent="0.3">
      <c r="A21" s="73"/>
      <c r="B21" s="73"/>
      <c r="C21" s="73"/>
      <c r="D21" s="73"/>
      <c r="E21" s="73"/>
      <c r="F21" s="73"/>
      <c r="G21" s="73"/>
      <c r="H21" s="73"/>
      <c r="I21" s="73"/>
      <c r="J21" s="73"/>
      <c r="K21" s="73"/>
      <c r="L21" s="73"/>
      <c r="M21" s="73"/>
      <c r="N21" s="73"/>
      <c r="O21" s="73"/>
    </row>
    <row r="22" spans="1:15" s="15" customFormat="1" ht="20.399999999999999" x14ac:dyDescent="0.3">
      <c r="A22" s="73"/>
      <c r="B22" s="73"/>
      <c r="C22" s="102"/>
      <c r="D22" s="102"/>
      <c r="E22" s="73"/>
      <c r="F22" s="73"/>
      <c r="G22" s="73"/>
      <c r="H22" s="73"/>
      <c r="I22" s="73"/>
      <c r="J22" s="73"/>
      <c r="K22" s="73"/>
      <c r="L22" s="73"/>
      <c r="M22" s="73"/>
      <c r="N22" s="73"/>
      <c r="O22" s="73"/>
    </row>
    <row r="23" spans="1:15" s="15" customFormat="1" ht="20.399999999999999" x14ac:dyDescent="0.3">
      <c r="A23" s="73"/>
      <c r="B23" s="73"/>
      <c r="C23" s="102"/>
      <c r="D23" s="102"/>
      <c r="E23" s="73"/>
      <c r="F23" s="73"/>
      <c r="G23" s="73"/>
      <c r="H23" s="73"/>
      <c r="I23" s="73"/>
      <c r="J23" s="73"/>
      <c r="K23" s="73"/>
      <c r="L23" s="73"/>
      <c r="M23" s="73"/>
      <c r="N23" s="73"/>
      <c r="O23" s="73"/>
    </row>
    <row r="24" spans="1:15" s="15" customFormat="1" ht="20.399999999999999" x14ac:dyDescent="0.3">
      <c r="A24" s="73"/>
      <c r="B24" s="73"/>
      <c r="C24" s="102"/>
      <c r="D24" s="102"/>
      <c r="E24" s="73"/>
      <c r="F24" s="73"/>
      <c r="G24" s="73"/>
      <c r="H24" s="73"/>
      <c r="I24" s="73"/>
      <c r="J24" s="73"/>
      <c r="K24" s="73"/>
      <c r="L24" s="73"/>
      <c r="M24" s="73"/>
      <c r="N24" s="73"/>
      <c r="O24" s="73"/>
    </row>
    <row r="25" spans="1:15" s="15" customFormat="1" ht="20.399999999999999" x14ac:dyDescent="0.3">
      <c r="A25" s="73"/>
      <c r="B25" s="73"/>
      <c r="C25" s="102"/>
      <c r="D25" s="102"/>
      <c r="E25" s="73"/>
      <c r="F25" s="73"/>
      <c r="G25" s="73"/>
      <c r="H25" s="73"/>
      <c r="I25" s="73"/>
      <c r="J25" s="73"/>
      <c r="K25" s="73"/>
      <c r="L25" s="73"/>
      <c r="M25" s="73"/>
      <c r="N25" s="73"/>
      <c r="O25" s="73"/>
    </row>
    <row r="26" spans="1:15" s="15" customFormat="1" ht="20.399999999999999" x14ac:dyDescent="0.3">
      <c r="A26" s="73"/>
      <c r="B26" s="73"/>
      <c r="C26" s="102"/>
      <c r="D26" s="102"/>
      <c r="E26" s="73"/>
      <c r="F26" s="73"/>
      <c r="G26" s="73"/>
      <c r="H26" s="73"/>
      <c r="I26" s="73"/>
      <c r="J26" s="73"/>
      <c r="K26" s="73"/>
      <c r="L26" s="73"/>
      <c r="M26" s="73"/>
      <c r="N26" s="73"/>
      <c r="O26" s="73"/>
    </row>
    <row r="27" spans="1:15" s="15" customFormat="1" ht="20.399999999999999" x14ac:dyDescent="0.3">
      <c r="A27" s="73"/>
      <c r="B27" s="73"/>
      <c r="C27" s="102"/>
      <c r="D27" s="102"/>
      <c r="E27" s="73"/>
      <c r="F27" s="73"/>
      <c r="G27" s="73"/>
      <c r="H27" s="73"/>
      <c r="I27" s="73"/>
      <c r="J27" s="73"/>
      <c r="K27" s="73"/>
      <c r="L27" s="73"/>
      <c r="M27" s="73"/>
      <c r="N27" s="73"/>
      <c r="O27" s="73"/>
    </row>
    <row r="28" spans="1:15" s="15" customFormat="1" ht="20.399999999999999" x14ac:dyDescent="0.3">
      <c r="A28" s="73"/>
      <c r="B28" s="73"/>
      <c r="C28" s="102"/>
      <c r="D28" s="102"/>
      <c r="E28" s="73"/>
      <c r="F28" s="73"/>
      <c r="G28" s="73"/>
      <c r="H28" s="73"/>
      <c r="I28" s="73"/>
      <c r="J28" s="73"/>
      <c r="K28" s="73"/>
      <c r="L28" s="73"/>
      <c r="M28" s="73"/>
      <c r="N28" s="73"/>
      <c r="O28" s="73"/>
    </row>
    <row r="29" spans="1:15" s="15" customFormat="1" ht="20.399999999999999" x14ac:dyDescent="0.3">
      <c r="A29" s="73"/>
      <c r="B29" s="73"/>
      <c r="C29" s="102"/>
      <c r="D29" s="102"/>
      <c r="E29" s="73"/>
      <c r="F29" s="73"/>
      <c r="G29" s="73"/>
      <c r="H29" s="73"/>
      <c r="I29" s="73"/>
      <c r="J29" s="73"/>
      <c r="K29" s="73"/>
      <c r="L29" s="73"/>
      <c r="M29" s="73"/>
      <c r="N29" s="73"/>
      <c r="O29" s="73"/>
    </row>
    <row r="30" spans="1:15" s="15" customFormat="1" ht="20.399999999999999" x14ac:dyDescent="0.3">
      <c r="A30" s="73"/>
      <c r="B30" s="73"/>
      <c r="C30" s="102"/>
      <c r="D30" s="102"/>
      <c r="E30" s="73"/>
      <c r="F30" s="73"/>
      <c r="G30" s="73"/>
      <c r="H30" s="73"/>
      <c r="I30" s="73"/>
      <c r="J30" s="73"/>
      <c r="K30" s="73"/>
      <c r="L30" s="73"/>
      <c r="M30" s="73"/>
      <c r="N30" s="73"/>
      <c r="O30" s="73"/>
    </row>
    <row r="31" spans="1:15" s="15" customFormat="1" ht="20.399999999999999" x14ac:dyDescent="0.3">
      <c r="A31" s="73"/>
      <c r="B31" s="73"/>
      <c r="C31" s="102"/>
      <c r="D31" s="102"/>
      <c r="E31" s="73"/>
      <c r="F31" s="73"/>
      <c r="G31" s="73"/>
      <c r="H31" s="73"/>
      <c r="I31" s="73"/>
      <c r="J31" s="73"/>
      <c r="K31" s="73"/>
      <c r="L31" s="73"/>
      <c r="M31" s="73"/>
      <c r="N31" s="73"/>
      <c r="O31" s="73"/>
    </row>
    <row r="32" spans="1:15" s="15" customFormat="1" ht="20.399999999999999" x14ac:dyDescent="0.3">
      <c r="A32" s="73"/>
      <c r="B32" s="73"/>
      <c r="C32" s="102"/>
      <c r="D32" s="102"/>
      <c r="E32" s="73"/>
      <c r="F32" s="73"/>
      <c r="G32" s="73"/>
      <c r="H32" s="73"/>
      <c r="I32" s="73"/>
      <c r="J32" s="73"/>
      <c r="K32" s="73"/>
      <c r="L32" s="73"/>
      <c r="M32" s="73"/>
      <c r="N32" s="73"/>
      <c r="O32" s="73"/>
    </row>
    <row r="33" spans="1:15" s="15" customFormat="1" ht="20.399999999999999" x14ac:dyDescent="0.3">
      <c r="A33" s="73"/>
      <c r="B33" s="73"/>
      <c r="C33" s="102"/>
      <c r="D33" s="102"/>
      <c r="E33" s="73"/>
      <c r="F33" s="73"/>
      <c r="G33" s="73"/>
      <c r="H33" s="73"/>
      <c r="I33" s="73"/>
      <c r="J33" s="73"/>
      <c r="K33" s="73"/>
      <c r="L33" s="73"/>
      <c r="M33" s="73"/>
      <c r="N33" s="73"/>
      <c r="O33" s="73"/>
    </row>
    <row r="34" spans="1:15" s="15" customFormat="1" ht="20.399999999999999" x14ac:dyDescent="0.3">
      <c r="A34" s="73"/>
      <c r="B34" s="73"/>
      <c r="C34" s="102"/>
      <c r="D34" s="102"/>
      <c r="E34" s="73"/>
      <c r="F34" s="73"/>
      <c r="G34" s="73"/>
      <c r="H34" s="73"/>
      <c r="I34" s="73"/>
      <c r="J34" s="73"/>
      <c r="K34" s="73"/>
      <c r="L34" s="73"/>
      <c r="M34" s="73"/>
      <c r="N34" s="73"/>
      <c r="O34" s="73"/>
    </row>
    <row r="35" spans="1:15" s="15" customFormat="1" ht="20.399999999999999" x14ac:dyDescent="0.3">
      <c r="A35" s="73"/>
      <c r="B35" s="73"/>
      <c r="C35" s="102"/>
      <c r="D35" s="102"/>
      <c r="E35" s="73"/>
      <c r="F35" s="73"/>
      <c r="G35" s="73"/>
      <c r="H35" s="73"/>
      <c r="I35" s="73"/>
      <c r="J35" s="73"/>
      <c r="K35" s="73"/>
      <c r="L35" s="73"/>
      <c r="M35" s="73"/>
      <c r="N35" s="73"/>
      <c r="O35" s="73"/>
    </row>
    <row r="36" spans="1:15" s="15" customFormat="1" ht="20.399999999999999" x14ac:dyDescent="0.3">
      <c r="A36" s="73"/>
      <c r="B36" s="73"/>
      <c r="C36" s="102"/>
      <c r="D36" s="102"/>
      <c r="E36" s="73"/>
      <c r="F36" s="73"/>
      <c r="G36" s="73"/>
      <c r="H36" s="73"/>
      <c r="I36" s="73"/>
      <c r="J36" s="73"/>
      <c r="K36" s="73"/>
      <c r="L36" s="73"/>
      <c r="M36" s="73"/>
      <c r="N36" s="73"/>
      <c r="O36" s="73"/>
    </row>
    <row r="37" spans="1:15" s="15" customFormat="1" ht="20.399999999999999" x14ac:dyDescent="0.3">
      <c r="A37" s="73"/>
      <c r="B37" s="73"/>
      <c r="C37" s="102"/>
      <c r="D37" s="102"/>
      <c r="E37" s="73"/>
      <c r="F37" s="73"/>
      <c r="G37" s="73"/>
      <c r="H37" s="73"/>
      <c r="I37" s="73"/>
      <c r="J37" s="73"/>
      <c r="K37" s="73"/>
      <c r="L37" s="73"/>
      <c r="M37" s="73"/>
      <c r="N37" s="73"/>
      <c r="O37" s="73"/>
    </row>
    <row r="38" spans="1:15" s="15" customFormat="1" ht="20.399999999999999" x14ac:dyDescent="0.3">
      <c r="A38" s="73"/>
      <c r="B38" s="73"/>
      <c r="C38" s="102"/>
      <c r="D38" s="102"/>
      <c r="E38" s="73"/>
      <c r="F38" s="73"/>
      <c r="G38" s="73"/>
      <c r="H38" s="73"/>
      <c r="I38" s="73"/>
      <c r="J38" s="73"/>
      <c r="K38" s="73"/>
      <c r="L38" s="73"/>
      <c r="M38" s="73"/>
      <c r="N38" s="73"/>
      <c r="O38" s="73"/>
    </row>
    <row r="39" spans="1:15" s="15" customFormat="1" ht="20.399999999999999" x14ac:dyDescent="0.3">
      <c r="A39" s="73"/>
      <c r="B39" s="73"/>
      <c r="C39" s="102"/>
      <c r="D39" s="102"/>
      <c r="E39" s="73"/>
      <c r="F39" s="73"/>
      <c r="G39" s="73"/>
      <c r="H39" s="73"/>
      <c r="I39" s="73"/>
      <c r="J39" s="73"/>
      <c r="K39" s="73"/>
      <c r="L39" s="73"/>
      <c r="M39" s="73"/>
      <c r="N39" s="73"/>
      <c r="O39" s="73"/>
    </row>
    <row r="40" spans="1:15" s="15" customFormat="1" ht="20.399999999999999" x14ac:dyDescent="0.3">
      <c r="A40" s="73"/>
      <c r="B40" s="73"/>
      <c r="C40" s="102"/>
      <c r="D40" s="102"/>
      <c r="E40" s="73"/>
      <c r="F40" s="73"/>
      <c r="G40" s="73"/>
      <c r="H40" s="73"/>
      <c r="I40" s="73"/>
      <c r="J40" s="73"/>
      <c r="K40" s="73"/>
      <c r="L40" s="73"/>
      <c r="M40" s="73"/>
      <c r="N40" s="73"/>
      <c r="O40" s="73"/>
    </row>
    <row r="41" spans="1:15" s="15" customFormat="1" ht="20.399999999999999" x14ac:dyDescent="0.3">
      <c r="A41" s="73"/>
      <c r="B41" s="73"/>
      <c r="C41" s="102"/>
      <c r="D41" s="102"/>
      <c r="E41" s="73"/>
      <c r="F41" s="73"/>
      <c r="G41" s="73"/>
      <c r="H41" s="73"/>
      <c r="I41" s="73"/>
      <c r="J41" s="73"/>
      <c r="K41" s="73"/>
      <c r="L41" s="73"/>
      <c r="M41" s="73"/>
      <c r="N41" s="73"/>
      <c r="O41" s="73"/>
    </row>
    <row r="42" spans="1:15" s="15" customFormat="1" ht="20.399999999999999" x14ac:dyDescent="0.3">
      <c r="A42" s="73"/>
      <c r="B42" s="73"/>
      <c r="C42" s="102"/>
      <c r="D42" s="102"/>
      <c r="E42" s="73"/>
      <c r="F42" s="73"/>
      <c r="G42" s="73"/>
      <c r="H42" s="73"/>
      <c r="I42" s="73"/>
      <c r="J42" s="73"/>
      <c r="K42" s="73"/>
      <c r="L42" s="73"/>
      <c r="M42" s="73"/>
      <c r="N42" s="73"/>
      <c r="O42" s="73"/>
    </row>
    <row r="43" spans="1:15" s="15" customFormat="1" ht="20.399999999999999" x14ac:dyDescent="0.3">
      <c r="A43" s="73"/>
      <c r="B43" s="73"/>
      <c r="C43" s="102"/>
      <c r="D43" s="102"/>
      <c r="E43" s="73"/>
      <c r="F43" s="73"/>
      <c r="G43" s="73"/>
      <c r="H43" s="73"/>
      <c r="I43" s="73"/>
      <c r="J43" s="73"/>
      <c r="K43" s="73"/>
      <c r="L43" s="73"/>
      <c r="M43" s="73"/>
      <c r="N43" s="73"/>
      <c r="O43" s="73"/>
    </row>
    <row r="44" spans="1:15" s="15" customFormat="1" ht="20.399999999999999" x14ac:dyDescent="0.3">
      <c r="A44" s="73"/>
      <c r="B44" s="73"/>
      <c r="C44" s="102"/>
      <c r="D44" s="102"/>
      <c r="E44" s="73"/>
      <c r="F44" s="73"/>
      <c r="G44" s="73"/>
      <c r="H44" s="73"/>
      <c r="I44" s="73"/>
      <c r="J44" s="73"/>
      <c r="K44" s="73"/>
      <c r="L44" s="73"/>
      <c r="M44" s="73"/>
      <c r="N44" s="73"/>
      <c r="O44" s="73"/>
    </row>
    <row r="45" spans="1:15" s="15" customFormat="1" ht="20.399999999999999" x14ac:dyDescent="0.3">
      <c r="A45" s="73"/>
      <c r="B45" s="73"/>
      <c r="C45" s="102"/>
      <c r="D45" s="102"/>
      <c r="E45" s="73"/>
      <c r="F45" s="73"/>
      <c r="G45" s="73"/>
      <c r="H45" s="73"/>
      <c r="I45" s="73"/>
      <c r="J45" s="73"/>
      <c r="K45" s="73"/>
      <c r="L45" s="73"/>
      <c r="M45" s="73"/>
      <c r="N45" s="73"/>
      <c r="O45" s="73"/>
    </row>
    <row r="46" spans="1:15" s="15" customFormat="1" ht="20.399999999999999" x14ac:dyDescent="0.3">
      <c r="A46" s="73"/>
      <c r="B46" s="73"/>
      <c r="C46" s="102"/>
      <c r="D46" s="102"/>
      <c r="E46" s="73"/>
      <c r="F46" s="73"/>
      <c r="G46" s="73"/>
      <c r="H46" s="73"/>
      <c r="I46" s="73"/>
      <c r="J46" s="73"/>
      <c r="K46" s="73"/>
      <c r="L46" s="73"/>
      <c r="M46" s="73"/>
      <c r="N46" s="73"/>
      <c r="O46" s="73"/>
    </row>
    <row r="47" spans="1:15" s="15" customFormat="1" ht="20.399999999999999" x14ac:dyDescent="0.3">
      <c r="A47" s="73"/>
      <c r="B47" s="73"/>
      <c r="C47" s="102"/>
      <c r="D47" s="102"/>
      <c r="E47" s="73"/>
      <c r="F47" s="73"/>
      <c r="G47" s="73"/>
      <c r="H47" s="73"/>
      <c r="I47" s="73"/>
      <c r="J47" s="73"/>
      <c r="K47" s="73"/>
      <c r="L47" s="73"/>
      <c r="M47" s="73"/>
      <c r="N47" s="73"/>
      <c r="O47" s="73"/>
    </row>
    <row r="48" spans="1:15" s="15" customFormat="1" ht="20.399999999999999" x14ac:dyDescent="0.3">
      <c r="A48" s="73"/>
      <c r="B48" s="73"/>
      <c r="C48" s="102"/>
      <c r="D48" s="102"/>
      <c r="E48" s="73"/>
      <c r="F48" s="73"/>
      <c r="G48" s="73"/>
      <c r="H48" s="73"/>
      <c r="I48" s="73"/>
      <c r="J48" s="73"/>
      <c r="K48" s="73"/>
      <c r="L48" s="73"/>
      <c r="M48" s="73"/>
      <c r="N48" s="73"/>
      <c r="O48" s="73"/>
    </row>
    <row r="49" spans="1:15" s="15" customFormat="1" ht="20.399999999999999" x14ac:dyDescent="0.3">
      <c r="A49" s="73"/>
      <c r="B49" s="73"/>
      <c r="C49" s="102"/>
      <c r="D49" s="102"/>
      <c r="E49" s="73"/>
      <c r="F49" s="73"/>
      <c r="G49" s="73"/>
      <c r="H49" s="73"/>
      <c r="I49" s="73"/>
      <c r="J49" s="73"/>
      <c r="K49" s="73"/>
      <c r="L49" s="73"/>
      <c r="M49" s="73"/>
      <c r="N49" s="73"/>
      <c r="O49" s="73"/>
    </row>
    <row r="50" spans="1:15" s="15" customFormat="1" ht="20.399999999999999" x14ac:dyDescent="0.3">
      <c r="A50" s="73"/>
      <c r="B50" s="73"/>
      <c r="C50" s="102"/>
      <c r="D50" s="102"/>
      <c r="E50" s="73"/>
      <c r="F50" s="73"/>
      <c r="G50" s="73"/>
      <c r="H50" s="73"/>
      <c r="I50" s="73"/>
      <c r="J50" s="73"/>
      <c r="K50" s="73"/>
      <c r="L50" s="73"/>
      <c r="M50" s="73"/>
      <c r="N50" s="73"/>
      <c r="O50" s="73"/>
    </row>
    <row r="51" spans="1:15" s="15" customFormat="1" ht="20.399999999999999" x14ac:dyDescent="0.3">
      <c r="A51" s="73"/>
      <c r="B51" s="73"/>
      <c r="C51" s="102"/>
      <c r="D51" s="102"/>
      <c r="E51" s="73"/>
      <c r="F51" s="73"/>
      <c r="G51" s="73"/>
      <c r="H51" s="73"/>
      <c r="I51" s="73"/>
      <c r="J51" s="73"/>
      <c r="K51" s="73"/>
      <c r="L51" s="73"/>
      <c r="M51" s="73"/>
      <c r="N51" s="73"/>
      <c r="O51" s="73"/>
    </row>
    <row r="52" spans="1:15" s="15" customFormat="1" ht="20.399999999999999" x14ac:dyDescent="0.3">
      <c r="A52" s="73"/>
      <c r="C52" s="104"/>
      <c r="D52" s="104"/>
    </row>
    <row r="53" spans="1:15" s="15" customFormat="1" ht="20.399999999999999" x14ac:dyDescent="0.3">
      <c r="A53" s="73"/>
      <c r="C53" s="104"/>
      <c r="D53" s="104"/>
    </row>
    <row r="54" spans="1:15" s="15" customFormat="1" ht="20.399999999999999" x14ac:dyDescent="0.3">
      <c r="A54" s="73"/>
      <c r="C54" s="104"/>
      <c r="D54" s="104"/>
    </row>
    <row r="55" spans="1:15" s="15" customFormat="1" ht="20.399999999999999" x14ac:dyDescent="0.3">
      <c r="A55" s="73"/>
      <c r="C55" s="104"/>
      <c r="D55" s="104"/>
    </row>
    <row r="56" spans="1:15" s="15" customFormat="1" ht="20.399999999999999" x14ac:dyDescent="0.3">
      <c r="A56" s="73"/>
      <c r="C56" s="104"/>
      <c r="D56" s="104"/>
    </row>
    <row r="57" spans="1:15" s="15" customFormat="1" ht="20.399999999999999" x14ac:dyDescent="0.3">
      <c r="A57" s="73"/>
      <c r="C57" s="104"/>
      <c r="D57" s="104"/>
    </row>
    <row r="58" spans="1:15" s="15" customFormat="1" ht="20.399999999999999" x14ac:dyDescent="0.3">
      <c r="A58" s="73"/>
      <c r="C58" s="104"/>
      <c r="D58" s="104"/>
    </row>
    <row r="59" spans="1:15" s="15" customFormat="1" ht="20.399999999999999" x14ac:dyDescent="0.3">
      <c r="A59" s="73"/>
      <c r="C59" s="104"/>
      <c r="D59" s="104"/>
    </row>
    <row r="60" spans="1:15" s="15" customFormat="1" ht="20.399999999999999" x14ac:dyDescent="0.3">
      <c r="A60" s="73"/>
      <c r="C60" s="104"/>
      <c r="D60" s="104"/>
    </row>
    <row r="61" spans="1:15" s="15" customFormat="1" ht="20.399999999999999" x14ac:dyDescent="0.3">
      <c r="A61" s="73"/>
      <c r="C61" s="104"/>
      <c r="D61" s="104"/>
    </row>
    <row r="62" spans="1:15" s="15" customFormat="1" ht="20.399999999999999" x14ac:dyDescent="0.3">
      <c r="A62" s="73"/>
      <c r="C62" s="104"/>
      <c r="D62" s="104"/>
    </row>
    <row r="63" spans="1:15" s="15" customFormat="1" ht="20.399999999999999" x14ac:dyDescent="0.3">
      <c r="A63" s="73"/>
      <c r="C63" s="104"/>
      <c r="D63" s="104"/>
    </row>
    <row r="64" spans="1:15" s="15" customFormat="1" ht="20.399999999999999" x14ac:dyDescent="0.3">
      <c r="A64" s="73"/>
      <c r="C64" s="104"/>
      <c r="D64" s="104"/>
    </row>
    <row r="65" spans="1:4" s="15" customFormat="1" ht="20.399999999999999" x14ac:dyDescent="0.3">
      <c r="A65" s="73"/>
      <c r="C65" s="104"/>
      <c r="D65" s="104"/>
    </row>
    <row r="66" spans="1:4" s="15" customFormat="1" ht="20.399999999999999" x14ac:dyDescent="0.3">
      <c r="A66" s="73"/>
      <c r="C66" s="104"/>
      <c r="D66" s="104"/>
    </row>
    <row r="67" spans="1:4" s="15" customFormat="1" ht="20.399999999999999" x14ac:dyDescent="0.3">
      <c r="A67" s="73"/>
      <c r="C67" s="104"/>
      <c r="D67" s="104"/>
    </row>
    <row r="68" spans="1:4" s="15" customFormat="1" ht="20.399999999999999" x14ac:dyDescent="0.3">
      <c r="A68" s="73"/>
      <c r="C68" s="104"/>
      <c r="D68" s="104"/>
    </row>
    <row r="69" spans="1:4" s="15" customFormat="1" ht="20.399999999999999" x14ac:dyDescent="0.3">
      <c r="A69" s="73"/>
      <c r="C69" s="104"/>
      <c r="D69" s="104"/>
    </row>
    <row r="70" spans="1:4" s="15" customFormat="1" ht="20.399999999999999" x14ac:dyDescent="0.3">
      <c r="A70" s="73"/>
      <c r="C70" s="104"/>
      <c r="D70" s="104"/>
    </row>
    <row r="71" spans="1:4" s="15" customFormat="1" ht="20.399999999999999" x14ac:dyDescent="0.3">
      <c r="A71" s="73"/>
      <c r="C71" s="104"/>
      <c r="D71" s="104"/>
    </row>
    <row r="72" spans="1:4" s="15" customFormat="1" ht="20.399999999999999" x14ac:dyDescent="0.3">
      <c r="A72" s="73"/>
      <c r="C72" s="104"/>
      <c r="D72" s="104"/>
    </row>
    <row r="73" spans="1:4" s="15" customFormat="1" ht="20.399999999999999" x14ac:dyDescent="0.3">
      <c r="A73" s="73"/>
      <c r="C73" s="104"/>
      <c r="D73" s="104"/>
    </row>
    <row r="74" spans="1:4" s="15" customFormat="1" ht="20.399999999999999" x14ac:dyDescent="0.3">
      <c r="A74" s="73"/>
      <c r="C74" s="104"/>
      <c r="D74" s="104"/>
    </row>
    <row r="75" spans="1:4" s="15" customFormat="1" ht="20.399999999999999" x14ac:dyDescent="0.3">
      <c r="A75" s="73"/>
      <c r="C75" s="104"/>
      <c r="D75" s="104"/>
    </row>
    <row r="76" spans="1:4" s="15" customFormat="1" ht="20.399999999999999" x14ac:dyDescent="0.3">
      <c r="A76" s="73"/>
      <c r="C76" s="104"/>
      <c r="D76" s="104"/>
    </row>
    <row r="77" spans="1:4" s="15" customFormat="1" ht="20.399999999999999" x14ac:dyDescent="0.3">
      <c r="A77" s="73"/>
      <c r="C77" s="104"/>
      <c r="D77" s="104"/>
    </row>
    <row r="78" spans="1:4" s="15" customFormat="1" ht="20.399999999999999" x14ac:dyDescent="0.3">
      <c r="A78" s="73"/>
      <c r="C78" s="104"/>
      <c r="D78" s="104"/>
    </row>
    <row r="79" spans="1:4" s="15" customFormat="1" ht="20.399999999999999" x14ac:dyDescent="0.3">
      <c r="A79" s="73"/>
      <c r="C79" s="104"/>
      <c r="D79" s="104"/>
    </row>
    <row r="80" spans="1:4" s="15" customFormat="1" ht="20.399999999999999" x14ac:dyDescent="0.3">
      <c r="A80" s="73"/>
      <c r="C80" s="104"/>
      <c r="D80" s="104"/>
    </row>
    <row r="81" spans="1:4" s="15" customFormat="1" ht="20.399999999999999" x14ac:dyDescent="0.3">
      <c r="A81" s="73"/>
      <c r="C81" s="104"/>
      <c r="D81" s="104"/>
    </row>
    <row r="82" spans="1:4" s="15" customFormat="1" ht="20.399999999999999" x14ac:dyDescent="0.3">
      <c r="A82" s="73"/>
      <c r="C82" s="104"/>
      <c r="D82" s="104"/>
    </row>
    <row r="83" spans="1:4" s="15" customFormat="1" ht="20.399999999999999" x14ac:dyDescent="0.3">
      <c r="A83" s="73"/>
      <c r="C83" s="104"/>
      <c r="D83" s="104"/>
    </row>
    <row r="84" spans="1:4" s="15" customFormat="1" ht="20.399999999999999" x14ac:dyDescent="0.3">
      <c r="A84" s="73"/>
      <c r="C84" s="104"/>
      <c r="D84" s="104"/>
    </row>
    <row r="85" spans="1:4" s="15" customFormat="1" ht="20.399999999999999" x14ac:dyDescent="0.3">
      <c r="A85" s="73"/>
      <c r="C85" s="104"/>
      <c r="D85" s="104"/>
    </row>
    <row r="86" spans="1:4" s="15" customFormat="1" ht="20.399999999999999" x14ac:dyDescent="0.3">
      <c r="A86" s="73"/>
      <c r="C86" s="104"/>
      <c r="D86" s="104"/>
    </row>
    <row r="87" spans="1:4" s="15" customFormat="1" ht="20.399999999999999" x14ac:dyDescent="0.3">
      <c r="A87" s="73"/>
      <c r="C87" s="104"/>
      <c r="D87" s="104"/>
    </row>
    <row r="88" spans="1:4" s="15" customFormat="1" ht="20.399999999999999" x14ac:dyDescent="0.3">
      <c r="A88" s="73"/>
      <c r="C88" s="104"/>
      <c r="D88" s="104"/>
    </row>
    <row r="89" spans="1:4" s="15" customFormat="1" ht="20.399999999999999" x14ac:dyDescent="0.3">
      <c r="A89" s="73"/>
      <c r="C89" s="104"/>
      <c r="D89" s="104"/>
    </row>
    <row r="90" spans="1:4" s="15" customFormat="1" ht="20.399999999999999" x14ac:dyDescent="0.3">
      <c r="A90" s="73"/>
      <c r="C90" s="104"/>
      <c r="D90" s="104"/>
    </row>
    <row r="91" spans="1:4" s="15" customFormat="1" ht="20.399999999999999" x14ac:dyDescent="0.3">
      <c r="A91" s="73"/>
      <c r="C91" s="104"/>
      <c r="D91" s="104"/>
    </row>
    <row r="92" spans="1:4" s="15" customFormat="1" ht="20.399999999999999" x14ac:dyDescent="0.3">
      <c r="A92" s="73"/>
      <c r="C92" s="104"/>
      <c r="D92" s="104"/>
    </row>
    <row r="93" spans="1:4" s="15" customFormat="1" ht="20.399999999999999" x14ac:dyDescent="0.3">
      <c r="A93" s="73"/>
      <c r="C93" s="104"/>
      <c r="D93" s="104"/>
    </row>
    <row r="94" spans="1:4" s="15" customFormat="1" ht="20.399999999999999" x14ac:dyDescent="0.3">
      <c r="A94" s="73"/>
      <c r="C94" s="104"/>
      <c r="D94" s="104"/>
    </row>
    <row r="95" spans="1:4" s="15" customFormat="1" ht="20.399999999999999" x14ac:dyDescent="0.3">
      <c r="A95" s="73"/>
      <c r="C95" s="104"/>
      <c r="D95" s="104"/>
    </row>
    <row r="96" spans="1:4" s="15" customFormat="1" ht="20.399999999999999" x14ac:dyDescent="0.3">
      <c r="A96" s="73"/>
      <c r="C96" s="104"/>
      <c r="D96" s="104"/>
    </row>
    <row r="97" spans="1:4" s="15" customFormat="1" ht="20.399999999999999" x14ac:dyDescent="0.3">
      <c r="A97" s="73"/>
      <c r="C97" s="104"/>
      <c r="D97" s="104"/>
    </row>
    <row r="98" spans="1:4" s="15" customFormat="1" ht="20.399999999999999" x14ac:dyDescent="0.3">
      <c r="A98" s="73"/>
      <c r="C98" s="104"/>
      <c r="D98" s="104"/>
    </row>
    <row r="99" spans="1:4" s="15" customFormat="1" ht="20.399999999999999" x14ac:dyDescent="0.3">
      <c r="A99" s="73"/>
      <c r="C99" s="104"/>
      <c r="D99" s="104"/>
    </row>
    <row r="100" spans="1:4" s="15" customFormat="1" ht="20.399999999999999" x14ac:dyDescent="0.3">
      <c r="A100" s="73"/>
      <c r="C100" s="104"/>
      <c r="D100" s="104"/>
    </row>
    <row r="101" spans="1:4" s="15" customFormat="1" ht="20.399999999999999" x14ac:dyDescent="0.3">
      <c r="A101" s="73"/>
      <c r="C101" s="104"/>
      <c r="D101" s="104"/>
    </row>
    <row r="102" spans="1:4" s="15" customFormat="1" ht="20.399999999999999" x14ac:dyDescent="0.3">
      <c r="A102" s="73"/>
      <c r="C102" s="104"/>
      <c r="D102" s="104"/>
    </row>
    <row r="103" spans="1:4" s="15" customFormat="1" ht="20.399999999999999" x14ac:dyDescent="0.3">
      <c r="A103" s="73"/>
      <c r="C103" s="104"/>
      <c r="D103" s="104"/>
    </row>
    <row r="104" spans="1:4" s="15" customFormat="1" ht="20.399999999999999" x14ac:dyDescent="0.3">
      <c r="A104" s="73"/>
      <c r="C104" s="104"/>
      <c r="D104" s="104"/>
    </row>
    <row r="105" spans="1:4" s="15" customFormat="1" ht="20.399999999999999" x14ac:dyDescent="0.3">
      <c r="A105" s="73"/>
      <c r="C105" s="104"/>
      <c r="D105" s="104"/>
    </row>
    <row r="106" spans="1:4" s="15" customFormat="1" ht="20.399999999999999" x14ac:dyDescent="0.3">
      <c r="A106" s="73"/>
      <c r="C106" s="104"/>
      <c r="D106" s="104"/>
    </row>
    <row r="107" spans="1:4" s="15" customFormat="1" ht="20.399999999999999" x14ac:dyDescent="0.3">
      <c r="A107" s="73"/>
      <c r="C107" s="104"/>
      <c r="D107" s="104"/>
    </row>
    <row r="108" spans="1:4" s="15" customFormat="1" ht="20.399999999999999" x14ac:dyDescent="0.3">
      <c r="A108" s="73"/>
      <c r="C108" s="104"/>
      <c r="D108" s="104"/>
    </row>
    <row r="109" spans="1:4" s="15" customFormat="1" ht="20.399999999999999" x14ac:dyDescent="0.3">
      <c r="A109" s="73"/>
      <c r="C109" s="104"/>
      <c r="D109" s="104"/>
    </row>
    <row r="110" spans="1:4" s="15" customFormat="1" ht="20.399999999999999" x14ac:dyDescent="0.3">
      <c r="A110" s="73"/>
      <c r="C110" s="104"/>
      <c r="D110" s="104"/>
    </row>
    <row r="111" spans="1:4" s="15" customFormat="1" ht="20.399999999999999" x14ac:dyDescent="0.3">
      <c r="A111" s="73"/>
      <c r="C111" s="104"/>
      <c r="D111" s="104"/>
    </row>
    <row r="112" spans="1:4" s="15" customFormat="1" ht="20.399999999999999" x14ac:dyDescent="0.3">
      <c r="A112" s="73"/>
      <c r="C112" s="104"/>
      <c r="D112" s="104"/>
    </row>
    <row r="113" spans="1:4" s="15" customFormat="1" ht="20.399999999999999" x14ac:dyDescent="0.3">
      <c r="A113" s="73"/>
      <c r="C113" s="104"/>
      <c r="D113" s="104"/>
    </row>
    <row r="114" spans="1:4" s="15" customFormat="1" ht="20.399999999999999" x14ac:dyDescent="0.3">
      <c r="A114" s="73"/>
      <c r="C114" s="104"/>
      <c r="D114" s="104"/>
    </row>
    <row r="115" spans="1:4" s="15" customFormat="1" ht="20.399999999999999" x14ac:dyDescent="0.3">
      <c r="A115" s="73"/>
      <c r="C115" s="104"/>
      <c r="D115" s="104"/>
    </row>
    <row r="116" spans="1:4" s="15" customFormat="1" ht="20.399999999999999" x14ac:dyDescent="0.3">
      <c r="A116" s="73"/>
      <c r="C116" s="104"/>
      <c r="D116" s="104"/>
    </row>
    <row r="117" spans="1:4" s="15" customFormat="1" ht="20.399999999999999" x14ac:dyDescent="0.3">
      <c r="A117" s="73"/>
      <c r="C117" s="104"/>
      <c r="D117" s="104"/>
    </row>
    <row r="118" spans="1:4" s="15" customFormat="1" ht="20.399999999999999" x14ac:dyDescent="0.3">
      <c r="A118" s="73"/>
      <c r="C118" s="104"/>
      <c r="D118" s="104"/>
    </row>
    <row r="119" spans="1:4" s="15" customFormat="1" ht="20.399999999999999" x14ac:dyDescent="0.3">
      <c r="A119" s="73"/>
      <c r="C119" s="104"/>
      <c r="D119" s="104"/>
    </row>
    <row r="120" spans="1:4" s="15" customFormat="1" ht="20.399999999999999" x14ac:dyDescent="0.3">
      <c r="A120" s="73"/>
      <c r="C120" s="104"/>
      <c r="D120" s="104"/>
    </row>
    <row r="121" spans="1:4" s="15" customFormat="1" ht="20.399999999999999" x14ac:dyDescent="0.3">
      <c r="A121" s="73"/>
      <c r="C121" s="104"/>
      <c r="D121" s="104"/>
    </row>
    <row r="122" spans="1:4" s="15" customFormat="1" ht="20.399999999999999" x14ac:dyDescent="0.3">
      <c r="A122" s="73"/>
      <c r="C122" s="104"/>
      <c r="D122" s="104"/>
    </row>
    <row r="123" spans="1:4" s="15" customFormat="1" ht="20.399999999999999" x14ac:dyDescent="0.3">
      <c r="A123" s="73"/>
      <c r="C123" s="104"/>
      <c r="D123" s="104"/>
    </row>
    <row r="124" spans="1:4" s="15" customFormat="1" ht="20.399999999999999" x14ac:dyDescent="0.3">
      <c r="A124" s="73"/>
      <c r="C124" s="104"/>
      <c r="D124" s="104"/>
    </row>
    <row r="125" spans="1:4" s="15" customFormat="1" ht="20.399999999999999" x14ac:dyDescent="0.3">
      <c r="A125" s="73"/>
      <c r="C125" s="104"/>
      <c r="D125" s="104"/>
    </row>
    <row r="126" spans="1:4" s="15" customFormat="1" ht="20.399999999999999" x14ac:dyDescent="0.3">
      <c r="A126" s="73"/>
      <c r="C126" s="104"/>
      <c r="D126" s="104"/>
    </row>
    <row r="127" spans="1:4" s="15" customFormat="1" ht="20.399999999999999" x14ac:dyDescent="0.3">
      <c r="A127" s="73"/>
      <c r="C127" s="104"/>
      <c r="D127" s="104"/>
    </row>
    <row r="128" spans="1:4" s="15" customFormat="1" ht="20.399999999999999" x14ac:dyDescent="0.3">
      <c r="A128" s="73"/>
      <c r="C128" s="104"/>
      <c r="D128" s="104"/>
    </row>
    <row r="129" spans="1:4" s="15" customFormat="1" ht="20.399999999999999" x14ac:dyDescent="0.3">
      <c r="A129" s="73"/>
      <c r="C129" s="104"/>
      <c r="D129" s="104"/>
    </row>
    <row r="130" spans="1:4" s="15" customFormat="1" ht="20.399999999999999" x14ac:dyDescent="0.3">
      <c r="A130" s="73"/>
      <c r="C130" s="104"/>
      <c r="D130" s="104"/>
    </row>
    <row r="131" spans="1:4" s="15" customFormat="1" ht="20.399999999999999" x14ac:dyDescent="0.3">
      <c r="A131" s="73"/>
      <c r="C131" s="104"/>
      <c r="D131" s="104"/>
    </row>
    <row r="132" spans="1:4" s="15" customFormat="1" ht="20.399999999999999" x14ac:dyDescent="0.3">
      <c r="A132" s="73"/>
      <c r="C132" s="104"/>
      <c r="D132" s="104"/>
    </row>
    <row r="133" spans="1:4" s="15" customFormat="1" ht="20.399999999999999" x14ac:dyDescent="0.3">
      <c r="A133" s="73"/>
      <c r="C133" s="104"/>
      <c r="D133" s="104"/>
    </row>
    <row r="134" spans="1:4" s="15" customFormat="1" ht="20.399999999999999" x14ac:dyDescent="0.3">
      <c r="A134" s="73"/>
      <c r="C134" s="104"/>
      <c r="D134" s="104"/>
    </row>
    <row r="135" spans="1:4" s="15" customFormat="1" ht="20.399999999999999" x14ac:dyDescent="0.3">
      <c r="A135" s="73"/>
      <c r="C135" s="104"/>
      <c r="D135" s="104"/>
    </row>
    <row r="136" spans="1:4" s="15" customFormat="1" ht="20.399999999999999" x14ac:dyDescent="0.3">
      <c r="A136" s="73"/>
      <c r="C136" s="104"/>
      <c r="D136" s="104"/>
    </row>
    <row r="137" spans="1:4" s="15" customFormat="1" ht="20.399999999999999" x14ac:dyDescent="0.3">
      <c r="A137" s="73"/>
      <c r="C137" s="104"/>
      <c r="D137" s="104"/>
    </row>
    <row r="138" spans="1:4" s="15" customFormat="1" ht="20.399999999999999" x14ac:dyDescent="0.3">
      <c r="A138" s="73"/>
      <c r="C138" s="104"/>
      <c r="D138" s="104"/>
    </row>
    <row r="139" spans="1:4" s="15" customFormat="1" ht="20.399999999999999" x14ac:dyDescent="0.3">
      <c r="A139" s="73"/>
      <c r="C139" s="104"/>
      <c r="D139" s="104"/>
    </row>
    <row r="140" spans="1:4" s="15" customFormat="1" ht="20.399999999999999" x14ac:dyDescent="0.3">
      <c r="A140" s="73"/>
      <c r="C140" s="104"/>
      <c r="D140" s="104"/>
    </row>
    <row r="141" spans="1:4" s="15" customFormat="1" ht="20.399999999999999" x14ac:dyDescent="0.3">
      <c r="A141" s="73"/>
      <c r="C141" s="104"/>
      <c r="D141" s="104"/>
    </row>
    <row r="142" spans="1:4" s="15" customFormat="1" ht="20.399999999999999" x14ac:dyDescent="0.3">
      <c r="A142" s="73"/>
      <c r="C142" s="104"/>
      <c r="D142" s="104"/>
    </row>
    <row r="143" spans="1:4" s="15" customFormat="1" ht="20.399999999999999" x14ac:dyDescent="0.3">
      <c r="A143" s="73"/>
      <c r="C143" s="104"/>
      <c r="D143" s="104"/>
    </row>
    <row r="144" spans="1:4" s="15" customFormat="1" ht="20.399999999999999" x14ac:dyDescent="0.3">
      <c r="A144" s="73"/>
      <c r="C144" s="104"/>
      <c r="D144" s="104"/>
    </row>
    <row r="145" spans="1:4" s="15" customFormat="1" ht="20.399999999999999" x14ac:dyDescent="0.3">
      <c r="A145" s="73"/>
      <c r="C145" s="104"/>
      <c r="D145" s="104"/>
    </row>
    <row r="146" spans="1:4" s="15" customFormat="1" ht="20.399999999999999" x14ac:dyDescent="0.3">
      <c r="A146" s="73"/>
      <c r="C146" s="104"/>
      <c r="D146" s="104"/>
    </row>
    <row r="147" spans="1:4" s="15" customFormat="1" ht="20.399999999999999" x14ac:dyDescent="0.3">
      <c r="A147" s="73"/>
      <c r="C147" s="104"/>
      <c r="D147" s="104"/>
    </row>
    <row r="148" spans="1:4" s="15" customFormat="1" ht="20.399999999999999" x14ac:dyDescent="0.3">
      <c r="A148" s="73"/>
      <c r="C148" s="104"/>
      <c r="D148" s="104"/>
    </row>
    <row r="149" spans="1:4" s="15" customFormat="1" ht="20.399999999999999" x14ac:dyDescent="0.3">
      <c r="A149" s="73"/>
      <c r="C149" s="104"/>
      <c r="D149" s="104"/>
    </row>
    <row r="150" spans="1:4" s="15" customFormat="1" ht="20.399999999999999" x14ac:dyDescent="0.3">
      <c r="A150" s="73"/>
      <c r="C150" s="104"/>
      <c r="D150" s="104"/>
    </row>
    <row r="151" spans="1:4" s="15" customFormat="1" ht="20.399999999999999" x14ac:dyDescent="0.3">
      <c r="A151" s="73"/>
      <c r="C151" s="104"/>
      <c r="D151" s="104"/>
    </row>
    <row r="152" spans="1:4" s="15" customFormat="1" ht="20.399999999999999" x14ac:dyDescent="0.3">
      <c r="A152" s="73"/>
      <c r="C152" s="104"/>
      <c r="D152" s="104"/>
    </row>
    <row r="153" spans="1:4" s="15" customFormat="1" ht="20.399999999999999" x14ac:dyDescent="0.3">
      <c r="A153" s="73"/>
      <c r="C153" s="104"/>
      <c r="D153" s="104"/>
    </row>
    <row r="154" spans="1:4" s="15" customFormat="1" ht="20.399999999999999" x14ac:dyDescent="0.3">
      <c r="A154" s="73"/>
      <c r="C154" s="104"/>
      <c r="D154" s="104"/>
    </row>
    <row r="155" spans="1:4" s="15" customFormat="1" ht="20.399999999999999" x14ac:dyDescent="0.3">
      <c r="A155" s="73"/>
      <c r="C155" s="104"/>
      <c r="D155" s="104"/>
    </row>
    <row r="156" spans="1:4" s="15" customFormat="1" ht="20.399999999999999" x14ac:dyDescent="0.3">
      <c r="A156" s="73"/>
      <c r="C156" s="104"/>
      <c r="D156" s="104"/>
    </row>
    <row r="157" spans="1:4" s="15" customFormat="1" ht="20.399999999999999" x14ac:dyDescent="0.3">
      <c r="A157" s="73"/>
      <c r="C157" s="104"/>
      <c r="D157" s="104"/>
    </row>
    <row r="158" spans="1:4" s="15" customFormat="1" ht="20.399999999999999" x14ac:dyDescent="0.3">
      <c r="A158" s="73"/>
      <c r="C158" s="104"/>
      <c r="D158" s="104"/>
    </row>
    <row r="159" spans="1:4" s="15" customFormat="1" ht="20.399999999999999" x14ac:dyDescent="0.3">
      <c r="A159" s="73"/>
      <c r="C159" s="104"/>
      <c r="D159" s="104"/>
    </row>
    <row r="160" spans="1:4" s="15" customFormat="1" ht="20.399999999999999" x14ac:dyDescent="0.3">
      <c r="A160" s="73"/>
      <c r="C160" s="104"/>
      <c r="D160" s="104"/>
    </row>
    <row r="161" spans="1:4" s="15" customFormat="1" ht="20.399999999999999" x14ac:dyDescent="0.3">
      <c r="A161" s="73"/>
      <c r="C161" s="104"/>
      <c r="D161" s="104"/>
    </row>
    <row r="162" spans="1:4" s="15" customFormat="1" ht="20.399999999999999" x14ac:dyDescent="0.3">
      <c r="A162" s="73"/>
      <c r="C162" s="104"/>
      <c r="D162" s="104"/>
    </row>
    <row r="163" spans="1:4" s="15" customFormat="1" ht="20.399999999999999" x14ac:dyDescent="0.3">
      <c r="A163" s="73"/>
      <c r="C163" s="104"/>
      <c r="D163" s="104"/>
    </row>
    <row r="164" spans="1:4" s="15" customFormat="1" ht="20.399999999999999" x14ac:dyDescent="0.3">
      <c r="A164" s="73"/>
      <c r="C164" s="104"/>
      <c r="D164" s="104"/>
    </row>
    <row r="165" spans="1:4" s="15" customFormat="1" ht="20.399999999999999" x14ac:dyDescent="0.3">
      <c r="A165" s="73"/>
      <c r="C165" s="104"/>
      <c r="D165" s="104"/>
    </row>
    <row r="166" spans="1:4" s="15" customFormat="1" ht="20.399999999999999" x14ac:dyDescent="0.3">
      <c r="A166" s="73"/>
      <c r="C166" s="104"/>
      <c r="D166" s="104"/>
    </row>
    <row r="167" spans="1:4" s="15" customFormat="1" ht="20.399999999999999" x14ac:dyDescent="0.3">
      <c r="A167" s="73"/>
      <c r="C167" s="104"/>
      <c r="D167" s="104"/>
    </row>
    <row r="168" spans="1:4" s="15" customFormat="1" ht="20.399999999999999" x14ac:dyDescent="0.3">
      <c r="A168" s="73"/>
      <c r="C168" s="104"/>
      <c r="D168" s="104"/>
    </row>
    <row r="169" spans="1:4" s="15" customFormat="1" ht="20.399999999999999" x14ac:dyDescent="0.3">
      <c r="A169" s="73"/>
      <c r="C169" s="104"/>
      <c r="D169" s="104"/>
    </row>
    <row r="170" spans="1:4" s="15" customFormat="1" ht="20.399999999999999" x14ac:dyDescent="0.3">
      <c r="A170" s="73"/>
      <c r="C170" s="104"/>
      <c r="D170" s="104"/>
    </row>
    <row r="171" spans="1:4" s="15" customFormat="1" ht="20.399999999999999" x14ac:dyDescent="0.3">
      <c r="A171" s="73"/>
      <c r="C171" s="104"/>
      <c r="D171" s="104"/>
    </row>
    <row r="172" spans="1:4" s="15" customFormat="1" ht="20.399999999999999" x14ac:dyDescent="0.3">
      <c r="A172" s="73"/>
      <c r="C172" s="104"/>
      <c r="D172" s="104"/>
    </row>
    <row r="173" spans="1:4" s="15" customFormat="1" ht="20.399999999999999" x14ac:dyDescent="0.3">
      <c r="A173" s="73"/>
      <c r="C173" s="104"/>
      <c r="D173" s="104"/>
    </row>
    <row r="174" spans="1:4" s="15" customFormat="1" ht="20.399999999999999" x14ac:dyDescent="0.3">
      <c r="A174" s="73"/>
      <c r="C174" s="104"/>
      <c r="D174" s="104"/>
    </row>
    <row r="175" spans="1:4" s="15" customFormat="1" ht="20.399999999999999" x14ac:dyDescent="0.3">
      <c r="A175" s="73"/>
      <c r="C175" s="104"/>
      <c r="D175" s="104"/>
    </row>
    <row r="176" spans="1:4" s="15" customFormat="1" ht="20.399999999999999" x14ac:dyDescent="0.3">
      <c r="A176" s="73"/>
      <c r="C176" s="104"/>
      <c r="D176" s="104"/>
    </row>
    <row r="177" spans="1:4" s="15" customFormat="1" ht="20.399999999999999" x14ac:dyDescent="0.3">
      <c r="A177" s="73"/>
      <c r="C177" s="104"/>
      <c r="D177" s="104"/>
    </row>
    <row r="178" spans="1:4" s="15" customFormat="1" ht="20.399999999999999" x14ac:dyDescent="0.3">
      <c r="A178" s="73"/>
      <c r="C178" s="104"/>
      <c r="D178" s="104"/>
    </row>
    <row r="179" spans="1:4" s="15" customFormat="1" ht="20.399999999999999" x14ac:dyDescent="0.3">
      <c r="A179" s="73"/>
      <c r="C179" s="104"/>
      <c r="D179" s="104"/>
    </row>
    <row r="180" spans="1:4" s="15" customFormat="1" ht="20.399999999999999" x14ac:dyDescent="0.3">
      <c r="A180" s="73"/>
      <c r="C180" s="104"/>
      <c r="D180" s="104"/>
    </row>
    <row r="181" spans="1:4" s="15" customFormat="1" ht="20.399999999999999" x14ac:dyDescent="0.3">
      <c r="A181" s="73"/>
      <c r="C181" s="104"/>
      <c r="D181" s="104"/>
    </row>
    <row r="182" spans="1:4" s="15" customFormat="1" ht="20.399999999999999" x14ac:dyDescent="0.3">
      <c r="A182" s="73"/>
      <c r="C182" s="104"/>
      <c r="D182" s="104"/>
    </row>
    <row r="183" spans="1:4" s="15" customFormat="1" ht="20.399999999999999" x14ac:dyDescent="0.3">
      <c r="A183" s="73"/>
      <c r="C183" s="104"/>
      <c r="D183" s="104"/>
    </row>
    <row r="184" spans="1:4" s="15" customFormat="1" ht="20.399999999999999" x14ac:dyDescent="0.3">
      <c r="A184" s="73"/>
      <c r="C184" s="104"/>
      <c r="D184" s="104"/>
    </row>
    <row r="185" spans="1:4" s="15" customFormat="1" ht="20.399999999999999" x14ac:dyDescent="0.3">
      <c r="A185" s="73"/>
      <c r="C185" s="104"/>
      <c r="D185" s="104"/>
    </row>
    <row r="186" spans="1:4" s="15" customFormat="1" ht="20.399999999999999" x14ac:dyDescent="0.3">
      <c r="A186" s="73"/>
      <c r="C186" s="104"/>
      <c r="D186" s="104"/>
    </row>
    <row r="187" spans="1:4" s="15" customFormat="1" ht="20.399999999999999" x14ac:dyDescent="0.3">
      <c r="A187" s="73"/>
      <c r="C187" s="104"/>
      <c r="D187" s="104"/>
    </row>
    <row r="188" spans="1:4" s="15" customFormat="1" ht="20.399999999999999" x14ac:dyDescent="0.3">
      <c r="A188" s="73"/>
      <c r="C188" s="104"/>
      <c r="D188" s="104"/>
    </row>
    <row r="189" spans="1:4" s="15" customFormat="1" ht="20.399999999999999" x14ac:dyDescent="0.3">
      <c r="A189" s="73"/>
      <c r="C189" s="104"/>
      <c r="D189" s="104"/>
    </row>
    <row r="190" spans="1:4" s="15" customFormat="1" ht="20.399999999999999" x14ac:dyDescent="0.3">
      <c r="A190" s="73"/>
      <c r="C190" s="104"/>
      <c r="D190" s="104"/>
    </row>
    <row r="191" spans="1:4" s="15" customFormat="1" ht="20.399999999999999" x14ac:dyDescent="0.3">
      <c r="A191" s="73"/>
      <c r="C191" s="104"/>
      <c r="D191" s="104"/>
    </row>
    <row r="192" spans="1:4" s="15" customFormat="1" ht="20.399999999999999" x14ac:dyDescent="0.3">
      <c r="A192" s="73"/>
      <c r="C192" s="104"/>
      <c r="D192" s="104"/>
    </row>
    <row r="193" spans="1:4" s="15" customFormat="1" ht="20.399999999999999" x14ac:dyDescent="0.3">
      <c r="A193" s="73"/>
      <c r="C193" s="104"/>
      <c r="D193" s="104"/>
    </row>
    <row r="194" spans="1:4" s="15" customFormat="1" ht="20.399999999999999" x14ac:dyDescent="0.3">
      <c r="A194" s="73"/>
      <c r="C194" s="104"/>
      <c r="D194" s="104"/>
    </row>
    <row r="195" spans="1:4" s="15" customFormat="1" ht="20.399999999999999" x14ac:dyDescent="0.3">
      <c r="A195" s="73"/>
      <c r="C195" s="104"/>
      <c r="D195" s="104"/>
    </row>
    <row r="196" spans="1:4" s="15" customFormat="1" ht="20.399999999999999" x14ac:dyDescent="0.3">
      <c r="A196" s="73"/>
      <c r="C196" s="104"/>
      <c r="D196" s="104"/>
    </row>
    <row r="197" spans="1:4" s="15" customFormat="1" ht="20.399999999999999" x14ac:dyDescent="0.3">
      <c r="A197" s="73"/>
      <c r="C197" s="104"/>
      <c r="D197" s="104"/>
    </row>
    <row r="198" spans="1:4" s="15" customFormat="1" ht="20.399999999999999" x14ac:dyDescent="0.3">
      <c r="A198" s="73"/>
      <c r="C198" s="104"/>
      <c r="D198" s="104"/>
    </row>
    <row r="199" spans="1:4" s="15" customFormat="1" ht="20.399999999999999" x14ac:dyDescent="0.3">
      <c r="A199" s="73"/>
      <c r="C199" s="104"/>
      <c r="D199" s="104"/>
    </row>
    <row r="200" spans="1:4" s="15" customFormat="1" ht="20.399999999999999" x14ac:dyDescent="0.3">
      <c r="A200" s="73"/>
      <c r="C200" s="104"/>
      <c r="D200" s="104"/>
    </row>
    <row r="201" spans="1:4" s="15" customFormat="1" ht="20.399999999999999" x14ac:dyDescent="0.3">
      <c r="A201" s="73"/>
      <c r="C201" s="104"/>
      <c r="D201" s="104"/>
    </row>
    <row r="202" spans="1:4" s="15" customFormat="1" ht="20.399999999999999" x14ac:dyDescent="0.3">
      <c r="A202" s="73"/>
      <c r="C202" s="104"/>
      <c r="D202" s="104"/>
    </row>
    <row r="203" spans="1:4" s="15" customFormat="1" ht="20.399999999999999" x14ac:dyDescent="0.3">
      <c r="A203" s="73"/>
      <c r="C203" s="104"/>
      <c r="D203" s="104"/>
    </row>
    <row r="204" spans="1:4" s="15" customFormat="1" ht="20.399999999999999" x14ac:dyDescent="0.3">
      <c r="A204" s="73"/>
      <c r="C204" s="104"/>
      <c r="D204" s="104"/>
    </row>
    <row r="205" spans="1:4" s="15" customFormat="1" ht="20.399999999999999" x14ac:dyDescent="0.3">
      <c r="A205" s="73"/>
      <c r="C205" s="104"/>
      <c r="D205" s="104"/>
    </row>
    <row r="206" spans="1:4" s="15" customFormat="1" ht="20.399999999999999" x14ac:dyDescent="0.3">
      <c r="A206" s="73"/>
      <c r="C206" s="104"/>
      <c r="D206" s="104"/>
    </row>
    <row r="207" spans="1:4" s="15" customFormat="1" ht="20.399999999999999" x14ac:dyDescent="0.3">
      <c r="A207" s="73"/>
      <c r="C207" s="104"/>
      <c r="D207" s="104"/>
    </row>
    <row r="208" spans="1:4" s="15" customFormat="1" x14ac:dyDescent="0.3">
      <c r="A208" s="73"/>
    </row>
    <row r="209" spans="1:8" s="15" customFormat="1" ht="20.399999999999999" x14ac:dyDescent="0.3">
      <c r="A209" s="73"/>
      <c r="B209" s="105" t="s">
        <v>87</v>
      </c>
      <c r="C209" s="105" t="s">
        <v>139</v>
      </c>
      <c r="D209" s="106" t="s">
        <v>87</v>
      </c>
      <c r="E209" s="106" t="s">
        <v>139</v>
      </c>
    </row>
    <row r="210" spans="1:8" s="15" customFormat="1" ht="42" x14ac:dyDescent="0.4">
      <c r="A210" s="73"/>
      <c r="B210" s="107" t="s">
        <v>89</v>
      </c>
      <c r="C210" s="107" t="s">
        <v>204</v>
      </c>
      <c r="D210" s="15" t="s">
        <v>89</v>
      </c>
      <c r="F210" s="15" t="str">
        <f>IF(NOT(ISBLANK(D210)),D210,IF(NOT(ISBLANK(E210)),"     "&amp;E210,FALSE))</f>
        <v>Afectación Económica o presupuestal</v>
      </c>
      <c r="G210" s="15" t="s">
        <v>89</v>
      </c>
      <c r="H210" s="15" t="str">
        <f ca="1">IF(NOT(ISERROR(MATCH(G210,_xlfn.ANCHORARRAY(B221),0))),F223&amp;"Por favor no seleccionar los criterios de impacto",G210)</f>
        <v>Afectación Económica o presupuestal</v>
      </c>
    </row>
    <row r="211" spans="1:8" s="15" customFormat="1" ht="42" x14ac:dyDescent="0.4">
      <c r="A211" s="73"/>
      <c r="B211" s="107" t="s">
        <v>89</v>
      </c>
      <c r="C211" s="107" t="s">
        <v>205</v>
      </c>
      <c r="E211" s="15" t="s">
        <v>204</v>
      </c>
      <c r="F211" s="15" t="str">
        <f t="shared" ref="F211:F221" si="0">IF(NOT(ISBLANK(D211)),D211,IF(NOT(ISBLANK(E211)),"     "&amp;E211,FALSE))</f>
        <v xml:space="preserve">     Afectación menor a 200 SMLMV</v>
      </c>
    </row>
    <row r="212" spans="1:8" s="15" customFormat="1" ht="42" x14ac:dyDescent="0.4">
      <c r="A212" s="73"/>
      <c r="B212" s="107" t="s">
        <v>89</v>
      </c>
      <c r="C212" s="107" t="s">
        <v>209</v>
      </c>
      <c r="E212" s="15" t="s">
        <v>205</v>
      </c>
      <c r="F212" s="15" t="str">
        <f t="shared" si="0"/>
        <v xml:space="preserve">     Entre 200 y 1000 SMLMV</v>
      </c>
    </row>
    <row r="213" spans="1:8" s="15" customFormat="1" ht="42" x14ac:dyDescent="0.4">
      <c r="A213" s="73"/>
      <c r="B213" s="107" t="s">
        <v>89</v>
      </c>
      <c r="C213" s="107" t="s">
        <v>210</v>
      </c>
      <c r="E213" s="15" t="s">
        <v>209</v>
      </c>
      <c r="F213" s="15" t="str">
        <f t="shared" si="0"/>
        <v xml:space="preserve">     Entre 1000 y 5000 SMLMV </v>
      </c>
    </row>
    <row r="214" spans="1:8" s="15" customFormat="1" ht="42" x14ac:dyDescent="0.4">
      <c r="A214" s="73"/>
      <c r="B214" s="107" t="s">
        <v>89</v>
      </c>
      <c r="C214" s="107" t="s">
        <v>206</v>
      </c>
      <c r="E214" s="15" t="s">
        <v>210</v>
      </c>
      <c r="F214" s="15" t="str">
        <f t="shared" si="0"/>
        <v xml:space="preserve">     Entre 5000 y 10000 SMLMV</v>
      </c>
    </row>
    <row r="215" spans="1:8" s="15" customFormat="1" ht="21" x14ac:dyDescent="0.4">
      <c r="A215" s="73"/>
      <c r="B215" s="107" t="s">
        <v>57</v>
      </c>
      <c r="C215" s="107" t="s">
        <v>92</v>
      </c>
      <c r="E215" s="15" t="s">
        <v>206</v>
      </c>
      <c r="F215" s="15" t="str">
        <f t="shared" si="0"/>
        <v xml:space="preserve">     Mayor a 10000 SMLMV</v>
      </c>
    </row>
    <row r="216" spans="1:8" s="15" customFormat="1" ht="63" x14ac:dyDescent="0.4">
      <c r="A216" s="73"/>
      <c r="B216" s="107" t="s">
        <v>57</v>
      </c>
      <c r="C216" s="107" t="s">
        <v>93</v>
      </c>
      <c r="D216" s="15" t="s">
        <v>57</v>
      </c>
      <c r="F216" s="15" t="str">
        <f t="shared" si="0"/>
        <v>Pérdida Reputacional</v>
      </c>
    </row>
    <row r="217" spans="1:8" s="15" customFormat="1" ht="42" x14ac:dyDescent="0.4">
      <c r="A217" s="73"/>
      <c r="B217" s="107" t="s">
        <v>57</v>
      </c>
      <c r="C217" s="107" t="s">
        <v>95</v>
      </c>
      <c r="E217" s="15" t="s">
        <v>92</v>
      </c>
      <c r="F217" s="15" t="str">
        <f>IF(NOT(ISBLANK(D217)),D217,IF(NOT(ISBLANK(E217)),"     "&amp;E217,FALSE))</f>
        <v xml:space="preserve">     El riesgo afecta la imagen de alguna área de la organización</v>
      </c>
    </row>
    <row r="218" spans="1:8" s="15" customFormat="1" ht="63" x14ac:dyDescent="0.4">
      <c r="A218" s="73"/>
      <c r="B218" s="107" t="s">
        <v>57</v>
      </c>
      <c r="C218" s="107" t="s">
        <v>94</v>
      </c>
      <c r="E218" s="15" t="s">
        <v>93</v>
      </c>
      <c r="F218" s="15" t="str">
        <f t="shared" si="0"/>
        <v xml:space="preserve">     El riesgo afecta la imagen de la entidad internamente, de conocimiento general, nivel interno, de junta dircetiva y accionistas y/o de provedores</v>
      </c>
    </row>
    <row r="219" spans="1:8" s="15" customFormat="1" ht="42" x14ac:dyDescent="0.4">
      <c r="A219" s="73"/>
      <c r="B219" s="107" t="s">
        <v>57</v>
      </c>
      <c r="C219" s="107" t="s">
        <v>113</v>
      </c>
      <c r="E219" s="15" t="s">
        <v>95</v>
      </c>
      <c r="F219" s="15" t="str">
        <f t="shared" si="0"/>
        <v xml:space="preserve">     El riesgo afecta la imagen de la entidad con algunos usuarios de relevancia frente al logro de los objetivos</v>
      </c>
    </row>
    <row r="220" spans="1:8" s="15" customFormat="1" x14ac:dyDescent="0.3">
      <c r="A220" s="73"/>
      <c r="E220" s="15" t="s">
        <v>94</v>
      </c>
      <c r="F220" s="15" t="str">
        <f t="shared" si="0"/>
        <v xml:space="preserve">     El riesgo afecta la imagen de de la entidad con efecto publicitario sostenido a nivel de sector administrativo, nivel departamental o municipal</v>
      </c>
    </row>
    <row r="221" spans="1:8" s="15" customFormat="1" x14ac:dyDescent="0.3">
      <c r="A221" s="73"/>
      <c r="B221" s="15" t="e" cm="1">
        <f t="array" aca="1" ref="B221:B223" ca="1">_xlfn.UNIQUE(Tabla1[[#All],[Criterios]])</f>
        <v>#NAME?</v>
      </c>
      <c r="E221" s="15" t="s">
        <v>113</v>
      </c>
      <c r="F221" s="15" t="str">
        <f t="shared" si="0"/>
        <v xml:space="preserve">     El riesgo afecta la imagen de la entidad a nivel nacional, con efecto publicitarios sostenible a nivel país</v>
      </c>
    </row>
    <row r="222" spans="1:8" s="15" customFormat="1" x14ac:dyDescent="0.3">
      <c r="A222" s="73"/>
      <c r="B222" s="15" t="e">
        <f ca="1"/>
        <v>#NAME?</v>
      </c>
    </row>
    <row r="223" spans="1:8" s="15" customFormat="1" x14ac:dyDescent="0.3">
      <c r="B223" s="15" t="e">
        <f ca="1"/>
        <v>#NAME?</v>
      </c>
      <c r="F223" s="108" t="s">
        <v>140</v>
      </c>
    </row>
    <row r="224" spans="1:8" s="15" customFormat="1" x14ac:dyDescent="0.3">
      <c r="F224" s="108" t="s">
        <v>141</v>
      </c>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33203125" defaultRowHeight="13.8" x14ac:dyDescent="0.3"/>
  <cols>
    <col min="1" max="2" width="14.33203125" style="58"/>
    <col min="3" max="3" width="17" style="58" customWidth="1"/>
    <col min="4" max="4" width="14.33203125" style="58"/>
    <col min="5" max="5" width="46" style="58" customWidth="1"/>
    <col min="6" max="16384" width="14.33203125" style="58"/>
  </cols>
  <sheetData>
    <row r="1" spans="2:6" ht="24" customHeight="1" thickBot="1" x14ac:dyDescent="0.35">
      <c r="B1" s="432" t="s">
        <v>77</v>
      </c>
      <c r="C1" s="433"/>
      <c r="D1" s="433"/>
      <c r="E1" s="433"/>
      <c r="F1" s="434"/>
    </row>
    <row r="2" spans="2:6" ht="16.2" thickBot="1" x14ac:dyDescent="0.35">
      <c r="B2" s="59"/>
      <c r="C2" s="59"/>
      <c r="D2" s="59"/>
      <c r="E2" s="59"/>
      <c r="F2" s="59"/>
    </row>
    <row r="3" spans="2:6" ht="16.2" thickBot="1" x14ac:dyDescent="0.35">
      <c r="B3" s="436" t="s">
        <v>63</v>
      </c>
      <c r="C3" s="437"/>
      <c r="D3" s="437"/>
      <c r="E3" s="71" t="s">
        <v>64</v>
      </c>
      <c r="F3" s="72" t="s">
        <v>65</v>
      </c>
    </row>
    <row r="4" spans="2:6" ht="31.2" x14ac:dyDescent="0.3">
      <c r="B4" s="438" t="s">
        <v>66</v>
      </c>
      <c r="C4" s="440" t="s">
        <v>13</v>
      </c>
      <c r="D4" s="60" t="s">
        <v>14</v>
      </c>
      <c r="E4" s="61" t="s">
        <v>67</v>
      </c>
      <c r="F4" s="62">
        <v>0.25</v>
      </c>
    </row>
    <row r="5" spans="2:6" ht="46.8" x14ac:dyDescent="0.3">
      <c r="B5" s="439"/>
      <c r="C5" s="441"/>
      <c r="D5" s="63" t="s">
        <v>15</v>
      </c>
      <c r="E5" s="64" t="s">
        <v>68</v>
      </c>
      <c r="F5" s="65">
        <v>0.15</v>
      </c>
    </row>
    <row r="6" spans="2:6" ht="46.8" x14ac:dyDescent="0.3">
      <c r="B6" s="439"/>
      <c r="C6" s="441"/>
      <c r="D6" s="63" t="s">
        <v>16</v>
      </c>
      <c r="E6" s="64" t="s">
        <v>69</v>
      </c>
      <c r="F6" s="65">
        <v>0.1</v>
      </c>
    </row>
    <row r="7" spans="2:6" ht="62.4" x14ac:dyDescent="0.3">
      <c r="B7" s="439"/>
      <c r="C7" s="441" t="s">
        <v>17</v>
      </c>
      <c r="D7" s="63" t="s">
        <v>10</v>
      </c>
      <c r="E7" s="64" t="s">
        <v>70</v>
      </c>
      <c r="F7" s="65">
        <v>0.25</v>
      </c>
    </row>
    <row r="8" spans="2:6" ht="31.2" x14ac:dyDescent="0.3">
      <c r="B8" s="439"/>
      <c r="C8" s="441"/>
      <c r="D8" s="63" t="s">
        <v>9</v>
      </c>
      <c r="E8" s="64" t="s">
        <v>71</v>
      </c>
      <c r="F8" s="65">
        <v>0.15</v>
      </c>
    </row>
    <row r="9" spans="2:6" ht="46.8" x14ac:dyDescent="0.3">
      <c r="B9" s="439" t="s">
        <v>150</v>
      </c>
      <c r="C9" s="441" t="s">
        <v>18</v>
      </c>
      <c r="D9" s="63" t="s">
        <v>19</v>
      </c>
      <c r="E9" s="64" t="s">
        <v>72</v>
      </c>
      <c r="F9" s="66" t="s">
        <v>73</v>
      </c>
    </row>
    <row r="10" spans="2:6" ht="46.8" x14ac:dyDescent="0.3">
      <c r="B10" s="439"/>
      <c r="C10" s="441"/>
      <c r="D10" s="63" t="s">
        <v>20</v>
      </c>
      <c r="E10" s="64" t="s">
        <v>74</v>
      </c>
      <c r="F10" s="66" t="s">
        <v>73</v>
      </c>
    </row>
    <row r="11" spans="2:6" ht="46.8" x14ac:dyDescent="0.3">
      <c r="B11" s="439"/>
      <c r="C11" s="441" t="s">
        <v>21</v>
      </c>
      <c r="D11" s="63" t="s">
        <v>22</v>
      </c>
      <c r="E11" s="64" t="s">
        <v>75</v>
      </c>
      <c r="F11" s="66" t="s">
        <v>73</v>
      </c>
    </row>
    <row r="12" spans="2:6" ht="46.8" x14ac:dyDescent="0.3">
      <c r="B12" s="439"/>
      <c r="C12" s="441"/>
      <c r="D12" s="63" t="s">
        <v>23</v>
      </c>
      <c r="E12" s="64" t="s">
        <v>76</v>
      </c>
      <c r="F12" s="66" t="s">
        <v>73</v>
      </c>
    </row>
    <row r="13" spans="2:6" ht="31.2" x14ac:dyDescent="0.3">
      <c r="B13" s="439"/>
      <c r="C13" s="441" t="s">
        <v>24</v>
      </c>
      <c r="D13" s="63" t="s">
        <v>114</v>
      </c>
      <c r="E13" s="64" t="s">
        <v>117</v>
      </c>
      <c r="F13" s="66" t="s">
        <v>73</v>
      </c>
    </row>
    <row r="14" spans="2:6" ht="16.2" thickBot="1" x14ac:dyDescent="0.35">
      <c r="B14" s="442"/>
      <c r="C14" s="443"/>
      <c r="D14" s="67" t="s">
        <v>115</v>
      </c>
      <c r="E14" s="68" t="s">
        <v>116</v>
      </c>
      <c r="F14" s="69" t="s">
        <v>73</v>
      </c>
    </row>
    <row r="15" spans="2:6" ht="49.5" customHeight="1" x14ac:dyDescent="0.3">
      <c r="B15" s="435" t="s">
        <v>147</v>
      </c>
      <c r="C15" s="435"/>
      <c r="D15" s="435"/>
      <c r="E15" s="435"/>
      <c r="F15" s="435"/>
    </row>
    <row r="16" spans="2:6" ht="27" customHeight="1" x14ac:dyDescent="0.3">
      <c r="B16" s="7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heetViews>
  <sheetFormatPr baseColWidth="10" defaultColWidth="11.5546875" defaultRowHeight="14.4" x14ac:dyDescent="0.3"/>
  <sheetData>
    <row r="2" spans="2:5" x14ac:dyDescent="0.3">
      <c r="B2" t="s">
        <v>31</v>
      </c>
      <c r="E2" t="s">
        <v>127</v>
      </c>
    </row>
    <row r="3" spans="2:5" x14ac:dyDescent="0.3">
      <c r="B3" t="s">
        <v>32</v>
      </c>
      <c r="E3" t="s">
        <v>126</v>
      </c>
    </row>
    <row r="4" spans="2:5" x14ac:dyDescent="0.3">
      <c r="B4" t="s">
        <v>131</v>
      </c>
      <c r="E4" t="s">
        <v>128</v>
      </c>
    </row>
    <row r="5" spans="2:5" x14ac:dyDescent="0.3">
      <c r="B5" t="s">
        <v>130</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heetViews>
  <sheetFormatPr baseColWidth="10" defaultColWidth="11.44140625" defaultRowHeight="13.8" x14ac:dyDescent="0.3"/>
  <cols>
    <col min="1" max="1" width="32.88671875" style="1" customWidth="1"/>
    <col min="2" max="16384" width="11.44140625" style="1"/>
  </cols>
  <sheetData>
    <row r="3" spans="1:1" x14ac:dyDescent="0.3">
      <c r="A3" s="2" t="s">
        <v>14</v>
      </c>
    </row>
    <row r="4" spans="1:1" x14ac:dyDescent="0.3">
      <c r="A4" s="2" t="s">
        <v>15</v>
      </c>
    </row>
    <row r="5" spans="1:1" x14ac:dyDescent="0.3">
      <c r="A5" s="2" t="s">
        <v>16</v>
      </c>
    </row>
    <row r="6" spans="1:1" x14ac:dyDescent="0.3">
      <c r="A6" s="2" t="s">
        <v>10</v>
      </c>
    </row>
    <row r="7" spans="1:1" x14ac:dyDescent="0.3">
      <c r="A7" s="2" t="s">
        <v>9</v>
      </c>
    </row>
    <row r="8" spans="1:1" x14ac:dyDescent="0.3">
      <c r="A8" s="2" t="s">
        <v>19</v>
      </c>
    </row>
    <row r="9" spans="1:1" x14ac:dyDescent="0.3">
      <c r="A9" s="2" t="s">
        <v>20</v>
      </c>
    </row>
    <row r="10" spans="1:1" x14ac:dyDescent="0.3">
      <c r="A10" s="2" t="s">
        <v>22</v>
      </c>
    </row>
    <row r="11" spans="1:1" x14ac:dyDescent="0.3">
      <c r="A11" s="2" t="s">
        <v>23</v>
      </c>
    </row>
    <row r="12" spans="1:1" x14ac:dyDescent="0.3">
      <c r="A12" s="2" t="s">
        <v>25</v>
      </c>
    </row>
    <row r="13" spans="1:1" x14ac:dyDescent="0.3">
      <c r="A13" s="2" t="s">
        <v>26</v>
      </c>
    </row>
    <row r="14" spans="1:1" x14ac:dyDescent="0.3">
      <c r="A14" s="2" t="s">
        <v>27</v>
      </c>
    </row>
    <row r="16" spans="1:1" x14ac:dyDescent="0.3">
      <c r="A16" s="2" t="s">
        <v>30</v>
      </c>
    </row>
    <row r="17" spans="1:1" x14ac:dyDescent="0.3">
      <c r="A17" s="2" t="s">
        <v>31</v>
      </c>
    </row>
    <row r="18" spans="1:1" x14ac:dyDescent="0.3">
      <c r="A18" s="2" t="s">
        <v>32</v>
      </c>
    </row>
    <row r="20" spans="1:1" x14ac:dyDescent="0.3">
      <c r="A20" s="2" t="s">
        <v>40</v>
      </c>
    </row>
    <row r="21" spans="1:1" x14ac:dyDescent="0.3">
      <c r="A21" s="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Maria Paula</cp:lastModifiedBy>
  <cp:lastPrinted>2020-05-13T01:12:22Z</cp:lastPrinted>
  <dcterms:created xsi:type="dcterms:W3CDTF">2020-03-24T23:12:47Z</dcterms:created>
  <dcterms:modified xsi:type="dcterms:W3CDTF">2023-09-04T21:03:53Z</dcterms:modified>
</cp:coreProperties>
</file>