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Para publicar julio\"/>
    </mc:Choice>
  </mc:AlternateContent>
  <xr:revisionPtr revIDLastSave="0" documentId="8_{D8FCA847-2772-4232-BDEE-78E866A91ED8}" xr6:coauthVersionLast="47" xr6:coauthVersionMax="47" xr10:uidLastSave="{00000000-0000-0000-0000-000000000000}"/>
  <bookViews>
    <workbookView xWindow="-108" yWindow="-108" windowWidth="23256" windowHeight="12456" tabRatio="882" activeTab="2" xr2:uid="{00000000-000D-0000-FFFF-FFFF00000000}"/>
  </bookViews>
  <sheets>
    <sheet name="Intructivo" sheetId="20" r:id="rId1"/>
    <sheet name="Tabla Impacto" sheetId="13" r:id="rId2"/>
    <sheet name="Mapa final" sheetId="1" r:id="rId3"/>
    <sheet name="Hoja2" sheetId="21" r:id="rId4"/>
    <sheet name="Matriz Calor Inherente" sheetId="18" r:id="rId5"/>
    <sheet name="Matriz Calor Residual" sheetId="19" r:id="rId6"/>
    <sheet name="Tabla probabilidad" sheetId="12" r:id="rId7"/>
    <sheet name="Tabla Valoración controles" sheetId="15" r:id="rId8"/>
    <sheet name="Opciones Tratamiento" sheetId="16" state="hidden" r:id="rId9"/>
    <sheet name="Hoja1" sheetId="11" state="hidden" r:id="rId10"/>
  </sheets>
  <calcPr calcId="181029"/>
  <pivotCaches>
    <pivotCache cacheId="10" r:id="rId11"/>
  </pivotCaches>
</workbook>
</file>

<file path=xl/calcChain.xml><?xml version="1.0" encoding="utf-8"?>
<calcChain xmlns="http://schemas.openxmlformats.org/spreadsheetml/2006/main">
  <c r="V16" i="1" l="1"/>
  <c r="J16" i="1"/>
  <c r="K16" i="1" s="1"/>
  <c r="P16" i="1" l="1"/>
  <c r="O16" i="1"/>
  <c r="AD16" i="1" s="1"/>
  <c r="AC16" i="1" s="1"/>
  <c r="J13" i="1" l="1"/>
  <c r="K13" i="1" s="1"/>
  <c r="S13" i="1"/>
  <c r="V13" i="1"/>
  <c r="M14" i="1"/>
  <c r="Z13" i="1" l="1"/>
  <c r="AB13" i="1" s="1"/>
  <c r="Z14" i="1"/>
  <c r="Z15" i="1"/>
  <c r="Z16" i="1"/>
  <c r="Z17" i="1"/>
  <c r="S19" i="1"/>
  <c r="V19" i="1"/>
  <c r="S20" i="1"/>
  <c r="V20" i="1"/>
  <c r="S21" i="1"/>
  <c r="V21" i="1"/>
  <c r="S22" i="1"/>
  <c r="V22" i="1"/>
  <c r="AA13" i="1" l="1"/>
  <c r="AB16" i="1"/>
  <c r="AA16" i="1"/>
  <c r="AE16" i="1" s="1"/>
  <c r="Z22" i="1"/>
  <c r="AA22" i="1" s="1"/>
  <c r="Z20" i="1"/>
  <c r="AA20" i="1" s="1"/>
  <c r="Z19" i="1"/>
  <c r="AA19" i="1" s="1"/>
  <c r="Z21" i="1"/>
  <c r="AA21" i="1" s="1"/>
  <c r="AD22" i="1"/>
  <c r="AC22" i="1" s="1"/>
  <c r="AD21" i="1"/>
  <c r="AC21" i="1" s="1"/>
  <c r="AD20" i="1"/>
  <c r="AC20" i="1" s="1"/>
  <c r="AD19" i="1"/>
  <c r="AC19" i="1" s="1"/>
  <c r="Z18" i="1"/>
  <c r="AB19" i="1" l="1"/>
  <c r="AB20" i="1"/>
  <c r="AB22" i="1"/>
  <c r="AB21" i="1"/>
  <c r="AE19" i="1"/>
  <c r="AE22" i="1"/>
  <c r="AE21" i="1"/>
  <c r="AE20" i="1"/>
  <c r="J29" i="1" l="1"/>
  <c r="K29" i="1" s="1"/>
  <c r="S29" i="1"/>
  <c r="Z29" i="1" s="1"/>
  <c r="V29" i="1"/>
  <c r="AD29" i="1"/>
  <c r="AC29" i="1" s="1"/>
  <c r="M30" i="1"/>
  <c r="AB29" i="1" l="1"/>
  <c r="AA29" i="1"/>
  <c r="AE29" i="1" s="1"/>
  <c r="S30" i="1"/>
  <c r="AD30" i="1" s="1"/>
  <c r="AC30" i="1" s="1"/>
  <c r="V30" i="1"/>
  <c r="M31" i="1"/>
  <c r="Z30" i="1" l="1"/>
  <c r="AA30" i="1" s="1"/>
  <c r="AE30" i="1" s="1"/>
  <c r="S31" i="1"/>
  <c r="AD31" i="1" s="1"/>
  <c r="AC31" i="1" s="1"/>
  <c r="V31" i="1"/>
  <c r="M32" i="1"/>
  <c r="Z31" i="1" l="1"/>
  <c r="AA31" i="1" s="1"/>
  <c r="AE31" i="1" s="1"/>
  <c r="AB30" i="1"/>
  <c r="S32" i="1"/>
  <c r="AD32" i="1" s="1"/>
  <c r="AC32" i="1" s="1"/>
  <c r="V32" i="1"/>
  <c r="S33" i="1"/>
  <c r="AD33" i="1" s="1"/>
  <c r="AC33" i="1" s="1"/>
  <c r="V33" i="1"/>
  <c r="S34" i="1"/>
  <c r="V34" i="1"/>
  <c r="J35" i="1"/>
  <c r="K35" i="1" s="1"/>
  <c r="S35" i="1"/>
  <c r="Z35" i="1" s="1"/>
  <c r="V35" i="1"/>
  <c r="M36" i="1"/>
  <c r="M33" i="1"/>
  <c r="M34" i="1"/>
  <c r="AB31" i="1" l="1"/>
  <c r="Z32" i="1"/>
  <c r="AB32" i="1" s="1"/>
  <c r="AD34" i="1"/>
  <c r="AC34" i="1" s="1"/>
  <c r="Z34" i="1"/>
  <c r="AB34" i="1" s="1"/>
  <c r="Z33" i="1"/>
  <c r="AB33" i="1" s="1"/>
  <c r="AA35" i="1"/>
  <c r="AB35" i="1"/>
  <c r="AD35" i="1"/>
  <c r="AC35" i="1" s="1"/>
  <c r="S36" i="1"/>
  <c r="Z36" i="1" s="1"/>
  <c r="V36" i="1"/>
  <c r="M37" i="1"/>
  <c r="AA32" i="1" l="1"/>
  <c r="AE32" i="1" s="1"/>
  <c r="AA33" i="1"/>
  <c r="AE33" i="1" s="1"/>
  <c r="AA34" i="1"/>
  <c r="AE34" i="1" s="1"/>
  <c r="AA36" i="1"/>
  <c r="AB36" i="1"/>
  <c r="AD36" i="1"/>
  <c r="AC36" i="1" s="1"/>
  <c r="AE35" i="1"/>
  <c r="S37" i="1"/>
  <c r="Z37" i="1" s="1"/>
  <c r="AB37" i="1" s="1"/>
  <c r="V37" i="1"/>
  <c r="M38" i="1"/>
  <c r="AD37" i="1" l="1"/>
  <c r="AC37" i="1" s="1"/>
  <c r="AA37" i="1"/>
  <c r="AE36" i="1"/>
  <c r="S38" i="1"/>
  <c r="V38" i="1"/>
  <c r="S39" i="1"/>
  <c r="V39" i="1"/>
  <c r="S40" i="1"/>
  <c r="Z40" i="1" s="1"/>
  <c r="AB40" i="1" s="1"/>
  <c r="V40" i="1"/>
  <c r="M40" i="1"/>
  <c r="M39" i="1"/>
  <c r="AD39" i="1" l="1"/>
  <c r="AC39" i="1" s="1"/>
  <c r="AE37" i="1"/>
  <c r="AD40" i="1"/>
  <c r="AC40" i="1" s="1"/>
  <c r="AD38" i="1"/>
  <c r="AC38" i="1" s="1"/>
  <c r="Z39" i="1"/>
  <c r="Z38" i="1"/>
  <c r="AA40" i="1"/>
  <c r="V10" i="1"/>
  <c r="M11" i="1"/>
  <c r="M12" i="1"/>
  <c r="M10" i="1"/>
  <c r="AE40" i="1" l="1"/>
  <c r="AB38" i="1"/>
  <c r="AA38" i="1"/>
  <c r="AE38" i="1" s="1"/>
  <c r="AB39" i="1"/>
  <c r="AA39" i="1"/>
  <c r="AE39" i="1" s="1"/>
  <c r="J9" i="1"/>
  <c r="S9" i="1"/>
  <c r="V9" i="1"/>
  <c r="K9" i="1" l="1"/>
  <c r="Z9" i="1" s="1"/>
  <c r="S10" i="1"/>
  <c r="AA9" i="1" l="1"/>
  <c r="AB9" i="1"/>
  <c r="Z10" i="1" s="1"/>
  <c r="AA10" i="1" l="1"/>
  <c r="AB10" i="1"/>
  <c r="Z11" i="1" s="1"/>
  <c r="Z12" i="1" l="1"/>
  <c r="M64" i="1"/>
  <c r="M52" i="1"/>
  <c r="M48" i="1"/>
  <c r="M56" i="1"/>
  <c r="M55" i="1"/>
  <c r="M43" i="1"/>
  <c r="M46" i="1"/>
  <c r="M57" i="1"/>
  <c r="M51" i="1"/>
  <c r="M44" i="1"/>
  <c r="M54" i="1"/>
  <c r="M63" i="1"/>
  <c r="M58" i="1"/>
  <c r="M45" i="1"/>
  <c r="M60" i="1"/>
  <c r="M61" i="1"/>
  <c r="M42" i="1"/>
  <c r="M49" i="1"/>
  <c r="M50" i="1"/>
  <c r="M62" i="1"/>
  <c r="F221" i="13" l="1"/>
  <c r="F211" i="13"/>
  <c r="F212" i="13"/>
  <c r="F213" i="13"/>
  <c r="F214" i="13"/>
  <c r="F215" i="13"/>
  <c r="F216" i="13"/>
  <c r="F217" i="13"/>
  <c r="F218" i="13"/>
  <c r="F219" i="13"/>
  <c r="F220" i="13"/>
  <c r="F210" i="13"/>
  <c r="B221" i="13" a="1"/>
  <c r="B221" i="13" l="1"/>
  <c r="S47" i="1"/>
  <c r="S4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4" i="1" l="1"/>
  <c r="S64" i="1"/>
  <c r="V63" i="1"/>
  <c r="S63" i="1"/>
  <c r="V62" i="1"/>
  <c r="S62" i="1"/>
  <c r="V61" i="1"/>
  <c r="S61" i="1"/>
  <c r="V60" i="1"/>
  <c r="S60" i="1"/>
  <c r="V59" i="1"/>
  <c r="S59" i="1"/>
  <c r="J59" i="1"/>
  <c r="K59" i="1" s="1"/>
  <c r="V58" i="1"/>
  <c r="S58" i="1"/>
  <c r="V57" i="1"/>
  <c r="S57" i="1"/>
  <c r="V56" i="1"/>
  <c r="S56" i="1"/>
  <c r="V55" i="1"/>
  <c r="S55" i="1"/>
  <c r="V54" i="1"/>
  <c r="S54" i="1"/>
  <c r="V53" i="1"/>
  <c r="S53" i="1"/>
  <c r="J53" i="1"/>
  <c r="K53" i="1" s="1"/>
  <c r="V52" i="1"/>
  <c r="S52" i="1"/>
  <c r="V51" i="1"/>
  <c r="S51" i="1"/>
  <c r="V50" i="1"/>
  <c r="S50" i="1"/>
  <c r="V49" i="1"/>
  <c r="S49" i="1"/>
  <c r="V48" i="1"/>
  <c r="S48" i="1"/>
  <c r="AD48" i="1" s="1"/>
  <c r="V47" i="1"/>
  <c r="J47" i="1"/>
  <c r="K47" i="1" s="1"/>
  <c r="V46" i="1"/>
  <c r="S46" i="1"/>
  <c r="V45" i="1"/>
  <c r="S45" i="1"/>
  <c r="V44" i="1"/>
  <c r="S44" i="1"/>
  <c r="V43" i="1"/>
  <c r="S43" i="1"/>
  <c r="V42" i="1"/>
  <c r="V41" i="1"/>
  <c r="S41" i="1"/>
  <c r="AD42" i="1" s="1"/>
  <c r="J41" i="1"/>
  <c r="K41" i="1" s="1"/>
  <c r="AD60" i="1" l="1"/>
  <c r="AD54" i="1"/>
  <c r="AD45" i="1"/>
  <c r="AC45" i="1" s="1"/>
  <c r="AD46" i="1"/>
  <c r="AC46" i="1" s="1"/>
  <c r="Z59" i="1"/>
  <c r="Z53" i="1"/>
  <c r="Z47" i="1"/>
  <c r="Z41" i="1"/>
  <c r="Z45" i="1"/>
  <c r="Z46" i="1"/>
  <c r="AA59" i="1" l="1"/>
  <c r="AB59" i="1"/>
  <c r="Z60" i="1" s="1"/>
  <c r="AA60" i="1" s="1"/>
  <c r="AA53" i="1"/>
  <c r="AB53" i="1"/>
  <c r="Z54" i="1" s="1"/>
  <c r="AB54" i="1" s="1"/>
  <c r="Z55" i="1" s="1"/>
  <c r="AA47" i="1"/>
  <c r="AB47" i="1"/>
  <c r="Z48" i="1" s="1"/>
  <c r="AB48" i="1" s="1"/>
  <c r="Z49" i="1" s="1"/>
  <c r="AA46" i="1"/>
  <c r="AB46" i="1"/>
  <c r="AA45" i="1"/>
  <c r="AB45" i="1"/>
  <c r="AA41" i="1"/>
  <c r="AB41" i="1"/>
  <c r="AA54" i="1" l="1"/>
  <c r="AA48" i="1"/>
  <c r="AB55" i="1"/>
  <c r="Z56" i="1" s="1"/>
  <c r="AA55" i="1"/>
  <c r="AB49" i="1"/>
  <c r="Z50" i="1" s="1"/>
  <c r="AA49" i="1"/>
  <c r="AB60" i="1"/>
  <c r="Z61" i="1" s="1"/>
  <c r="Z42" i="1"/>
  <c r="Z4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45" i="1"/>
  <c r="AE46" i="1"/>
  <c r="AA56" i="1" l="1"/>
  <c r="AB56" i="1"/>
  <c r="AA50" i="1"/>
  <c r="AB50" i="1"/>
  <c r="Z51" i="1" s="1"/>
  <c r="AA43" i="1"/>
  <c r="AB43" i="1"/>
  <c r="Z44" i="1" s="1"/>
  <c r="AA61" i="1"/>
  <c r="AB61" i="1"/>
  <c r="Z62" i="1" s="1"/>
  <c r="AA42" i="1"/>
  <c r="AB42" i="1"/>
  <c r="AA51" i="1" l="1"/>
  <c r="AB51" i="1"/>
  <c r="Z52" i="1" s="1"/>
  <c r="Z57" i="1"/>
  <c r="Z58" i="1"/>
  <c r="AA44" i="1"/>
  <c r="AB44" i="1"/>
  <c r="AB62" i="1"/>
  <c r="AA62" i="1"/>
  <c r="AA58" i="1" l="1"/>
  <c r="AB58" i="1"/>
  <c r="AA57" i="1"/>
  <c r="AB57" i="1"/>
  <c r="AA52" i="1"/>
  <c r="AB52" i="1"/>
  <c r="Z63" i="1"/>
  <c r="Z64" i="1"/>
  <c r="AA64" i="1" l="1"/>
  <c r="AB64" i="1"/>
  <c r="AA63" i="1"/>
  <c r="AB63" i="1"/>
  <c r="AD61" i="1" l="1"/>
  <c r="AD53" i="1"/>
  <c r="AD47" i="1"/>
  <c r="AC47" i="1" s="1"/>
  <c r="AD41" i="1"/>
  <c r="AC41"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E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3" i="1"/>
  <c r="AC60"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1" i="1"/>
  <c r="AD62" i="1"/>
  <c r="V32" i="19"/>
  <c r="P42" i="19"/>
  <c r="J12" i="19"/>
  <c r="J32" i="19"/>
  <c r="AB52" i="19"/>
  <c r="AE41" i="1"/>
  <c r="J22" i="19"/>
  <c r="V22" i="19"/>
  <c r="J52" i="19"/>
  <c r="AH12" i="19"/>
  <c r="J42" i="19"/>
  <c r="AH42" i="19"/>
  <c r="P32" i="19"/>
  <c r="AB12" i="19"/>
  <c r="AH32" i="19"/>
  <c r="AB32" i="19"/>
  <c r="AB42" i="19"/>
  <c r="V42" i="19"/>
  <c r="V12" i="19"/>
  <c r="V52" i="19"/>
  <c r="AB22" i="19"/>
  <c r="AH52" i="19"/>
  <c r="AH22" i="19"/>
  <c r="P22" i="19"/>
  <c r="P12" i="19"/>
  <c r="P52" i="19"/>
  <c r="AD43" i="1"/>
  <c r="AC43" i="1" s="1"/>
  <c r="AD44" i="1"/>
  <c r="AC44" i="1" s="1"/>
  <c r="AC42" i="1"/>
  <c r="AC48" i="1"/>
  <c r="AD49" i="1"/>
  <c r="AC54" i="1"/>
  <c r="AD5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2" i="1"/>
  <c r="AD63" i="1"/>
  <c r="K35" i="19"/>
  <c r="AC25" i="19"/>
  <c r="K45" i="19"/>
  <c r="AI45" i="19"/>
  <c r="W45" i="19"/>
  <c r="Q35" i="19"/>
  <c r="K55" i="19"/>
  <c r="AC15" i="19"/>
  <c r="Q15" i="19"/>
  <c r="AC35" i="19"/>
  <c r="AI35" i="19"/>
  <c r="Q55" i="19"/>
  <c r="AI25" i="19"/>
  <c r="AE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3"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49" i="1"/>
  <c r="AD50" i="1"/>
  <c r="K42" i="19"/>
  <c r="AC32" i="19"/>
  <c r="W42" i="19"/>
  <c r="AI52" i="19"/>
  <c r="K22" i="19"/>
  <c r="Q32" i="19"/>
  <c r="AI12" i="19"/>
  <c r="AC52" i="19"/>
  <c r="Q42" i="19"/>
  <c r="AC42" i="19"/>
  <c r="K12" i="19"/>
  <c r="Q22" i="19"/>
  <c r="W52" i="19"/>
  <c r="AI42" i="19"/>
  <c r="W32" i="19"/>
  <c r="AI22" i="19"/>
  <c r="W12" i="19"/>
  <c r="AI32" i="19"/>
  <c r="AC12" i="19"/>
  <c r="Q12" i="19"/>
  <c r="Q52" i="19"/>
  <c r="AE42"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5" i="1"/>
  <c r="AD5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8" i="1"/>
  <c r="Q33" i="19"/>
  <c r="AI23" i="19"/>
  <c r="K53" i="19"/>
  <c r="AC23" i="19"/>
  <c r="AC13" i="19"/>
  <c r="W23" i="19"/>
  <c r="W33" i="19"/>
  <c r="Q13" i="19"/>
  <c r="W13" i="19"/>
  <c r="AI13" i="19"/>
  <c r="Q43" i="19"/>
  <c r="Q23" i="19"/>
  <c r="W53" i="19"/>
  <c r="M12" i="19"/>
  <c r="AK42" i="19"/>
  <c r="AE32" i="19"/>
  <c r="AE44" i="1"/>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0" i="1"/>
  <c r="AD51" i="1"/>
  <c r="AC63" i="1"/>
  <c r="AD64" i="1"/>
  <c r="AC6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49" i="1"/>
  <c r="X23" i="19"/>
  <c r="R33" i="19"/>
  <c r="R43" i="19"/>
  <c r="AD53" i="19"/>
  <c r="AJ13" i="19"/>
  <c r="R23" i="19"/>
  <c r="R13" i="19"/>
  <c r="AJ53" i="19"/>
  <c r="L33" i="19"/>
  <c r="L23" i="19"/>
  <c r="X43" i="19"/>
  <c r="X53" i="19"/>
  <c r="AD13" i="19"/>
  <c r="L53" i="19"/>
  <c r="L13" i="19"/>
  <c r="AD23" i="19"/>
  <c r="AJ33" i="19"/>
  <c r="AJ23" i="19"/>
  <c r="R53" i="19"/>
  <c r="M55" i="19"/>
  <c r="AK15" i="19"/>
  <c r="AE25" i="19"/>
  <c r="AE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6" i="1"/>
  <c r="AD57"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1" i="1"/>
  <c r="AD52" i="1"/>
  <c r="AC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7" i="1"/>
  <c r="AD58" i="1"/>
  <c r="AC5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8" i="1"/>
  <c r="AA14" i="19"/>
  <c r="O54" i="19"/>
  <c r="U44" i="19"/>
  <c r="U43" i="19"/>
  <c r="U13" i="19"/>
  <c r="AM53" i="19"/>
  <c r="AA53" i="19"/>
  <c r="AA43" i="19"/>
  <c r="O53" i="19"/>
  <c r="O23" i="19"/>
  <c r="O13" i="19"/>
  <c r="AG43" i="19"/>
  <c r="U33" i="19"/>
  <c r="U23" i="19"/>
  <c r="AM13" i="19"/>
  <c r="AM23" i="19"/>
  <c r="AG13" i="19"/>
  <c r="AA23" i="19"/>
  <c r="AG33" i="19"/>
  <c r="AA33" i="19"/>
  <c r="AM33" i="19"/>
  <c r="AA13" i="19"/>
  <c r="AE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7" i="1"/>
  <c r="AF53" i="19"/>
  <c r="T43" i="19"/>
  <c r="Z53" i="19"/>
  <c r="N43" i="19"/>
  <c r="T23" i="19"/>
  <c r="AF43" i="19"/>
  <c r="Z13" i="19"/>
  <c r="Z43" i="19"/>
  <c r="AF23" i="19"/>
  <c r="AL13" i="19"/>
  <c r="Z23" i="19"/>
  <c r="AL43" i="19"/>
  <c r="AF13" i="19"/>
  <c r="AL23" i="19"/>
  <c r="N13" i="19"/>
  <c r="T33" i="19"/>
  <c r="AL53" i="19"/>
  <c r="N23" i="19"/>
  <c r="N53" i="19"/>
  <c r="AF33" i="19"/>
  <c r="N33" i="19"/>
  <c r="AE5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3" i="1" l="1"/>
  <c r="N13" i="1" s="1"/>
  <c r="M29" i="1"/>
  <c r="N29" i="1" s="1"/>
  <c r="M35" i="1"/>
  <c r="N35" i="1" s="1"/>
  <c r="M9" i="1"/>
  <c r="N9" i="1" s="1"/>
  <c r="M53" i="1"/>
  <c r="N53" i="1" s="1"/>
  <c r="M47" i="1"/>
  <c r="N47" i="1" s="1"/>
  <c r="M41" i="1"/>
  <c r="N41" i="1" s="1"/>
  <c r="M59" i="1"/>
  <c r="N59" i="1" s="1"/>
  <c r="O35" i="1" l="1"/>
  <c r="P35" i="1"/>
  <c r="O29" i="1"/>
  <c r="P29" i="1"/>
  <c r="O13" i="1"/>
  <c r="AD13" i="1" s="1"/>
  <c r="AC13" i="1" s="1"/>
  <c r="AE13" i="1" s="1"/>
  <c r="P13" i="1"/>
  <c r="J20" i="18"/>
  <c r="AB28" i="18"/>
  <c r="P59" i="1"/>
  <c r="AH20" i="18"/>
  <c r="V12" i="18"/>
  <c r="P44" i="18"/>
  <c r="AB44" i="18"/>
  <c r="P36" i="18"/>
  <c r="AH28" i="18"/>
  <c r="J36" i="18"/>
  <c r="V28" i="18"/>
  <c r="V36" i="18"/>
  <c r="J12" i="18"/>
  <c r="O59" i="1"/>
  <c r="AD59" i="1" s="1"/>
  <c r="AC59" i="1" s="1"/>
  <c r="J28" i="18"/>
  <c r="AB12" i="18"/>
  <c r="AH44" i="18"/>
  <c r="AB36" i="18"/>
  <c r="AH36" i="18"/>
  <c r="V44" i="18"/>
  <c r="AH12" i="18"/>
  <c r="J44" i="18"/>
  <c r="P28" i="18"/>
  <c r="P12" i="18"/>
  <c r="V20" i="18"/>
  <c r="AB20" i="18"/>
  <c r="P20" i="18"/>
  <c r="AB34" i="18"/>
  <c r="P18" i="18"/>
  <c r="V10" i="18"/>
  <c r="P26" i="18"/>
  <c r="V18" i="18"/>
  <c r="V26" i="18"/>
  <c r="O41" i="1"/>
  <c r="P34" i="18"/>
  <c r="J26" i="18"/>
  <c r="J42" i="18"/>
  <c r="AB26" i="18"/>
  <c r="J34" i="18"/>
  <c r="AH34" i="18"/>
  <c r="V34" i="18"/>
  <c r="AH42" i="18"/>
  <c r="AH26" i="18"/>
  <c r="AH18" i="18"/>
  <c r="P10" i="18"/>
  <c r="J10" i="18"/>
  <c r="AB18" i="18"/>
  <c r="AB10" i="18"/>
  <c r="P41" i="1"/>
  <c r="AB42" i="18"/>
  <c r="V42" i="18"/>
  <c r="P42" i="18"/>
  <c r="AH10" i="18"/>
  <c r="J18" i="18"/>
  <c r="X42" i="18"/>
  <c r="AD10" i="18"/>
  <c r="L42" i="18"/>
  <c r="X18" i="18"/>
  <c r="R18" i="18"/>
  <c r="AD42" i="18"/>
  <c r="AJ42" i="18"/>
  <c r="R26" i="18"/>
  <c r="L18" i="18"/>
  <c r="L34" i="18"/>
  <c r="R10" i="18"/>
  <c r="O47" i="1"/>
  <c r="AJ18" i="18"/>
  <c r="X26" i="18"/>
  <c r="P47" i="1"/>
  <c r="X34" i="18"/>
  <c r="AD18" i="18"/>
  <c r="R42" i="18"/>
  <c r="AD34" i="18"/>
  <c r="AJ34" i="18"/>
  <c r="X10" i="18"/>
  <c r="L26" i="18"/>
  <c r="AJ10" i="18"/>
  <c r="R34" i="18"/>
  <c r="L10" i="18"/>
  <c r="AJ26" i="18"/>
  <c r="AD26" i="18"/>
  <c r="P40" i="18"/>
  <c r="AB8" i="18"/>
  <c r="AH24" i="18"/>
  <c r="J24" i="18"/>
  <c r="AB32" i="18"/>
  <c r="J32" i="18"/>
  <c r="J8" i="18"/>
  <c r="P8" i="18"/>
  <c r="V16" i="18"/>
  <c r="AH16" i="18"/>
  <c r="V40" i="18"/>
  <c r="V32" i="18"/>
  <c r="V8" i="18"/>
  <c r="J40" i="18"/>
  <c r="AH32" i="18"/>
  <c r="AB16" i="18"/>
  <c r="P32" i="18"/>
  <c r="J16" i="18"/>
  <c r="V24" i="18"/>
  <c r="P16" i="18"/>
  <c r="AH8" i="18"/>
  <c r="AH40" i="18"/>
  <c r="AB40" i="18"/>
  <c r="AB24" i="18"/>
  <c r="P24" i="18"/>
  <c r="Z42" i="18"/>
  <c r="AF34" i="18"/>
  <c r="AL18" i="18"/>
  <c r="P53" i="1"/>
  <c r="N42" i="18"/>
  <c r="AL10" i="18"/>
  <c r="T42" i="18"/>
  <c r="AF26" i="18"/>
  <c r="N18" i="18"/>
  <c r="N26" i="18"/>
  <c r="N10" i="18"/>
  <c r="AF18" i="18"/>
  <c r="AL34" i="18"/>
  <c r="T10" i="18"/>
  <c r="AL42" i="18"/>
  <c r="N34" i="18"/>
  <c r="AF10" i="18"/>
  <c r="T34" i="18"/>
  <c r="Z34" i="18"/>
  <c r="T18" i="18"/>
  <c r="AF42" i="18"/>
  <c r="Z18" i="18"/>
  <c r="AL26" i="18"/>
  <c r="Z26" i="18"/>
  <c r="Z10" i="18"/>
  <c r="T26" i="18"/>
  <c r="O53" i="1"/>
  <c r="AJ32" i="18"/>
  <c r="X40" i="18"/>
  <c r="X8" i="18"/>
  <c r="AD16" i="18"/>
  <c r="R40" i="18"/>
  <c r="X16" i="18"/>
  <c r="AD8" i="18"/>
  <c r="R16" i="18"/>
  <c r="R32" i="18"/>
  <c r="AJ40" i="18"/>
  <c r="AD40" i="18"/>
  <c r="L32" i="18"/>
  <c r="AD24" i="18"/>
  <c r="X24" i="18"/>
  <c r="AJ24" i="18"/>
  <c r="L40" i="18"/>
  <c r="X32" i="18"/>
  <c r="L24" i="18"/>
  <c r="R24" i="18"/>
  <c r="AJ16" i="18"/>
  <c r="AJ8" i="18"/>
  <c r="AD32" i="18"/>
  <c r="R8" i="18"/>
  <c r="L16" i="18"/>
  <c r="L8" i="18"/>
  <c r="AL40" i="18"/>
  <c r="AF16" i="18"/>
  <c r="N32" i="18"/>
  <c r="N8" i="18"/>
  <c r="AL16" i="18"/>
  <c r="AF32" i="18"/>
  <c r="AL32" i="18"/>
  <c r="AF24" i="18"/>
  <c r="T40" i="18"/>
  <c r="Z40" i="18"/>
  <c r="AF8" i="18"/>
  <c r="Z8" i="18"/>
  <c r="N40" i="18"/>
  <c r="Z16" i="18"/>
  <c r="AL24" i="18"/>
  <c r="AF40" i="18"/>
  <c r="T8" i="18"/>
  <c r="AL8" i="18"/>
  <c r="T24" i="18"/>
  <c r="T32" i="18"/>
  <c r="N16" i="18"/>
  <c r="Z24" i="18"/>
  <c r="Z32" i="18"/>
  <c r="N24" i="18"/>
  <c r="T16" i="18"/>
  <c r="AF6" i="18"/>
  <c r="T6" i="18"/>
  <c r="T38" i="18"/>
  <c r="AL22" i="18"/>
  <c r="AF22" i="18"/>
  <c r="T30" i="18"/>
  <c r="N6" i="18"/>
  <c r="N38" i="18"/>
  <c r="Z38" i="18"/>
  <c r="Z14" i="18"/>
  <c r="AF30" i="18"/>
  <c r="AF14" i="18"/>
  <c r="AF38" i="18"/>
  <c r="AL30" i="18"/>
  <c r="AL14" i="18"/>
  <c r="AL6" i="18"/>
  <c r="N30" i="18"/>
  <c r="Z30" i="18"/>
  <c r="Z6" i="18"/>
  <c r="N14" i="18"/>
  <c r="T22" i="18"/>
  <c r="Z22" i="18"/>
  <c r="T14" i="18"/>
  <c r="N22" i="18"/>
  <c r="AL38" i="18"/>
  <c r="AD38" i="18"/>
  <c r="AJ14" i="18"/>
  <c r="R38" i="18"/>
  <c r="AD22" i="18"/>
  <c r="L30" i="18"/>
  <c r="AJ22" i="18"/>
  <c r="AJ38" i="18"/>
  <c r="AD30" i="18"/>
  <c r="AD14" i="18"/>
  <c r="AJ30" i="18"/>
  <c r="AJ6" i="18"/>
  <c r="X38" i="18"/>
  <c r="X30" i="18"/>
  <c r="L14" i="18"/>
  <c r="X14" i="18"/>
  <c r="L22" i="18"/>
  <c r="R22" i="18"/>
  <c r="X6" i="18"/>
  <c r="X22" i="18"/>
  <c r="L6" i="18"/>
  <c r="R14" i="18"/>
  <c r="L38" i="18"/>
  <c r="AD6" i="18"/>
  <c r="R6" i="18"/>
  <c r="R30" i="18"/>
  <c r="O9" i="1"/>
  <c r="AD9" i="1" s="1"/>
  <c r="AD10" i="1" s="1"/>
  <c r="P9" i="1"/>
  <c r="J38" i="18"/>
  <c r="V6" i="18"/>
  <c r="V38" i="18"/>
  <c r="P14" i="18"/>
  <c r="P30" i="18"/>
  <c r="P6" i="18"/>
  <c r="P22" i="18"/>
  <c r="AH38" i="18"/>
  <c r="J22" i="18"/>
  <c r="AH14" i="18"/>
  <c r="AB6" i="18"/>
  <c r="V22" i="18"/>
  <c r="J6" i="18"/>
  <c r="V30" i="18"/>
  <c r="AB38" i="18"/>
  <c r="AH30" i="18"/>
  <c r="P38" i="18"/>
  <c r="V14" i="18"/>
  <c r="J14" i="18"/>
  <c r="J30" i="18"/>
  <c r="AH6" i="18"/>
  <c r="AH22" i="18"/>
  <c r="AB30" i="18"/>
  <c r="AB22" i="18"/>
  <c r="AB14" i="18"/>
  <c r="V27" i="19" l="1"/>
  <c r="J17" i="19"/>
  <c r="J27" i="19"/>
  <c r="AB7" i="19"/>
  <c r="P37" i="19"/>
  <c r="AH17" i="19"/>
  <c r="AH7" i="19"/>
  <c r="V47" i="19"/>
  <c r="V7" i="19"/>
  <c r="P17" i="19"/>
  <c r="AB17" i="19"/>
  <c r="P7" i="19"/>
  <c r="P47" i="19"/>
  <c r="J37" i="19"/>
  <c r="AH37" i="19"/>
  <c r="V17" i="19"/>
  <c r="J7" i="19"/>
  <c r="AH27" i="19"/>
  <c r="J47" i="19"/>
  <c r="AB27" i="19"/>
  <c r="AB37" i="19"/>
  <c r="P27" i="19"/>
  <c r="AH47" i="19"/>
  <c r="V37" i="19"/>
  <c r="AB47" i="19"/>
  <c r="AH49" i="19"/>
  <c r="V39" i="19"/>
  <c r="J19" i="19"/>
  <c r="AB29" i="19"/>
  <c r="V49" i="19"/>
  <c r="AH29" i="19"/>
  <c r="P39" i="19"/>
  <c r="V9" i="19"/>
  <c r="V29" i="19"/>
  <c r="P49" i="19"/>
  <c r="AH39" i="19"/>
  <c r="AB19" i="19"/>
  <c r="J39" i="19"/>
  <c r="P9" i="19"/>
  <c r="AH9" i="19"/>
  <c r="P29" i="19"/>
  <c r="J49" i="19"/>
  <c r="V19" i="19"/>
  <c r="J9" i="19"/>
  <c r="AB39" i="19"/>
  <c r="AB9" i="19"/>
  <c r="J29" i="19"/>
  <c r="AB49" i="19"/>
  <c r="P19" i="19"/>
  <c r="AH19" i="19"/>
  <c r="AC10" i="1"/>
  <c r="AE10" i="1" s="1"/>
  <c r="AC9" i="1"/>
  <c r="AE9" i="1" s="1"/>
  <c r="AH45" i="19"/>
  <c r="AB35" i="19"/>
  <c r="AH15" i="19"/>
  <c r="J55" i="19"/>
  <c r="V55" i="19"/>
  <c r="AB55" i="19"/>
  <c r="AB25" i="19"/>
  <c r="J45" i="19"/>
  <c r="P35" i="19"/>
  <c r="V25" i="19"/>
  <c r="P45" i="19"/>
  <c r="AH35" i="19"/>
  <c r="P55" i="19"/>
  <c r="V45" i="19"/>
  <c r="AB45" i="19"/>
  <c r="AH55" i="19"/>
  <c r="P15" i="19"/>
  <c r="V15" i="19"/>
  <c r="J25" i="19"/>
  <c r="J15" i="19"/>
  <c r="V35" i="19"/>
  <c r="AE59" i="1"/>
  <c r="P25" i="19"/>
  <c r="J35" i="19"/>
  <c r="AH25" i="19"/>
  <c r="AB15" i="19"/>
  <c r="P6" i="19" l="1"/>
  <c r="J26" i="19"/>
  <c r="AH46" i="19"/>
  <c r="AB6" i="19"/>
  <c r="J46" i="19"/>
  <c r="J36" i="19"/>
  <c r="V16" i="19"/>
  <c r="V26" i="19"/>
  <c r="J16" i="19"/>
  <c r="AB16" i="19"/>
  <c r="AB26" i="19"/>
  <c r="J6" i="19"/>
  <c r="AB46" i="19"/>
  <c r="V46" i="19"/>
  <c r="AH6" i="19"/>
  <c r="P16" i="19"/>
  <c r="V6" i="19"/>
  <c r="AH16" i="19"/>
  <c r="P36" i="19"/>
  <c r="AB36" i="19"/>
  <c r="V36" i="19"/>
  <c r="AH36" i="19"/>
  <c r="P26" i="19"/>
  <c r="AH26" i="19"/>
  <c r="P46" i="19"/>
  <c r="AJ6" i="19"/>
  <c r="AJ46" i="19"/>
  <c r="AD6" i="19"/>
  <c r="X6" i="19"/>
  <c r="R6" i="19"/>
  <c r="AD36" i="19"/>
  <c r="X46" i="19"/>
  <c r="L6" i="19"/>
  <c r="R46" i="19"/>
  <c r="L16" i="19"/>
  <c r="AJ36" i="19"/>
  <c r="AJ26" i="19"/>
  <c r="AJ16" i="19"/>
  <c r="AD26" i="19"/>
  <c r="R26" i="19"/>
  <c r="L46" i="19"/>
  <c r="AD16" i="19"/>
  <c r="AD46" i="19"/>
  <c r="X26" i="19"/>
  <c r="L36" i="19"/>
  <c r="L26" i="19"/>
  <c r="R16" i="19"/>
  <c r="R36" i="19"/>
  <c r="X16" i="19"/>
  <c r="X36" i="19"/>
  <c r="Q6" i="19"/>
  <c r="Q16" i="19"/>
  <c r="AI16" i="19"/>
  <c r="W6" i="19"/>
  <c r="K26" i="19"/>
  <c r="Q26" i="19"/>
  <c r="AI26" i="19"/>
  <c r="AC36" i="19"/>
  <c r="AI46" i="19"/>
  <c r="AC26" i="19"/>
  <c r="AC6" i="19"/>
  <c r="W16" i="19"/>
  <c r="K36" i="19"/>
  <c r="K6" i="19"/>
  <c r="AI6" i="19"/>
  <c r="Q36" i="19"/>
  <c r="W26" i="19"/>
  <c r="W46" i="19"/>
  <c r="AI36" i="19"/>
  <c r="W36" i="19"/>
  <c r="K16" i="19"/>
  <c r="K46" i="19"/>
  <c r="AC46" i="19"/>
  <c r="Q46" i="19"/>
  <c r="AC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<sst xmlns="http://schemas.openxmlformats.org/spreadsheetml/2006/main" count="386" uniqueCount="253">
  <si>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</si>
  <si>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</si>
  <si>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</si>
  <si>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</si>
  <si>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</si>
  <si>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</si>
  <si>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</si>
  <si>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</si>
  <si>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</si>
  <si>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</si>
  <si>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</si>
  <si>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</si>
  <si>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</si>
  <si>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</si>
  <si>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</si>
  <si>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</si>
  <si>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</si>
  <si>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</si>
  <si>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</si>
  <si>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</si>
  <si>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</si>
  <si>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</si>
  <si>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</si>
  <si>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</si>
  <si>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</si>
  <si>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</si>
  <si>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</si>
  <si>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</si>
  <si>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</si>
  <si>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</si>
  <si>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</si>
  <si>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</si>
  <si>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</si>
  <si>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</si>
  <si>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</si>
  <si>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</si>
  <si>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</si>
  <si>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</si>
  <si>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</si>
  <si>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</si>
  <si>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</si>
  <si>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</si>
  <si>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</si>
  <si>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</si>
  <si>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</si>
  <si>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</si>
  <si>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</si>
  <si>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</si>
  <si>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</si>
  <si>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</si>
  <si>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</si>
  <si>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</si>
  <si>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</si>
  <si>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</si>
  <si>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</si>
  <si>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</si>
  <si>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</si>
  <si>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</si>
  <si>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</si>
  <si>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</si>
  <si>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</si>
  <si>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</si>
  <si>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</si>
  <si>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</si>
  <si>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</si>
  <si>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</si>
  <si>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</si>
  <si>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</si>
  <si>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</si>
  <si>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</si>
  <si>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</si>
  <si>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</si>
  <si>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</si>
  <si>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</si>
  <si>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</si>
  <si>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</si>
  <si>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</si>
  <si>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</si>
  <si>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</si>
  <si>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</si>
  <si>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</si>
  <si>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</si>
  <si>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</si>
  <si>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</si>
  <si>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</si>
  <si>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</si>
  <si>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</si>
  <si>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</si>
  <si>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</si>
  <si>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</si>
  <si>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</si>
  <si>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</si>
  <si>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</si>
  <si>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</si>
  <si>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</si>
  <si>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</si>
  <si>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</si>
  <si>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</si>
  <si>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</si>
  <si>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</si>
  <si>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</si>
  <si>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</si>
  <si>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</si>
  <si>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</si>
  <si>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</si>
  <si>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</si>
  <si>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</si>
  <si>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</si>
  <si>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</si>
  <si>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</si>
  <si>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</si>
  <si>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</si>
  <si>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</si>
  <si>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</si>
  <si>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</si>
  <si>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</si>
  <si>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</si>
  <si>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</si>
  <si>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</si>
  <si>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</si>
  <si>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</si>
  <si>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</si>
  <si>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</si>
  <si>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</si>
  <si>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</si>
  <si>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</si>
  <si>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</si>
  <si>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</si>
  <si>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</si>
  <si>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</si>
  <si>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</si>
  <si>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</si>
  <si>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</si>
  <si>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</si>
  <si>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</si>
  <si>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</si>
  <si>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</si>
  <si>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</si>
  <si>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</si>
  <si>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</si>
  <si>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</si>
  <si>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</si>
  <si>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</si>
  <si>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</si>
  <si>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</si>
  <si>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</si>
  <si>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</si>
  <si>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</si>
  <si>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</si>
  <si>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</si>
  <si>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</si>
  <si>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</si>
  <si>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</si>
  <si>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</si>
  <si>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</si>
  <si>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</si>
  <si>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</si>
  <si>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</si>
  <si>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</si>
  <si>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</si>
  <si>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</si>
  <si>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</si>
  <si>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</si>
  <si>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</si>
  <si>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</si>
  <si>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</si>
  <si>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</si>
  <si>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</si>
  <si>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</si>
  <si>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</si>
  <si>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</si>
  <si>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</si>
  <si>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</si>
  <si>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</si>
  <si>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</si>
  <si>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</si>
  <si>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</si>
  <si>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</si>
  <si>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</si>
  <si>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</si>
  <si>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</si>
  <si>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</si>
  <si>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</si>
  <si>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</si>
  <si>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</si>
  <si>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</si>
  <si>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</si>
  <si>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</si>
  <si>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</si>
  <si>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</si>
  <si>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</si>
  <si>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</si>
  <si>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</si>
  <si>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</si>
  <si>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</si>
  <si>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</si>
  <si>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</si>
  <si>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</si>
  <si>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</si>
  <si>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</si>
  <si>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</si>
  <si>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</si>
  <si>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</si>
  <si>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</si>
  <si>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</si>
  <si>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</si>
  <si>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</si>
  <si>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</si>
  <si>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</si>
  <si>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</si>
  <si>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</si>
  <si>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</si>
  <si>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</si>
  <si>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</si>
  <si>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</si>
  <si>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 de Riesgo</t>
  </si>
  <si>
    <t>Desarticulación entre las direcciónes de la secretraría para formular e implementar acciones y estrategias.</t>
  </si>
  <si>
    <t>Trimestral</t>
  </si>
  <si>
    <t>Permanente</t>
  </si>
  <si>
    <t>INICIA CON LA PLANEACIÓN DEL PROCESO, LA IDENTIFICACION Y GENERACIÓN DE ESTUDIOS Y DISEÑOS PARA LA CONSTRUCCIÓN Y MANTENIMIENTO DE INFRAESTRUCTURA Y OBRAS PÚBLICAS, HASTA EL SEGUIMIENTO Y EVALUACIÓN DEL PROCESO</t>
  </si>
  <si>
    <t>GESTION INFRAESTRUCTURA Y OBRAS PUBLICAS</t>
  </si>
  <si>
    <t>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t>
  </si>
  <si>
    <t xml:space="preserve">Incumplimiento de las metas establecidas en los planes de acción y en plan de desarrollo municipal . </t>
  </si>
  <si>
    <t>Desarticulación entre la secretaría y las demas dependencias de la entidad  involucradas en los procesos contractuales del Proceso Gestión Infraestructura y Obras Públicas</t>
  </si>
  <si>
    <t>Planificación inadecuada de las acciones y estrategias propias de la entidad en cumplimiento al proceso de gestión Infraestructura y Obras Públicas</t>
  </si>
  <si>
    <t>Posiblilidad de perdida reputacional y económica  por incumplimiento de las metas establecidas en los planes de acción y en plan de desarrollo municipal debido a la planificación inadecuada de las acciones y estrategias propias de la entidad en cumplimiento al proceso de gestión en Infraesructura y Obras Públicas</t>
  </si>
  <si>
    <t xml:space="preserve">REALIZAR LA FORMULACIÓN Y APROBACIÓN DEL PLAN DE DESARROLLO MUNICIPAL
REALIZAR LA IDENTIFICACION DE LOS ESTUDIOS Y DISEÑOS DE PROYECTOS PARA LA CONSTRUCCION DE INFRAESTRUCTURA Y OBRAS PUBLICAS
</t>
  </si>
  <si>
    <t>El secretario de Infraestructura convoca cada quince dias comite de contratación para hacer el seguimiento de los procesos contractuales, dejando como evidencia las actas de reunion y los registros de asistencia</t>
  </si>
  <si>
    <t>El secretario de infraestructura convoca a comités técnicos mensuales a funcionarios y contratistas, con el fin de realizar el seguimiento a los proyectos de infraestructura y Obras Públicas, dejando como evidencia las actas de reunión y los registros de asistencia</t>
  </si>
  <si>
    <t xml:space="preserve">Implementar una herramienta ya sea Base de Datos o una Matriz que permita el seguimiento a los procesos contractuales  </t>
  </si>
  <si>
    <t xml:space="preserve">Cumplir con la realizacion de los comites tecnicos mensuales para el seguimiento a los proyectos de infraestructura y obras publicas </t>
  </si>
  <si>
    <t>Se realiza el seguimiento mediante documentos como actas de reunión y evidencia de la matriz o base de datos de seguimiento a los procesos contractuales de manera mensual.</t>
  </si>
  <si>
    <t>Incumplimiento en la entrega final de las obras de infraestructura y obras publicas por falta de recursos y demoras en la ejecucion del proyecto para atender la necesidades de la población.</t>
  </si>
  <si>
    <t>Obras inconclusas por falta de las debidas condiciones técnicas y de calidad requeridas.</t>
  </si>
  <si>
    <t xml:space="preserve">Generción de residuos ocasionados por la construccion de obras de infraestructura y obras publicas </t>
  </si>
  <si>
    <t xml:space="preserve">Falta de gestión al seguimiento y verificacion a la ejecuicon de obras de infraestructura y obras publicas </t>
  </si>
  <si>
    <t>Cambios normativos y de gobierno</t>
  </si>
  <si>
    <t>Personal que no cumple con la competencia requerida</t>
  </si>
  <si>
    <t xml:space="preserve">Ausencia de control y exigencia por parte del supervisor del contrato a los contratistas en terminos ambientales y de seguridad y salud en el trabajo </t>
  </si>
  <si>
    <t>Posiblilidad de perdida reputacional y económica  por incumplimiento en la entrega final de las obras de infraestructura y obras publicas por falta de recursos y demoras en la ejecucion del proyecto para atender la necesidades de la población, obras inconclusas por falta de las debidas condiciones técnicas y de calidad requeridas y generción de residuos debido a la falta de gestión al seguimiento y verificacion a la ejecuicon de obras de infraestructura y obras publicas.</t>
  </si>
  <si>
    <t>El secretario de infraestructura y/o Directores convocan a comités técnicos de manera semanal y/o quincenal a funcionarios y contratistas, con el fin de realizar el seguimiento a las distintas actividades de los proyectos de infraestructura y Obras Públicas, dejando como evidencia las actas de reunión y los registros de asistencia</t>
  </si>
  <si>
    <t xml:space="preserve">Cumplir con la realizacion de los comites tecnicos semanales y/ o quincenales  para el seguimiento de las distintas actividades  de los proyectos de infraestructura y obras publicas </t>
  </si>
  <si>
    <t>Secretario(a) de Infraestructura, Equipo Directivo</t>
  </si>
  <si>
    <t>Se realiza el seguimiento mediante actas de reunión  de los comites tecnicos y las evidencia presentadas al seguimiento de los prroyectos ante la secretaria de planeación</t>
  </si>
  <si>
    <t>Secretario(a) de Infraestructura, Equipo Directivo, Supervisores</t>
  </si>
  <si>
    <t xml:space="preserve">Seguimiento mediante actas de reunion </t>
  </si>
  <si>
    <t xml:space="preserve">.-  REALIZAR LA IDENTIFICACION DE LOS RECURSOS FINANCIEROS, TECNICOS Y ADMINISTRATIVOS QUE SE REQUIEREN PARA EL DESARROLLO  DE LOS PROYECTOS EN EL PROCESO GESTION DE INFRAESTRUCTURA Y OBRAS PUBLICAS                                                                      .- REALIZAR UNA GUIA SOCIO AMBIENTAL PARA EL DESARROLLO  DE LOS PROYECTOS EN EL PROCESO GESTION DE INFRAESTRUCTURA Y OBRAS PUBLICAS                                                                                                                                                                                                                                                                                  </t>
  </si>
  <si>
    <t xml:space="preserve">El secretario de infraestructura y/o Directores junto con el supervisor evaluaran el desarrollo de las distintas actividades a desarrollar por el personal de contrato tanto profesional como de apoyo a la gestion, al igual con el contratista de obra e interventoria de manera mensual, dejando como evidencia la certificacion que ha cumplido con las obligaciones para las cuales fueron contratados. </t>
  </si>
  <si>
    <t>Realizar mesas de trabajo quincenales y/o mensuales con el fin de revisar el desarrollo de las actividades del personal profesional y de apoyo a la gestion, como de los contratistas de obra e interventoria.</t>
  </si>
  <si>
    <t xml:space="preserve">     SEGUIMIENTO       MAYO-JUNIO </t>
  </si>
  <si>
    <t xml:space="preserve">Se realizan Comites Técnicos de obra de manera quincenal y/o semanal para su seguimiento (Cto 2319-2020 Coliseo Mayor - Cto 2430-2022 Piscinas La 42 - Cto 2539-2022 Rehabilitacion Malla Vial - Cto 1979-2023 Rehabilitacion Malla Vial - Cto 1731-2021 Tejodromo) </t>
  </si>
  <si>
    <t>Se realizaron comités técnicos de contratación, para seguimiento de los procesos contractuales,  para los días 13/06/2023 y  26/06/2023</t>
  </si>
  <si>
    <t>Se realizo comité técnico con el personal de planta y contratistas para el dia 15/06/2023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</si>
</sst>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2"/>
      <color theme="1"/>
      <name val="Arial"/>
      <family val="2"/>
    </font>
    <font>
      <sz val="10"/>
      <color theme="1"/>
      <name val="Arial"/>
      <family val="2"/>
    </font>
    <font>
      <sz val="12"/>
      <name val="Arial"/>
      <family val="2"/>
    </font>
    <font>
      <sz val="12"/>
      <name val="Arial Narrow"/>
      <family val="2"/>
    </font>
    <font>
      <sz val="12"/>
      <color theme="0"/>
      <name val="Arial Narrow"/>
      <family val="2"/>
    </font>
    <font>
      <sz val="12"/>
      <color rgb="FF222222"/>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53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7" fillId="3" borderId="49" xfId="2" applyFont="1" applyFill="1" applyBorder="1"/>
    <xf numFmtId="0" fontId="47" fillId="3" borderId="50" xfId="2" applyFont="1" applyFill="1" applyBorder="1"/>
    <xf numFmtId="0" fontId="47" fillId="3" borderId="5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9" fontId="35" fillId="3" borderId="41" xfId="0" applyNumberFormat="1"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6" fillId="3" borderId="31" xfId="0" applyFont="1" applyFill="1" applyBorder="1" applyAlignment="1">
      <alignment horizontal="justify" vertical="center" wrapText="1" readingOrder="1"/>
    </xf>
    <xf numFmtId="9" fontId="35" fillId="3" borderId="36" xfId="0" applyNumberFormat="1" applyFont="1" applyFill="1" applyBorder="1" applyAlignment="1">
      <alignment horizontal="center" vertical="center" wrapText="1" readingOrder="1"/>
    </xf>
    <xf numFmtId="0" fontId="36" fillId="3" borderId="36" xfId="0" applyFont="1" applyFill="1" applyBorder="1" applyAlignment="1">
      <alignment horizontal="center" vertical="center" wrapText="1" readingOrder="1"/>
    </xf>
    <xf numFmtId="0" fontId="35" fillId="3" borderId="38" xfId="0" applyFont="1" applyFill="1" applyBorder="1" applyAlignment="1">
      <alignment horizontal="center" vertical="center" wrapText="1" readingOrder="1"/>
    </xf>
    <xf numFmtId="0" fontId="36" fillId="3" borderId="38" xfId="0" applyFont="1" applyFill="1" applyBorder="1" applyAlignment="1">
      <alignment horizontal="justify" vertical="center" wrapText="1" readingOrder="1"/>
    </xf>
    <xf numFmtId="0" fontId="36" fillId="3" borderId="39" xfId="0" applyFont="1" applyFill="1" applyBorder="1" applyAlignment="1">
      <alignment horizontal="center" vertical="center" wrapText="1" readingOrder="1"/>
    </xf>
    <xf numFmtId="0" fontId="44" fillId="3" borderId="0" xfId="0" applyFont="1" applyFill="1"/>
    <xf numFmtId="0" fontId="35" fillId="15" borderId="43" xfId="0" applyFont="1" applyFill="1" applyBorder="1" applyAlignment="1">
      <alignment horizontal="center" vertical="center" wrapText="1" readingOrder="1"/>
    </xf>
    <xf numFmtId="0" fontId="35" fillId="15" borderId="4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15" xfId="2" applyFont="1" applyFill="1" applyBorder="1"/>
    <xf numFmtId="0" fontId="47" fillId="3" borderId="16" xfId="2" applyFont="1" applyFill="1" applyBorder="1"/>
    <xf numFmtId="0" fontId="47" fillId="3" borderId="18" xfId="2" applyFont="1" applyFill="1" applyBorder="1"/>
    <xf numFmtId="0" fontId="47" fillId="3" borderId="17"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14"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164" fontId="1" fillId="0" borderId="2" xfId="1" applyNumberFormat="1" applyFont="1" applyBorder="1" applyAlignment="1">
      <alignment horizontal="center" vertical="center"/>
    </xf>
    <xf numFmtId="0" fontId="4" fillId="2" borderId="5" xfId="0" applyFont="1" applyFill="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8" xfId="0" applyFont="1" applyFill="1" applyBorder="1" applyAlignment="1">
      <alignment horizontal="center" vertical="center"/>
    </xf>
    <xf numFmtId="0" fontId="1"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protection hidden="1"/>
    </xf>
    <xf numFmtId="9" fontId="1" fillId="0" borderId="2" xfId="0" applyNumberFormat="1" applyFont="1" applyBorder="1" applyAlignment="1" applyProtection="1">
      <alignment horizontal="center" vertical="center"/>
      <protection hidden="1"/>
    </xf>
    <xf numFmtId="0" fontId="1" fillId="0" borderId="4"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56" fillId="0" borderId="0" xfId="0" applyFont="1" applyAlignment="1">
      <alignment horizontal="justify" vertical="center"/>
    </xf>
    <xf numFmtId="0" fontId="2" fillId="0" borderId="8"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1" fillId="0" borderId="8" xfId="0" applyFont="1" applyBorder="1" applyAlignment="1">
      <alignment vertical="top"/>
    </xf>
    <xf numFmtId="0" fontId="1" fillId="0" borderId="5" xfId="0" applyFont="1" applyBorder="1" applyAlignment="1">
      <alignment vertical="top"/>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4" fillId="0" borderId="8"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9" fontId="1" fillId="0" borderId="8" xfId="0" applyNumberFormat="1" applyFont="1" applyBorder="1" applyAlignment="1" applyProtection="1">
      <alignment vertical="top" wrapText="1"/>
      <protection hidden="1"/>
    </xf>
    <xf numFmtId="9" fontId="1" fillId="0" borderId="5" xfId="0" applyNumberFormat="1" applyFont="1" applyBorder="1" applyAlignment="1" applyProtection="1">
      <alignment vertical="top" wrapText="1"/>
      <protection hidden="1"/>
    </xf>
    <xf numFmtId="0" fontId="4" fillId="0" borderId="8" xfId="0" applyFont="1" applyBorder="1" applyAlignment="1" applyProtection="1">
      <alignment vertical="top"/>
      <protection hidden="1"/>
    </xf>
    <xf numFmtId="0" fontId="4" fillId="0" borderId="5" xfId="0" applyFont="1" applyBorder="1" applyAlignment="1" applyProtection="1">
      <alignment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vertical="center" wrapText="1"/>
      <protection hidden="1"/>
    </xf>
    <xf numFmtId="9" fontId="1" fillId="0" borderId="8" xfId="0" applyNumberFormat="1" applyFont="1" applyBorder="1" applyAlignment="1" applyProtection="1">
      <alignment vertical="center" wrapText="1"/>
      <protection hidden="1"/>
    </xf>
    <xf numFmtId="0" fontId="1" fillId="3" borderId="6" xfId="0" applyFont="1" applyFill="1" applyBorder="1" applyAlignment="1" applyProtection="1">
      <alignment vertical="center"/>
      <protection locked="0"/>
    </xf>
    <xf numFmtId="0" fontId="1" fillId="3" borderId="10" xfId="0" applyFont="1" applyFill="1" applyBorder="1" applyAlignment="1" applyProtection="1">
      <alignment vertical="center"/>
      <protection locked="0"/>
    </xf>
    <xf numFmtId="0" fontId="1" fillId="3" borderId="7" xfId="0" applyFont="1" applyFill="1" applyBorder="1" applyAlignment="1" applyProtection="1">
      <alignment vertical="center"/>
      <protection locked="0"/>
    </xf>
    <xf numFmtId="0" fontId="4" fillId="2" borderId="6" xfId="0" applyFont="1" applyFill="1" applyBorder="1" applyAlignment="1">
      <alignment vertical="center"/>
    </xf>
    <xf numFmtId="0" fontId="4" fillId="2" borderId="7" xfId="0" applyFont="1" applyFill="1" applyBorder="1" applyAlignment="1">
      <alignment vertical="center"/>
    </xf>
    <xf numFmtId="0" fontId="4" fillId="0" borderId="2" xfId="0" applyFont="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wrapText="1"/>
      <protection locked="0"/>
    </xf>
    <xf numFmtId="0" fontId="33" fillId="0" borderId="0" xfId="0" applyFont="1" applyAlignment="1">
      <alignment horizontal="justify" vertical="center"/>
    </xf>
    <xf numFmtId="0" fontId="33" fillId="0" borderId="4" xfId="0" applyFont="1" applyBorder="1" applyAlignment="1" applyProtection="1">
      <alignment horizontal="justify" vertical="center" wrapText="1"/>
      <protection locked="0"/>
    </xf>
    <xf numFmtId="0" fontId="60" fillId="3" borderId="0" xfId="0" applyFont="1" applyFill="1" applyAlignment="1">
      <alignment horizontal="justify" vertical="center" wrapText="1"/>
    </xf>
    <xf numFmtId="0" fontId="61" fillId="0" borderId="0" xfId="0" applyFont="1" applyAlignment="1">
      <alignment horizontal="left" vertical="center" wrapText="1"/>
    </xf>
    <xf numFmtId="0" fontId="33" fillId="0" borderId="4" xfId="0" applyFont="1" applyBorder="1" applyAlignment="1" applyProtection="1">
      <alignment vertical="center" wrapText="1"/>
      <protection locked="0"/>
    </xf>
    <xf numFmtId="0" fontId="53" fillId="3" borderId="62" xfId="2" applyFont="1" applyFill="1" applyBorder="1" applyAlignment="1">
      <alignment horizontal="justify" vertical="center" wrapText="1"/>
    </xf>
    <xf numFmtId="0" fontId="53" fillId="3" borderId="63" xfId="2" applyFont="1" applyFill="1" applyBorder="1" applyAlignment="1">
      <alignment horizontal="justify" vertical="center" wrapText="1"/>
    </xf>
    <xf numFmtId="0" fontId="52" fillId="3" borderId="69" xfId="0" applyFont="1" applyFill="1" applyBorder="1" applyAlignment="1">
      <alignment horizontal="left" vertical="center" wrapText="1"/>
    </xf>
    <xf numFmtId="0" fontId="52" fillId="3" borderId="70" xfId="0" applyFont="1" applyFill="1" applyBorder="1" applyAlignment="1">
      <alignment horizontal="left" vertical="center" wrapText="1"/>
    </xf>
    <xf numFmtId="0" fontId="52" fillId="3" borderId="56" xfId="3" applyFont="1" applyFill="1" applyBorder="1" applyAlignment="1">
      <alignment horizontal="left" vertical="top" wrapText="1" readingOrder="1"/>
    </xf>
    <xf numFmtId="0" fontId="52" fillId="3" borderId="57" xfId="3" applyFont="1" applyFill="1" applyBorder="1" applyAlignment="1">
      <alignment horizontal="left" vertical="top" wrapText="1" readingOrder="1"/>
    </xf>
    <xf numFmtId="0" fontId="53" fillId="3" borderId="58" xfId="2" applyFont="1" applyFill="1" applyBorder="1" applyAlignment="1">
      <alignment horizontal="justify" vertical="center" wrapText="1"/>
    </xf>
    <xf numFmtId="0" fontId="53" fillId="3" borderId="59" xfId="2" applyFont="1" applyFill="1" applyBorder="1" applyAlignment="1">
      <alignment horizontal="justify"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47" fillId="3" borderId="14"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15" xfId="2" applyFont="1" applyFill="1" applyBorder="1" applyAlignment="1">
      <alignment horizontal="left" vertical="top" wrapText="1"/>
    </xf>
    <xf numFmtId="0" fontId="52" fillId="3" borderId="71" xfId="0" applyFont="1" applyFill="1" applyBorder="1" applyAlignment="1">
      <alignment horizontal="left" vertical="center" wrapText="1"/>
    </xf>
    <xf numFmtId="0" fontId="52" fillId="3" borderId="72" xfId="0" applyFont="1" applyFill="1" applyBorder="1" applyAlignment="1">
      <alignment horizontal="left" vertical="center" wrapText="1"/>
    </xf>
    <xf numFmtId="0" fontId="53" fillId="3" borderId="64" xfId="0" applyFont="1" applyFill="1" applyBorder="1" applyAlignment="1">
      <alignment horizontal="justify" vertical="center" wrapText="1"/>
    </xf>
    <xf numFmtId="0" fontId="53" fillId="3" borderId="65" xfId="0" applyFont="1" applyFill="1" applyBorder="1" applyAlignment="1">
      <alignment horizontal="justify" vertical="center" wrapText="1"/>
    </xf>
    <xf numFmtId="0" fontId="48" fillId="14" borderId="46" xfId="2" applyFont="1" applyFill="1" applyBorder="1" applyAlignment="1">
      <alignment horizontal="center" vertical="center" wrapText="1"/>
    </xf>
    <xf numFmtId="0" fontId="48" fillId="14" borderId="47" xfId="2" applyFont="1" applyFill="1" applyBorder="1" applyAlignment="1">
      <alignment horizontal="center" vertical="center" wrapText="1"/>
    </xf>
    <xf numFmtId="0" fontId="48" fillId="14" borderId="48" xfId="2" applyFont="1" applyFill="1" applyBorder="1" applyAlignment="1">
      <alignment horizontal="center" vertical="center" wrapText="1"/>
    </xf>
    <xf numFmtId="0" fontId="47" fillId="0" borderId="14"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15" xfId="2" quotePrefix="1" applyFont="1" applyBorder="1" applyAlignment="1">
      <alignment horizontal="left" vertical="center" wrapText="1"/>
    </xf>
    <xf numFmtId="0" fontId="47" fillId="0" borderId="66" xfId="2" quotePrefix="1" applyFont="1" applyBorder="1" applyAlignment="1">
      <alignment horizontal="left" vertical="center" wrapText="1"/>
    </xf>
    <xf numFmtId="0" fontId="47" fillId="0" borderId="67" xfId="2" quotePrefix="1" applyFont="1" applyBorder="1" applyAlignment="1">
      <alignment horizontal="left" vertical="center" wrapText="1"/>
    </xf>
    <xf numFmtId="0" fontId="47" fillId="0" borderId="68" xfId="2" quotePrefix="1" applyFont="1" applyBorder="1" applyAlignment="1">
      <alignment horizontal="left" vertical="center" wrapText="1"/>
    </xf>
    <xf numFmtId="0" fontId="49" fillId="3" borderId="49" xfId="2" quotePrefix="1" applyFont="1" applyFill="1" applyBorder="1" applyAlignment="1">
      <alignment horizontal="left" vertical="top" wrapText="1"/>
    </xf>
    <xf numFmtId="0" fontId="50" fillId="3" borderId="50" xfId="2" quotePrefix="1" applyFont="1" applyFill="1" applyBorder="1" applyAlignment="1">
      <alignment horizontal="left" vertical="top" wrapText="1"/>
    </xf>
    <xf numFmtId="0" fontId="50" fillId="3" borderId="51" xfId="2" quotePrefix="1" applyFont="1" applyFill="1" applyBorder="1" applyAlignment="1">
      <alignment horizontal="left" vertical="top" wrapText="1"/>
    </xf>
    <xf numFmtId="0" fontId="47" fillId="0" borderId="14"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15" xfId="2" quotePrefix="1" applyFont="1" applyBorder="1" applyAlignment="1">
      <alignment horizontal="left" vertical="top" wrapText="1"/>
    </xf>
    <xf numFmtId="0" fontId="52" fillId="14" borderId="52" xfId="3" applyFont="1" applyFill="1" applyBorder="1" applyAlignment="1">
      <alignment horizontal="center" vertical="center" wrapText="1"/>
    </xf>
    <xf numFmtId="0" fontId="52" fillId="14" borderId="53" xfId="3" applyFont="1" applyFill="1" applyBorder="1" applyAlignment="1">
      <alignment horizontal="center" vertical="center" wrapText="1"/>
    </xf>
    <xf numFmtId="0" fontId="52" fillId="14" borderId="54" xfId="2" applyFont="1" applyFill="1" applyBorder="1" applyAlignment="1">
      <alignment horizontal="center" vertical="center"/>
    </xf>
    <xf numFmtId="0" fontId="52"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43" fillId="0" borderId="0" xfId="0" applyFont="1" applyAlignment="1">
      <alignment horizontal="center" vertical="center"/>
    </xf>
    <xf numFmtId="0" fontId="4" fillId="7" borderId="2"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14" fontId="1" fillId="0" borderId="4" xfId="0" applyNumberFormat="1" applyFont="1" applyBorder="1" applyAlignment="1" applyProtection="1">
      <alignment horizontal="center" vertical="top"/>
      <protection locked="0"/>
    </xf>
    <xf numFmtId="14" fontId="1" fillId="0" borderId="8" xfId="0" applyNumberFormat="1" applyFont="1" applyBorder="1" applyAlignment="1" applyProtection="1">
      <alignment horizontal="center" vertical="top"/>
      <protection locked="0"/>
    </xf>
    <xf numFmtId="14" fontId="1" fillId="0" borderId="5" xfId="0" applyNumberFormat="1" applyFont="1" applyBorder="1" applyAlignment="1" applyProtection="1">
      <alignment horizontal="center" vertical="top"/>
      <protection locked="0"/>
    </xf>
    <xf numFmtId="0" fontId="56" fillId="0" borderId="8" xfId="0" applyFont="1" applyBorder="1" applyAlignment="1">
      <alignment horizontal="left" vertical="top" wrapText="1"/>
    </xf>
    <xf numFmtId="0" fontId="56" fillId="0" borderId="5" xfId="0" applyFont="1" applyBorder="1" applyAlignment="1">
      <alignment horizontal="left" vertical="top"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57" fillId="0" borderId="8" xfId="0" applyFont="1" applyBorder="1" applyAlignment="1">
      <alignment horizontal="left" vertical="top" wrapText="1"/>
    </xf>
    <xf numFmtId="0" fontId="57" fillId="0" borderId="5" xfId="0" applyFont="1" applyBorder="1" applyAlignment="1">
      <alignment horizontal="left" vertical="top" wrapText="1"/>
    </xf>
    <xf numFmtId="0" fontId="57" fillId="0" borderId="4" xfId="0" applyFont="1" applyBorder="1" applyAlignment="1">
      <alignment horizontal="left" vertical="top" wrapText="1"/>
    </xf>
    <xf numFmtId="17" fontId="1" fillId="0" borderId="4"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hidden="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33" fillId="0" borderId="4" xfId="0" applyFont="1" applyBorder="1" applyAlignment="1" applyProtection="1">
      <alignment horizontal="center" vertical="top" wrapText="1"/>
      <protection locked="0"/>
    </xf>
    <xf numFmtId="0" fontId="33" fillId="0" borderId="8"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56" fillId="0" borderId="4" xfId="0" applyFont="1" applyBorder="1" applyAlignment="1">
      <alignment horizontal="center" vertical="top" wrapText="1"/>
    </xf>
    <xf numFmtId="0" fontId="57" fillId="0" borderId="8" xfId="0" applyFont="1" applyBorder="1" applyAlignment="1">
      <alignment horizontal="center" vertical="top" wrapText="1"/>
    </xf>
    <xf numFmtId="0" fontId="57" fillId="0" borderId="5" xfId="0" applyFont="1" applyBorder="1" applyAlignment="1">
      <alignment horizontal="center" vertical="top" wrapText="1"/>
    </xf>
    <xf numFmtId="0" fontId="58" fillId="0" borderId="4" xfId="0" applyFont="1" applyBorder="1" applyAlignment="1" applyProtection="1">
      <alignment horizontal="left" vertical="top" wrapText="1"/>
      <protection locked="0"/>
    </xf>
    <xf numFmtId="0" fontId="58" fillId="0" borderId="8" xfId="0" applyFont="1" applyBorder="1" applyAlignment="1" applyProtection="1">
      <alignment horizontal="left" vertical="top" wrapText="1"/>
      <protection locked="0"/>
    </xf>
    <xf numFmtId="0" fontId="58" fillId="0" borderId="5" xfId="0" applyFont="1" applyBorder="1" applyAlignment="1" applyProtection="1">
      <alignment horizontal="left" vertical="top" wrapText="1"/>
      <protection locked="0"/>
    </xf>
    <xf numFmtId="0" fontId="58" fillId="0" borderId="4" xfId="0" applyFont="1" applyBorder="1" applyAlignment="1" applyProtection="1">
      <alignment horizontal="center" vertical="top" wrapText="1"/>
      <protection locked="0"/>
    </xf>
    <xf numFmtId="0" fontId="58" fillId="0" borderId="8" xfId="0" applyFont="1" applyBorder="1" applyAlignment="1" applyProtection="1">
      <alignment horizontal="center" vertical="top" wrapText="1"/>
      <protection locked="0"/>
    </xf>
    <xf numFmtId="0" fontId="58" fillId="0" borderId="5" xfId="0" applyFont="1" applyBorder="1" applyAlignment="1" applyProtection="1">
      <alignment horizontal="center" vertical="top" wrapText="1"/>
      <protection locked="0"/>
    </xf>
    <xf numFmtId="0" fontId="56" fillId="0" borderId="4" xfId="0" applyFont="1" applyBorder="1" applyAlignment="1">
      <alignment horizontal="left" vertical="top"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33" fillId="0" borderId="4"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4" xfId="0" applyFont="1" applyBorder="1" applyAlignment="1" applyProtection="1">
      <alignment horizontal="justify" vertical="center" wrapText="1"/>
      <protection locked="0"/>
    </xf>
    <xf numFmtId="0" fontId="33" fillId="0" borderId="8" xfId="0" applyFont="1" applyBorder="1" applyAlignment="1" applyProtection="1">
      <alignment horizontal="justify" vertical="center" wrapText="1"/>
      <protection locked="0"/>
    </xf>
    <xf numFmtId="0" fontId="59" fillId="0" borderId="4"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33" fillId="0" borderId="8" xfId="0" applyFont="1" applyBorder="1" applyAlignment="1" applyProtection="1">
      <alignment horizontal="left" vertical="center" wrapText="1"/>
      <protection locked="0"/>
    </xf>
    <xf numFmtId="0" fontId="33" fillId="0" borderId="4" xfId="0" applyFont="1" applyBorder="1" applyAlignment="1">
      <alignment horizontal="left" vertical="top" wrapText="1"/>
    </xf>
    <xf numFmtId="0" fontId="33" fillId="0" borderId="8" xfId="0" applyFont="1" applyBorder="1" applyAlignment="1">
      <alignment horizontal="left" vertical="top" wrapText="1"/>
    </xf>
    <xf numFmtId="0" fontId="33" fillId="0" borderId="8"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5" xfId="0" applyFont="1" applyBorder="1" applyAlignment="1">
      <alignment horizontal="left" vertical="top" wrapText="1"/>
    </xf>
    <xf numFmtId="0" fontId="59" fillId="0" borderId="4" xfId="0" applyFont="1" applyBorder="1" applyAlignment="1" applyProtection="1">
      <alignment horizontal="left" vertical="center" wrapText="1"/>
      <protection locked="0"/>
    </xf>
    <xf numFmtId="0" fontId="59" fillId="0" borderId="8" xfId="0" applyFont="1" applyBorder="1" applyAlignment="1" applyProtection="1">
      <alignment horizontal="left" vertical="center" wrapText="1"/>
      <protection locked="0"/>
    </xf>
    <xf numFmtId="0" fontId="59" fillId="0" borderId="5"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textRotation="90" wrapText="1"/>
      <protection locked="0"/>
    </xf>
    <xf numFmtId="0" fontId="1" fillId="0" borderId="8"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0" fontId="33" fillId="0" borderId="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33" fillId="0" borderId="5"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0" fontId="4" fillId="0" borderId="4" xfId="0" applyFont="1" applyBorder="1" applyAlignment="1" applyProtection="1">
      <alignment horizontal="center" vertical="top" textRotation="90" wrapText="1"/>
      <protection hidden="1"/>
    </xf>
    <xf numFmtId="0" fontId="4" fillId="0" borderId="8" xfId="0" applyFont="1" applyBorder="1" applyAlignment="1" applyProtection="1">
      <alignment horizontal="center" vertical="top" textRotation="90" wrapText="1"/>
      <protection hidden="1"/>
    </xf>
    <xf numFmtId="0" fontId="4" fillId="0" borderId="5"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9" fontId="1" fillId="0" borderId="8" xfId="0" applyNumberFormat="1" applyFont="1" applyBorder="1" applyAlignment="1" applyProtection="1">
      <alignment horizontal="center" vertical="top"/>
      <protection hidden="1"/>
    </xf>
    <xf numFmtId="9" fontId="1" fillId="0" borderId="5" xfId="0" applyNumberFormat="1" applyFont="1" applyBorder="1" applyAlignment="1" applyProtection="1">
      <alignment horizontal="center" vertical="top"/>
      <protection hidden="1"/>
    </xf>
    <xf numFmtId="0" fontId="4" fillId="0" borderId="4" xfId="0" applyFont="1" applyBorder="1" applyAlignment="1" applyProtection="1">
      <alignment horizontal="center" vertical="top" textRotation="90"/>
      <protection hidden="1"/>
    </xf>
    <xf numFmtId="0" fontId="4" fillId="0" borderId="8" xfId="0" applyFont="1" applyBorder="1" applyAlignment="1" applyProtection="1">
      <alignment horizontal="center" vertical="top" textRotation="90"/>
      <protection hidden="1"/>
    </xf>
    <xf numFmtId="0" fontId="4" fillId="0" borderId="5" xfId="0" applyFont="1" applyBorder="1" applyAlignment="1" applyProtection="1">
      <alignment horizontal="center" vertical="top" textRotation="90"/>
      <protection hidden="1"/>
    </xf>
    <xf numFmtId="0" fontId="1" fillId="0" borderId="4" xfId="0" applyFont="1" applyBorder="1" applyAlignment="1" applyProtection="1">
      <alignment vertical="center" textRotation="90"/>
      <protection locked="0"/>
    </xf>
    <xf numFmtId="0" fontId="1" fillId="0" borderId="8" xfId="0" applyFont="1" applyBorder="1" applyAlignment="1" applyProtection="1">
      <alignment vertical="center" textRotation="90"/>
      <protection locked="0"/>
    </xf>
    <xf numFmtId="0" fontId="1" fillId="0" borderId="5" xfId="0" applyFont="1" applyBorder="1" applyAlignment="1" applyProtection="1">
      <alignment vertical="center" textRotation="90"/>
      <protection locked="0"/>
    </xf>
    <xf numFmtId="0" fontId="1" fillId="0" borderId="5" xfId="0" applyFont="1" applyBorder="1" applyAlignment="1" applyProtection="1">
      <alignment horizontal="center" vertical="center" textRotation="90" wrapText="1"/>
      <protection locked="0"/>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20" xfId="0" applyFont="1" applyFill="1" applyBorder="1" applyAlignment="1">
      <alignment horizontal="center" vertical="center" wrapText="1" readingOrder="1"/>
    </xf>
    <xf numFmtId="0" fontId="40" fillId="11" borderId="21" xfId="0" applyFont="1" applyFill="1" applyBorder="1" applyAlignment="1">
      <alignment horizontal="center" vertical="center" wrapText="1" readingOrder="1"/>
    </xf>
    <xf numFmtId="0" fontId="40" fillId="11" borderId="22" xfId="0" applyFont="1" applyFill="1" applyBorder="1" applyAlignment="1">
      <alignment horizontal="center" vertical="center" wrapText="1" readingOrder="1"/>
    </xf>
    <xf numFmtId="0" fontId="40" fillId="11" borderId="23"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24" xfId="0" applyFont="1" applyFill="1" applyBorder="1" applyAlignment="1">
      <alignment horizontal="center" vertical="center" wrapText="1" readingOrder="1"/>
    </xf>
    <xf numFmtId="0" fontId="40" fillId="11" borderId="25" xfId="0" applyFont="1" applyFill="1" applyBorder="1" applyAlignment="1">
      <alignment horizontal="center" vertical="center" wrapText="1" readingOrder="1"/>
    </xf>
    <xf numFmtId="0" fontId="40" fillId="11" borderId="26" xfId="0" applyFont="1" applyFill="1" applyBorder="1" applyAlignment="1">
      <alignment horizontal="center" vertical="center" wrapText="1" readingOrder="1"/>
    </xf>
    <xf numFmtId="0" fontId="40" fillId="11" borderId="2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4" xfId="0" applyFont="1" applyBorder="1" applyAlignment="1">
      <alignment horizontal="center" vertical="center" wrapText="1"/>
    </xf>
    <xf numFmtId="0" fontId="41" fillId="0" borderId="0" xfId="0" applyFont="1" applyAlignment="1">
      <alignment horizontal="center" vertical="center"/>
    </xf>
    <xf numFmtId="0" fontId="41" fillId="0" borderId="14"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0" fillId="12" borderId="20" xfId="0" applyFont="1" applyFill="1" applyBorder="1" applyAlignment="1">
      <alignment horizontal="center" vertical="center" wrapText="1" readingOrder="1"/>
    </xf>
    <xf numFmtId="0" fontId="40" fillId="12" borderId="21" xfId="0" applyFont="1" applyFill="1" applyBorder="1" applyAlignment="1">
      <alignment horizontal="center" vertical="center" wrapText="1" readingOrder="1"/>
    </xf>
    <xf numFmtId="0" fontId="40" fillId="12" borderId="22" xfId="0" applyFont="1" applyFill="1" applyBorder="1" applyAlignment="1">
      <alignment horizontal="center" vertical="center" wrapText="1" readingOrder="1"/>
    </xf>
    <xf numFmtId="0" fontId="40" fillId="12" borderId="23"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24" xfId="0" applyFont="1" applyFill="1" applyBorder="1" applyAlignment="1">
      <alignment horizontal="center" vertical="center" wrapText="1" readingOrder="1"/>
    </xf>
    <xf numFmtId="0" fontId="40" fillId="12" borderId="25" xfId="0" applyFont="1" applyFill="1" applyBorder="1" applyAlignment="1">
      <alignment horizontal="center" vertical="center" wrapText="1" readingOrder="1"/>
    </xf>
    <xf numFmtId="0" fontId="40" fillId="12" borderId="26" xfId="0" applyFont="1" applyFill="1" applyBorder="1" applyAlignment="1">
      <alignment horizontal="center" vertical="center" wrapText="1" readingOrder="1"/>
    </xf>
    <xf numFmtId="0" fontId="40" fillId="12" borderId="2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1" fillId="0" borderId="13" xfId="0" applyFont="1" applyBorder="1" applyAlignment="1">
      <alignment horizontal="center" vertical="center"/>
    </xf>
    <xf numFmtId="0" fontId="41" fillId="0" borderId="15"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5" borderId="22" xfId="0" applyFont="1" applyFill="1" applyBorder="1" applyAlignment="1">
      <alignment horizontal="center" vertical="center" wrapText="1" readingOrder="1"/>
    </xf>
    <xf numFmtId="0" fontId="40" fillId="5" borderId="23"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24" xfId="0" applyFont="1" applyFill="1" applyBorder="1" applyAlignment="1">
      <alignment horizontal="center" vertical="center" wrapText="1" readingOrder="1"/>
    </xf>
    <xf numFmtId="0" fontId="40" fillId="5" borderId="25" xfId="0" applyFont="1" applyFill="1" applyBorder="1" applyAlignment="1">
      <alignment horizontal="center" vertical="center" wrapText="1" readingOrder="1"/>
    </xf>
    <xf numFmtId="0" fontId="40" fillId="5" borderId="26" xfId="0" applyFont="1" applyFill="1" applyBorder="1" applyAlignment="1">
      <alignment horizontal="center" vertical="center" wrapText="1" readingOrder="1"/>
    </xf>
    <xf numFmtId="0" fontId="40" fillId="5" borderId="27"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0" fillId="13" borderId="21" xfId="0" applyFont="1" applyFill="1" applyBorder="1" applyAlignment="1">
      <alignment horizontal="center" vertical="center" wrapText="1" readingOrder="1"/>
    </xf>
    <xf numFmtId="0" fontId="40" fillId="13" borderId="22" xfId="0" applyFont="1" applyFill="1" applyBorder="1" applyAlignment="1">
      <alignment horizontal="center" vertical="center" wrapText="1" readingOrder="1"/>
    </xf>
    <xf numFmtId="0" fontId="40" fillId="13" borderId="23"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24" xfId="0" applyFont="1" applyFill="1" applyBorder="1" applyAlignment="1">
      <alignment horizontal="center" vertical="center" wrapText="1" readingOrder="1"/>
    </xf>
    <xf numFmtId="0" fontId="40" fillId="13" borderId="25" xfId="0" applyFont="1" applyFill="1" applyBorder="1" applyAlignment="1">
      <alignment horizontal="center" vertical="center" wrapText="1" readingOrder="1"/>
    </xf>
    <xf numFmtId="0" fontId="40" fillId="13" borderId="26" xfId="0" applyFont="1" applyFill="1" applyBorder="1" applyAlignment="1">
      <alignment horizontal="center" vertical="center" wrapText="1" readingOrder="1"/>
    </xf>
    <xf numFmtId="0" fontId="40" fillId="13" borderId="27" xfId="0" applyFont="1" applyFill="1" applyBorder="1" applyAlignment="1">
      <alignment horizontal="center" vertical="center" wrapText="1" readingOrder="1"/>
    </xf>
    <xf numFmtId="0" fontId="41" fillId="0" borderId="19" xfId="0" applyFont="1" applyBorder="1" applyAlignment="1">
      <alignment horizontal="center" vertical="center" wrapText="1"/>
    </xf>
    <xf numFmtId="0" fontId="23" fillId="0" borderId="0" xfId="0" applyFont="1" applyAlignment="1">
      <alignment horizontal="center" vertical="center"/>
    </xf>
    <xf numFmtId="0" fontId="38" fillId="15" borderId="33" xfId="0" applyFont="1" applyFill="1" applyBorder="1" applyAlignment="1">
      <alignment horizontal="center" vertical="center" wrapText="1" readingOrder="1"/>
    </xf>
    <xf numFmtId="0" fontId="38" fillId="15" borderId="3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42" xfId="0" applyFont="1" applyFill="1" applyBorder="1" applyAlignment="1">
      <alignment horizontal="center" vertical="center" wrapText="1" readingOrder="1"/>
    </xf>
    <xf numFmtId="0" fontId="35" fillId="15" borderId="43" xfId="0" applyFont="1" applyFill="1" applyBorder="1" applyAlignment="1">
      <alignment horizontal="center" vertical="center" wrapText="1" readingOrder="1"/>
    </xf>
    <xf numFmtId="0" fontId="35" fillId="3" borderId="40" xfId="0" applyFont="1" applyFill="1" applyBorder="1" applyAlignment="1">
      <alignment horizontal="center" vertical="center" wrapText="1" readingOrder="1"/>
    </xf>
    <xf numFmtId="0" fontId="35" fillId="3" borderId="35"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7" xfId="0" applyFont="1" applyFill="1" applyBorder="1" applyAlignment="1">
      <alignment horizontal="center" vertical="center" wrapText="1" readingOrder="1"/>
    </xf>
    <xf numFmtId="0" fontId="35" fillId="3" borderId="3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53" dataDxfId="252">
  <autoFilter ref="B209:C219" xr:uid="{00000000-0009-0000-0100-000001000000}"/>
  <tableColumns count="2">
    <tableColumn id="1" xr3:uid="{00000000-0010-0000-0000-000001000000}" name="Criterios" dataDxfId="251"/>
    <tableColumn id="2" xr3:uid="{00000000-0010-0000-0000-000002000000}" name="Subcriterios" dataDxfId="25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72" zoomScaleNormal="172" workbookViewId="0">
      <selection activeCell="E36" sqref="E36:F36"/>
    </sheetView>
  </sheetViews>
  <sheetFormatPr baseColWidth="10" defaultColWidth="11.44140625" defaultRowHeight="14.4" x14ac:dyDescent="0.3"/>
  <cols>
    <col min="1" max="1" width="2.88671875" style="83" customWidth="1"/>
    <col min="2" max="3" width="24.6640625" style="83" customWidth="1"/>
    <col min="4" max="4" width="16" style="83" customWidth="1"/>
    <col min="5" max="5" width="24.6640625" style="83" customWidth="1"/>
    <col min="6" max="6" width="27.6640625" style="83" customWidth="1"/>
    <col min="7" max="8" width="24.6640625" style="83" customWidth="1"/>
    <col min="9" max="16384" width="11.44140625" style="83"/>
  </cols>
  <sheetData>
    <row r="1" spans="2:8" ht="15" thickBot="1" x14ac:dyDescent="0.35"/>
    <row r="2" spans="2:8" ht="18" x14ac:dyDescent="0.3">
      <c r="B2" s="207" t="s">
        <v>166</v>
      </c>
      <c r="C2" s="208"/>
      <c r="D2" s="208"/>
      <c r="E2" s="208"/>
      <c r="F2" s="208"/>
      <c r="G2" s="208"/>
      <c r="H2" s="209"/>
    </row>
    <row r="3" spans="2:8" x14ac:dyDescent="0.3">
      <c r="B3" s="84"/>
      <c r="C3" s="85"/>
      <c r="D3" s="85"/>
      <c r="E3" s="85"/>
      <c r="F3" s="85"/>
      <c r="G3" s="85"/>
      <c r="H3" s="86"/>
    </row>
    <row r="4" spans="2:8" ht="63" customHeight="1" x14ac:dyDescent="0.3">
      <c r="B4" s="210" t="s">
        <v>209</v>
      </c>
      <c r="C4" s="211"/>
      <c r="D4" s="211"/>
      <c r="E4" s="211"/>
      <c r="F4" s="211"/>
      <c r="G4" s="211"/>
      <c r="H4" s="212"/>
    </row>
    <row r="5" spans="2:8" ht="63" customHeight="1" x14ac:dyDescent="0.3">
      <c r="B5" s="213"/>
      <c r="C5" s="214"/>
      <c r="D5" s="214"/>
      <c r="E5" s="214"/>
      <c r="F5" s="214"/>
      <c r="G5" s="214"/>
      <c r="H5" s="215"/>
    </row>
    <row r="6" spans="2:8" x14ac:dyDescent="0.3">
      <c r="B6" s="216" t="s">
        <v>164</v>
      </c>
      <c r="C6" s="217"/>
      <c r="D6" s="217"/>
      <c r="E6" s="217"/>
      <c r="F6" s="217"/>
      <c r="G6" s="217"/>
      <c r="H6" s="218"/>
    </row>
    <row r="7" spans="2:8" ht="95.25" customHeight="1" x14ac:dyDescent="0.3">
      <c r="B7" s="226" t="s">
        <v>169</v>
      </c>
      <c r="C7" s="227"/>
      <c r="D7" s="227"/>
      <c r="E7" s="227"/>
      <c r="F7" s="227"/>
      <c r="G7" s="227"/>
      <c r="H7" s="228"/>
    </row>
    <row r="8" spans="2:8" x14ac:dyDescent="0.3">
      <c r="B8" s="120"/>
      <c r="C8" s="121"/>
      <c r="D8" s="121"/>
      <c r="E8" s="121"/>
      <c r="F8" s="121"/>
      <c r="G8" s="121"/>
      <c r="H8" s="122"/>
    </row>
    <row r="9" spans="2:8" ht="16.5" customHeight="1" x14ac:dyDescent="0.3">
      <c r="B9" s="219" t="s">
        <v>202</v>
      </c>
      <c r="C9" s="220"/>
      <c r="D9" s="220"/>
      <c r="E9" s="220"/>
      <c r="F9" s="220"/>
      <c r="G9" s="220"/>
      <c r="H9" s="221"/>
    </row>
    <row r="10" spans="2:8" ht="44.25" customHeight="1" x14ac:dyDescent="0.3">
      <c r="B10" s="219"/>
      <c r="C10" s="220"/>
      <c r="D10" s="220"/>
      <c r="E10" s="220"/>
      <c r="F10" s="220"/>
      <c r="G10" s="220"/>
      <c r="H10" s="221"/>
    </row>
    <row r="11" spans="2:8" ht="15" thickBot="1" x14ac:dyDescent="0.35">
      <c r="B11" s="109"/>
      <c r="C11" s="112"/>
      <c r="D11" s="117"/>
      <c r="E11" s="118"/>
      <c r="F11" s="118"/>
      <c r="G11" s="119"/>
      <c r="H11" s="113"/>
    </row>
    <row r="12" spans="2:8" ht="15" thickTop="1" x14ac:dyDescent="0.3">
      <c r="B12" s="109"/>
      <c r="C12" s="222" t="s">
        <v>165</v>
      </c>
      <c r="D12" s="223"/>
      <c r="E12" s="224" t="s">
        <v>203</v>
      </c>
      <c r="F12" s="225"/>
      <c r="G12" s="112"/>
      <c r="H12" s="113"/>
    </row>
    <row r="13" spans="2:8" ht="35.25" customHeight="1" x14ac:dyDescent="0.3">
      <c r="B13" s="109"/>
      <c r="C13" s="194" t="s">
        <v>196</v>
      </c>
      <c r="D13" s="195"/>
      <c r="E13" s="196" t="s">
        <v>201</v>
      </c>
      <c r="F13" s="197"/>
      <c r="G13" s="112"/>
      <c r="H13" s="113"/>
    </row>
    <row r="14" spans="2:8" ht="17.25" customHeight="1" x14ac:dyDescent="0.3">
      <c r="B14" s="109"/>
      <c r="C14" s="194" t="s">
        <v>197</v>
      </c>
      <c r="D14" s="195"/>
      <c r="E14" s="196" t="s">
        <v>199</v>
      </c>
      <c r="F14" s="197"/>
      <c r="G14" s="112"/>
      <c r="H14" s="113"/>
    </row>
    <row r="15" spans="2:8" ht="19.5" customHeight="1" x14ac:dyDescent="0.3">
      <c r="B15" s="109"/>
      <c r="C15" s="194" t="s">
        <v>198</v>
      </c>
      <c r="D15" s="195"/>
      <c r="E15" s="196" t="s">
        <v>200</v>
      </c>
      <c r="F15" s="197"/>
      <c r="G15" s="112"/>
      <c r="H15" s="113"/>
    </row>
    <row r="16" spans="2:8" ht="69.75" customHeight="1" x14ac:dyDescent="0.3">
      <c r="B16" s="109"/>
      <c r="C16" s="194" t="s">
        <v>167</v>
      </c>
      <c r="D16" s="195"/>
      <c r="E16" s="196" t="s">
        <v>168</v>
      </c>
      <c r="F16" s="197"/>
      <c r="G16" s="112"/>
      <c r="H16" s="113"/>
    </row>
    <row r="17" spans="2:8" ht="34.5" customHeight="1" x14ac:dyDescent="0.3">
      <c r="B17" s="109"/>
      <c r="C17" s="198" t="s">
        <v>2</v>
      </c>
      <c r="D17" s="199"/>
      <c r="E17" s="190" t="s">
        <v>210</v>
      </c>
      <c r="F17" s="191"/>
      <c r="G17" s="112"/>
      <c r="H17" s="113"/>
    </row>
    <row r="18" spans="2:8" ht="27.75" customHeight="1" x14ac:dyDescent="0.3">
      <c r="B18" s="109"/>
      <c r="C18" s="198" t="s">
        <v>3</v>
      </c>
      <c r="D18" s="199"/>
      <c r="E18" s="190" t="s">
        <v>211</v>
      </c>
      <c r="F18" s="191"/>
      <c r="G18" s="112"/>
      <c r="H18" s="113"/>
    </row>
    <row r="19" spans="2:8" ht="28.5" customHeight="1" x14ac:dyDescent="0.3">
      <c r="B19" s="109"/>
      <c r="C19" s="198" t="s">
        <v>42</v>
      </c>
      <c r="D19" s="199"/>
      <c r="E19" s="190" t="s">
        <v>212</v>
      </c>
      <c r="F19" s="191"/>
      <c r="G19" s="112"/>
      <c r="H19" s="113"/>
    </row>
    <row r="20" spans="2:8" ht="72.75" customHeight="1" x14ac:dyDescent="0.3">
      <c r="B20" s="109"/>
      <c r="C20" s="198" t="s">
        <v>1</v>
      </c>
      <c r="D20" s="199"/>
      <c r="E20" s="190" t="s">
        <v>213</v>
      </c>
      <c r="F20" s="191"/>
      <c r="G20" s="112"/>
      <c r="H20" s="113"/>
    </row>
    <row r="21" spans="2:8" ht="64.5" customHeight="1" x14ac:dyDescent="0.3">
      <c r="B21" s="109"/>
      <c r="C21" s="198" t="s">
        <v>50</v>
      </c>
      <c r="D21" s="199"/>
      <c r="E21" s="190" t="s">
        <v>171</v>
      </c>
      <c r="F21" s="191"/>
      <c r="G21" s="112"/>
      <c r="H21" s="113"/>
    </row>
    <row r="22" spans="2:8" ht="71.25" customHeight="1" x14ac:dyDescent="0.3">
      <c r="B22" s="109"/>
      <c r="C22" s="198" t="s">
        <v>170</v>
      </c>
      <c r="D22" s="199"/>
      <c r="E22" s="190" t="s">
        <v>172</v>
      </c>
      <c r="F22" s="191"/>
      <c r="G22" s="112"/>
      <c r="H22" s="113"/>
    </row>
    <row r="23" spans="2:8" ht="55.5" customHeight="1" x14ac:dyDescent="0.3">
      <c r="B23" s="109"/>
      <c r="C23" s="192" t="s">
        <v>173</v>
      </c>
      <c r="D23" s="193"/>
      <c r="E23" s="190" t="s">
        <v>174</v>
      </c>
      <c r="F23" s="191"/>
      <c r="G23" s="112"/>
      <c r="H23" s="113"/>
    </row>
    <row r="24" spans="2:8" ht="42" customHeight="1" x14ac:dyDescent="0.3">
      <c r="B24" s="109"/>
      <c r="C24" s="192" t="s">
        <v>48</v>
      </c>
      <c r="D24" s="193"/>
      <c r="E24" s="190" t="s">
        <v>175</v>
      </c>
      <c r="F24" s="191"/>
      <c r="G24" s="112"/>
      <c r="H24" s="113"/>
    </row>
    <row r="25" spans="2:8" ht="59.25" customHeight="1" x14ac:dyDescent="0.3">
      <c r="B25" s="109"/>
      <c r="C25" s="192" t="s">
        <v>163</v>
      </c>
      <c r="D25" s="193"/>
      <c r="E25" s="190" t="s">
        <v>176</v>
      </c>
      <c r="F25" s="191"/>
      <c r="G25" s="112"/>
      <c r="H25" s="113"/>
    </row>
    <row r="26" spans="2:8" ht="23.25" customHeight="1" x14ac:dyDescent="0.3">
      <c r="B26" s="109"/>
      <c r="C26" s="192" t="s">
        <v>12</v>
      </c>
      <c r="D26" s="193"/>
      <c r="E26" s="190" t="s">
        <v>177</v>
      </c>
      <c r="F26" s="191"/>
      <c r="G26" s="112"/>
      <c r="H26" s="113"/>
    </row>
    <row r="27" spans="2:8" ht="30.75" customHeight="1" x14ac:dyDescent="0.3">
      <c r="B27" s="109"/>
      <c r="C27" s="192" t="s">
        <v>181</v>
      </c>
      <c r="D27" s="193"/>
      <c r="E27" s="190" t="s">
        <v>178</v>
      </c>
      <c r="F27" s="191"/>
      <c r="G27" s="112"/>
      <c r="H27" s="113"/>
    </row>
    <row r="28" spans="2:8" ht="35.25" customHeight="1" x14ac:dyDescent="0.3">
      <c r="B28" s="109"/>
      <c r="C28" s="192" t="s">
        <v>182</v>
      </c>
      <c r="D28" s="193"/>
      <c r="E28" s="190" t="s">
        <v>179</v>
      </c>
      <c r="F28" s="191"/>
      <c r="G28" s="112"/>
      <c r="H28" s="113"/>
    </row>
    <row r="29" spans="2:8" ht="33" customHeight="1" x14ac:dyDescent="0.3">
      <c r="B29" s="109"/>
      <c r="C29" s="192" t="s">
        <v>182</v>
      </c>
      <c r="D29" s="193"/>
      <c r="E29" s="190" t="s">
        <v>179</v>
      </c>
      <c r="F29" s="191"/>
      <c r="G29" s="112"/>
      <c r="H29" s="113"/>
    </row>
    <row r="30" spans="2:8" ht="30" customHeight="1" x14ac:dyDescent="0.3">
      <c r="B30" s="109"/>
      <c r="C30" s="192" t="s">
        <v>183</v>
      </c>
      <c r="D30" s="193"/>
      <c r="E30" s="190" t="s">
        <v>180</v>
      </c>
      <c r="F30" s="191"/>
      <c r="G30" s="112"/>
      <c r="H30" s="113"/>
    </row>
    <row r="31" spans="2:8" ht="35.25" customHeight="1" x14ac:dyDescent="0.3">
      <c r="B31" s="109"/>
      <c r="C31" s="192" t="s">
        <v>184</v>
      </c>
      <c r="D31" s="193"/>
      <c r="E31" s="190" t="s">
        <v>185</v>
      </c>
      <c r="F31" s="191"/>
      <c r="G31" s="112"/>
      <c r="H31" s="113"/>
    </row>
    <row r="32" spans="2:8" ht="31.5" customHeight="1" x14ac:dyDescent="0.3">
      <c r="B32" s="109"/>
      <c r="C32" s="192" t="s">
        <v>186</v>
      </c>
      <c r="D32" s="193"/>
      <c r="E32" s="190" t="s">
        <v>187</v>
      </c>
      <c r="F32" s="191"/>
      <c r="G32" s="112"/>
      <c r="H32" s="113"/>
    </row>
    <row r="33" spans="2:8" ht="35.25" customHeight="1" x14ac:dyDescent="0.3">
      <c r="B33" s="109"/>
      <c r="C33" s="192" t="s">
        <v>188</v>
      </c>
      <c r="D33" s="193"/>
      <c r="E33" s="190" t="s">
        <v>189</v>
      </c>
      <c r="F33" s="191"/>
      <c r="G33" s="112"/>
      <c r="H33" s="113"/>
    </row>
    <row r="34" spans="2:8" ht="59.25" customHeight="1" x14ac:dyDescent="0.3">
      <c r="B34" s="109"/>
      <c r="C34" s="192" t="s">
        <v>190</v>
      </c>
      <c r="D34" s="193"/>
      <c r="E34" s="190" t="s">
        <v>191</v>
      </c>
      <c r="F34" s="191"/>
      <c r="G34" s="112"/>
      <c r="H34" s="113"/>
    </row>
    <row r="35" spans="2:8" ht="29.25" customHeight="1" x14ac:dyDescent="0.3">
      <c r="B35" s="109"/>
      <c r="C35" s="192" t="s">
        <v>29</v>
      </c>
      <c r="D35" s="193"/>
      <c r="E35" s="190" t="s">
        <v>192</v>
      </c>
      <c r="F35" s="191"/>
      <c r="G35" s="112"/>
      <c r="H35" s="113"/>
    </row>
    <row r="36" spans="2:8" ht="82.5" customHeight="1" x14ac:dyDescent="0.3">
      <c r="B36" s="109"/>
      <c r="C36" s="192" t="s">
        <v>194</v>
      </c>
      <c r="D36" s="193"/>
      <c r="E36" s="190" t="s">
        <v>193</v>
      </c>
      <c r="F36" s="191"/>
      <c r="G36" s="112"/>
      <c r="H36" s="113"/>
    </row>
    <row r="37" spans="2:8" ht="46.5" customHeight="1" x14ac:dyDescent="0.3">
      <c r="B37" s="109"/>
      <c r="C37" s="192" t="s">
        <v>39</v>
      </c>
      <c r="D37" s="193"/>
      <c r="E37" s="190" t="s">
        <v>195</v>
      </c>
      <c r="F37" s="191"/>
      <c r="G37" s="112"/>
      <c r="H37" s="113"/>
    </row>
    <row r="38" spans="2:8" ht="6.75" customHeight="1" thickBot="1" x14ac:dyDescent="0.35">
      <c r="B38" s="109"/>
      <c r="C38" s="203"/>
      <c r="D38" s="204"/>
      <c r="E38" s="205"/>
      <c r="F38" s="206"/>
      <c r="G38" s="112"/>
      <c r="H38" s="113"/>
    </row>
    <row r="39" spans="2:8" ht="15" thickTop="1" x14ac:dyDescent="0.3">
      <c r="B39" s="109"/>
      <c r="C39" s="110"/>
      <c r="D39" s="110"/>
      <c r="E39" s="111"/>
      <c r="F39" s="111"/>
      <c r="G39" s="112"/>
      <c r="H39" s="113"/>
    </row>
    <row r="40" spans="2:8" ht="21" customHeight="1" x14ac:dyDescent="0.3">
      <c r="B40" s="200" t="s">
        <v>204</v>
      </c>
      <c r="C40" s="201"/>
      <c r="D40" s="201"/>
      <c r="E40" s="201"/>
      <c r="F40" s="201"/>
      <c r="G40" s="201"/>
      <c r="H40" s="202"/>
    </row>
    <row r="41" spans="2:8" ht="20.25" customHeight="1" x14ac:dyDescent="0.3">
      <c r="B41" s="200" t="s">
        <v>205</v>
      </c>
      <c r="C41" s="201"/>
      <c r="D41" s="201"/>
      <c r="E41" s="201"/>
      <c r="F41" s="201"/>
      <c r="G41" s="201"/>
      <c r="H41" s="202"/>
    </row>
    <row r="42" spans="2:8" ht="20.25" customHeight="1" x14ac:dyDescent="0.3">
      <c r="B42" s="200" t="s">
        <v>206</v>
      </c>
      <c r="C42" s="201"/>
      <c r="D42" s="201"/>
      <c r="E42" s="201"/>
      <c r="F42" s="201"/>
      <c r="G42" s="201"/>
      <c r="H42" s="202"/>
    </row>
    <row r="43" spans="2:8" ht="20.25" customHeight="1" x14ac:dyDescent="0.3">
      <c r="B43" s="200" t="s">
        <v>207</v>
      </c>
      <c r="C43" s="201"/>
      <c r="D43" s="201"/>
      <c r="E43" s="201"/>
      <c r="F43" s="201"/>
      <c r="G43" s="201"/>
      <c r="H43" s="202"/>
    </row>
    <row r="44" spans="2:8" x14ac:dyDescent="0.3">
      <c r="B44" s="200" t="s">
        <v>208</v>
      </c>
      <c r="C44" s="201"/>
      <c r="D44" s="201"/>
      <c r="E44" s="201"/>
      <c r="F44" s="201"/>
      <c r="G44" s="201"/>
      <c r="H44" s="202"/>
    </row>
    <row r="45" spans="2:8" ht="15" thickBot="1" x14ac:dyDescent="0.35">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U232"/>
  <sheetViews>
    <sheetView zoomScale="60" zoomScaleNormal="60" workbookViewId="0">
      <selection activeCell="D7" sqref="D7"/>
    </sheetView>
  </sheetViews>
  <sheetFormatPr baseColWidth="10" defaultRowHeight="14.4" x14ac:dyDescent="0.3"/>
  <cols>
    <col min="2" max="2" width="40.44140625" customWidth="1"/>
    <col min="3" max="3" width="74.88671875" customWidth="1"/>
    <col min="4" max="4" width="135" bestFit="1" customWidth="1"/>
    <col min="5" max="5" width="144.6640625" bestFit="1" customWidth="1"/>
  </cols>
  <sheetData>
    <row r="1" spans="1:21" ht="32.4" x14ac:dyDescent="0.3">
      <c r="A1" s="83"/>
      <c r="B1" s="229" t="s">
        <v>63</v>
      </c>
      <c r="C1" s="229"/>
      <c r="D1" s="229"/>
      <c r="E1" s="83"/>
      <c r="F1" s="83"/>
      <c r="G1" s="83"/>
      <c r="H1" s="83"/>
      <c r="I1" s="83"/>
      <c r="J1" s="83"/>
      <c r="K1" s="83"/>
      <c r="L1" s="83"/>
      <c r="M1" s="83"/>
      <c r="N1" s="83"/>
      <c r="O1" s="83"/>
      <c r="P1" s="83"/>
      <c r="Q1" s="83"/>
      <c r="R1" s="83"/>
      <c r="S1" s="83"/>
      <c r="T1" s="83"/>
      <c r="U1" s="83"/>
    </row>
    <row r="2" spans="1:21" x14ac:dyDescent="0.3">
      <c r="A2" s="83"/>
      <c r="B2" s="83"/>
      <c r="C2" s="83"/>
      <c r="D2" s="83"/>
      <c r="E2" s="83"/>
      <c r="F2" s="83"/>
      <c r="G2" s="83"/>
      <c r="H2" s="83"/>
      <c r="I2" s="83"/>
      <c r="J2" s="83"/>
      <c r="K2" s="83"/>
      <c r="L2" s="83"/>
      <c r="M2" s="83"/>
      <c r="N2" s="83"/>
      <c r="O2" s="83"/>
      <c r="P2" s="83"/>
      <c r="Q2" s="83"/>
      <c r="R2" s="83"/>
      <c r="S2" s="83"/>
      <c r="T2" s="83"/>
      <c r="U2" s="83"/>
    </row>
    <row r="3" spans="1:21" ht="30" x14ac:dyDescent="0.3">
      <c r="A3" s="83"/>
      <c r="B3" s="104"/>
      <c r="C3" s="36" t="s">
        <v>56</v>
      </c>
      <c r="D3" s="36" t="s">
        <v>57</v>
      </c>
      <c r="E3" s="83"/>
      <c r="F3" s="83"/>
      <c r="G3" s="83"/>
      <c r="H3" s="83"/>
      <c r="I3" s="83"/>
      <c r="J3" s="83"/>
      <c r="K3" s="83"/>
      <c r="L3" s="83"/>
      <c r="M3" s="83"/>
      <c r="N3" s="83"/>
      <c r="O3" s="83"/>
      <c r="P3" s="83"/>
      <c r="Q3" s="83"/>
      <c r="R3" s="83"/>
      <c r="S3" s="83"/>
      <c r="T3" s="83"/>
      <c r="U3" s="83"/>
    </row>
    <row r="4" spans="1:21" ht="32.4" x14ac:dyDescent="0.3">
      <c r="A4" s="103" t="s">
        <v>83</v>
      </c>
      <c r="B4" s="39" t="s">
        <v>101</v>
      </c>
      <c r="C4" s="44" t="s">
        <v>158</v>
      </c>
      <c r="D4" s="37" t="s">
        <v>97</v>
      </c>
      <c r="E4" s="83"/>
      <c r="F4" s="83"/>
      <c r="G4" s="83"/>
      <c r="H4" s="83"/>
      <c r="I4" s="83"/>
      <c r="J4" s="83"/>
      <c r="K4" s="83"/>
      <c r="L4" s="83"/>
      <c r="M4" s="83"/>
      <c r="N4" s="83"/>
      <c r="O4" s="83"/>
      <c r="P4" s="83"/>
      <c r="Q4" s="83"/>
      <c r="R4" s="83"/>
      <c r="S4" s="83"/>
      <c r="T4" s="83"/>
      <c r="U4" s="83"/>
    </row>
    <row r="5" spans="1:21" ht="64.8" x14ac:dyDescent="0.3">
      <c r="A5" s="103" t="s">
        <v>84</v>
      </c>
      <c r="B5" s="40" t="s">
        <v>59</v>
      </c>
      <c r="C5" s="45" t="s">
        <v>93</v>
      </c>
      <c r="D5" s="38" t="s">
        <v>98</v>
      </c>
      <c r="E5" s="83"/>
      <c r="F5" s="83"/>
      <c r="G5" s="83"/>
      <c r="H5" s="83"/>
      <c r="I5" s="83"/>
      <c r="J5" s="83"/>
      <c r="K5" s="83"/>
      <c r="L5" s="83"/>
      <c r="M5" s="83"/>
      <c r="N5" s="83"/>
      <c r="O5" s="83"/>
      <c r="P5" s="83"/>
      <c r="Q5" s="83"/>
      <c r="R5" s="83"/>
      <c r="S5" s="83"/>
      <c r="T5" s="83"/>
      <c r="U5" s="83"/>
    </row>
    <row r="6" spans="1:21" ht="64.8" x14ac:dyDescent="0.3">
      <c r="A6" s="103" t="s">
        <v>81</v>
      </c>
      <c r="B6" s="41" t="s">
        <v>60</v>
      </c>
      <c r="C6" s="45" t="s">
        <v>94</v>
      </c>
      <c r="D6" s="38" t="s">
        <v>100</v>
      </c>
      <c r="E6" s="83"/>
      <c r="F6" s="83"/>
      <c r="G6" s="83"/>
      <c r="H6" s="83"/>
      <c r="I6" s="83"/>
      <c r="J6" s="83"/>
      <c r="K6" s="83"/>
      <c r="L6" s="83"/>
      <c r="M6" s="83"/>
      <c r="N6" s="83"/>
      <c r="O6" s="83"/>
      <c r="P6" s="83"/>
      <c r="Q6" s="83"/>
      <c r="R6" s="83"/>
      <c r="S6" s="83"/>
      <c r="T6" s="83"/>
      <c r="U6" s="83"/>
    </row>
    <row r="7" spans="1:21" ht="97.2" x14ac:dyDescent="0.3">
      <c r="A7" s="103" t="s">
        <v>7</v>
      </c>
      <c r="B7" s="42" t="s">
        <v>61</v>
      </c>
      <c r="C7" s="45" t="s">
        <v>95</v>
      </c>
      <c r="D7" s="38" t="s">
        <v>99</v>
      </c>
      <c r="E7" s="83"/>
      <c r="F7" s="83"/>
      <c r="G7" s="83"/>
      <c r="H7" s="83"/>
      <c r="I7" s="83"/>
      <c r="J7" s="83"/>
      <c r="K7" s="83"/>
      <c r="L7" s="83"/>
      <c r="M7" s="83"/>
      <c r="N7" s="83"/>
      <c r="O7" s="83"/>
      <c r="P7" s="83"/>
      <c r="Q7" s="83"/>
      <c r="R7" s="83"/>
      <c r="S7" s="83"/>
      <c r="T7" s="83"/>
      <c r="U7" s="83"/>
    </row>
    <row r="8" spans="1:21" ht="64.8" x14ac:dyDescent="0.3">
      <c r="A8" s="103" t="s">
        <v>85</v>
      </c>
      <c r="B8" s="43" t="s">
        <v>62</v>
      </c>
      <c r="C8" s="45" t="s">
        <v>96</v>
      </c>
      <c r="D8" s="38" t="s">
        <v>118</v>
      </c>
      <c r="E8" s="83"/>
      <c r="F8" s="83"/>
      <c r="G8" s="83"/>
      <c r="H8" s="83"/>
      <c r="I8" s="83"/>
      <c r="J8" s="83"/>
      <c r="K8" s="83"/>
      <c r="L8" s="83"/>
      <c r="M8" s="83"/>
      <c r="N8" s="83"/>
      <c r="O8" s="83"/>
      <c r="P8" s="83"/>
      <c r="Q8" s="83"/>
      <c r="R8" s="83"/>
      <c r="S8" s="83"/>
      <c r="T8" s="83"/>
      <c r="U8" s="83"/>
    </row>
    <row r="9" spans="1:21" ht="20.399999999999999" x14ac:dyDescent="0.3">
      <c r="A9" s="103"/>
      <c r="B9" s="103"/>
      <c r="C9" s="105"/>
      <c r="D9" s="105"/>
      <c r="E9" s="83"/>
      <c r="F9" s="83"/>
      <c r="G9" s="83"/>
      <c r="H9" s="83"/>
      <c r="I9" s="83"/>
      <c r="J9" s="83"/>
      <c r="K9" s="83"/>
      <c r="L9" s="83"/>
      <c r="M9" s="83"/>
      <c r="N9" s="83"/>
      <c r="O9" s="83"/>
      <c r="P9" s="83"/>
      <c r="Q9" s="83"/>
      <c r="R9" s="83"/>
      <c r="S9" s="83"/>
      <c r="T9" s="83"/>
      <c r="U9" s="83"/>
    </row>
    <row r="10" spans="1:21" x14ac:dyDescent="0.3">
      <c r="A10" s="103"/>
      <c r="B10" s="106"/>
      <c r="C10" s="106"/>
      <c r="D10" s="106"/>
      <c r="E10" s="83"/>
      <c r="F10" s="83"/>
      <c r="G10" s="83"/>
      <c r="H10" s="83"/>
      <c r="I10" s="83"/>
      <c r="J10" s="83"/>
      <c r="K10" s="83"/>
      <c r="L10" s="83"/>
      <c r="M10" s="83"/>
      <c r="N10" s="83"/>
      <c r="O10" s="83"/>
      <c r="P10" s="83"/>
      <c r="Q10" s="83"/>
      <c r="R10" s="83"/>
      <c r="S10" s="83"/>
      <c r="T10" s="83"/>
      <c r="U10" s="83"/>
    </row>
    <row r="11" spans="1:21" x14ac:dyDescent="0.3">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3">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3">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3">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3">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3">
      <c r="A16" s="103"/>
      <c r="B16" s="103"/>
      <c r="C16" s="103"/>
      <c r="D16" s="103"/>
      <c r="E16" s="83"/>
      <c r="F16" s="83"/>
      <c r="G16" s="83"/>
      <c r="H16" s="83"/>
      <c r="I16" s="83"/>
      <c r="J16" s="83"/>
      <c r="K16" s="83"/>
      <c r="L16" s="83"/>
      <c r="M16" s="83"/>
      <c r="N16" s="83"/>
      <c r="O16" s="83"/>
    </row>
    <row r="17" spans="1:15" x14ac:dyDescent="0.3">
      <c r="A17" s="103"/>
      <c r="B17" s="103"/>
      <c r="C17" s="103"/>
      <c r="D17" s="103"/>
      <c r="E17" s="83"/>
      <c r="F17" s="83"/>
      <c r="G17" s="83"/>
      <c r="H17" s="83"/>
      <c r="I17" s="83"/>
      <c r="J17" s="83"/>
      <c r="K17" s="83"/>
      <c r="L17" s="83"/>
      <c r="M17" s="83"/>
      <c r="N17" s="83"/>
      <c r="O17" s="83"/>
    </row>
    <row r="18" spans="1:15" x14ac:dyDescent="0.3">
      <c r="A18" s="103"/>
      <c r="B18" s="107"/>
      <c r="C18" s="107"/>
      <c r="D18" s="107"/>
      <c r="E18" s="83"/>
      <c r="F18" s="83"/>
      <c r="G18" s="83"/>
      <c r="H18" s="83"/>
      <c r="I18" s="83"/>
      <c r="J18" s="83"/>
      <c r="K18" s="83"/>
      <c r="L18" s="83"/>
      <c r="M18" s="83"/>
      <c r="N18" s="83"/>
      <c r="O18" s="83"/>
    </row>
    <row r="19" spans="1:15" x14ac:dyDescent="0.3">
      <c r="A19" s="103"/>
      <c r="B19" s="107"/>
      <c r="C19" s="107"/>
      <c r="D19" s="107"/>
      <c r="E19" s="83"/>
      <c r="F19" s="83"/>
      <c r="G19" s="83"/>
      <c r="H19" s="83"/>
      <c r="I19" s="83"/>
      <c r="J19" s="83"/>
      <c r="K19" s="83"/>
      <c r="L19" s="83"/>
      <c r="M19" s="83"/>
      <c r="N19" s="83"/>
      <c r="O19" s="83"/>
    </row>
    <row r="20" spans="1:15" x14ac:dyDescent="0.3">
      <c r="A20" s="103"/>
      <c r="B20" s="107"/>
      <c r="C20" s="107"/>
      <c r="D20" s="107"/>
      <c r="E20" s="83"/>
      <c r="F20" s="83"/>
      <c r="G20" s="83"/>
      <c r="H20" s="83"/>
      <c r="I20" s="83"/>
      <c r="J20" s="83"/>
      <c r="K20" s="83"/>
      <c r="L20" s="83"/>
      <c r="M20" s="83"/>
      <c r="N20" s="83"/>
      <c r="O20" s="83"/>
    </row>
    <row r="21" spans="1:15" x14ac:dyDescent="0.3">
      <c r="A21" s="103"/>
      <c r="B21" s="107"/>
      <c r="C21" s="107"/>
      <c r="D21" s="107"/>
      <c r="E21" s="83"/>
      <c r="F21" s="83"/>
      <c r="G21" s="83"/>
      <c r="H21" s="83"/>
      <c r="I21" s="83"/>
      <c r="J21" s="83"/>
      <c r="K21" s="83"/>
      <c r="L21" s="83"/>
      <c r="M21" s="83"/>
      <c r="N21" s="83"/>
      <c r="O21" s="83"/>
    </row>
    <row r="22" spans="1:15" ht="20.399999999999999" x14ac:dyDescent="0.3">
      <c r="A22" s="103"/>
      <c r="B22" s="103"/>
      <c r="C22" s="105"/>
      <c r="D22" s="105"/>
      <c r="E22" s="83"/>
      <c r="F22" s="83"/>
      <c r="G22" s="83"/>
      <c r="H22" s="83"/>
      <c r="I22" s="83"/>
      <c r="J22" s="83"/>
      <c r="K22" s="83"/>
      <c r="L22" s="83"/>
      <c r="M22" s="83"/>
      <c r="N22" s="83"/>
      <c r="O22" s="83"/>
    </row>
    <row r="23" spans="1:15" ht="20.399999999999999" x14ac:dyDescent="0.3">
      <c r="A23" s="103"/>
      <c r="B23" s="103"/>
      <c r="C23" s="105"/>
      <c r="D23" s="105"/>
      <c r="E23" s="83"/>
      <c r="F23" s="83"/>
      <c r="G23" s="83"/>
      <c r="H23" s="83"/>
      <c r="I23" s="83"/>
      <c r="J23" s="83"/>
      <c r="K23" s="83"/>
      <c r="L23" s="83"/>
      <c r="M23" s="83"/>
      <c r="N23" s="83"/>
      <c r="O23" s="83"/>
    </row>
    <row r="24" spans="1:15" ht="20.399999999999999" x14ac:dyDescent="0.3">
      <c r="A24" s="103"/>
      <c r="B24" s="103"/>
      <c r="C24" s="105"/>
      <c r="D24" s="105"/>
      <c r="E24" s="83"/>
      <c r="F24" s="83"/>
      <c r="G24" s="83"/>
      <c r="H24" s="83"/>
      <c r="I24" s="83"/>
      <c r="J24" s="83"/>
      <c r="K24" s="83"/>
      <c r="L24" s="83"/>
      <c r="M24" s="83"/>
      <c r="N24" s="83"/>
      <c r="O24" s="83"/>
    </row>
    <row r="25" spans="1:15" ht="20.399999999999999" x14ac:dyDescent="0.3">
      <c r="A25" s="103"/>
      <c r="B25" s="103"/>
      <c r="C25" s="105"/>
      <c r="D25" s="105"/>
      <c r="E25" s="83"/>
      <c r="F25" s="83"/>
      <c r="G25" s="83"/>
      <c r="H25" s="83"/>
      <c r="I25" s="83"/>
      <c r="J25" s="83"/>
      <c r="K25" s="83"/>
      <c r="L25" s="83"/>
      <c r="M25" s="83"/>
      <c r="N25" s="83"/>
      <c r="O25" s="83"/>
    </row>
    <row r="26" spans="1:15" ht="20.399999999999999" x14ac:dyDescent="0.3">
      <c r="A26" s="103"/>
      <c r="B26" s="103"/>
      <c r="C26" s="105"/>
      <c r="D26" s="105"/>
      <c r="E26" s="83"/>
      <c r="F26" s="83"/>
      <c r="G26" s="83"/>
      <c r="H26" s="83"/>
      <c r="I26" s="83"/>
      <c r="J26" s="83"/>
      <c r="K26" s="83"/>
      <c r="L26" s="83"/>
      <c r="M26" s="83"/>
      <c r="N26" s="83"/>
      <c r="O26" s="83"/>
    </row>
    <row r="27" spans="1:15" ht="20.399999999999999" x14ac:dyDescent="0.3">
      <c r="A27" s="103"/>
      <c r="B27" s="103"/>
      <c r="C27" s="105"/>
      <c r="D27" s="105"/>
      <c r="E27" s="83"/>
      <c r="F27" s="83"/>
      <c r="G27" s="83"/>
      <c r="H27" s="83"/>
      <c r="I27" s="83"/>
      <c r="J27" s="83"/>
      <c r="K27" s="83"/>
      <c r="L27" s="83"/>
      <c r="M27" s="83"/>
      <c r="N27" s="83"/>
      <c r="O27" s="83"/>
    </row>
    <row r="28" spans="1:15" ht="20.399999999999999" x14ac:dyDescent="0.3">
      <c r="A28" s="103"/>
      <c r="B28" s="103"/>
      <c r="C28" s="105"/>
      <c r="D28" s="105"/>
      <c r="E28" s="83"/>
      <c r="F28" s="83"/>
      <c r="G28" s="83"/>
      <c r="H28" s="83"/>
      <c r="I28" s="83"/>
      <c r="J28" s="83"/>
      <c r="K28" s="83"/>
      <c r="L28" s="83"/>
      <c r="M28" s="83"/>
      <c r="N28" s="83"/>
      <c r="O28" s="83"/>
    </row>
    <row r="29" spans="1:15" ht="20.399999999999999" x14ac:dyDescent="0.3">
      <c r="A29" s="103"/>
      <c r="B29" s="103"/>
      <c r="C29" s="105"/>
      <c r="D29" s="105"/>
      <c r="E29" s="83"/>
      <c r="F29" s="83"/>
      <c r="G29" s="83"/>
      <c r="H29" s="83"/>
      <c r="I29" s="83"/>
      <c r="J29" s="83"/>
      <c r="K29" s="83"/>
      <c r="L29" s="83"/>
      <c r="M29" s="83"/>
      <c r="N29" s="83"/>
      <c r="O29" s="83"/>
    </row>
    <row r="30" spans="1:15" ht="20.399999999999999" x14ac:dyDescent="0.3">
      <c r="A30" s="103"/>
      <c r="B30" s="103"/>
      <c r="C30" s="105"/>
      <c r="D30" s="105"/>
      <c r="E30" s="83"/>
      <c r="F30" s="83"/>
      <c r="G30" s="83"/>
      <c r="H30" s="83"/>
      <c r="I30" s="83"/>
      <c r="J30" s="83"/>
      <c r="K30" s="83"/>
      <c r="L30" s="83"/>
      <c r="M30" s="83"/>
      <c r="N30" s="83"/>
      <c r="O30" s="83"/>
    </row>
    <row r="31" spans="1:15" ht="20.399999999999999" x14ac:dyDescent="0.3">
      <c r="A31" s="103"/>
      <c r="B31" s="103"/>
      <c r="C31" s="105"/>
      <c r="D31" s="105"/>
      <c r="E31" s="83"/>
      <c r="F31" s="83"/>
      <c r="G31" s="83"/>
      <c r="H31" s="83"/>
      <c r="I31" s="83"/>
      <c r="J31" s="83"/>
      <c r="K31" s="83"/>
      <c r="L31" s="83"/>
      <c r="M31" s="83"/>
      <c r="N31" s="83"/>
      <c r="O31" s="83"/>
    </row>
    <row r="32" spans="1:15" ht="20.399999999999999" x14ac:dyDescent="0.3">
      <c r="A32" s="103"/>
      <c r="B32" s="103"/>
      <c r="C32" s="105"/>
      <c r="D32" s="105"/>
      <c r="E32" s="83"/>
      <c r="F32" s="83"/>
      <c r="G32" s="83"/>
      <c r="H32" s="83"/>
      <c r="I32" s="83"/>
      <c r="J32" s="83"/>
      <c r="K32" s="83"/>
      <c r="L32" s="83"/>
      <c r="M32" s="83"/>
      <c r="N32" s="83"/>
      <c r="O32" s="83"/>
    </row>
    <row r="33" spans="1:15" ht="20.399999999999999" x14ac:dyDescent="0.3">
      <c r="A33" s="103"/>
      <c r="B33" s="103"/>
      <c r="C33" s="105"/>
      <c r="D33" s="105"/>
      <c r="E33" s="83"/>
      <c r="F33" s="83"/>
      <c r="G33" s="83"/>
      <c r="H33" s="83"/>
      <c r="I33" s="83"/>
      <c r="J33" s="83"/>
      <c r="K33" s="83"/>
      <c r="L33" s="83"/>
      <c r="M33" s="83"/>
      <c r="N33" s="83"/>
      <c r="O33" s="83"/>
    </row>
    <row r="34" spans="1:15" ht="20.399999999999999" x14ac:dyDescent="0.3">
      <c r="A34" s="103"/>
      <c r="B34" s="103"/>
      <c r="C34" s="105"/>
      <c r="D34" s="105"/>
      <c r="E34" s="83"/>
      <c r="F34" s="83"/>
      <c r="G34" s="83"/>
      <c r="H34" s="83"/>
      <c r="I34" s="83"/>
      <c r="J34" s="83"/>
      <c r="K34" s="83"/>
      <c r="L34" s="83"/>
      <c r="M34" s="83"/>
      <c r="N34" s="83"/>
      <c r="O34" s="83"/>
    </row>
    <row r="35" spans="1:15" ht="20.399999999999999" x14ac:dyDescent="0.3">
      <c r="A35" s="103"/>
      <c r="B35" s="103"/>
      <c r="C35" s="105"/>
      <c r="D35" s="105"/>
      <c r="E35" s="83"/>
      <c r="F35" s="83"/>
      <c r="G35" s="83"/>
      <c r="H35" s="83"/>
      <c r="I35" s="83"/>
      <c r="J35" s="83"/>
      <c r="K35" s="83"/>
      <c r="L35" s="83"/>
      <c r="M35" s="83"/>
      <c r="N35" s="83"/>
      <c r="O35" s="83"/>
    </row>
    <row r="36" spans="1:15" ht="20.399999999999999" x14ac:dyDescent="0.3">
      <c r="A36" s="103"/>
      <c r="B36" s="103"/>
      <c r="C36" s="105"/>
      <c r="D36" s="105"/>
      <c r="E36" s="83"/>
      <c r="F36" s="83"/>
      <c r="G36" s="83"/>
      <c r="H36" s="83"/>
      <c r="I36" s="83"/>
      <c r="J36" s="83"/>
      <c r="K36" s="83"/>
      <c r="L36" s="83"/>
      <c r="M36" s="83"/>
      <c r="N36" s="83"/>
      <c r="O36" s="83"/>
    </row>
    <row r="37" spans="1:15" ht="20.399999999999999" x14ac:dyDescent="0.3">
      <c r="A37" s="103"/>
      <c r="B37" s="103"/>
      <c r="C37" s="105"/>
      <c r="D37" s="105"/>
      <c r="E37" s="83"/>
      <c r="F37" s="83"/>
      <c r="G37" s="83"/>
      <c r="H37" s="83"/>
      <c r="I37" s="83"/>
      <c r="J37" s="83"/>
      <c r="K37" s="83"/>
      <c r="L37" s="83"/>
      <c r="M37" s="83"/>
      <c r="N37" s="83"/>
      <c r="O37" s="83"/>
    </row>
    <row r="38" spans="1:15" ht="20.399999999999999" x14ac:dyDescent="0.3">
      <c r="A38" s="103"/>
      <c r="B38" s="103"/>
      <c r="C38" s="105"/>
      <c r="D38" s="105"/>
      <c r="E38" s="83"/>
      <c r="F38" s="83"/>
      <c r="G38" s="83"/>
      <c r="H38" s="83"/>
      <c r="I38" s="83"/>
      <c r="J38" s="83"/>
      <c r="K38" s="83"/>
      <c r="L38" s="83"/>
      <c r="M38" s="83"/>
      <c r="N38" s="83"/>
      <c r="O38" s="83"/>
    </row>
    <row r="39" spans="1:15" ht="20.399999999999999" x14ac:dyDescent="0.3">
      <c r="A39" s="103"/>
      <c r="B39" s="103"/>
      <c r="C39" s="105"/>
      <c r="D39" s="105"/>
      <c r="E39" s="83"/>
      <c r="F39" s="83"/>
      <c r="G39" s="83"/>
      <c r="H39" s="83"/>
      <c r="I39" s="83"/>
      <c r="J39" s="83"/>
      <c r="K39" s="83"/>
      <c r="L39" s="83"/>
      <c r="M39" s="83"/>
      <c r="N39" s="83"/>
      <c r="O39" s="83"/>
    </row>
    <row r="40" spans="1:15" ht="20.399999999999999" x14ac:dyDescent="0.3">
      <c r="A40" s="103"/>
      <c r="B40" s="103"/>
      <c r="C40" s="105"/>
      <c r="D40" s="105"/>
      <c r="E40" s="83"/>
      <c r="F40" s="83"/>
      <c r="G40" s="83"/>
      <c r="H40" s="83"/>
      <c r="I40" s="83"/>
      <c r="J40" s="83"/>
      <c r="K40" s="83"/>
      <c r="L40" s="83"/>
      <c r="M40" s="83"/>
      <c r="N40" s="83"/>
      <c r="O40" s="83"/>
    </row>
    <row r="41" spans="1:15" ht="20.399999999999999" x14ac:dyDescent="0.3">
      <c r="A41" s="103"/>
      <c r="B41" s="103"/>
      <c r="C41" s="105"/>
      <c r="D41" s="105"/>
      <c r="E41" s="83"/>
      <c r="F41" s="83"/>
      <c r="G41" s="83"/>
      <c r="H41" s="83"/>
      <c r="I41" s="83"/>
      <c r="J41" s="83"/>
      <c r="K41" s="83"/>
      <c r="L41" s="83"/>
      <c r="M41" s="83"/>
      <c r="N41" s="83"/>
      <c r="O41" s="83"/>
    </row>
    <row r="42" spans="1:15" ht="20.399999999999999" x14ac:dyDescent="0.3">
      <c r="A42" s="103"/>
      <c r="B42" s="103"/>
      <c r="C42" s="105"/>
      <c r="D42" s="105"/>
      <c r="E42" s="83"/>
      <c r="F42" s="83"/>
      <c r="G42" s="83"/>
      <c r="H42" s="83"/>
      <c r="I42" s="83"/>
      <c r="J42" s="83"/>
      <c r="K42" s="83"/>
      <c r="L42" s="83"/>
      <c r="M42" s="83"/>
      <c r="N42" s="83"/>
      <c r="O42" s="83"/>
    </row>
    <row r="43" spans="1:15" ht="20.399999999999999" x14ac:dyDescent="0.3">
      <c r="A43" s="103"/>
      <c r="B43" s="103"/>
      <c r="C43" s="105"/>
      <c r="D43" s="105"/>
      <c r="E43" s="83"/>
      <c r="F43" s="83"/>
      <c r="G43" s="83"/>
      <c r="H43" s="83"/>
      <c r="I43" s="83"/>
      <c r="J43" s="83"/>
      <c r="K43" s="83"/>
      <c r="L43" s="83"/>
      <c r="M43" s="83"/>
      <c r="N43" s="83"/>
      <c r="O43" s="83"/>
    </row>
    <row r="44" spans="1:15" ht="20.399999999999999" x14ac:dyDescent="0.3">
      <c r="A44" s="103"/>
      <c r="B44" s="103"/>
      <c r="C44" s="105"/>
      <c r="D44" s="105"/>
      <c r="E44" s="83"/>
      <c r="F44" s="83"/>
      <c r="G44" s="83"/>
      <c r="H44" s="83"/>
      <c r="I44" s="83"/>
      <c r="J44" s="83"/>
      <c r="K44" s="83"/>
      <c r="L44" s="83"/>
      <c r="M44" s="83"/>
      <c r="N44" s="83"/>
      <c r="O44" s="83"/>
    </row>
    <row r="45" spans="1:15" ht="20.399999999999999" x14ac:dyDescent="0.3">
      <c r="A45" s="103"/>
      <c r="B45" s="103"/>
      <c r="C45" s="105"/>
      <c r="D45" s="105"/>
      <c r="E45" s="83"/>
      <c r="F45" s="83"/>
      <c r="G45" s="83"/>
      <c r="H45" s="83"/>
      <c r="I45" s="83"/>
      <c r="J45" s="83"/>
      <c r="K45" s="83"/>
      <c r="L45" s="83"/>
      <c r="M45" s="83"/>
      <c r="N45" s="83"/>
      <c r="O45" s="83"/>
    </row>
    <row r="46" spans="1:15" ht="20.399999999999999" x14ac:dyDescent="0.3">
      <c r="A46" s="103"/>
      <c r="B46" s="103"/>
      <c r="C46" s="105"/>
      <c r="D46" s="105"/>
      <c r="E46" s="83"/>
      <c r="F46" s="83"/>
      <c r="G46" s="83"/>
      <c r="H46" s="83"/>
      <c r="I46" s="83"/>
      <c r="J46" s="83"/>
      <c r="K46" s="83"/>
      <c r="L46" s="83"/>
      <c r="M46" s="83"/>
      <c r="N46" s="83"/>
      <c r="O46" s="83"/>
    </row>
    <row r="47" spans="1:15" ht="20.399999999999999" x14ac:dyDescent="0.3">
      <c r="A47" s="103"/>
      <c r="B47" s="103"/>
      <c r="C47" s="105"/>
      <c r="D47" s="105"/>
      <c r="E47" s="83"/>
      <c r="F47" s="83"/>
      <c r="G47" s="83"/>
      <c r="H47" s="83"/>
      <c r="I47" s="83"/>
      <c r="J47" s="83"/>
      <c r="K47" s="83"/>
      <c r="L47" s="83"/>
      <c r="M47" s="83"/>
      <c r="N47" s="83"/>
      <c r="O47" s="83"/>
    </row>
    <row r="48" spans="1:15" ht="20.399999999999999" x14ac:dyDescent="0.3">
      <c r="A48" s="103"/>
      <c r="B48" s="103"/>
      <c r="C48" s="105"/>
      <c r="D48" s="105"/>
      <c r="E48" s="83"/>
      <c r="F48" s="83"/>
      <c r="G48" s="83"/>
      <c r="H48" s="83"/>
      <c r="I48" s="83"/>
      <c r="J48" s="83"/>
      <c r="K48" s="83"/>
      <c r="L48" s="83"/>
      <c r="M48" s="83"/>
      <c r="N48" s="83"/>
      <c r="O48" s="83"/>
    </row>
    <row r="49" spans="1:15" ht="20.399999999999999" x14ac:dyDescent="0.3">
      <c r="A49" s="103"/>
      <c r="B49" s="103"/>
      <c r="C49" s="105"/>
      <c r="D49" s="105"/>
      <c r="E49" s="83"/>
      <c r="F49" s="83"/>
      <c r="G49" s="83"/>
      <c r="H49" s="83"/>
      <c r="I49" s="83"/>
      <c r="J49" s="83"/>
      <c r="K49" s="83"/>
      <c r="L49" s="83"/>
      <c r="M49" s="83"/>
      <c r="N49" s="83"/>
      <c r="O49" s="83"/>
    </row>
    <row r="50" spans="1:15" ht="20.399999999999999" x14ac:dyDescent="0.3">
      <c r="A50" s="103"/>
      <c r="B50" s="103"/>
      <c r="C50" s="105"/>
      <c r="D50" s="105"/>
      <c r="E50" s="83"/>
      <c r="F50" s="83"/>
      <c r="G50" s="83"/>
      <c r="H50" s="83"/>
      <c r="I50" s="83"/>
      <c r="J50" s="83"/>
      <c r="K50" s="83"/>
      <c r="L50" s="83"/>
      <c r="M50" s="83"/>
      <c r="N50" s="83"/>
      <c r="O50" s="83"/>
    </row>
    <row r="51" spans="1:15" ht="20.399999999999999" x14ac:dyDescent="0.3">
      <c r="A51" s="103"/>
      <c r="B51" s="103"/>
      <c r="C51" s="105"/>
      <c r="D51" s="105"/>
      <c r="E51" s="83"/>
      <c r="F51" s="83"/>
      <c r="G51" s="83"/>
      <c r="H51" s="83"/>
      <c r="I51" s="83"/>
      <c r="J51" s="83"/>
      <c r="K51" s="83"/>
      <c r="L51" s="83"/>
      <c r="M51" s="83"/>
      <c r="N51" s="83"/>
      <c r="O51" s="83"/>
    </row>
    <row r="52" spans="1:15" ht="20.399999999999999" x14ac:dyDescent="0.3">
      <c r="A52" s="103"/>
      <c r="B52" s="23"/>
      <c r="C52" s="34"/>
      <c r="D52" s="34"/>
    </row>
    <row r="53" spans="1:15" ht="20.399999999999999" x14ac:dyDescent="0.3">
      <c r="A53" s="103"/>
      <c r="B53" s="23"/>
      <c r="C53" s="34"/>
      <c r="D53" s="34"/>
    </row>
    <row r="54" spans="1:15" ht="20.399999999999999" x14ac:dyDescent="0.3">
      <c r="A54" s="103"/>
      <c r="B54" s="23"/>
      <c r="C54" s="34"/>
      <c r="D54" s="34"/>
    </row>
    <row r="55" spans="1:15" ht="20.399999999999999" x14ac:dyDescent="0.3">
      <c r="A55" s="103"/>
      <c r="B55" s="23"/>
      <c r="C55" s="34"/>
      <c r="D55" s="34"/>
    </row>
    <row r="56" spans="1:15" ht="20.399999999999999" x14ac:dyDescent="0.3">
      <c r="A56" s="103"/>
      <c r="B56" s="23"/>
      <c r="C56" s="34"/>
      <c r="D56" s="34"/>
    </row>
    <row r="57" spans="1:15" ht="20.399999999999999" x14ac:dyDescent="0.3">
      <c r="A57" s="103"/>
      <c r="B57" s="23"/>
      <c r="C57" s="34"/>
      <c r="D57" s="34"/>
    </row>
    <row r="58" spans="1:15" ht="20.399999999999999" x14ac:dyDescent="0.3">
      <c r="A58" s="103"/>
      <c r="B58" s="23"/>
      <c r="C58" s="34"/>
      <c r="D58" s="34"/>
    </row>
    <row r="59" spans="1:15" ht="20.399999999999999" x14ac:dyDescent="0.3">
      <c r="A59" s="103"/>
      <c r="B59" s="23"/>
      <c r="C59" s="34"/>
      <c r="D59" s="34"/>
    </row>
    <row r="60" spans="1:15" ht="20.399999999999999" x14ac:dyDescent="0.3">
      <c r="A60" s="103"/>
      <c r="B60" s="23"/>
      <c r="C60" s="34"/>
      <c r="D60" s="34"/>
    </row>
    <row r="61" spans="1:15" ht="20.399999999999999" x14ac:dyDescent="0.3">
      <c r="A61" s="103"/>
      <c r="B61" s="23"/>
      <c r="C61" s="34"/>
      <c r="D61" s="34"/>
    </row>
    <row r="62" spans="1:15" ht="20.399999999999999" x14ac:dyDescent="0.3">
      <c r="A62" s="103"/>
      <c r="B62" s="23"/>
      <c r="C62" s="34"/>
      <c r="D62" s="34"/>
    </row>
    <row r="63" spans="1:15" ht="20.399999999999999" x14ac:dyDescent="0.3">
      <c r="A63" s="103"/>
      <c r="B63" s="23"/>
      <c r="C63" s="34"/>
      <c r="D63" s="34"/>
    </row>
    <row r="64" spans="1:15" ht="20.399999999999999" x14ac:dyDescent="0.3">
      <c r="A64" s="103"/>
      <c r="B64" s="23"/>
      <c r="C64" s="34"/>
      <c r="D64" s="34"/>
    </row>
    <row r="65" spans="1:4" ht="20.399999999999999" x14ac:dyDescent="0.3">
      <c r="A65" s="103"/>
      <c r="B65" s="23"/>
      <c r="C65" s="34"/>
      <c r="D65" s="34"/>
    </row>
    <row r="66" spans="1:4" ht="20.399999999999999" x14ac:dyDescent="0.3">
      <c r="A66" s="103"/>
      <c r="B66" s="23"/>
      <c r="C66" s="34"/>
      <c r="D66" s="34"/>
    </row>
    <row r="67" spans="1:4" ht="20.399999999999999" x14ac:dyDescent="0.3">
      <c r="A67" s="103"/>
      <c r="B67" s="23"/>
      <c r="C67" s="34"/>
      <c r="D67" s="34"/>
    </row>
    <row r="68" spans="1:4" ht="20.399999999999999" x14ac:dyDescent="0.3">
      <c r="A68" s="103"/>
      <c r="B68" s="23"/>
      <c r="C68" s="34"/>
      <c r="D68" s="34"/>
    </row>
    <row r="69" spans="1:4" ht="20.399999999999999" x14ac:dyDescent="0.3">
      <c r="A69" s="103"/>
      <c r="B69" s="23"/>
      <c r="C69" s="34"/>
      <c r="D69" s="34"/>
    </row>
    <row r="70" spans="1:4" ht="20.399999999999999" x14ac:dyDescent="0.3">
      <c r="A70" s="103"/>
      <c r="B70" s="23"/>
      <c r="C70" s="34"/>
      <c r="D70" s="34"/>
    </row>
    <row r="71" spans="1:4" ht="20.399999999999999" x14ac:dyDescent="0.3">
      <c r="A71" s="103"/>
      <c r="B71" s="23"/>
      <c r="C71" s="34"/>
      <c r="D71" s="34"/>
    </row>
    <row r="72" spans="1:4" ht="20.399999999999999" x14ac:dyDescent="0.3">
      <c r="A72" s="103"/>
      <c r="B72" s="23"/>
      <c r="C72" s="34"/>
      <c r="D72" s="34"/>
    </row>
    <row r="73" spans="1:4" ht="20.399999999999999" x14ac:dyDescent="0.3">
      <c r="A73" s="103"/>
      <c r="B73" s="23"/>
      <c r="C73" s="34"/>
      <c r="D73" s="34"/>
    </row>
    <row r="74" spans="1:4" ht="20.399999999999999" x14ac:dyDescent="0.3">
      <c r="A74" s="103"/>
      <c r="B74" s="23"/>
      <c r="C74" s="34"/>
      <c r="D74" s="34"/>
    </row>
    <row r="75" spans="1:4" ht="20.399999999999999" x14ac:dyDescent="0.3">
      <c r="A75" s="103"/>
      <c r="B75" s="23"/>
      <c r="C75" s="34"/>
      <c r="D75" s="34"/>
    </row>
    <row r="76" spans="1:4" ht="20.399999999999999" x14ac:dyDescent="0.3">
      <c r="A76" s="103"/>
      <c r="B76" s="23"/>
      <c r="C76" s="34"/>
      <c r="D76" s="34"/>
    </row>
    <row r="77" spans="1:4" ht="20.399999999999999" x14ac:dyDescent="0.3">
      <c r="A77" s="103"/>
      <c r="B77" s="23"/>
      <c r="C77" s="34"/>
      <c r="D77" s="34"/>
    </row>
    <row r="78" spans="1:4" ht="20.399999999999999" x14ac:dyDescent="0.3">
      <c r="A78" s="103"/>
      <c r="B78" s="23"/>
      <c r="C78" s="34"/>
      <c r="D78" s="34"/>
    </row>
    <row r="79" spans="1:4" ht="20.399999999999999" x14ac:dyDescent="0.3">
      <c r="A79" s="103"/>
      <c r="B79" s="23"/>
      <c r="C79" s="34"/>
      <c r="D79" s="34"/>
    </row>
    <row r="80" spans="1:4" ht="20.399999999999999" x14ac:dyDescent="0.3">
      <c r="A80" s="103"/>
      <c r="B80" s="23"/>
      <c r="C80" s="34"/>
      <c r="D80" s="34"/>
    </row>
    <row r="81" spans="1:4" ht="20.399999999999999" x14ac:dyDescent="0.3">
      <c r="A81" s="103"/>
      <c r="B81" s="23"/>
      <c r="C81" s="34"/>
      <c r="D81" s="34"/>
    </row>
    <row r="82" spans="1:4" ht="20.399999999999999" x14ac:dyDescent="0.3">
      <c r="A82" s="103"/>
      <c r="B82" s="23"/>
      <c r="C82" s="34"/>
      <c r="D82" s="34"/>
    </row>
    <row r="83" spans="1:4" ht="20.399999999999999" x14ac:dyDescent="0.3">
      <c r="A83" s="103"/>
      <c r="B83" s="23"/>
      <c r="C83" s="34"/>
      <c r="D83" s="34"/>
    </row>
    <row r="84" spans="1:4" ht="20.399999999999999" x14ac:dyDescent="0.3">
      <c r="A84" s="103"/>
      <c r="B84" s="23"/>
      <c r="C84" s="34"/>
      <c r="D84" s="34"/>
    </row>
    <row r="85" spans="1:4" ht="20.399999999999999" x14ac:dyDescent="0.3">
      <c r="A85" s="103"/>
      <c r="B85" s="23"/>
      <c r="C85" s="34"/>
      <c r="D85" s="34"/>
    </row>
    <row r="86" spans="1:4" ht="20.399999999999999" x14ac:dyDescent="0.3">
      <c r="A86" s="103"/>
      <c r="B86" s="23"/>
      <c r="C86" s="34"/>
      <c r="D86" s="34"/>
    </row>
    <row r="87" spans="1:4" ht="20.399999999999999" x14ac:dyDescent="0.3">
      <c r="A87" s="103"/>
      <c r="B87" s="23"/>
      <c r="C87" s="34"/>
      <c r="D87" s="34"/>
    </row>
    <row r="88" spans="1:4" ht="20.399999999999999" x14ac:dyDescent="0.3">
      <c r="A88" s="103"/>
      <c r="B88" s="23"/>
      <c r="C88" s="34"/>
      <c r="D88" s="34"/>
    </row>
    <row r="89" spans="1:4" ht="20.399999999999999" x14ac:dyDescent="0.3">
      <c r="A89" s="103"/>
      <c r="B89" s="23"/>
      <c r="C89" s="34"/>
      <c r="D89" s="34"/>
    </row>
    <row r="90" spans="1:4" ht="20.399999999999999" x14ac:dyDescent="0.3">
      <c r="A90" s="103"/>
      <c r="B90" s="23"/>
      <c r="C90" s="34"/>
      <c r="D90" s="34"/>
    </row>
    <row r="91" spans="1:4" ht="20.399999999999999" x14ac:dyDescent="0.3">
      <c r="A91" s="103"/>
      <c r="B91" s="23"/>
      <c r="C91" s="34"/>
      <c r="D91" s="34"/>
    </row>
    <row r="92" spans="1:4" ht="20.399999999999999" x14ac:dyDescent="0.3">
      <c r="A92" s="103"/>
      <c r="B92" s="23"/>
      <c r="C92" s="34"/>
      <c r="D92" s="34"/>
    </row>
    <row r="93" spans="1:4" ht="20.399999999999999" x14ac:dyDescent="0.3">
      <c r="A93" s="103"/>
      <c r="B93" s="23"/>
      <c r="C93" s="34"/>
      <c r="D93" s="34"/>
    </row>
    <row r="94" spans="1:4" ht="20.399999999999999" x14ac:dyDescent="0.3">
      <c r="A94" s="103"/>
      <c r="B94" s="23"/>
      <c r="C94" s="34"/>
      <c r="D94" s="34"/>
    </row>
    <row r="95" spans="1:4" ht="20.399999999999999" x14ac:dyDescent="0.3">
      <c r="A95" s="103"/>
      <c r="B95" s="23"/>
      <c r="C95" s="34"/>
      <c r="D95" s="34"/>
    </row>
    <row r="96" spans="1:4" ht="20.399999999999999" x14ac:dyDescent="0.3">
      <c r="A96" s="103"/>
      <c r="B96" s="23"/>
      <c r="C96" s="34"/>
      <c r="D96" s="34"/>
    </row>
    <row r="97" spans="1:4" ht="20.399999999999999" x14ac:dyDescent="0.3">
      <c r="A97" s="103"/>
      <c r="B97" s="23"/>
      <c r="C97" s="34"/>
      <c r="D97" s="34"/>
    </row>
    <row r="98" spans="1:4" ht="20.399999999999999" x14ac:dyDescent="0.3">
      <c r="A98" s="103"/>
      <c r="B98" s="23"/>
      <c r="C98" s="34"/>
      <c r="D98" s="34"/>
    </row>
    <row r="99" spans="1:4" ht="20.399999999999999" x14ac:dyDescent="0.3">
      <c r="A99" s="103"/>
      <c r="B99" s="23"/>
      <c r="C99" s="34"/>
      <c r="D99" s="34"/>
    </row>
    <row r="100" spans="1:4" ht="20.399999999999999" x14ac:dyDescent="0.3">
      <c r="A100" s="103"/>
      <c r="B100" s="23"/>
      <c r="C100" s="34"/>
      <c r="D100" s="34"/>
    </row>
    <row r="101" spans="1:4" ht="20.399999999999999" x14ac:dyDescent="0.3">
      <c r="A101" s="103"/>
      <c r="B101" s="23"/>
      <c r="C101" s="34"/>
      <c r="D101" s="34"/>
    </row>
    <row r="102" spans="1:4" ht="20.399999999999999" x14ac:dyDescent="0.3">
      <c r="A102" s="103"/>
      <c r="B102" s="23"/>
      <c r="C102" s="34"/>
      <c r="D102" s="34"/>
    </row>
    <row r="103" spans="1:4" ht="20.399999999999999" x14ac:dyDescent="0.3">
      <c r="A103" s="103"/>
      <c r="B103" s="23"/>
      <c r="C103" s="34"/>
      <c r="D103" s="34"/>
    </row>
    <row r="104" spans="1:4" ht="20.399999999999999" x14ac:dyDescent="0.3">
      <c r="A104" s="103"/>
      <c r="B104" s="23"/>
      <c r="C104" s="34"/>
      <c r="D104" s="34"/>
    </row>
    <row r="105" spans="1:4" ht="20.399999999999999" x14ac:dyDescent="0.3">
      <c r="A105" s="103"/>
      <c r="B105" s="23"/>
      <c r="C105" s="34"/>
      <c r="D105" s="34"/>
    </row>
    <row r="106" spans="1:4" ht="20.399999999999999" x14ac:dyDescent="0.3">
      <c r="A106" s="103"/>
      <c r="B106" s="23"/>
      <c r="C106" s="34"/>
      <c r="D106" s="34"/>
    </row>
    <row r="107" spans="1:4" ht="20.399999999999999" x14ac:dyDescent="0.3">
      <c r="A107" s="103"/>
      <c r="B107" s="23"/>
      <c r="C107" s="34"/>
      <c r="D107" s="34"/>
    </row>
    <row r="108" spans="1:4" ht="20.399999999999999" x14ac:dyDescent="0.3">
      <c r="A108" s="103"/>
      <c r="B108" s="23"/>
      <c r="C108" s="34"/>
      <c r="D108" s="34"/>
    </row>
    <row r="109" spans="1:4" ht="20.399999999999999" x14ac:dyDescent="0.3">
      <c r="A109" s="103"/>
      <c r="B109" s="23"/>
      <c r="C109" s="34"/>
      <c r="D109" s="34"/>
    </row>
    <row r="110" spans="1:4" ht="20.399999999999999" x14ac:dyDescent="0.3">
      <c r="A110" s="103"/>
      <c r="B110" s="23"/>
      <c r="C110" s="34"/>
      <c r="D110" s="34"/>
    </row>
    <row r="111" spans="1:4" ht="20.399999999999999" x14ac:dyDescent="0.3">
      <c r="A111" s="103"/>
      <c r="B111" s="23"/>
      <c r="C111" s="34"/>
      <c r="D111" s="34"/>
    </row>
    <row r="112" spans="1:4" ht="20.399999999999999" x14ac:dyDescent="0.3">
      <c r="A112" s="103"/>
      <c r="B112" s="23"/>
      <c r="C112" s="34"/>
      <c r="D112" s="34"/>
    </row>
    <row r="113" spans="1:4" ht="20.399999999999999" x14ac:dyDescent="0.3">
      <c r="A113" s="103"/>
      <c r="B113" s="23"/>
      <c r="C113" s="34"/>
      <c r="D113" s="34"/>
    </row>
    <row r="114" spans="1:4" ht="20.399999999999999" x14ac:dyDescent="0.3">
      <c r="A114" s="103"/>
      <c r="B114" s="23"/>
      <c r="C114" s="34"/>
      <c r="D114" s="34"/>
    </row>
    <row r="115" spans="1:4" ht="20.399999999999999" x14ac:dyDescent="0.3">
      <c r="A115" s="103"/>
      <c r="B115" s="23"/>
      <c r="C115" s="34"/>
      <c r="D115" s="34"/>
    </row>
    <row r="116" spans="1:4" ht="20.399999999999999" x14ac:dyDescent="0.3">
      <c r="A116" s="103"/>
      <c r="B116" s="23"/>
      <c r="C116" s="34"/>
      <c r="D116" s="34"/>
    </row>
    <row r="117" spans="1:4" ht="20.399999999999999" x14ac:dyDescent="0.3">
      <c r="A117" s="103"/>
      <c r="B117" s="23"/>
      <c r="C117" s="34"/>
      <c r="D117" s="34"/>
    </row>
    <row r="118" spans="1:4" ht="20.399999999999999" x14ac:dyDescent="0.3">
      <c r="A118" s="103"/>
      <c r="B118" s="23"/>
      <c r="C118" s="34"/>
      <c r="D118" s="34"/>
    </row>
    <row r="119" spans="1:4" ht="20.399999999999999" x14ac:dyDescent="0.3">
      <c r="A119" s="103"/>
      <c r="B119" s="23"/>
      <c r="C119" s="34"/>
      <c r="D119" s="34"/>
    </row>
    <row r="120" spans="1:4" ht="20.399999999999999" x14ac:dyDescent="0.3">
      <c r="A120" s="103"/>
      <c r="B120" s="23"/>
      <c r="C120" s="34"/>
      <c r="D120" s="34"/>
    </row>
    <row r="121" spans="1:4" ht="20.399999999999999" x14ac:dyDescent="0.3">
      <c r="A121" s="103"/>
      <c r="B121" s="23"/>
      <c r="C121" s="34"/>
      <c r="D121" s="34"/>
    </row>
    <row r="122" spans="1:4" ht="20.399999999999999" x14ac:dyDescent="0.3">
      <c r="A122" s="103"/>
      <c r="B122" s="23"/>
      <c r="C122" s="34"/>
      <c r="D122" s="34"/>
    </row>
    <row r="123" spans="1:4" ht="20.399999999999999" x14ac:dyDescent="0.3">
      <c r="A123" s="103"/>
      <c r="B123" s="23"/>
      <c r="C123" s="34"/>
      <c r="D123" s="34"/>
    </row>
    <row r="124" spans="1:4" ht="20.399999999999999" x14ac:dyDescent="0.3">
      <c r="A124" s="103"/>
      <c r="B124" s="23"/>
      <c r="C124" s="34"/>
      <c r="D124" s="34"/>
    </row>
    <row r="125" spans="1:4" ht="20.399999999999999" x14ac:dyDescent="0.3">
      <c r="A125" s="103"/>
      <c r="B125" s="23"/>
      <c r="C125" s="34"/>
      <c r="D125" s="34"/>
    </row>
    <row r="126" spans="1:4" ht="20.399999999999999" x14ac:dyDescent="0.3">
      <c r="A126" s="103"/>
      <c r="B126" s="23"/>
      <c r="C126" s="34"/>
      <c r="D126" s="34"/>
    </row>
    <row r="127" spans="1:4" ht="20.399999999999999" x14ac:dyDescent="0.3">
      <c r="A127" s="103"/>
      <c r="B127" s="23"/>
      <c r="C127" s="34"/>
      <c r="D127" s="34"/>
    </row>
    <row r="128" spans="1:4" ht="20.399999999999999" x14ac:dyDescent="0.3">
      <c r="A128" s="103"/>
      <c r="B128" s="23"/>
      <c r="C128" s="34"/>
      <c r="D128" s="34"/>
    </row>
    <row r="129" spans="1:4" ht="20.399999999999999" x14ac:dyDescent="0.3">
      <c r="A129" s="103"/>
      <c r="B129" s="23"/>
      <c r="C129" s="34"/>
      <c r="D129" s="34"/>
    </row>
    <row r="130" spans="1:4" ht="20.399999999999999" x14ac:dyDescent="0.3">
      <c r="A130" s="103"/>
      <c r="B130" s="23"/>
      <c r="C130" s="34"/>
      <c r="D130" s="34"/>
    </row>
    <row r="131" spans="1:4" ht="20.399999999999999" x14ac:dyDescent="0.3">
      <c r="A131" s="103"/>
      <c r="B131" s="23"/>
      <c r="C131" s="34"/>
      <c r="D131" s="34"/>
    </row>
    <row r="132" spans="1:4" ht="20.399999999999999" x14ac:dyDescent="0.3">
      <c r="A132" s="103"/>
      <c r="B132" s="23"/>
      <c r="C132" s="34"/>
      <c r="D132" s="34"/>
    </row>
    <row r="133" spans="1:4" ht="20.399999999999999" x14ac:dyDescent="0.3">
      <c r="A133" s="103"/>
      <c r="B133" s="23"/>
      <c r="C133" s="34"/>
      <c r="D133" s="34"/>
    </row>
    <row r="134" spans="1:4" ht="20.399999999999999" x14ac:dyDescent="0.3">
      <c r="A134" s="103"/>
      <c r="B134" s="23"/>
      <c r="C134" s="34"/>
      <c r="D134" s="34"/>
    </row>
    <row r="135" spans="1:4" ht="20.399999999999999" x14ac:dyDescent="0.3">
      <c r="A135" s="103"/>
      <c r="B135" s="23"/>
      <c r="C135" s="34"/>
      <c r="D135" s="34"/>
    </row>
    <row r="136" spans="1:4" ht="20.399999999999999" x14ac:dyDescent="0.3">
      <c r="A136" s="103"/>
      <c r="B136" s="23"/>
      <c r="C136" s="34"/>
      <c r="D136" s="34"/>
    </row>
    <row r="137" spans="1:4" ht="20.399999999999999" x14ac:dyDescent="0.3">
      <c r="A137" s="103"/>
      <c r="B137" s="23"/>
      <c r="C137" s="34"/>
      <c r="D137" s="34"/>
    </row>
    <row r="138" spans="1:4" ht="20.399999999999999" x14ac:dyDescent="0.3">
      <c r="A138" s="103"/>
      <c r="B138" s="23"/>
      <c r="C138" s="34"/>
      <c r="D138" s="34"/>
    </row>
    <row r="139" spans="1:4" ht="20.399999999999999" x14ac:dyDescent="0.3">
      <c r="A139" s="103"/>
      <c r="B139" s="23"/>
      <c r="C139" s="34"/>
      <c r="D139" s="34"/>
    </row>
    <row r="140" spans="1:4" ht="20.399999999999999" x14ac:dyDescent="0.3">
      <c r="A140" s="103"/>
      <c r="B140" s="23"/>
      <c r="C140" s="34"/>
      <c r="D140" s="34"/>
    </row>
    <row r="141" spans="1:4" ht="20.399999999999999" x14ac:dyDescent="0.3">
      <c r="A141" s="103"/>
      <c r="B141" s="23"/>
      <c r="C141" s="34"/>
      <c r="D141" s="34"/>
    </row>
    <row r="142" spans="1:4" ht="20.399999999999999" x14ac:dyDescent="0.3">
      <c r="A142" s="103"/>
      <c r="B142" s="23"/>
      <c r="C142" s="34"/>
      <c r="D142" s="34"/>
    </row>
    <row r="143" spans="1:4" ht="20.399999999999999" x14ac:dyDescent="0.3">
      <c r="A143" s="103"/>
      <c r="B143" s="23"/>
      <c r="C143" s="34"/>
      <c r="D143" s="34"/>
    </row>
    <row r="144" spans="1:4" ht="20.399999999999999" x14ac:dyDescent="0.3">
      <c r="A144" s="103"/>
      <c r="B144" s="23"/>
      <c r="C144" s="34"/>
      <c r="D144" s="34"/>
    </row>
    <row r="145" spans="1:4" ht="20.399999999999999" x14ac:dyDescent="0.3">
      <c r="A145" s="103"/>
      <c r="B145" s="23"/>
      <c r="C145" s="34"/>
      <c r="D145" s="34"/>
    </row>
    <row r="146" spans="1:4" ht="20.399999999999999" x14ac:dyDescent="0.3">
      <c r="A146" s="103"/>
      <c r="B146" s="23"/>
      <c r="C146" s="34"/>
      <c r="D146" s="34"/>
    </row>
    <row r="147" spans="1:4" ht="20.399999999999999" x14ac:dyDescent="0.3">
      <c r="A147" s="103"/>
      <c r="B147" s="23"/>
      <c r="C147" s="34"/>
      <c r="D147" s="34"/>
    </row>
    <row r="148" spans="1:4" ht="20.399999999999999" x14ac:dyDescent="0.3">
      <c r="A148" s="103"/>
      <c r="B148" s="23"/>
      <c r="C148" s="34"/>
      <c r="D148" s="34"/>
    </row>
    <row r="149" spans="1:4" ht="20.399999999999999" x14ac:dyDescent="0.3">
      <c r="A149" s="103"/>
      <c r="B149" s="23"/>
      <c r="C149" s="34"/>
      <c r="D149" s="34"/>
    </row>
    <row r="150" spans="1:4" ht="20.399999999999999" x14ac:dyDescent="0.3">
      <c r="A150" s="103"/>
      <c r="B150" s="23"/>
      <c r="C150" s="34"/>
      <c r="D150" s="34"/>
    </row>
    <row r="151" spans="1:4" ht="20.399999999999999" x14ac:dyDescent="0.3">
      <c r="A151" s="103"/>
      <c r="B151" s="23"/>
      <c r="C151" s="34"/>
      <c r="D151" s="34"/>
    </row>
    <row r="152" spans="1:4" ht="20.399999999999999" x14ac:dyDescent="0.3">
      <c r="A152" s="103"/>
      <c r="B152" s="23"/>
      <c r="C152" s="34"/>
      <c r="D152" s="34"/>
    </row>
    <row r="153" spans="1:4" ht="20.399999999999999" x14ac:dyDescent="0.3">
      <c r="A153" s="103"/>
      <c r="B153" s="23"/>
      <c r="C153" s="34"/>
      <c r="D153" s="34"/>
    </row>
    <row r="154" spans="1:4" ht="20.399999999999999" x14ac:dyDescent="0.3">
      <c r="A154" s="103"/>
      <c r="B154" s="23"/>
      <c r="C154" s="34"/>
      <c r="D154" s="34"/>
    </row>
    <row r="155" spans="1:4" ht="20.399999999999999" x14ac:dyDescent="0.3">
      <c r="A155" s="103"/>
      <c r="B155" s="23"/>
      <c r="C155" s="34"/>
      <c r="D155" s="34"/>
    </row>
    <row r="156" spans="1:4" ht="20.399999999999999" x14ac:dyDescent="0.3">
      <c r="A156" s="103"/>
      <c r="B156" s="23"/>
      <c r="C156" s="34"/>
      <c r="D156" s="34"/>
    </row>
    <row r="157" spans="1:4" ht="20.399999999999999" x14ac:dyDescent="0.3">
      <c r="A157" s="103"/>
      <c r="B157" s="23"/>
      <c r="C157" s="34"/>
      <c r="D157" s="34"/>
    </row>
    <row r="158" spans="1:4" ht="20.399999999999999" x14ac:dyDescent="0.3">
      <c r="A158" s="103"/>
      <c r="B158" s="23"/>
      <c r="C158" s="34"/>
      <c r="D158" s="34"/>
    </row>
    <row r="159" spans="1:4" ht="20.399999999999999" x14ac:dyDescent="0.3">
      <c r="A159" s="103"/>
      <c r="B159" s="23"/>
      <c r="C159" s="34"/>
      <c r="D159" s="34"/>
    </row>
    <row r="160" spans="1:4" ht="20.399999999999999" x14ac:dyDescent="0.3">
      <c r="A160" s="103"/>
      <c r="B160" s="23"/>
      <c r="C160" s="34"/>
      <c r="D160" s="34"/>
    </row>
    <row r="161" spans="1:4" ht="20.399999999999999" x14ac:dyDescent="0.3">
      <c r="A161" s="103"/>
      <c r="B161" s="23"/>
      <c r="C161" s="34"/>
      <c r="D161" s="34"/>
    </row>
    <row r="162" spans="1:4" ht="20.399999999999999" x14ac:dyDescent="0.3">
      <c r="A162" s="103"/>
      <c r="B162" s="23"/>
      <c r="C162" s="34"/>
      <c r="D162" s="34"/>
    </row>
    <row r="163" spans="1:4" ht="20.399999999999999" x14ac:dyDescent="0.3">
      <c r="A163" s="103"/>
      <c r="B163" s="23"/>
      <c r="C163" s="34"/>
      <c r="D163" s="34"/>
    </row>
    <row r="164" spans="1:4" ht="20.399999999999999" x14ac:dyDescent="0.3">
      <c r="A164" s="103"/>
      <c r="B164" s="23"/>
      <c r="C164" s="34"/>
      <c r="D164" s="34"/>
    </row>
    <row r="165" spans="1:4" ht="20.399999999999999" x14ac:dyDescent="0.3">
      <c r="A165" s="103"/>
      <c r="B165" s="23"/>
      <c r="C165" s="34"/>
      <c r="D165" s="34"/>
    </row>
    <row r="166" spans="1:4" ht="20.399999999999999" x14ac:dyDescent="0.3">
      <c r="A166" s="103"/>
      <c r="B166" s="23"/>
      <c r="C166" s="34"/>
      <c r="D166" s="34"/>
    </row>
    <row r="167" spans="1:4" ht="20.399999999999999" x14ac:dyDescent="0.3">
      <c r="A167" s="103"/>
      <c r="B167" s="23"/>
      <c r="C167" s="34"/>
      <c r="D167" s="34"/>
    </row>
    <row r="168" spans="1:4" ht="20.399999999999999" x14ac:dyDescent="0.3">
      <c r="A168" s="103"/>
      <c r="B168" s="23"/>
      <c r="C168" s="34"/>
      <c r="D168" s="34"/>
    </row>
    <row r="169" spans="1:4" ht="20.399999999999999" x14ac:dyDescent="0.3">
      <c r="A169" s="103"/>
      <c r="B169" s="23"/>
      <c r="C169" s="34"/>
      <c r="D169" s="34"/>
    </row>
    <row r="170" spans="1:4" ht="20.399999999999999" x14ac:dyDescent="0.3">
      <c r="A170" s="103"/>
      <c r="B170" s="23"/>
      <c r="C170" s="34"/>
      <c r="D170" s="34"/>
    </row>
    <row r="171" spans="1:4" ht="20.399999999999999" x14ac:dyDescent="0.3">
      <c r="A171" s="103"/>
      <c r="B171" s="23"/>
      <c r="C171" s="34"/>
      <c r="D171" s="34"/>
    </row>
    <row r="172" spans="1:4" ht="20.399999999999999" x14ac:dyDescent="0.3">
      <c r="A172" s="103"/>
      <c r="B172" s="23"/>
      <c r="C172" s="34"/>
      <c r="D172" s="34"/>
    </row>
    <row r="173" spans="1:4" ht="20.399999999999999" x14ac:dyDescent="0.3">
      <c r="A173" s="103"/>
      <c r="B173" s="23"/>
      <c r="C173" s="34"/>
      <c r="D173" s="34"/>
    </row>
    <row r="174" spans="1:4" ht="20.399999999999999" x14ac:dyDescent="0.3">
      <c r="A174" s="103"/>
      <c r="B174" s="23"/>
      <c r="C174" s="34"/>
      <c r="D174" s="34"/>
    </row>
    <row r="175" spans="1:4" ht="20.399999999999999" x14ac:dyDescent="0.3">
      <c r="A175" s="103"/>
      <c r="B175" s="23"/>
      <c r="C175" s="34"/>
      <c r="D175" s="34"/>
    </row>
    <row r="176" spans="1:4" ht="20.399999999999999" x14ac:dyDescent="0.3">
      <c r="A176" s="103"/>
      <c r="B176" s="23"/>
      <c r="C176" s="34"/>
      <c r="D176" s="34"/>
    </row>
    <row r="177" spans="1:4" ht="20.399999999999999" x14ac:dyDescent="0.3">
      <c r="A177" s="103"/>
      <c r="B177" s="23"/>
      <c r="C177" s="34"/>
      <c r="D177" s="34"/>
    </row>
    <row r="178" spans="1:4" ht="20.399999999999999" x14ac:dyDescent="0.3">
      <c r="A178" s="103"/>
      <c r="B178" s="23"/>
      <c r="C178" s="34"/>
      <c r="D178" s="34"/>
    </row>
    <row r="179" spans="1:4" ht="20.399999999999999" x14ac:dyDescent="0.3">
      <c r="A179" s="103"/>
      <c r="B179" s="23"/>
      <c r="C179" s="34"/>
      <c r="D179" s="34"/>
    </row>
    <row r="180" spans="1:4" ht="20.399999999999999" x14ac:dyDescent="0.3">
      <c r="A180" s="103"/>
      <c r="B180" s="23"/>
      <c r="C180" s="34"/>
      <c r="D180" s="34"/>
    </row>
    <row r="181" spans="1:4" ht="20.399999999999999" x14ac:dyDescent="0.3">
      <c r="A181" s="103"/>
      <c r="B181" s="23"/>
      <c r="C181" s="34"/>
      <c r="D181" s="34"/>
    </row>
    <row r="182" spans="1:4" ht="20.399999999999999" x14ac:dyDescent="0.3">
      <c r="A182" s="103"/>
      <c r="B182" s="23"/>
      <c r="C182" s="34"/>
      <c r="D182" s="34"/>
    </row>
    <row r="183" spans="1:4" ht="20.399999999999999" x14ac:dyDescent="0.3">
      <c r="A183" s="103"/>
      <c r="B183" s="23"/>
      <c r="C183" s="34"/>
      <c r="D183" s="34"/>
    </row>
    <row r="184" spans="1:4" ht="20.399999999999999" x14ac:dyDescent="0.3">
      <c r="A184" s="103"/>
      <c r="B184" s="23"/>
      <c r="C184" s="34"/>
      <c r="D184" s="34"/>
    </row>
    <row r="185" spans="1:4" ht="20.399999999999999" x14ac:dyDescent="0.3">
      <c r="A185" s="103"/>
      <c r="B185" s="23"/>
      <c r="C185" s="34"/>
      <c r="D185" s="34"/>
    </row>
    <row r="186" spans="1:4" ht="20.399999999999999" x14ac:dyDescent="0.3">
      <c r="A186" s="103"/>
      <c r="B186" s="23"/>
      <c r="C186" s="34"/>
      <c r="D186" s="34"/>
    </row>
    <row r="187" spans="1:4" ht="20.399999999999999" x14ac:dyDescent="0.3">
      <c r="A187" s="103"/>
      <c r="B187" s="23"/>
      <c r="C187" s="34"/>
      <c r="D187" s="34"/>
    </row>
    <row r="188" spans="1:4" ht="20.399999999999999" x14ac:dyDescent="0.3">
      <c r="A188" s="103"/>
      <c r="B188" s="23"/>
      <c r="C188" s="34"/>
      <c r="D188" s="34"/>
    </row>
    <row r="189" spans="1:4" ht="20.399999999999999" x14ac:dyDescent="0.3">
      <c r="A189" s="103"/>
      <c r="B189" s="23"/>
      <c r="C189" s="34"/>
      <c r="D189" s="34"/>
    </row>
    <row r="190" spans="1:4" ht="20.399999999999999" x14ac:dyDescent="0.3">
      <c r="A190" s="103"/>
      <c r="B190" s="23"/>
      <c r="C190" s="34"/>
      <c r="D190" s="34"/>
    </row>
    <row r="191" spans="1:4" ht="20.399999999999999" x14ac:dyDescent="0.3">
      <c r="A191" s="103"/>
      <c r="B191" s="23"/>
      <c r="C191" s="34"/>
      <c r="D191" s="34"/>
    </row>
    <row r="192" spans="1:4" ht="20.399999999999999" x14ac:dyDescent="0.3">
      <c r="A192" s="103"/>
      <c r="B192" s="23"/>
      <c r="C192" s="34"/>
      <c r="D192" s="34"/>
    </row>
    <row r="193" spans="1:4" ht="20.399999999999999" x14ac:dyDescent="0.3">
      <c r="A193" s="103"/>
      <c r="B193" s="23"/>
      <c r="C193" s="34"/>
      <c r="D193" s="34"/>
    </row>
    <row r="194" spans="1:4" ht="20.399999999999999" x14ac:dyDescent="0.3">
      <c r="A194" s="103"/>
      <c r="B194" s="23"/>
      <c r="C194" s="34"/>
      <c r="D194" s="34"/>
    </row>
    <row r="195" spans="1:4" ht="20.399999999999999" x14ac:dyDescent="0.3">
      <c r="A195" s="103"/>
      <c r="B195" s="23"/>
      <c r="C195" s="34"/>
      <c r="D195" s="34"/>
    </row>
    <row r="196" spans="1:4" ht="20.399999999999999" x14ac:dyDescent="0.3">
      <c r="A196" s="103"/>
      <c r="B196" s="23"/>
      <c r="C196" s="34"/>
      <c r="D196" s="34"/>
    </row>
    <row r="197" spans="1:4" ht="20.399999999999999" x14ac:dyDescent="0.3">
      <c r="A197" s="103"/>
      <c r="B197" s="23"/>
      <c r="C197" s="34"/>
      <c r="D197" s="34"/>
    </row>
    <row r="198" spans="1:4" ht="20.399999999999999" x14ac:dyDescent="0.3">
      <c r="A198" s="103"/>
      <c r="B198" s="23"/>
      <c r="C198" s="34"/>
      <c r="D198" s="34"/>
    </row>
    <row r="199" spans="1:4" ht="20.399999999999999" x14ac:dyDescent="0.3">
      <c r="A199" s="103"/>
      <c r="B199" s="23"/>
      <c r="C199" s="34"/>
      <c r="D199" s="34"/>
    </row>
    <row r="200" spans="1:4" ht="20.399999999999999" x14ac:dyDescent="0.3">
      <c r="A200" s="103"/>
      <c r="B200" s="23"/>
      <c r="C200" s="34"/>
      <c r="D200" s="34"/>
    </row>
    <row r="201" spans="1:4" ht="20.399999999999999" x14ac:dyDescent="0.3">
      <c r="A201" s="103"/>
      <c r="B201" s="23"/>
      <c r="C201" s="34"/>
      <c r="D201" s="34"/>
    </row>
    <row r="202" spans="1:4" ht="20.399999999999999" x14ac:dyDescent="0.3">
      <c r="A202" s="103"/>
      <c r="B202" s="23"/>
      <c r="C202" s="34"/>
      <c r="D202" s="34"/>
    </row>
    <row r="203" spans="1:4" ht="20.399999999999999" x14ac:dyDescent="0.3">
      <c r="A203" s="103"/>
      <c r="B203" s="23"/>
      <c r="C203" s="34"/>
      <c r="D203" s="34"/>
    </row>
    <row r="204" spans="1:4" ht="20.399999999999999" x14ac:dyDescent="0.3">
      <c r="A204" s="103"/>
      <c r="B204" s="23"/>
      <c r="C204" s="34"/>
      <c r="D204" s="34"/>
    </row>
    <row r="205" spans="1:4" ht="20.399999999999999" x14ac:dyDescent="0.3">
      <c r="A205" s="103"/>
      <c r="B205" s="23"/>
      <c r="C205" s="34"/>
      <c r="D205" s="34"/>
    </row>
    <row r="206" spans="1:4" ht="20.399999999999999" x14ac:dyDescent="0.3">
      <c r="A206" s="103"/>
      <c r="B206" s="23"/>
      <c r="C206" s="34"/>
      <c r="D206" s="34"/>
    </row>
    <row r="207" spans="1:4" ht="20.399999999999999" x14ac:dyDescent="0.3">
      <c r="A207" s="103"/>
      <c r="B207" s="23"/>
      <c r="C207" s="34"/>
      <c r="D207" s="34"/>
    </row>
    <row r="208" spans="1:4" x14ac:dyDescent="0.3">
      <c r="A208" s="83"/>
      <c r="B208" s="23"/>
      <c r="C208" s="23"/>
      <c r="D208" s="23"/>
    </row>
    <row r="209" spans="1:8" ht="20.399999999999999" x14ac:dyDescent="0.3">
      <c r="A209" s="83"/>
      <c r="B209" s="30" t="s">
        <v>88</v>
      </c>
      <c r="C209" s="30" t="s">
        <v>145</v>
      </c>
      <c r="D209" s="33" t="s">
        <v>88</v>
      </c>
      <c r="E209" s="33" t="s">
        <v>145</v>
      </c>
    </row>
    <row r="210" spans="1:8" ht="21" x14ac:dyDescent="0.4">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4">
      <c r="A211" s="83"/>
      <c r="B211" s="31" t="s">
        <v>90</v>
      </c>
      <c r="C211" s="31" t="s">
        <v>93</v>
      </c>
      <c r="E211" t="s">
        <v>58</v>
      </c>
      <c r="F211" t="str">
        <f t="shared" ref="F211:F221" si="0">IF(NOT(ISBLANK(D211)),D211,IF(NOT(ISBLANK(E211)),"     "&amp;E211,FALSE))</f>
        <v xml:space="preserve">     Afectación menor a 10 SMLMV .</v>
      </c>
    </row>
    <row r="212" spans="1:8" ht="21" x14ac:dyDescent="0.4">
      <c r="A212" s="83"/>
      <c r="B212" s="31" t="s">
        <v>90</v>
      </c>
      <c r="C212" s="31" t="s">
        <v>94</v>
      </c>
      <c r="E212" t="s">
        <v>93</v>
      </c>
      <c r="F212" t="str">
        <f t="shared" si="0"/>
        <v xml:space="preserve">     Entre 10 y 50 SMLMV </v>
      </c>
    </row>
    <row r="213" spans="1:8" ht="21" x14ac:dyDescent="0.4">
      <c r="A213" s="83"/>
      <c r="B213" s="31" t="s">
        <v>90</v>
      </c>
      <c r="C213" s="31" t="s">
        <v>95</v>
      </c>
      <c r="E213" t="s">
        <v>94</v>
      </c>
      <c r="F213" t="str">
        <f t="shared" si="0"/>
        <v xml:space="preserve">     Entre 50 y 100 SMLMV </v>
      </c>
    </row>
    <row r="214" spans="1:8" ht="21" x14ac:dyDescent="0.4">
      <c r="A214" s="83"/>
      <c r="B214" s="31" t="s">
        <v>90</v>
      </c>
      <c r="C214" s="31" t="s">
        <v>96</v>
      </c>
      <c r="E214" t="s">
        <v>95</v>
      </c>
      <c r="F214" t="str">
        <f t="shared" si="0"/>
        <v xml:space="preserve">     Entre 100 y 500 SMLMV </v>
      </c>
    </row>
    <row r="215" spans="1:8" ht="21" x14ac:dyDescent="0.4">
      <c r="A215" s="83"/>
      <c r="B215" s="31" t="s">
        <v>57</v>
      </c>
      <c r="C215" s="31" t="s">
        <v>97</v>
      </c>
      <c r="E215" t="s">
        <v>96</v>
      </c>
      <c r="F215" t="str">
        <f t="shared" si="0"/>
        <v xml:space="preserve">     Mayor a 500 SMLMV </v>
      </c>
    </row>
    <row r="216" spans="1:8" ht="21" x14ac:dyDescent="0.4">
      <c r="A216" s="83"/>
      <c r="B216" s="31" t="s">
        <v>57</v>
      </c>
      <c r="C216" s="31" t="s">
        <v>98</v>
      </c>
      <c r="D216" t="s">
        <v>57</v>
      </c>
      <c r="F216" t="str">
        <f t="shared" si="0"/>
        <v>Pérdida Reputacional</v>
      </c>
    </row>
    <row r="217" spans="1:8" ht="21" x14ac:dyDescent="0.4">
      <c r="A217" s="83"/>
      <c r="B217" s="31" t="s">
        <v>57</v>
      </c>
      <c r="C217" s="31" t="s">
        <v>100</v>
      </c>
      <c r="E217" t="s">
        <v>97</v>
      </c>
      <c r="F217" t="str">
        <f t="shared" si="0"/>
        <v xml:space="preserve">     El riesgo afecta la imagen de alguna área de la organización</v>
      </c>
    </row>
    <row r="218" spans="1:8" ht="21" x14ac:dyDescent="0.4">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4">
      <c r="A219" s="83"/>
      <c r="B219" s="31" t="s">
        <v>57</v>
      </c>
      <c r="C219" s="31" t="s">
        <v>118</v>
      </c>
      <c r="E219" t="s">
        <v>100</v>
      </c>
      <c r="F219" t="str">
        <f t="shared" si="0"/>
        <v xml:space="preserve">     El riesgo afecta la imagen de la entidad con algunos usuarios de relevancia frente al logro de los objetivos</v>
      </c>
    </row>
    <row r="220" spans="1:8" x14ac:dyDescent="0.3">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3">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3">
      <c r="A222" s="83"/>
      <c r="B222" s="32" t="e">
        <f ca="1"/>
        <v>#NAME?</v>
      </c>
      <c r="C222" s="32"/>
    </row>
    <row r="223" spans="1:8" x14ac:dyDescent="0.3">
      <c r="B223" s="32" t="e">
        <f ca="1"/>
        <v>#NAME?</v>
      </c>
      <c r="C223" s="32"/>
      <c r="F223" s="35" t="s">
        <v>147</v>
      </c>
    </row>
    <row r="224" spans="1:8" x14ac:dyDescent="0.3">
      <c r="B224" s="22"/>
      <c r="C224" s="22"/>
      <c r="F224" s="35" t="s">
        <v>148</v>
      </c>
    </row>
    <row r="225" spans="2:4" x14ac:dyDescent="0.3">
      <c r="B225" s="22"/>
      <c r="C225" s="22"/>
    </row>
    <row r="226" spans="2:4" x14ac:dyDescent="0.3">
      <c r="B226" s="22"/>
      <c r="C226" s="22"/>
    </row>
    <row r="227" spans="2:4" x14ac:dyDescent="0.3">
      <c r="B227" s="22"/>
      <c r="C227" s="22"/>
      <c r="D227" s="22"/>
    </row>
    <row r="228" spans="2:4" x14ac:dyDescent="0.3">
      <c r="B228" s="22"/>
      <c r="C228" s="22"/>
      <c r="D228" s="22"/>
    </row>
    <row r="229" spans="2:4" x14ac:dyDescent="0.3">
      <c r="B229" s="22"/>
      <c r="C229" s="22"/>
      <c r="D229" s="22"/>
    </row>
    <row r="230" spans="2:4" x14ac:dyDescent="0.3">
      <c r="B230" s="22"/>
      <c r="C230" s="22"/>
      <c r="D230" s="22"/>
    </row>
    <row r="231" spans="2:4" x14ac:dyDescent="0.3">
      <c r="B231" s="22"/>
      <c r="C231" s="22"/>
      <c r="D231" s="22"/>
    </row>
    <row r="232" spans="2:4" x14ac:dyDescent="0.3">
      <c r="B232" s="22"/>
      <c r="C232" s="22"/>
      <c r="D232" s="22"/>
    </row>
  </sheetData>
  <mergeCells count="1">
    <mergeCell ref="B1:D1"/>
  </mergeCells>
  <dataValidations disablePrompts="1" count="1">
    <dataValidation type="list" allowBlank="1" showInputMessage="1" showErrorMessage="1" sqref="G210" xr:uid="{00000000-0002-0000-0100-000000000000}">
      <formula1>$F$210:$F$221</formula1>
    </dataValidation>
  </dataValidation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R67"/>
  <sheetViews>
    <sheetView tabSelected="1" topLeftCell="Y1" zoomScale="90" zoomScaleNormal="90" workbookViewId="0">
      <pane ySplit="1" topLeftCell="A6" activePane="bottomLeft" state="frozen"/>
      <selection pane="bottomLeft" activeCell="AM6" sqref="AM6"/>
    </sheetView>
  </sheetViews>
  <sheetFormatPr baseColWidth="10" defaultColWidth="11.44140625" defaultRowHeight="13.8" x14ac:dyDescent="0.25"/>
  <cols>
    <col min="1" max="1" width="4" style="2" bestFit="1" customWidth="1"/>
    <col min="2" max="2" width="14.109375" style="2" customWidth="1"/>
    <col min="3" max="3" width="24.88671875" style="2" customWidth="1"/>
    <col min="4" max="4" width="22.33203125" style="2" customWidth="1"/>
    <col min="5" max="5" width="30.33203125" style="2" customWidth="1"/>
    <col min="6" max="6" width="35" style="1" customWidth="1"/>
    <col min="7" max="7" width="38.33203125" style="1" customWidth="1"/>
    <col min="8" max="8" width="38.33203125" style="5" customWidth="1"/>
    <col min="9" max="9" width="14.33203125" style="1" customWidth="1"/>
    <col min="10" max="10" width="12" style="1" customWidth="1"/>
    <col min="11" max="11" width="6.33203125" style="1" bestFit="1" customWidth="1"/>
    <col min="12" max="12" width="21.44140625" style="1" customWidth="1"/>
    <col min="13" max="13" width="13.5546875" style="1" hidden="1" customWidth="1"/>
    <col min="14" max="14" width="17.5546875" style="1" customWidth="1"/>
    <col min="15" max="15" width="6.33203125" style="1" bestFit="1" customWidth="1"/>
    <col min="16" max="16" width="16" style="1" customWidth="1"/>
    <col min="17" max="17" width="5.88671875" style="5" customWidth="1"/>
    <col min="18" max="18" width="64.8867187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7.5546875" style="1" customWidth="1"/>
    <col min="26" max="26" width="38.33203125" style="1" hidden="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5.44140625" style="1" customWidth="1"/>
    <col min="34" max="34" width="18.88671875" style="1" customWidth="1"/>
    <col min="35" max="35" width="16.88671875" style="1" customWidth="1"/>
    <col min="36" max="36" width="14.88671875" style="1" customWidth="1"/>
    <col min="37" max="37" width="18.5546875" style="1" customWidth="1"/>
    <col min="38" max="39" width="21" style="1" customWidth="1"/>
    <col min="40" max="16384" width="11.44140625" style="1"/>
  </cols>
  <sheetData>
    <row r="1" spans="1:70" ht="16.5" customHeight="1" x14ac:dyDescent="0.25">
      <c r="A1" s="264" t="s">
        <v>144</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6"/>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25">
      <c r="A2" s="28"/>
      <c r="B2" s="29"/>
      <c r="C2" s="28"/>
      <c r="D2" s="28"/>
      <c r="E2" s="28"/>
      <c r="F2" s="8"/>
      <c r="G2" s="8"/>
      <c r="H2" s="27"/>
      <c r="I2" s="8"/>
      <c r="J2" s="8"/>
      <c r="K2" s="8"/>
      <c r="L2" s="8"/>
      <c r="M2" s="8"/>
      <c r="N2" s="8"/>
      <c r="O2" s="8"/>
      <c r="P2" s="8"/>
      <c r="Q2" s="27"/>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26.25" customHeight="1" x14ac:dyDescent="0.25">
      <c r="A3" s="180" t="s">
        <v>43</v>
      </c>
      <c r="B3" s="181"/>
      <c r="C3" s="177" t="s">
        <v>220</v>
      </c>
      <c r="D3" s="178"/>
      <c r="E3" s="178"/>
      <c r="F3" s="178"/>
      <c r="G3" s="178"/>
      <c r="H3" s="178"/>
      <c r="I3" s="178"/>
      <c r="J3" s="178"/>
      <c r="K3" s="178"/>
      <c r="L3" s="178"/>
      <c r="M3" s="178"/>
      <c r="N3" s="178"/>
      <c r="O3" s="178"/>
      <c r="P3" s="179"/>
      <c r="Q3" s="26"/>
      <c r="R3" s="26"/>
      <c r="S3" s="26"/>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53.25" customHeight="1" x14ac:dyDescent="0.25">
      <c r="A4" s="308" t="s">
        <v>130</v>
      </c>
      <c r="B4" s="309"/>
      <c r="C4" s="316" t="s">
        <v>221</v>
      </c>
      <c r="D4" s="317"/>
      <c r="E4" s="317"/>
      <c r="F4" s="317"/>
      <c r="G4" s="317"/>
      <c r="H4" s="317"/>
      <c r="I4" s="317"/>
      <c r="J4" s="317"/>
      <c r="K4" s="317"/>
      <c r="L4" s="317"/>
      <c r="M4" s="317"/>
      <c r="N4" s="317"/>
      <c r="O4" s="317"/>
      <c r="P4" s="318"/>
      <c r="Q4" s="2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49.5" customHeight="1" x14ac:dyDescent="0.25">
      <c r="A5" s="308" t="s">
        <v>44</v>
      </c>
      <c r="B5" s="309"/>
      <c r="C5" s="316" t="s">
        <v>219</v>
      </c>
      <c r="D5" s="317"/>
      <c r="E5" s="317"/>
      <c r="F5" s="317"/>
      <c r="G5" s="317"/>
      <c r="H5" s="317"/>
      <c r="I5" s="317"/>
      <c r="J5" s="317"/>
      <c r="K5" s="317"/>
      <c r="L5" s="317"/>
      <c r="M5" s="317"/>
      <c r="N5" s="317"/>
      <c r="O5" s="317"/>
      <c r="P5" s="318"/>
      <c r="Q5" s="27"/>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x14ac:dyDescent="0.25">
      <c r="A6" s="267" t="s">
        <v>139</v>
      </c>
      <c r="B6" s="268"/>
      <c r="C6" s="268"/>
      <c r="D6" s="268"/>
      <c r="E6" s="268"/>
      <c r="F6" s="268"/>
      <c r="G6" s="268"/>
      <c r="H6" s="268"/>
      <c r="I6" s="269"/>
      <c r="J6" s="267" t="s">
        <v>140</v>
      </c>
      <c r="K6" s="268"/>
      <c r="L6" s="268"/>
      <c r="M6" s="268"/>
      <c r="N6" s="268"/>
      <c r="O6" s="268"/>
      <c r="P6" s="269"/>
      <c r="Q6" s="267" t="s">
        <v>141</v>
      </c>
      <c r="R6" s="268"/>
      <c r="S6" s="268"/>
      <c r="T6" s="268"/>
      <c r="U6" s="268"/>
      <c r="V6" s="268"/>
      <c r="W6" s="268"/>
      <c r="X6" s="268"/>
      <c r="Y6" s="269"/>
      <c r="Z6" s="267" t="s">
        <v>142</v>
      </c>
      <c r="AA6" s="268"/>
      <c r="AB6" s="268"/>
      <c r="AC6" s="268"/>
      <c r="AD6" s="268"/>
      <c r="AE6" s="268"/>
      <c r="AF6" s="269"/>
      <c r="AG6" s="267" t="s">
        <v>34</v>
      </c>
      <c r="AH6" s="268"/>
      <c r="AI6" s="268"/>
      <c r="AJ6" s="268"/>
      <c r="AK6" s="268"/>
      <c r="AL6" s="269"/>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16.5" customHeight="1" x14ac:dyDescent="0.25">
      <c r="A7" s="310" t="s">
        <v>0</v>
      </c>
      <c r="B7" s="277" t="s">
        <v>2</v>
      </c>
      <c r="C7" s="271" t="s">
        <v>3</v>
      </c>
      <c r="D7" s="271" t="s">
        <v>42</v>
      </c>
      <c r="E7" s="312" t="s">
        <v>214</v>
      </c>
      <c r="F7" s="313" t="s">
        <v>1</v>
      </c>
      <c r="G7" s="145"/>
      <c r="H7" s="312" t="s">
        <v>50</v>
      </c>
      <c r="I7" s="271" t="s">
        <v>135</v>
      </c>
      <c r="J7" s="273" t="s">
        <v>33</v>
      </c>
      <c r="K7" s="274" t="s">
        <v>5</v>
      </c>
      <c r="L7" s="312" t="s">
        <v>87</v>
      </c>
      <c r="M7" s="312" t="s">
        <v>92</v>
      </c>
      <c r="N7" s="276" t="s">
        <v>45</v>
      </c>
      <c r="O7" s="274" t="s">
        <v>5</v>
      </c>
      <c r="P7" s="271" t="s">
        <v>48</v>
      </c>
      <c r="Q7" s="314" t="s">
        <v>11</v>
      </c>
      <c r="R7" s="272" t="s">
        <v>163</v>
      </c>
      <c r="S7" s="312" t="s">
        <v>12</v>
      </c>
      <c r="T7" s="272" t="s">
        <v>8</v>
      </c>
      <c r="U7" s="272"/>
      <c r="V7" s="272"/>
      <c r="W7" s="272"/>
      <c r="X7" s="272"/>
      <c r="Y7" s="272"/>
      <c r="Z7" s="270" t="s">
        <v>138</v>
      </c>
      <c r="AA7" s="270" t="s">
        <v>46</v>
      </c>
      <c r="AB7" s="270" t="s">
        <v>5</v>
      </c>
      <c r="AC7" s="270" t="s">
        <v>47</v>
      </c>
      <c r="AD7" s="270" t="s">
        <v>5</v>
      </c>
      <c r="AE7" s="270" t="s">
        <v>49</v>
      </c>
      <c r="AF7" s="314" t="s">
        <v>29</v>
      </c>
      <c r="AG7" s="272" t="s">
        <v>34</v>
      </c>
      <c r="AH7" s="272" t="s">
        <v>35</v>
      </c>
      <c r="AI7" s="272" t="s">
        <v>36</v>
      </c>
      <c r="AJ7" s="272" t="s">
        <v>38</v>
      </c>
      <c r="AK7" s="272" t="s">
        <v>37</v>
      </c>
      <c r="AL7" s="272" t="s">
        <v>39</v>
      </c>
      <c r="AM7" s="230" t="s">
        <v>249</v>
      </c>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s="4" customFormat="1" ht="94.5" customHeight="1" x14ac:dyDescent="0.3">
      <c r="A8" s="311"/>
      <c r="B8" s="277"/>
      <c r="C8" s="272"/>
      <c r="D8" s="272"/>
      <c r="E8" s="271"/>
      <c r="F8" s="277"/>
      <c r="G8" s="138" t="s">
        <v>215</v>
      </c>
      <c r="H8" s="271"/>
      <c r="I8" s="272"/>
      <c r="J8" s="271"/>
      <c r="K8" s="275"/>
      <c r="L8" s="271"/>
      <c r="M8" s="271"/>
      <c r="N8" s="275"/>
      <c r="O8" s="275"/>
      <c r="P8" s="272"/>
      <c r="Q8" s="315"/>
      <c r="R8" s="272"/>
      <c r="S8" s="271"/>
      <c r="T8" s="7" t="s">
        <v>13</v>
      </c>
      <c r="U8" s="7" t="s">
        <v>17</v>
      </c>
      <c r="V8" s="7" t="s">
        <v>28</v>
      </c>
      <c r="W8" s="7" t="s">
        <v>18</v>
      </c>
      <c r="X8" s="7" t="s">
        <v>21</v>
      </c>
      <c r="Y8" s="7" t="s">
        <v>24</v>
      </c>
      <c r="Z8" s="270"/>
      <c r="AA8" s="270"/>
      <c r="AB8" s="270"/>
      <c r="AC8" s="270"/>
      <c r="AD8" s="270"/>
      <c r="AE8" s="270"/>
      <c r="AF8" s="315"/>
      <c r="AG8" s="272"/>
      <c r="AH8" s="272"/>
      <c r="AI8" s="272"/>
      <c r="AJ8" s="272"/>
      <c r="AK8" s="272"/>
      <c r="AL8" s="272"/>
      <c r="AM8" s="230"/>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row>
    <row r="9" spans="1:70" s="3" customFormat="1" ht="93.6" x14ac:dyDescent="0.3">
      <c r="A9" s="319">
        <v>1</v>
      </c>
      <c r="B9" s="321" t="s">
        <v>134</v>
      </c>
      <c r="C9" s="323" t="s">
        <v>222</v>
      </c>
      <c r="D9" s="323" t="s">
        <v>224</v>
      </c>
      <c r="E9" s="186" t="s">
        <v>223</v>
      </c>
      <c r="F9" s="325" t="s">
        <v>225</v>
      </c>
      <c r="G9" s="327" t="s">
        <v>226</v>
      </c>
      <c r="H9" s="231" t="s">
        <v>123</v>
      </c>
      <c r="I9" s="261">
        <v>5</v>
      </c>
      <c r="J9" s="255" t="str">
        <f>IF(I9&lt;=0,"",IF(I9&lt;=2,"Muy Baja",IF(I9&lt;=24,"Baja",IF(I9&lt;=500,"Media",IF(I9&lt;=5000,"Alta","Muy Alta")))))</f>
        <v>Baja</v>
      </c>
      <c r="K9" s="251">
        <f>IF(J9="","",IF(J9="Muy Baja",0.2,IF(J9="Baja",0.4,IF(J9="Media",0.6,IF(J9="Alta",0.8,IF(J9="Muy Alta",1,))))))</f>
        <v>0.4</v>
      </c>
      <c r="L9" s="253" t="s">
        <v>155</v>
      </c>
      <c r="M9" s="251" t="str">
        <f ca="1">IF(NOT(ISERROR(MATCH(L9,'Tabla Impacto'!$B$221:$B$223,0))),'Tabla Impacto'!$F$223&amp;"Por favor no seleccionar los criterios de impacto(Afectación Económica o presupuestal y Pérdida Reputacional)",L9)</f>
        <v xml:space="preserve">     El riesgo afecta la imagen de la entidad con algunos usuarios de relevancia frente al logro de los objetivos</v>
      </c>
      <c r="N9" s="255" t="str">
        <f ca="1">IF(OR(M9='Tabla Impacto'!$C$11,M9='Tabla Impacto'!$D$11),"Leve",IF(OR(M9='Tabla Impacto'!$C$12,M9='Tabla Impacto'!$D$12),"Menor",IF(OR(M9='Tabla Impacto'!$C$13,M9='Tabla Impacto'!$D$13),"Moderado",IF(OR(M9='Tabla Impacto'!$C$14,M9='Tabla Impacto'!$D$14),"Mayor",IF(OR(M9='Tabla Impacto'!$C$15,M9='Tabla Impacto'!$D$15),"Catastrófico","")))))</f>
        <v>Moderado</v>
      </c>
      <c r="O9" s="251">
        <f ca="1">IF(N9="","",IF(N9="Leve",0.2,IF(N9="Menor",0.4,IF(N9="Moderado",0.6,IF(N9="Mayor",0.8,IF(N9="Catastrófico",1,))))))</f>
        <v>0.6</v>
      </c>
      <c r="P9" s="278" t="str">
        <f ca="1">IF(OR(AND(J9="Muy Baja",N9="Leve"),AND(J9="Muy Baja",N9="Menor"),AND(J9="Baja",N9="Leve")),"Bajo",IF(OR(AND(J9="Muy baja",N9="Moderado"),AND(J9="Baja",N9="Menor"),AND(J9="Baja",N9="Moderado"),AND(J9="Media",N9="Leve"),AND(J9="Media",N9="Menor"),AND(J9="Media",N9="Moderado"),AND(J9="Alta",N9="Leve"),AND(J9="Alta",N9="Menor")),"Moderado",IF(OR(AND(J9="Muy Baja",N9="Mayor"),AND(J9="Baja",N9="Mayor"),AND(J9="Media",N9="Mayor"),AND(J9="Alta",N9="Moderado"),AND(J9="Alta",N9="Mayor"),AND(J9="Muy Alta",N9="Leve"),AND(J9="Muy Alta",N9="Menor"),AND(J9="Muy Alta",N9="Moderado"),AND(J9="Muy Alta",N9="Mayor")),"Alto",IF(OR(AND(J9="Muy Baja",N9="Catastrófico"),AND(J9="Baja",N9="Catastrófico"),AND(J9="Media",N9="Catastrófico"),AND(J9="Alta",N9="Catastrófico"),AND(J9="Muy Alta",N9="Catastrófico")),"Extremo",""))))</f>
        <v>Moderado</v>
      </c>
      <c r="Q9" s="123">
        <v>1</v>
      </c>
      <c r="R9" s="188" t="s">
        <v>227</v>
      </c>
      <c r="S9" s="148" t="str">
        <f>IF(OR(T9="Preventivo",T9="Detectivo"),"Probabilidad",IF(T9="Correctivo","Impacto",""))</f>
        <v>Probabilidad</v>
      </c>
      <c r="T9" s="147" t="s">
        <v>15</v>
      </c>
      <c r="U9" s="147" t="s">
        <v>9</v>
      </c>
      <c r="V9" s="149" t="str">
        <f>IF(AND(T9="Preventivo",U9="Automático"),"50%",IF(AND(T9="Preventivo",U9="Manual"),"40%",IF(AND(T9="Detectivo",U9="Automático"),"40%",IF(AND(T9="Detectivo",U9="Manual"),"30%",IF(AND(T9="Correctivo",U9="Automático"),"35%",IF(AND(T9="Correctivo",U9="Manual"),"25%",""))))))</f>
        <v>30%</v>
      </c>
      <c r="W9" s="147" t="s">
        <v>20</v>
      </c>
      <c r="X9" s="147" t="s">
        <v>22</v>
      </c>
      <c r="Y9" s="183" t="s">
        <v>119</v>
      </c>
      <c r="Z9" s="127">
        <f>IFERROR(IF(S9="Probabilidad",(K9-(+K9*V9)),IF(S9="Impacto",K9,"")),"")</f>
        <v>0.28000000000000003</v>
      </c>
      <c r="AA9" s="182" t="str">
        <f>IFERROR(IF(Z9="","",IF(Z9&lt;=0.2,"Muy Baja",IF(Z9&lt;=0.4,"Baja",IF(Z9&lt;=0.6,"Media",IF(Z9&lt;=0.8,"Alta","Muy Alta"))))),"")</f>
        <v>Baja</v>
      </c>
      <c r="AB9" s="173">
        <f>+Z9</f>
        <v>0.28000000000000003</v>
      </c>
      <c r="AC9" s="182" t="str">
        <f ca="1">IFERROR(IF(AD9="","",IF(AD9&lt;=0.2,"Leve",IF(AD9&lt;=0.4,"Menor",IF(AD9&lt;=0.6,"Moderado",IF(AD9&lt;=0.8,"Mayor","Catastrófico"))))),"")</f>
        <v>Moderado</v>
      </c>
      <c r="AD9" s="173">
        <f ca="1">IFERROR(IF(S9="Impacto",(O9-(+O9*V9)),IF(S9="Probabilidad",O9,"")),"")</f>
        <v>0.6</v>
      </c>
      <c r="AE9" s="182" t="str">
        <f ca="1">IFERROR(IF(OR(AND(AA9="Muy Baja",AC9="Leve"),AND(AA9="Muy Baja",AC9="Menor"),AND(AA9="Baja",AC9="Leve")),"Bajo",IF(OR(AND(AA9="Muy baja",AC9="Moderado"),AND(AA9="Baja",AC9="Menor"),AND(AA9="Baja",AC9="Moderado"),AND(AA9="Media",AC9="Leve"),AND(AA9="Media",AC9="Menor"),AND(AA9="Media",AC9="Moderado"),AND(AA9="Alta",AC9="Leve"),AND(AA9="Alta",AC9="Menor")),"Moderado",IF(OR(AND(AA9="Muy Baja",AC9="Mayor"),AND(AA9="Baja",AC9="Mayor"),AND(AA9="Media",AC9="Mayor"),AND(AA9="Alta",AC9="Moderado"),AND(AA9="Alta",AC9="Mayor"),AND(AA9="Muy Alta",AC9="Leve"),AND(AA9="Muy Alta",AC9="Menor"),AND(AA9="Muy Alta",AC9="Moderado"),AND(AA9="Muy Alta",AC9="Mayor")),"Alto",IF(OR(AND(AA9="Muy Baja",AC9="Catastrófico"),AND(AA9="Baja",AC9="Catastrófico"),AND(AA9="Media",AC9="Catastrófico"),AND(AA9="Alta",AC9="Catastrófico"),AND(AA9="Muy Alta",AC9="Catastrófico")),"Extremo","")))),"")</f>
        <v>Moderado</v>
      </c>
      <c r="AF9" s="184" t="s">
        <v>136</v>
      </c>
      <c r="AG9" s="189" t="s">
        <v>229</v>
      </c>
      <c r="AH9" s="231" t="s">
        <v>242</v>
      </c>
      <c r="AI9" s="260" t="s">
        <v>218</v>
      </c>
      <c r="AJ9" s="260" t="s">
        <v>217</v>
      </c>
      <c r="AK9" s="231" t="s">
        <v>231</v>
      </c>
      <c r="AL9" s="231" t="s">
        <v>41</v>
      </c>
      <c r="AM9" s="231" t="s">
        <v>251</v>
      </c>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row>
    <row r="10" spans="1:70" ht="89.25" customHeight="1" x14ac:dyDescent="0.25">
      <c r="A10" s="320"/>
      <c r="B10" s="322"/>
      <c r="C10" s="324"/>
      <c r="D10" s="324"/>
      <c r="E10" s="330" t="s">
        <v>216</v>
      </c>
      <c r="F10" s="326"/>
      <c r="G10" s="328"/>
      <c r="H10" s="232"/>
      <c r="I10" s="262"/>
      <c r="J10" s="256"/>
      <c r="K10" s="252"/>
      <c r="L10" s="254"/>
      <c r="M10" s="252">
        <f ca="1">IF(NOT(ISERROR(MATCH(L10,_xlfn.ANCHORARRAY(F17),0))),K19&amp;"Por favor no seleccionar los criterios de impacto",L10)</f>
        <v>0</v>
      </c>
      <c r="N10" s="256"/>
      <c r="O10" s="252"/>
      <c r="P10" s="279"/>
      <c r="Q10" s="283">
        <v>2</v>
      </c>
      <c r="R10" s="348" t="s">
        <v>228</v>
      </c>
      <c r="S10" s="381" t="str">
        <f>IF(OR(T10="Preventivo",T10="Detectivo"),"Probabilidad",IF(T10="Correctivo","Impacto",""))</f>
        <v>Probabilidad</v>
      </c>
      <c r="T10" s="342" t="s">
        <v>14</v>
      </c>
      <c r="U10" s="342" t="s">
        <v>9</v>
      </c>
      <c r="V10" s="251" t="str">
        <f t="shared" ref="V10" si="0">IF(AND(T10="Preventivo",U10="Automático"),"50%",IF(AND(T10="Preventivo",U10="Manual"),"40%",IF(AND(T10="Detectivo",U10="Automático"),"40%",IF(AND(T10="Detectivo",U10="Manual"),"30%",IF(AND(T10="Correctivo",U10="Automático"),"35%",IF(AND(T10="Correctivo",U10="Manual"),"25%",""))))))</f>
        <v>40%</v>
      </c>
      <c r="W10" s="342" t="s">
        <v>20</v>
      </c>
      <c r="X10" s="342" t="s">
        <v>22</v>
      </c>
      <c r="Y10" s="364" t="s">
        <v>119</v>
      </c>
      <c r="Z10" s="127">
        <f>IFERROR(IF(AND(S9="Probabilidad",S10="Probabilidad"),(AB9-(+AB9*V10)),IF(AND(S9="Impacto",S10="Probabilidad"),(AB8-(+AB8*V10)),IF(S10="Impacto",AB9,""))),"")</f>
        <v>0.16800000000000001</v>
      </c>
      <c r="AA10" s="367" t="str">
        <f t="shared" ref="AA10" si="1">IFERROR(IF(Z10="","",IF(Z10&lt;=0.2,"Muy Baja",IF(Z10&lt;=0.4,"Baja",IF(Z10&lt;=0.6,"Media",IF(Z10&lt;=0.8,"Alta","Muy Alta"))))),"")</f>
        <v>Muy Baja</v>
      </c>
      <c r="AB10" s="370">
        <f t="shared" ref="AB10" si="2">+Z10</f>
        <v>0.16800000000000001</v>
      </c>
      <c r="AC10" s="367" t="str">
        <f t="shared" ref="AC10" ca="1" si="3">IFERROR(IF(AD10="","",IF(AD10&lt;=0.2,"Leve",IF(AD10&lt;=0.4,"Menor",IF(AD10&lt;=0.6,"Moderado",IF(AD10&lt;=0.8,"Mayor","Catastrófico"))))),"")</f>
        <v>Moderado</v>
      </c>
      <c r="AD10" s="370">
        <f ca="1">IFERROR(IF(AND(S9="Impacto",S10="Impacto"),(AD9-(+AD9*V10)),IF(AND(S9="Probabilidad",S10="Impacto"),(AD8-(+AD8*V10)),IF(S10="Probabilidad",AD9,""))),"")</f>
        <v>0.6</v>
      </c>
      <c r="AE10" s="373" t="str">
        <f t="shared" ref="AE10" ca="1" si="4">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376" t="s">
        <v>136</v>
      </c>
      <c r="AG10" s="322" t="s">
        <v>230</v>
      </c>
      <c r="AH10" s="232"/>
      <c r="AI10" s="232"/>
      <c r="AJ10" s="232"/>
      <c r="AK10" s="232"/>
      <c r="AL10" s="232"/>
      <c r="AM10" s="232"/>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row>
    <row r="11" spans="1:70" ht="51.75" customHeight="1" x14ac:dyDescent="0.25">
      <c r="A11" s="320"/>
      <c r="B11" s="322"/>
      <c r="C11" s="324"/>
      <c r="D11" s="324"/>
      <c r="E11" s="330"/>
      <c r="F11" s="326"/>
      <c r="G11" s="328"/>
      <c r="H11" s="232"/>
      <c r="I11" s="262"/>
      <c r="J11" s="256"/>
      <c r="K11" s="252"/>
      <c r="L11" s="254"/>
      <c r="M11" s="252">
        <f ca="1">IF(NOT(ISERROR(MATCH(L11,_xlfn.ANCHORARRAY(F18),0))),K20&amp;"Por favor no seleccionar los criterios de impacto",L11)</f>
        <v>0</v>
      </c>
      <c r="N11" s="256"/>
      <c r="O11" s="252"/>
      <c r="P11" s="279"/>
      <c r="Q11" s="284"/>
      <c r="R11" s="330"/>
      <c r="S11" s="382"/>
      <c r="T11" s="343"/>
      <c r="U11" s="343"/>
      <c r="V11" s="252"/>
      <c r="W11" s="343"/>
      <c r="X11" s="343"/>
      <c r="Y11" s="365"/>
      <c r="Z11" s="127" t="str">
        <f>IFERROR(IF(AND(S10="Probabilidad",S11="Probabilidad"),(AB10-(+AB10*V11)),IF(AND(S10="Impacto",S11="Probabilidad"),(AB9-(+AB9*V11)),IF(S11="Impacto",AB10,""))),"")</f>
        <v/>
      </c>
      <c r="AA11" s="368"/>
      <c r="AB11" s="371"/>
      <c r="AC11" s="368"/>
      <c r="AD11" s="371"/>
      <c r="AE11" s="374"/>
      <c r="AF11" s="377"/>
      <c r="AG11" s="322"/>
      <c r="AH11" s="232"/>
      <c r="AI11" s="232"/>
      <c r="AJ11" s="232"/>
      <c r="AK11" s="232"/>
      <c r="AL11" s="232"/>
      <c r="AM11" s="232"/>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5.6" x14ac:dyDescent="0.25">
      <c r="A12" s="320"/>
      <c r="B12" s="322"/>
      <c r="C12" s="324"/>
      <c r="D12" s="324"/>
      <c r="E12" s="187"/>
      <c r="F12" s="326"/>
      <c r="G12" s="329"/>
      <c r="H12" s="232"/>
      <c r="I12" s="262"/>
      <c r="J12" s="256"/>
      <c r="K12" s="252"/>
      <c r="L12" s="254"/>
      <c r="M12" s="252">
        <f ca="1">IF(NOT(ISERROR(MATCH(L12,_xlfn.ANCHORARRAY(F19),0))),K21&amp;"Por favor no seleccionar los criterios de impacto",L12)</f>
        <v>0</v>
      </c>
      <c r="N12" s="256"/>
      <c r="O12" s="252"/>
      <c r="P12" s="279"/>
      <c r="Q12" s="285"/>
      <c r="R12" s="349"/>
      <c r="S12" s="383"/>
      <c r="T12" s="379"/>
      <c r="U12" s="379"/>
      <c r="V12" s="380"/>
      <c r="W12" s="379"/>
      <c r="X12" s="379"/>
      <c r="Y12" s="366"/>
      <c r="Z12" s="127" t="str">
        <f t="shared" ref="Z12" si="5">IFERROR(IF(AND(S11="Probabilidad",S12="Probabilidad"),(AB11-(+AB11*V12)),IF(AND(S11="Impacto",S12="Probabilidad"),(AB10-(+AB10*V12)),IF(S12="Impacto",AB11,""))),"")</f>
        <v/>
      </c>
      <c r="AA12" s="369"/>
      <c r="AB12" s="372"/>
      <c r="AC12" s="369"/>
      <c r="AD12" s="372"/>
      <c r="AE12" s="375"/>
      <c r="AF12" s="378"/>
      <c r="AG12" s="356"/>
      <c r="AH12" s="233"/>
      <c r="AI12" s="233"/>
      <c r="AJ12" s="233"/>
      <c r="AK12" s="233"/>
      <c r="AL12" s="233"/>
      <c r="AM12" s="233"/>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83.25" customHeight="1" x14ac:dyDescent="0.25">
      <c r="A13" s="319">
        <v>2</v>
      </c>
      <c r="B13" s="321" t="s">
        <v>134</v>
      </c>
      <c r="C13" s="331" t="s">
        <v>232</v>
      </c>
      <c r="D13" s="335" t="s">
        <v>235</v>
      </c>
      <c r="E13" s="331" t="s">
        <v>236</v>
      </c>
      <c r="F13" s="339" t="s">
        <v>239</v>
      </c>
      <c r="G13" s="327" t="s">
        <v>246</v>
      </c>
      <c r="H13" s="231" t="s">
        <v>123</v>
      </c>
      <c r="I13" s="231">
        <v>12</v>
      </c>
      <c r="J13" s="255" t="str">
        <f>IF(I13&lt;=0,"",IF(I13&lt;=2,"Muy Baja",IF(I13&lt;=24,"Baja",IF(I13&lt;=500,"Media",IF(I13&lt;=5000,"Alta","Muy Alta")))))</f>
        <v>Baja</v>
      </c>
      <c r="K13" s="251">
        <f>IF(J13="","",IF(J13="Muy Baja",0.2,IF(J13="Baja",0.4,IF(J13="Media",0.6,IF(J13="Alta",0.8,IF(J13="Muy Alta",1,))))))</f>
        <v>0.4</v>
      </c>
      <c r="L13" s="253" t="s">
        <v>155</v>
      </c>
      <c r="M13" s="175" t="str">
        <f ca="1">IF(NOT(ISERROR(MATCH(L13,'Tabla Impacto'!$B$221:$B$223,0))),'Tabla Impacto'!$F$223&amp;"Por favor no seleccionar los criterios de impacto(Afectación Económica o presupuestal y Pérdida Reputacional)",L13)</f>
        <v xml:space="preserve">     El riesgo afecta la imagen de la entidad con algunos usuarios de relevancia frente al logro de los objetivos</v>
      </c>
      <c r="N13" s="255" t="str">
        <f ca="1">IF(OR(M13='Tabla Impacto'!$C$11,M13='Tabla Impacto'!$D$11),"Leve",IF(OR(M13='Tabla Impacto'!$C$12,M13='Tabla Impacto'!$D$12),"Menor",IF(OR(M13='Tabla Impacto'!$C$13,M13='Tabla Impacto'!$D$13),"Moderado",IF(OR(M13='Tabla Impacto'!$C$14,M13='Tabla Impacto'!$D$14),"Mayor",IF(OR(M13='Tabla Impacto'!$C$15,M13='Tabla Impacto'!$D$15),"Catastrófico","")))))</f>
        <v>Moderado</v>
      </c>
      <c r="O13" s="251">
        <f ca="1">IF(N13="","",IF(N13="Leve",0.2,IF(N13="Menor",0.4,IF(N13="Moderado",0.6,IF(N13="Mayor",0.8,IF(N13="Catastrófico",1,))))))</f>
        <v>0.6</v>
      </c>
      <c r="P13" s="255" t="str">
        <f ca="1">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Moderado</v>
      </c>
      <c r="Q13" s="350">
        <v>1</v>
      </c>
      <c r="R13" s="348" t="s">
        <v>240</v>
      </c>
      <c r="S13" s="231" t="str">
        <f>IF(OR(T13="Preventivo",T13="Detectivo"),"Probabilidad",IF(T13="Correctivo","Impacto",""))</f>
        <v>Probabilidad</v>
      </c>
      <c r="T13" s="342" t="s">
        <v>14</v>
      </c>
      <c r="U13" s="344" t="s">
        <v>9</v>
      </c>
      <c r="V13" s="344" t="str">
        <f>IF(AND(T13="Preventivo",U13="Automático"),"50%",IF(AND(T13="Preventivo",U13="Manual"),"40%",IF(AND(T13="Detectivo",U13="Automático"),"40%",IF(AND(T13="Detectivo",U13="Manual"),"30%",IF(AND(T13="Correctivo",U13="Automático"),"35%",IF(AND(T13="Correctivo",U13="Manual"),"25%",""))))))</f>
        <v>40%</v>
      </c>
      <c r="W13" s="344" t="s">
        <v>20</v>
      </c>
      <c r="X13" s="344" t="s">
        <v>22</v>
      </c>
      <c r="Y13" s="344" t="s">
        <v>119</v>
      </c>
      <c r="Z13" s="137">
        <f>IFERROR(IF(S13="Probabilidad",(K13-(+K13*V13)),IF(S13="Impacto",K13,"")),"")</f>
        <v>0.24</v>
      </c>
      <c r="AA13" s="346" t="str">
        <f>IFERROR(IF(Z13="","",IF(Z13&lt;=0.2,"Muy Baja",IF(Z13&lt;=0.4,"Baja",IF(Z13&lt;=0.6,"Media",IF(Z13&lt;=0.8,"Alta","Muy Alta"))))),"")</f>
        <v>Baja</v>
      </c>
      <c r="AB13" s="251">
        <f>+Z13</f>
        <v>0.24</v>
      </c>
      <c r="AC13" s="346" t="str">
        <f ca="1">IFERROR(IF(AD13="","",IF(AD13&lt;=0.2,"Leve",IF(AD13&lt;=0.4,"Menor",IF(AD13&lt;=0.6,"Moderado",IF(AD13&lt;=0.8,"Mayor","Catastrófico"))))),"")</f>
        <v>Moderado</v>
      </c>
      <c r="AD13" s="251">
        <f ca="1">IFERROR(IF(S13="Impacto",(O13-(+O13*V13)),IF(S13="Probabilidad",O13,"")),"")</f>
        <v>0.6</v>
      </c>
      <c r="AE13" s="353" t="str">
        <f ca="1">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Moderado</v>
      </c>
      <c r="AF13" s="344" t="s">
        <v>136</v>
      </c>
      <c r="AG13" s="322" t="s">
        <v>241</v>
      </c>
      <c r="AH13" s="357" t="s">
        <v>242</v>
      </c>
      <c r="AI13" s="231" t="s">
        <v>218</v>
      </c>
      <c r="AJ13" s="231" t="s">
        <v>217</v>
      </c>
      <c r="AK13" s="231" t="s">
        <v>243</v>
      </c>
      <c r="AL13" s="231" t="s">
        <v>41</v>
      </c>
      <c r="AM13" s="231" t="s">
        <v>252</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72" customHeight="1" x14ac:dyDescent="0.25">
      <c r="A14" s="320"/>
      <c r="B14" s="322"/>
      <c r="C14" s="332"/>
      <c r="D14" s="336"/>
      <c r="E14" s="332"/>
      <c r="F14" s="340"/>
      <c r="G14" s="328"/>
      <c r="H14" s="232"/>
      <c r="I14" s="232"/>
      <c r="J14" s="256"/>
      <c r="K14" s="252"/>
      <c r="L14" s="254"/>
      <c r="M14" s="176">
        <f ca="1">IF(NOT(ISERROR(MATCH(L14,_xlfn.ANCHORARRAY(F24),0))),K26&amp;"Por favor no seleccionar los criterios de impacto",L14)</f>
        <v>0</v>
      </c>
      <c r="N14" s="256"/>
      <c r="O14" s="252"/>
      <c r="P14" s="256"/>
      <c r="Q14" s="351"/>
      <c r="R14" s="330"/>
      <c r="S14" s="232"/>
      <c r="T14" s="343"/>
      <c r="U14" s="345"/>
      <c r="V14" s="345"/>
      <c r="W14" s="345"/>
      <c r="X14" s="345"/>
      <c r="Y14" s="345"/>
      <c r="Z14" s="137" t="str">
        <f t="shared" ref="Z14:Z16" si="6">IFERROR(IF(S14="Probabilidad",(K14-(+K14*V14)),IF(S14="Impacto",K14,"")),"")</f>
        <v/>
      </c>
      <c r="AA14" s="347"/>
      <c r="AB14" s="252"/>
      <c r="AC14" s="347"/>
      <c r="AD14" s="252"/>
      <c r="AE14" s="354"/>
      <c r="AF14" s="345"/>
      <c r="AG14" s="322"/>
      <c r="AH14" s="358"/>
      <c r="AI14" s="232"/>
      <c r="AJ14" s="232"/>
      <c r="AK14" s="232"/>
      <c r="AL14" s="232"/>
      <c r="AM14" s="232"/>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67.5" customHeight="1" x14ac:dyDescent="0.25">
      <c r="A15" s="320"/>
      <c r="B15" s="322"/>
      <c r="C15" s="332"/>
      <c r="D15" s="336"/>
      <c r="E15" s="332" t="s">
        <v>237</v>
      </c>
      <c r="F15" s="340"/>
      <c r="G15" s="328"/>
      <c r="H15" s="232"/>
      <c r="I15" s="232"/>
      <c r="J15" s="263"/>
      <c r="K15" s="252"/>
      <c r="L15" s="254"/>
      <c r="M15" s="174"/>
      <c r="N15" s="256"/>
      <c r="O15" s="252"/>
      <c r="P15" s="256"/>
      <c r="Q15" s="352"/>
      <c r="R15" s="349"/>
      <c r="S15" s="232"/>
      <c r="T15" s="343"/>
      <c r="U15" s="345"/>
      <c r="V15" s="345"/>
      <c r="W15" s="345"/>
      <c r="X15" s="345"/>
      <c r="Y15" s="345"/>
      <c r="Z15" s="137" t="str">
        <f t="shared" si="6"/>
        <v/>
      </c>
      <c r="AA15" s="347"/>
      <c r="AB15" s="252"/>
      <c r="AC15" s="347"/>
      <c r="AD15" s="252"/>
      <c r="AE15" s="354"/>
      <c r="AF15" s="345"/>
      <c r="AG15" s="356"/>
      <c r="AH15" s="359"/>
      <c r="AI15" s="233"/>
      <c r="AJ15" s="233"/>
      <c r="AK15" s="233"/>
      <c r="AL15" s="233"/>
      <c r="AM15" s="233"/>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45.5" customHeight="1" x14ac:dyDescent="0.25">
      <c r="A16" s="320"/>
      <c r="B16" s="322"/>
      <c r="C16" s="185" t="s">
        <v>233</v>
      </c>
      <c r="D16" s="336"/>
      <c r="E16" s="332"/>
      <c r="F16" s="340"/>
      <c r="G16" s="328"/>
      <c r="H16" s="231" t="s">
        <v>123</v>
      </c>
      <c r="I16" s="261">
        <v>12</v>
      </c>
      <c r="J16" s="255" t="str">
        <f>IF(I16&lt;=0,"",IF(I16&lt;=2,"Muy Baja",IF(I16&lt;=24,"Baja",IF(I16&lt;=500,"Media",IF(I16&lt;=5000,"Alta","Muy Alta")))))</f>
        <v>Baja</v>
      </c>
      <c r="K16" s="251">
        <f>IF(J16="","",IF(J16="Muy Baja",0.2,IF(J16="Baja",0.4,IF(J16="Media",0.6,IF(J16="Alta",0.8,IF(J16="Muy Alta",1,))))))</f>
        <v>0.4</v>
      </c>
      <c r="L16" s="253" t="s">
        <v>155</v>
      </c>
      <c r="M16" s="171"/>
      <c r="N16" s="255" t="s">
        <v>81</v>
      </c>
      <c r="O16" s="251">
        <f>IF(N16="","",IF(N16="Leve",0.2,IF(N16="Menor",0.4,IF(N16="Moderado",0.6,IF(N16="Mayor",0.8,IF(N16="Catastrófico",1,))))))</f>
        <v>0.6</v>
      </c>
      <c r="P16" s="278"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Moderado</v>
      </c>
      <c r="Q16" s="350">
        <v>2</v>
      </c>
      <c r="R16" s="348" t="s">
        <v>247</v>
      </c>
      <c r="S16" s="232" t="s">
        <v>4</v>
      </c>
      <c r="T16" s="342" t="s">
        <v>14</v>
      </c>
      <c r="U16" s="344" t="s">
        <v>9</v>
      </c>
      <c r="V16" s="344" t="str">
        <f>IF(AND(T16="Preventivo",U16="Automático"),"50%",IF(AND(T16="Preventivo",U16="Manual"),"40%",IF(AND(T16="Detectivo",U16="Automático"),"40%",IF(AND(T16="Detectivo",U16="Manual"),"30%",IF(AND(T16="Correctivo",U16="Automático"),"35%",IF(AND(T16="Correctivo",U16="Manual"),"25%",""))))))</f>
        <v>40%</v>
      </c>
      <c r="W16" s="344" t="s">
        <v>20</v>
      </c>
      <c r="X16" s="344" t="s">
        <v>22</v>
      </c>
      <c r="Y16" s="344" t="s">
        <v>119</v>
      </c>
      <c r="Z16" s="137">
        <f t="shared" si="6"/>
        <v>0.24</v>
      </c>
      <c r="AA16" s="346" t="str">
        <f>IFERROR(IF(Z16="","",IF(Z16&lt;=0.2,"Muy Baja",IF(Z16&lt;=0.4,"Baja",IF(Z16&lt;=0.6,"Media",IF(Z16&lt;=0.8,"Alta","Muy Alta"))))),"")</f>
        <v>Baja</v>
      </c>
      <c r="AB16" s="361">
        <f>+Z16</f>
        <v>0.24</v>
      </c>
      <c r="AC16" s="346" t="str">
        <f>IFERROR(IF(AD16="","",IF(AD16&lt;=0.2,"Leve",IF(AD16&lt;=0.4,"Menor",IF(AD16&lt;=0.6,"Moderado",IF(AD16&lt;=0.8,"Mayor","Catastrófico"))))),"")</f>
        <v>Moderado</v>
      </c>
      <c r="AD16" s="361">
        <f>IFERROR(IF(S16="Impacto",(O16-(+O16*V16)),IF(S16="Probabilidad",O16,"")),"")</f>
        <v>0.6</v>
      </c>
      <c r="AE16" s="353"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Moderado</v>
      </c>
      <c r="AF16" s="344" t="s">
        <v>136</v>
      </c>
      <c r="AG16" s="333" t="s">
        <v>248</v>
      </c>
      <c r="AH16" s="357" t="s">
        <v>244</v>
      </c>
      <c r="AI16" s="231" t="s">
        <v>218</v>
      </c>
      <c r="AJ16" s="231" t="s">
        <v>217</v>
      </c>
      <c r="AK16" s="231" t="s">
        <v>245</v>
      </c>
      <c r="AL16" s="231" t="s">
        <v>41</v>
      </c>
      <c r="AM16" s="231" t="s">
        <v>250</v>
      </c>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81" customHeight="1" x14ac:dyDescent="0.25">
      <c r="A17" s="320"/>
      <c r="B17" s="322"/>
      <c r="C17" s="333" t="s">
        <v>234</v>
      </c>
      <c r="D17" s="336"/>
      <c r="E17" s="332" t="s">
        <v>238</v>
      </c>
      <c r="F17" s="340"/>
      <c r="G17" s="328"/>
      <c r="H17" s="232"/>
      <c r="I17" s="262"/>
      <c r="J17" s="256"/>
      <c r="K17" s="252"/>
      <c r="L17" s="254"/>
      <c r="M17" s="170"/>
      <c r="N17" s="256"/>
      <c r="O17" s="252"/>
      <c r="P17" s="279"/>
      <c r="Q17" s="351"/>
      <c r="R17" s="330"/>
      <c r="S17" s="232"/>
      <c r="T17" s="343"/>
      <c r="U17" s="345"/>
      <c r="V17" s="345"/>
      <c r="W17" s="345"/>
      <c r="X17" s="345"/>
      <c r="Y17" s="345"/>
      <c r="Z17" s="127" t="str">
        <f>IFERROR(IF(S17="Probabilidad",(K17-(+K17*V17)),IF(S17="Impacto",K17,"")),"")</f>
        <v/>
      </c>
      <c r="AA17" s="347"/>
      <c r="AB17" s="362"/>
      <c r="AC17" s="347"/>
      <c r="AD17" s="362"/>
      <c r="AE17" s="354"/>
      <c r="AF17" s="345"/>
      <c r="AG17" s="333"/>
      <c r="AH17" s="358"/>
      <c r="AI17" s="232"/>
      <c r="AJ17" s="232"/>
      <c r="AK17" s="232"/>
      <c r="AL17" s="232"/>
      <c r="AM17" s="232"/>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92.25" customHeight="1" x14ac:dyDescent="0.25">
      <c r="A18" s="320"/>
      <c r="B18" s="322"/>
      <c r="C18" s="334"/>
      <c r="D18" s="337"/>
      <c r="E18" s="338"/>
      <c r="F18" s="341"/>
      <c r="G18" s="328"/>
      <c r="H18" s="232"/>
      <c r="I18" s="262"/>
      <c r="J18" s="256"/>
      <c r="K18" s="252"/>
      <c r="L18" s="254"/>
      <c r="M18" s="171"/>
      <c r="N18" s="256"/>
      <c r="O18" s="252"/>
      <c r="P18" s="279"/>
      <c r="Q18" s="352"/>
      <c r="R18" s="349"/>
      <c r="S18" s="233"/>
      <c r="T18" s="343"/>
      <c r="U18" s="345"/>
      <c r="V18" s="345"/>
      <c r="W18" s="345"/>
      <c r="X18" s="345"/>
      <c r="Y18" s="345"/>
      <c r="Z18" s="136" t="str">
        <f>IFERROR(IF(AND(S17="Probabilidad",S18="Probabilidad"),(AB17-(+AB17*V18)),IF(S18="Probabilidad",(K17-(+K17*V18)),IF(S18="Impacto",AB17,""))),"")</f>
        <v/>
      </c>
      <c r="AA18" s="360"/>
      <c r="AB18" s="363"/>
      <c r="AC18" s="360"/>
      <c r="AD18" s="363"/>
      <c r="AE18" s="355"/>
      <c r="AF18" s="345"/>
      <c r="AG18" s="334"/>
      <c r="AH18" s="359"/>
      <c r="AI18" s="233"/>
      <c r="AJ18" s="233"/>
      <c r="AK18" s="233"/>
      <c r="AL18" s="233"/>
      <c r="AM18" s="233"/>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25">
      <c r="A19" s="158"/>
      <c r="B19" s="151"/>
      <c r="C19" s="151"/>
      <c r="D19" s="151"/>
      <c r="E19" s="140"/>
      <c r="F19" s="154"/>
      <c r="G19" s="156"/>
      <c r="H19" s="151"/>
      <c r="I19" s="160"/>
      <c r="J19" s="164"/>
      <c r="K19" s="166"/>
      <c r="L19" s="162"/>
      <c r="M19" s="171"/>
      <c r="N19" s="164"/>
      <c r="O19" s="166"/>
      <c r="P19" s="168"/>
      <c r="Q19" s="123"/>
      <c r="R19" s="135"/>
      <c r="S19" s="124" t="str">
        <f>IF(OR(T19="Preventivo",T19="Detectivo"),"Probabilidad",IF(T19="Correctivo","Impacto",""))</f>
        <v/>
      </c>
      <c r="T19" s="125"/>
      <c r="U19" s="125"/>
      <c r="V19" s="126" t="str">
        <f t="shared" ref="V19:V22" si="7">IF(AND(T19="Preventivo",U19="Automático"),"50%",IF(AND(T19="Preventivo",U19="Manual"),"40%",IF(AND(T19="Detectivo",U19="Automático"),"40%",IF(AND(T19="Detectivo",U19="Manual"),"30%",IF(AND(T19="Correctivo",U19="Automático"),"35%",IF(AND(T19="Correctivo",U19="Manual"),"25%",""))))))</f>
        <v/>
      </c>
      <c r="W19" s="125"/>
      <c r="X19" s="125"/>
      <c r="Y19" s="125"/>
      <c r="Z19" s="127" t="str">
        <f>IFERROR(IF(AND(S18="Probabilidad",S19="Probabilidad"),(AB18-(+AB18*V19)),IF(AND(S18="Impacto",S19="Probabilidad"),(AB17-(+AB17*V19)),IF(S19="Impacto",AB18,""))),"")</f>
        <v/>
      </c>
      <c r="AA19" s="128" t="str">
        <f t="shared" ref="AA19:AA64" si="8">IFERROR(IF(Z19="","",IF(Z19&lt;=0.2,"Muy Baja",IF(Z19&lt;=0.4,"Baja",IF(Z19&lt;=0.6,"Media",IF(Z19&lt;=0.8,"Alta","Muy Alta"))))),"")</f>
        <v/>
      </c>
      <c r="AB19" s="129" t="str">
        <f t="shared" ref="AB19:AB22" si="9">+Z19</f>
        <v/>
      </c>
      <c r="AC19" s="128" t="str">
        <f t="shared" ref="AC19:AC64" si="10">IFERROR(IF(AD19="","",IF(AD19&lt;=0.2,"Leve",IF(AD19&lt;=0.4,"Menor",IF(AD19&lt;=0.6,"Moderado",IF(AD19&lt;=0.8,"Mayor","Catastrófico"))))),"")</f>
        <v/>
      </c>
      <c r="AD19" s="129" t="str">
        <f>IFERROR(IF(AND(S18="Impacto",S19="Impacto"),(AD18-(+AD18*V19)),IF(AND(S18="Probabilidad",S19="Impacto"),(AD17-(+AD17*V19)),IF(S19="Probabilidad",AD18,""))),"")</f>
        <v/>
      </c>
      <c r="AE19" s="130" t="str">
        <f t="shared" ref="AE19" si="11">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1"/>
      <c r="AG19" s="132"/>
      <c r="AH19" s="133"/>
      <c r="AI19" s="134"/>
      <c r="AJ19" s="134"/>
      <c r="AK19" s="132"/>
      <c r="AL19" s="133"/>
      <c r="AM19" s="133"/>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33.75" customHeight="1" x14ac:dyDescent="0.25">
      <c r="A20" s="158"/>
      <c r="B20" s="151"/>
      <c r="C20" s="151"/>
      <c r="D20" s="151"/>
      <c r="E20" s="140"/>
      <c r="F20" s="154"/>
      <c r="G20" s="156"/>
      <c r="H20" s="151"/>
      <c r="I20" s="160"/>
      <c r="J20" s="164"/>
      <c r="K20" s="166"/>
      <c r="L20" s="162"/>
      <c r="M20" s="171"/>
      <c r="N20" s="164"/>
      <c r="O20" s="166"/>
      <c r="P20" s="168"/>
      <c r="Q20" s="123"/>
      <c r="R20" s="146"/>
      <c r="S20" s="124" t="str">
        <f t="shared" ref="S20:S22" si="12">IF(OR(T20="Preventivo",T20="Detectivo"),"Probabilidad",IF(T20="Correctivo","Impacto",""))</f>
        <v/>
      </c>
      <c r="T20" s="125"/>
      <c r="U20" s="125"/>
      <c r="V20" s="126" t="str">
        <f t="shared" si="7"/>
        <v/>
      </c>
      <c r="W20" s="125"/>
      <c r="X20" s="125"/>
      <c r="Y20" s="125"/>
      <c r="Z20" s="127" t="str">
        <f t="shared" ref="Z20:Z22" si="13">IFERROR(IF(AND(S19="Probabilidad",S20="Probabilidad"),(AB19-(+AB19*V20)),IF(AND(S19="Impacto",S20="Probabilidad"),(AB18-(+AB18*V20)),IF(S20="Impacto",AB19,""))),"")</f>
        <v/>
      </c>
      <c r="AA20" s="128" t="str">
        <f t="shared" si="8"/>
        <v/>
      </c>
      <c r="AB20" s="129" t="str">
        <f t="shared" si="9"/>
        <v/>
      </c>
      <c r="AC20" s="128" t="str">
        <f t="shared" si="10"/>
        <v/>
      </c>
      <c r="AD20" s="129" t="str">
        <f t="shared" ref="AD20:AD22" si="14">IFERROR(IF(AND(S19="Impacto",S20="Impacto"),(AD19-(+AD19*V20)),IF(AND(S19="Probabilidad",S20="Impacto"),(AD18-(+AD18*V20)),IF(S20="Probabilidad",AD19,""))),"")</f>
        <v/>
      </c>
      <c r="AE20" s="130" t="str">
        <f>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1"/>
      <c r="AG20" s="132"/>
      <c r="AH20" s="133"/>
      <c r="AI20" s="134"/>
      <c r="AJ20" s="134"/>
      <c r="AK20" s="132"/>
      <c r="AL20" s="133"/>
      <c r="AM20" s="133"/>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32.25" customHeight="1" x14ac:dyDescent="0.25">
      <c r="A21" s="158"/>
      <c r="B21" s="151"/>
      <c r="C21" s="151"/>
      <c r="D21" s="151"/>
      <c r="E21" s="140"/>
      <c r="F21" s="154"/>
      <c r="G21" s="156"/>
      <c r="H21" s="151"/>
      <c r="I21" s="160"/>
      <c r="J21" s="164"/>
      <c r="K21" s="166"/>
      <c r="L21" s="162"/>
      <c r="M21" s="171"/>
      <c r="N21" s="164"/>
      <c r="O21" s="166"/>
      <c r="P21" s="168"/>
      <c r="Q21" s="123"/>
      <c r="R21" s="146"/>
      <c r="S21" s="124" t="str">
        <f t="shared" si="12"/>
        <v/>
      </c>
      <c r="T21" s="125"/>
      <c r="U21" s="125"/>
      <c r="V21" s="126" t="str">
        <f t="shared" si="7"/>
        <v/>
      </c>
      <c r="W21" s="125"/>
      <c r="X21" s="125"/>
      <c r="Y21" s="125"/>
      <c r="Z21" s="127" t="str">
        <f t="shared" si="13"/>
        <v/>
      </c>
      <c r="AA21" s="128" t="str">
        <f t="shared" si="8"/>
        <v/>
      </c>
      <c r="AB21" s="129" t="str">
        <f t="shared" si="9"/>
        <v/>
      </c>
      <c r="AC21" s="128" t="str">
        <f t="shared" si="10"/>
        <v/>
      </c>
      <c r="AD21" s="129" t="str">
        <f t="shared" si="14"/>
        <v/>
      </c>
      <c r="AE21" s="130" t="str">
        <f t="shared" ref="AE21:AE22" si="15">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1"/>
      <c r="AG21" s="132"/>
      <c r="AH21" s="133"/>
      <c r="AI21" s="134"/>
      <c r="AJ21" s="134"/>
      <c r="AK21" s="132"/>
      <c r="AL21" s="133"/>
      <c r="AM21" s="133"/>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7.5" customHeight="1" x14ac:dyDescent="0.25">
      <c r="A22" s="159"/>
      <c r="B22" s="152"/>
      <c r="C22" s="152"/>
      <c r="D22" s="152"/>
      <c r="E22" s="141"/>
      <c r="F22" s="155"/>
      <c r="G22" s="157"/>
      <c r="H22" s="152"/>
      <c r="I22" s="161"/>
      <c r="J22" s="165"/>
      <c r="K22" s="167"/>
      <c r="L22" s="163"/>
      <c r="M22" s="172"/>
      <c r="N22" s="165"/>
      <c r="O22" s="167"/>
      <c r="P22" s="169"/>
      <c r="Q22" s="123"/>
      <c r="R22" s="146"/>
      <c r="S22" s="124" t="str">
        <f t="shared" si="12"/>
        <v/>
      </c>
      <c r="T22" s="125"/>
      <c r="U22" s="125"/>
      <c r="V22" s="126" t="str">
        <f t="shared" si="7"/>
        <v/>
      </c>
      <c r="W22" s="125"/>
      <c r="X22" s="125"/>
      <c r="Y22" s="125"/>
      <c r="Z22" s="127" t="str">
        <f t="shared" si="13"/>
        <v/>
      </c>
      <c r="AA22" s="128" t="str">
        <f t="shared" si="8"/>
        <v/>
      </c>
      <c r="AB22" s="129" t="str">
        <f t="shared" si="9"/>
        <v/>
      </c>
      <c r="AC22" s="128" t="str">
        <f t="shared" si="10"/>
        <v/>
      </c>
      <c r="AD22" s="129" t="str">
        <f t="shared" si="14"/>
        <v/>
      </c>
      <c r="AE22" s="130" t="str">
        <f t="shared" si="15"/>
        <v/>
      </c>
      <c r="AF22" s="131"/>
      <c r="AG22" s="132"/>
      <c r="AH22" s="133"/>
      <c r="AI22" s="134"/>
      <c r="AJ22" s="134"/>
      <c r="AK22" s="132"/>
      <c r="AL22" s="133"/>
      <c r="AM22" s="133"/>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61.5" customHeight="1" x14ac:dyDescent="0.25">
      <c r="A23" s="283"/>
      <c r="B23" s="286"/>
      <c r="C23" s="307"/>
      <c r="D23" s="298"/>
      <c r="E23" s="307"/>
      <c r="F23" s="301"/>
      <c r="G23" s="304"/>
      <c r="H23" s="286"/>
      <c r="I23" s="292"/>
      <c r="J23" s="245"/>
      <c r="K23" s="242"/>
      <c r="L23" s="239"/>
      <c r="M23" s="242"/>
      <c r="N23" s="245"/>
      <c r="O23" s="242"/>
      <c r="P23" s="248"/>
      <c r="Q23" s="123"/>
      <c r="R23" s="146"/>
      <c r="S23" s="124"/>
      <c r="T23" s="125"/>
      <c r="U23" s="125"/>
      <c r="V23" s="126"/>
      <c r="W23" s="125"/>
      <c r="X23" s="125"/>
      <c r="Y23" s="125"/>
      <c r="Z23" s="127"/>
      <c r="AA23" s="128"/>
      <c r="AB23" s="129"/>
      <c r="AC23" s="128"/>
      <c r="AD23" s="129"/>
      <c r="AE23" s="130"/>
      <c r="AF23" s="131"/>
      <c r="AG23" s="259"/>
      <c r="AH23" s="133"/>
      <c r="AI23" s="234"/>
      <c r="AJ23" s="234"/>
      <c r="AK23" s="132"/>
      <c r="AL23" s="133"/>
      <c r="AM23" s="133"/>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45.75" customHeight="1" x14ac:dyDescent="0.25">
      <c r="A24" s="284"/>
      <c r="B24" s="287"/>
      <c r="C24" s="237"/>
      <c r="D24" s="299"/>
      <c r="E24" s="237"/>
      <c r="F24" s="302"/>
      <c r="G24" s="305"/>
      <c r="H24" s="287"/>
      <c r="I24" s="293"/>
      <c r="J24" s="246"/>
      <c r="K24" s="243"/>
      <c r="L24" s="240"/>
      <c r="M24" s="243"/>
      <c r="N24" s="246"/>
      <c r="O24" s="243"/>
      <c r="P24" s="249"/>
      <c r="Q24" s="123"/>
      <c r="R24" s="146"/>
      <c r="S24" s="124"/>
      <c r="T24" s="125"/>
      <c r="U24" s="125"/>
      <c r="V24" s="126"/>
      <c r="W24" s="125"/>
      <c r="X24" s="125"/>
      <c r="Y24" s="125"/>
      <c r="Z24" s="127"/>
      <c r="AA24" s="128"/>
      <c r="AB24" s="129"/>
      <c r="AC24" s="128"/>
      <c r="AD24" s="129"/>
      <c r="AE24" s="130"/>
      <c r="AF24" s="131"/>
      <c r="AG24" s="257"/>
      <c r="AH24" s="133"/>
      <c r="AI24" s="235"/>
      <c r="AJ24" s="235"/>
      <c r="AK24" s="132"/>
      <c r="AL24" s="133"/>
      <c r="AM24" s="133"/>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56.25" customHeight="1" x14ac:dyDescent="0.25">
      <c r="A25" s="284"/>
      <c r="B25" s="287"/>
      <c r="C25" s="237"/>
      <c r="D25" s="299"/>
      <c r="E25" s="237"/>
      <c r="F25" s="302"/>
      <c r="G25" s="305"/>
      <c r="H25" s="287"/>
      <c r="I25" s="293"/>
      <c r="J25" s="246"/>
      <c r="K25" s="243"/>
      <c r="L25" s="240"/>
      <c r="M25" s="243"/>
      <c r="N25" s="246"/>
      <c r="O25" s="243"/>
      <c r="P25" s="249"/>
      <c r="Q25" s="123"/>
      <c r="R25" s="135"/>
      <c r="S25" s="124"/>
      <c r="T25" s="125"/>
      <c r="U25" s="125"/>
      <c r="V25" s="126"/>
      <c r="W25" s="125"/>
      <c r="X25" s="125"/>
      <c r="Y25" s="125"/>
      <c r="Z25" s="127"/>
      <c r="AA25" s="128"/>
      <c r="AB25" s="129"/>
      <c r="AC25" s="128"/>
      <c r="AD25" s="129"/>
      <c r="AE25" s="130"/>
      <c r="AF25" s="131"/>
      <c r="AG25" s="257"/>
      <c r="AH25" s="133"/>
      <c r="AI25" s="235"/>
      <c r="AJ25" s="235"/>
      <c r="AK25" s="132"/>
      <c r="AL25" s="133"/>
      <c r="AM25" s="133"/>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69" customHeight="1" x14ac:dyDescent="0.25">
      <c r="A26" s="284"/>
      <c r="B26" s="287"/>
      <c r="C26" s="153"/>
      <c r="D26" s="299"/>
      <c r="E26" s="237"/>
      <c r="F26" s="302"/>
      <c r="G26" s="305"/>
      <c r="H26" s="287"/>
      <c r="I26" s="293"/>
      <c r="J26" s="246"/>
      <c r="K26" s="243"/>
      <c r="L26" s="240"/>
      <c r="M26" s="243"/>
      <c r="N26" s="246"/>
      <c r="O26" s="243"/>
      <c r="P26" s="249"/>
      <c r="Q26" s="123"/>
      <c r="R26" s="146"/>
      <c r="S26" s="124"/>
      <c r="T26" s="125"/>
      <c r="U26" s="125"/>
      <c r="V26" s="126"/>
      <c r="W26" s="125"/>
      <c r="X26" s="125"/>
      <c r="Y26" s="125"/>
      <c r="Z26" s="127"/>
      <c r="AA26" s="128"/>
      <c r="AB26" s="129"/>
      <c r="AC26" s="128"/>
      <c r="AD26" s="129"/>
      <c r="AE26" s="130"/>
      <c r="AF26" s="131"/>
      <c r="AG26" s="257"/>
      <c r="AH26" s="133"/>
      <c r="AI26" s="235"/>
      <c r="AJ26" s="235"/>
      <c r="AK26" s="132"/>
      <c r="AL26" s="133"/>
      <c r="AM26" s="133"/>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39" customHeight="1" x14ac:dyDescent="0.25">
      <c r="A27" s="284"/>
      <c r="B27" s="287"/>
      <c r="C27" s="237"/>
      <c r="D27" s="299"/>
      <c r="E27" s="237"/>
      <c r="F27" s="302"/>
      <c r="G27" s="305"/>
      <c r="H27" s="287"/>
      <c r="I27" s="293"/>
      <c r="J27" s="246"/>
      <c r="K27" s="243"/>
      <c r="L27" s="240"/>
      <c r="M27" s="243"/>
      <c r="N27" s="246"/>
      <c r="O27" s="243"/>
      <c r="P27" s="249"/>
      <c r="Q27" s="123"/>
      <c r="R27" s="146"/>
      <c r="S27" s="124"/>
      <c r="T27" s="125"/>
      <c r="U27" s="125"/>
      <c r="V27" s="126"/>
      <c r="W27" s="125"/>
      <c r="X27" s="125"/>
      <c r="Y27" s="125"/>
      <c r="Z27" s="136"/>
      <c r="AA27" s="128"/>
      <c r="AB27" s="129"/>
      <c r="AC27" s="128"/>
      <c r="AD27" s="129"/>
      <c r="AE27" s="130"/>
      <c r="AF27" s="131"/>
      <c r="AG27" s="257"/>
      <c r="AH27" s="133"/>
      <c r="AI27" s="235"/>
      <c r="AJ27" s="235"/>
      <c r="AK27" s="132"/>
      <c r="AL27" s="133"/>
      <c r="AM27" s="133"/>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50.25" customHeight="1" x14ac:dyDescent="0.25">
      <c r="A28" s="285"/>
      <c r="B28" s="288"/>
      <c r="C28" s="238"/>
      <c r="D28" s="300"/>
      <c r="E28" s="238"/>
      <c r="F28" s="303"/>
      <c r="G28" s="306"/>
      <c r="H28" s="288"/>
      <c r="I28" s="294"/>
      <c r="J28" s="247"/>
      <c r="K28" s="244"/>
      <c r="L28" s="241"/>
      <c r="M28" s="244"/>
      <c r="N28" s="247"/>
      <c r="O28" s="244"/>
      <c r="P28" s="250"/>
      <c r="Q28" s="123"/>
      <c r="R28" s="146"/>
      <c r="S28" s="124"/>
      <c r="T28" s="125"/>
      <c r="U28" s="125"/>
      <c r="V28" s="126"/>
      <c r="W28" s="125"/>
      <c r="X28" s="125"/>
      <c r="Y28" s="125"/>
      <c r="Z28" s="127"/>
      <c r="AA28" s="128"/>
      <c r="AB28" s="129"/>
      <c r="AC28" s="128"/>
      <c r="AD28" s="129"/>
      <c r="AE28" s="130"/>
      <c r="AF28" s="131"/>
      <c r="AG28" s="258"/>
      <c r="AH28" s="133"/>
      <c r="AI28" s="236"/>
      <c r="AJ28" s="236"/>
      <c r="AK28" s="132"/>
      <c r="AL28" s="133"/>
      <c r="AM28" s="133"/>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283">
        <v>5</v>
      </c>
      <c r="B29" s="286"/>
      <c r="C29" s="295"/>
      <c r="D29" s="150"/>
      <c r="E29" s="139"/>
      <c r="F29" s="289"/>
      <c r="G29" s="142"/>
      <c r="H29" s="286"/>
      <c r="I29" s="292"/>
      <c r="J29" s="245" t="str">
        <f>IF(I29&lt;=0,"",IF(I29&lt;=2,"Muy Baja",IF(I29&lt;=24,"Baja",IF(I29&lt;=500,"Media",IF(I29&lt;=5000,"Alta","Muy Alta")))))</f>
        <v/>
      </c>
      <c r="K29" s="242" t="str">
        <f>IF(J29="","",IF(J29="Muy Baja",0.2,IF(J29="Baja",0.4,IF(J29="Media",0.6,IF(J29="Alta",0.8,IF(J29="Muy Alta",1,))))))</f>
        <v/>
      </c>
      <c r="L29" s="239"/>
      <c r="M29" s="242">
        <f ca="1">IF(NOT(ISERROR(MATCH(L29,'Tabla Impacto'!$B$221:$B$223,0))),'Tabla Impacto'!$F$223&amp;"Por favor no seleccionar los criterios de impacto(Afectación Económica o presupuestal y Pérdida Reputacional)",L29)</f>
        <v>0</v>
      </c>
      <c r="N29" s="245" t="str">
        <f ca="1">IF(OR(M29='Tabla Impacto'!$C$11,M29='Tabla Impacto'!$D$11),"Leve",IF(OR(M29='Tabla Impacto'!$C$12,M29='Tabla Impacto'!$D$12),"Menor",IF(OR(M29='Tabla Impacto'!$C$13,M29='Tabla Impacto'!$D$13),"Moderado",IF(OR(M29='Tabla Impacto'!$C$14,M29='Tabla Impacto'!$D$14),"Mayor",IF(OR(M29='Tabla Impacto'!$C$15,M29='Tabla Impacto'!$D$15),"Catastrófico","")))))</f>
        <v/>
      </c>
      <c r="O29" s="242" t="str">
        <f ca="1">IF(N29="","",IF(N29="Leve",0.2,IF(N29="Menor",0.4,IF(N29="Moderado",0.6,IF(N29="Mayor",0.8,IF(N29="Catastrófico",1,))))))</f>
        <v/>
      </c>
      <c r="P29" s="248" t="str">
        <f ca="1">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123"/>
      <c r="R29" s="146"/>
      <c r="S29" s="124" t="str">
        <f>IF(OR(T29="Preventivo",T29="Detectivo"),"Probabilidad",IF(T29="Correctivo","Impacto",""))</f>
        <v/>
      </c>
      <c r="T29" s="125"/>
      <c r="U29" s="125"/>
      <c r="V29" s="126" t="str">
        <f>IF(AND(T29="Preventivo",U29="Automático"),"50%",IF(AND(T29="Preventivo",U29="Manual"),"40%",IF(AND(T29="Detectivo",U29="Automático"),"40%",IF(AND(T29="Detectivo",U29="Manual"),"30%",IF(AND(T29="Correctivo",U29="Automático"),"35%",IF(AND(T29="Correctivo",U29="Manual"),"25%",""))))))</f>
        <v/>
      </c>
      <c r="W29" s="125"/>
      <c r="X29" s="125"/>
      <c r="Y29" s="125"/>
      <c r="Z29" s="127" t="str">
        <f>IFERROR(IF(S29="Probabilidad",(K29-(+K29*V29)),IF(S29="Impacto",K29,"")),"")</f>
        <v/>
      </c>
      <c r="AA29" s="128" t="str">
        <f>IFERROR(IF(Z29="","",IF(Z29&lt;=0.2,"Muy Baja",IF(Z29&lt;=0.4,"Baja",IF(Z29&lt;=0.6,"Media",IF(Z29&lt;=0.8,"Alta","Muy Alta"))))),"")</f>
        <v/>
      </c>
      <c r="AB29" s="129" t="str">
        <f>+Z29</f>
        <v/>
      </c>
      <c r="AC29" s="128" t="str">
        <f>IFERROR(IF(AD29="","",IF(AD29&lt;=0.2,"Leve",IF(AD29&lt;=0.4,"Menor",IF(AD29&lt;=0.6,"Moderado",IF(AD29&lt;=0.8,"Mayor","Catastrófico"))))),"")</f>
        <v/>
      </c>
      <c r="AD29" s="129" t="str">
        <f>IFERROR(IF(S29="Impacto",(O29-(+O29*V29)),IF(S29="Probabilidad",O29,"")),"")</f>
        <v/>
      </c>
      <c r="AE29" s="130" t="str">
        <f>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1"/>
      <c r="AG29" s="132"/>
      <c r="AH29" s="133"/>
      <c r="AI29" s="134"/>
      <c r="AJ29" s="134"/>
      <c r="AK29" s="132"/>
      <c r="AL29" s="133"/>
      <c r="AM29" s="133"/>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284"/>
      <c r="B30" s="287"/>
      <c r="C30" s="296"/>
      <c r="D30" s="151"/>
      <c r="E30" s="140"/>
      <c r="F30" s="290"/>
      <c r="G30" s="143"/>
      <c r="H30" s="287"/>
      <c r="I30" s="293"/>
      <c r="J30" s="246"/>
      <c r="K30" s="243"/>
      <c r="L30" s="240"/>
      <c r="M30" s="243">
        <f ca="1">IF(NOT(ISERROR(MATCH(L30,_xlfn.ANCHORARRAY(F41),0))),K43&amp;"Por favor no seleccionar los criterios de impacto",L30)</f>
        <v>0</v>
      </c>
      <c r="N30" s="246"/>
      <c r="O30" s="243"/>
      <c r="P30" s="249"/>
      <c r="Q30" s="123"/>
      <c r="R30" s="146"/>
      <c r="S30" s="124" t="str">
        <f>IF(OR(T30="Preventivo",T30="Detectivo"),"Probabilidad",IF(T30="Correctivo","Impacto",""))</f>
        <v/>
      </c>
      <c r="T30" s="125"/>
      <c r="U30" s="125"/>
      <c r="V30" s="126" t="str">
        <f t="shared" ref="V30:V34" si="16">IF(AND(T30="Preventivo",U30="Automático"),"50%",IF(AND(T30="Preventivo",U30="Manual"),"40%",IF(AND(T30="Detectivo",U30="Automático"),"40%",IF(AND(T30="Detectivo",U30="Manual"),"30%",IF(AND(T30="Correctivo",U30="Automático"),"35%",IF(AND(T30="Correctivo",U30="Manual"),"25%",""))))))</f>
        <v/>
      </c>
      <c r="W30" s="125"/>
      <c r="X30" s="125"/>
      <c r="Y30" s="125"/>
      <c r="Z30" s="127" t="str">
        <f>IFERROR(IF(AND(S29="Probabilidad",S30="Probabilidad"),(AB29-(+AB29*V30)),IF(S30="Probabilidad",(K29-(+K29*V30)),IF(S30="Impacto",AB29,""))),"")</f>
        <v/>
      </c>
      <c r="AA30" s="128" t="str">
        <f t="shared" si="8"/>
        <v/>
      </c>
      <c r="AB30" s="129" t="str">
        <f t="shared" ref="AB30:AB34" si="17">+Z30</f>
        <v/>
      </c>
      <c r="AC30" s="128" t="str">
        <f t="shared" si="10"/>
        <v/>
      </c>
      <c r="AD30" s="129" t="str">
        <f>IFERROR(IF(AND(S29="Impacto",S30="Impacto"),(AD29-(+AD29*V30)),IF(S30="Impacto",(O29-(+O29*V30)),IF(S30="Probabilidad",AD29,""))),"")</f>
        <v/>
      </c>
      <c r="AE30" s="130" t="str">
        <f t="shared" ref="AE30:AE31" si="18">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1"/>
      <c r="AG30" s="132"/>
      <c r="AH30" s="133"/>
      <c r="AI30" s="134"/>
      <c r="AJ30" s="134"/>
      <c r="AK30" s="132"/>
      <c r="AL30" s="133"/>
      <c r="AM30" s="133"/>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284"/>
      <c r="B31" s="287"/>
      <c r="C31" s="296"/>
      <c r="D31" s="151"/>
      <c r="E31" s="140"/>
      <c r="F31" s="290"/>
      <c r="G31" s="143"/>
      <c r="H31" s="287"/>
      <c r="I31" s="293"/>
      <c r="J31" s="246"/>
      <c r="K31" s="243"/>
      <c r="L31" s="240"/>
      <c r="M31" s="243">
        <f ca="1">IF(NOT(ISERROR(MATCH(L31,_xlfn.ANCHORARRAY(F42),0))),K44&amp;"Por favor no seleccionar los criterios de impacto",L31)</f>
        <v>0</v>
      </c>
      <c r="N31" s="246"/>
      <c r="O31" s="243"/>
      <c r="P31" s="249"/>
      <c r="Q31" s="123"/>
      <c r="R31" s="135"/>
      <c r="S31" s="124" t="str">
        <f>IF(OR(T31="Preventivo",T31="Detectivo"),"Probabilidad",IF(T31="Correctivo","Impacto",""))</f>
        <v/>
      </c>
      <c r="T31" s="125"/>
      <c r="U31" s="125"/>
      <c r="V31" s="126" t="str">
        <f t="shared" si="16"/>
        <v/>
      </c>
      <c r="W31" s="125"/>
      <c r="X31" s="125"/>
      <c r="Y31" s="125"/>
      <c r="Z31" s="127" t="str">
        <f>IFERROR(IF(AND(S30="Probabilidad",S31="Probabilidad"),(AB30-(+AB30*V31)),IF(AND(S30="Impacto",S31="Probabilidad"),(AB29-(+AB29*V31)),IF(S31="Impacto",AB30,""))),"")</f>
        <v/>
      </c>
      <c r="AA31" s="128" t="str">
        <f t="shared" si="8"/>
        <v/>
      </c>
      <c r="AB31" s="129" t="str">
        <f t="shared" si="17"/>
        <v/>
      </c>
      <c r="AC31" s="128" t="str">
        <f t="shared" si="10"/>
        <v/>
      </c>
      <c r="AD31" s="129" t="str">
        <f>IFERROR(IF(AND(S30="Impacto",S31="Impacto"),(AD30-(+AD30*V31)),IF(AND(S30="Probabilidad",S31="Impacto"),(AD29-(+AD29*V31)),IF(S31="Probabilidad",AD30,""))),"")</f>
        <v/>
      </c>
      <c r="AE31" s="130" t="str">
        <f t="shared" si="18"/>
        <v/>
      </c>
      <c r="AF31" s="131"/>
      <c r="AG31" s="132"/>
      <c r="AH31" s="133"/>
      <c r="AI31" s="134"/>
      <c r="AJ31" s="134"/>
      <c r="AK31" s="132"/>
      <c r="AL31" s="133"/>
      <c r="AM31" s="133"/>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284"/>
      <c r="B32" s="287"/>
      <c r="C32" s="296"/>
      <c r="D32" s="151"/>
      <c r="E32" s="140"/>
      <c r="F32" s="290"/>
      <c r="G32" s="143"/>
      <c r="H32" s="287"/>
      <c r="I32" s="293"/>
      <c r="J32" s="246"/>
      <c r="K32" s="243"/>
      <c r="L32" s="240"/>
      <c r="M32" s="243">
        <f ca="1">IF(NOT(ISERROR(MATCH(L32,_xlfn.ANCHORARRAY(F43),0))),K45&amp;"Por favor no seleccionar los criterios de impacto",L32)</f>
        <v>0</v>
      </c>
      <c r="N32" s="246"/>
      <c r="O32" s="243"/>
      <c r="P32" s="249"/>
      <c r="Q32" s="123"/>
      <c r="R32" s="146"/>
      <c r="S32" s="124" t="str">
        <f t="shared" ref="S32:S34" si="19">IF(OR(T32="Preventivo",T32="Detectivo"),"Probabilidad",IF(T32="Correctivo","Impacto",""))</f>
        <v/>
      </c>
      <c r="T32" s="125"/>
      <c r="U32" s="125"/>
      <c r="V32" s="126" t="str">
        <f t="shared" si="16"/>
        <v/>
      </c>
      <c r="W32" s="125"/>
      <c r="X32" s="125"/>
      <c r="Y32" s="125"/>
      <c r="Z32" s="127" t="str">
        <f t="shared" ref="Z32:Z34" si="20">IFERROR(IF(AND(S31="Probabilidad",S32="Probabilidad"),(AB31-(+AB31*V32)),IF(AND(S31="Impacto",S32="Probabilidad"),(AB30-(+AB30*V32)),IF(S32="Impacto",AB31,""))),"")</f>
        <v/>
      </c>
      <c r="AA32" s="128" t="str">
        <f t="shared" si="8"/>
        <v/>
      </c>
      <c r="AB32" s="129" t="str">
        <f t="shared" si="17"/>
        <v/>
      </c>
      <c r="AC32" s="128" t="str">
        <f t="shared" si="10"/>
        <v/>
      </c>
      <c r="AD32" s="129" t="str">
        <f t="shared" ref="AD32:AD34" si="21">IFERROR(IF(AND(S31="Impacto",S32="Impacto"),(AD31-(+AD31*V32)),IF(AND(S31="Probabilidad",S32="Impacto"),(AD30-(+AD30*V32)),IF(S32="Probabilidad",AD31,""))),"")</f>
        <v/>
      </c>
      <c r="AE32" s="130" t="str">
        <f>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1"/>
      <c r="AG32" s="132"/>
      <c r="AH32" s="133"/>
      <c r="AI32" s="134"/>
      <c r="AJ32" s="134"/>
      <c r="AK32" s="132"/>
      <c r="AL32" s="133"/>
      <c r="AM32" s="133"/>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284"/>
      <c r="B33" s="287"/>
      <c r="C33" s="296"/>
      <c r="D33" s="151"/>
      <c r="E33" s="140"/>
      <c r="F33" s="290"/>
      <c r="G33" s="143"/>
      <c r="H33" s="287"/>
      <c r="I33" s="293"/>
      <c r="J33" s="246"/>
      <c r="K33" s="243"/>
      <c r="L33" s="240"/>
      <c r="M33" s="243">
        <f ca="1">IF(NOT(ISERROR(MATCH(L33,_xlfn.ANCHORARRAY(F44),0))),K46&amp;"Por favor no seleccionar los criterios de impacto",L33)</f>
        <v>0</v>
      </c>
      <c r="N33" s="246"/>
      <c r="O33" s="243"/>
      <c r="P33" s="249"/>
      <c r="Q33" s="123"/>
      <c r="R33" s="146"/>
      <c r="S33" s="124" t="str">
        <f t="shared" si="19"/>
        <v/>
      </c>
      <c r="T33" s="125"/>
      <c r="U33" s="125"/>
      <c r="V33" s="126" t="str">
        <f t="shared" si="16"/>
        <v/>
      </c>
      <c r="W33" s="125"/>
      <c r="X33" s="125"/>
      <c r="Y33" s="125"/>
      <c r="Z33" s="127" t="str">
        <f t="shared" si="20"/>
        <v/>
      </c>
      <c r="AA33" s="128" t="str">
        <f t="shared" si="8"/>
        <v/>
      </c>
      <c r="AB33" s="129" t="str">
        <f t="shared" si="17"/>
        <v/>
      </c>
      <c r="AC33" s="128" t="str">
        <f t="shared" si="10"/>
        <v/>
      </c>
      <c r="AD33" s="129" t="str">
        <f t="shared" si="21"/>
        <v/>
      </c>
      <c r="AE33" s="130" t="str">
        <f t="shared" ref="AE33:AE34" si="22">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1"/>
      <c r="AG33" s="132"/>
      <c r="AH33" s="133"/>
      <c r="AI33" s="134"/>
      <c r="AJ33" s="134"/>
      <c r="AK33" s="132"/>
      <c r="AL33" s="133"/>
      <c r="AM33" s="133"/>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285"/>
      <c r="B34" s="288"/>
      <c r="C34" s="297"/>
      <c r="D34" s="152"/>
      <c r="E34" s="141"/>
      <c r="F34" s="291"/>
      <c r="G34" s="144"/>
      <c r="H34" s="288"/>
      <c r="I34" s="294"/>
      <c r="J34" s="247"/>
      <c r="K34" s="244"/>
      <c r="L34" s="241"/>
      <c r="M34" s="244">
        <f ca="1">IF(NOT(ISERROR(MATCH(L34,_xlfn.ANCHORARRAY(F45),0))),K47&amp;"Por favor no seleccionar los criterios de impacto",L34)</f>
        <v>0</v>
      </c>
      <c r="N34" s="247"/>
      <c r="O34" s="244"/>
      <c r="P34" s="250"/>
      <c r="Q34" s="123"/>
      <c r="R34" s="146"/>
      <c r="S34" s="124" t="str">
        <f t="shared" si="19"/>
        <v/>
      </c>
      <c r="T34" s="125"/>
      <c r="U34" s="125"/>
      <c r="V34" s="126" t="str">
        <f t="shared" si="16"/>
        <v/>
      </c>
      <c r="W34" s="125"/>
      <c r="X34" s="125"/>
      <c r="Y34" s="125"/>
      <c r="Z34" s="127" t="str">
        <f t="shared" si="20"/>
        <v/>
      </c>
      <c r="AA34" s="128" t="str">
        <f t="shared" si="8"/>
        <v/>
      </c>
      <c r="AB34" s="129" t="str">
        <f t="shared" si="17"/>
        <v/>
      </c>
      <c r="AC34" s="128" t="str">
        <f t="shared" si="10"/>
        <v/>
      </c>
      <c r="AD34" s="129" t="str">
        <f t="shared" si="21"/>
        <v/>
      </c>
      <c r="AE34" s="130" t="str">
        <f t="shared" si="22"/>
        <v/>
      </c>
      <c r="AF34" s="131"/>
      <c r="AG34" s="132"/>
      <c r="AH34" s="133"/>
      <c r="AI34" s="134"/>
      <c r="AJ34" s="134"/>
      <c r="AK34" s="132"/>
      <c r="AL34" s="133"/>
      <c r="AM34" s="133"/>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283">
        <v>6</v>
      </c>
      <c r="B35" s="286"/>
      <c r="C35" s="286"/>
      <c r="D35" s="286"/>
      <c r="E35" s="139"/>
      <c r="F35" s="289"/>
      <c r="G35" s="142"/>
      <c r="H35" s="286"/>
      <c r="I35" s="292"/>
      <c r="J35" s="245" t="str">
        <f>IF(I35&lt;=0,"",IF(I35&lt;=2,"Muy Baja",IF(I35&lt;=24,"Baja",IF(I35&lt;=500,"Media",IF(I35&lt;=5000,"Alta","Muy Alta")))))</f>
        <v/>
      </c>
      <c r="K35" s="242" t="str">
        <f>IF(J35="","",IF(J35="Muy Baja",0.2,IF(J35="Baja",0.4,IF(J35="Media",0.6,IF(J35="Alta",0.8,IF(J35="Muy Alta",1,))))))</f>
        <v/>
      </c>
      <c r="L35" s="239"/>
      <c r="M35" s="242">
        <f ca="1">IF(NOT(ISERROR(MATCH(L35,'Tabla Impacto'!$B$221:$B$223,0))),'Tabla Impacto'!$F$223&amp;"Por favor no seleccionar los criterios de impacto(Afectación Económica o presupuestal y Pérdida Reputacional)",L35)</f>
        <v>0</v>
      </c>
      <c r="N35" s="245" t="str">
        <f ca="1">IF(OR(M35='Tabla Impacto'!$C$11,M35='Tabla Impacto'!$D$11),"Leve",IF(OR(M35='Tabla Impacto'!$C$12,M35='Tabla Impacto'!$D$12),"Menor",IF(OR(M35='Tabla Impacto'!$C$13,M35='Tabla Impacto'!$D$13),"Moderado",IF(OR(M35='Tabla Impacto'!$C$14,M35='Tabla Impacto'!$D$14),"Mayor",IF(OR(M35='Tabla Impacto'!$C$15,M35='Tabla Impacto'!$D$15),"Catastrófico","")))))</f>
        <v/>
      </c>
      <c r="O35" s="242" t="str">
        <f ca="1">IF(N35="","",IF(N35="Leve",0.2,IF(N35="Menor",0.4,IF(N35="Moderado",0.6,IF(N35="Mayor",0.8,IF(N35="Catastrófico",1,))))))</f>
        <v/>
      </c>
      <c r="P35" s="248" t="str">
        <f ca="1">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123"/>
      <c r="R35" s="146"/>
      <c r="S35" s="124" t="str">
        <f>IF(OR(T35="Preventivo",T35="Detectivo"),"Probabilidad",IF(T35="Correctivo","Impacto",""))</f>
        <v/>
      </c>
      <c r="T35" s="125"/>
      <c r="U35" s="125"/>
      <c r="V35" s="126" t="str">
        <f>IF(AND(T35="Preventivo",U35="Automático"),"50%",IF(AND(T35="Preventivo",U35="Manual"),"40%",IF(AND(T35="Detectivo",U35="Automático"),"40%",IF(AND(T35="Detectivo",U35="Manual"),"30%",IF(AND(T35="Correctivo",U35="Automático"),"35%",IF(AND(T35="Correctivo",U35="Manual"),"25%",""))))))</f>
        <v/>
      </c>
      <c r="W35" s="125"/>
      <c r="X35" s="125"/>
      <c r="Y35" s="125"/>
      <c r="Z35" s="127" t="str">
        <f>IFERROR(IF(S35="Probabilidad",(K35-(+K35*V35)),IF(S35="Impacto",K35,"")),"")</f>
        <v/>
      </c>
      <c r="AA35" s="128" t="str">
        <f>IFERROR(IF(Z35="","",IF(Z35&lt;=0.2,"Muy Baja",IF(Z35&lt;=0.4,"Baja",IF(Z35&lt;=0.6,"Media",IF(Z35&lt;=0.8,"Alta","Muy Alta"))))),"")</f>
        <v/>
      </c>
      <c r="AB35" s="129" t="str">
        <f>+Z35</f>
        <v/>
      </c>
      <c r="AC35" s="128" t="str">
        <f>IFERROR(IF(AD35="","",IF(AD35&lt;=0.2,"Leve",IF(AD35&lt;=0.4,"Menor",IF(AD35&lt;=0.6,"Moderado",IF(AD35&lt;=0.8,"Mayor","Catastrófico"))))),"")</f>
        <v/>
      </c>
      <c r="AD35" s="129" t="str">
        <f>IFERROR(IF(S35="Impacto",(O35-(+O35*V35)),IF(S35="Probabilidad",O35,"")),"")</f>
        <v/>
      </c>
      <c r="AE35" s="130"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1"/>
      <c r="AG35" s="132"/>
      <c r="AH35" s="133"/>
      <c r="AI35" s="134"/>
      <c r="AJ35" s="134"/>
      <c r="AK35" s="132"/>
      <c r="AL35" s="133"/>
      <c r="AM35" s="133"/>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284"/>
      <c r="B36" s="287"/>
      <c r="C36" s="287"/>
      <c r="D36" s="287"/>
      <c r="E36" s="140"/>
      <c r="F36" s="290"/>
      <c r="G36" s="143"/>
      <c r="H36" s="287"/>
      <c r="I36" s="293"/>
      <c r="J36" s="246"/>
      <c r="K36" s="243"/>
      <c r="L36" s="240"/>
      <c r="M36" s="243">
        <f ca="1">IF(NOT(ISERROR(MATCH(L36,_xlfn.ANCHORARRAY(F47),0))),K49&amp;"Por favor no seleccionar los criterios de impacto",L36)</f>
        <v>0</v>
      </c>
      <c r="N36" s="246"/>
      <c r="O36" s="243"/>
      <c r="P36" s="249"/>
      <c r="Q36" s="123"/>
      <c r="R36" s="146"/>
      <c r="S36" s="124" t="str">
        <f>IF(OR(T36="Preventivo",T36="Detectivo"),"Probabilidad",IF(T36="Correctivo","Impacto",""))</f>
        <v/>
      </c>
      <c r="T36" s="125"/>
      <c r="U36" s="125"/>
      <c r="V36" s="126" t="str">
        <f t="shared" ref="V36:V40" si="23">IF(AND(T36="Preventivo",U36="Automático"),"50%",IF(AND(T36="Preventivo",U36="Manual"),"40%",IF(AND(T36="Detectivo",U36="Automático"),"40%",IF(AND(T36="Detectivo",U36="Manual"),"30%",IF(AND(T36="Correctivo",U36="Automático"),"35%",IF(AND(T36="Correctivo",U36="Manual"),"25%",""))))))</f>
        <v/>
      </c>
      <c r="W36" s="125"/>
      <c r="X36" s="125"/>
      <c r="Y36" s="125"/>
      <c r="Z36" s="127" t="str">
        <f>IFERROR(IF(AND(S35="Probabilidad",S36="Probabilidad"),(AB35-(+AB35*V36)),IF(S36="Probabilidad",(K35-(+K35*V36)),IF(S36="Impacto",AB35,""))),"")</f>
        <v/>
      </c>
      <c r="AA36" s="128" t="str">
        <f t="shared" si="8"/>
        <v/>
      </c>
      <c r="AB36" s="129" t="str">
        <f t="shared" ref="AB36:AB40" si="24">+Z36</f>
        <v/>
      </c>
      <c r="AC36" s="128" t="str">
        <f t="shared" si="10"/>
        <v/>
      </c>
      <c r="AD36" s="129" t="str">
        <f>IFERROR(IF(AND(S35="Impacto",S36="Impacto"),(AD35-(+AD35*V36)),IF(S36="Impacto",(O35-(+O35*V36)),IF(S36="Probabilidad",AD35,""))),"")</f>
        <v/>
      </c>
      <c r="AE36" s="130" t="str">
        <f t="shared" ref="AE36:AE37" si="25">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1"/>
      <c r="AG36" s="132"/>
      <c r="AH36" s="133"/>
      <c r="AI36" s="134"/>
      <c r="AJ36" s="134"/>
      <c r="AK36" s="132"/>
      <c r="AL36" s="133"/>
      <c r="AM36" s="133"/>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284"/>
      <c r="B37" s="287"/>
      <c r="C37" s="287"/>
      <c r="D37" s="287"/>
      <c r="E37" s="140"/>
      <c r="F37" s="290"/>
      <c r="G37" s="143"/>
      <c r="H37" s="287"/>
      <c r="I37" s="293"/>
      <c r="J37" s="246"/>
      <c r="K37" s="243"/>
      <c r="L37" s="240"/>
      <c r="M37" s="243">
        <f ca="1">IF(NOT(ISERROR(MATCH(L37,_xlfn.ANCHORARRAY(F48),0))),K50&amp;"Por favor no seleccionar los criterios de impacto",L37)</f>
        <v>0</v>
      </c>
      <c r="N37" s="246"/>
      <c r="O37" s="243"/>
      <c r="P37" s="249"/>
      <c r="Q37" s="123"/>
      <c r="R37" s="135"/>
      <c r="S37" s="124" t="str">
        <f>IF(OR(T37="Preventivo",T37="Detectivo"),"Probabilidad",IF(T37="Correctivo","Impacto",""))</f>
        <v/>
      </c>
      <c r="T37" s="125"/>
      <c r="U37" s="125"/>
      <c r="V37" s="126" t="str">
        <f t="shared" si="23"/>
        <v/>
      </c>
      <c r="W37" s="125"/>
      <c r="X37" s="125"/>
      <c r="Y37" s="125"/>
      <c r="Z37" s="127" t="str">
        <f>IFERROR(IF(AND(S36="Probabilidad",S37="Probabilidad"),(AB36-(+AB36*V37)),IF(AND(S36="Impacto",S37="Probabilidad"),(AB35-(+AB35*V37)),IF(S37="Impacto",AB36,""))),"")</f>
        <v/>
      </c>
      <c r="AA37" s="128" t="str">
        <f t="shared" si="8"/>
        <v/>
      </c>
      <c r="AB37" s="129" t="str">
        <f t="shared" si="24"/>
        <v/>
      </c>
      <c r="AC37" s="128" t="str">
        <f t="shared" si="10"/>
        <v/>
      </c>
      <c r="AD37" s="129" t="str">
        <f>IFERROR(IF(AND(S36="Impacto",S37="Impacto"),(AD36-(+AD36*V37)),IF(AND(S36="Probabilidad",S37="Impacto"),(AD35-(+AD35*V37)),IF(S37="Probabilidad",AD36,""))),"")</f>
        <v/>
      </c>
      <c r="AE37" s="130" t="str">
        <f t="shared" si="25"/>
        <v/>
      </c>
      <c r="AF37" s="131"/>
      <c r="AG37" s="132"/>
      <c r="AH37" s="133"/>
      <c r="AI37" s="134"/>
      <c r="AJ37" s="134"/>
      <c r="AK37" s="132"/>
      <c r="AL37" s="133"/>
      <c r="AM37" s="133"/>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284"/>
      <c r="B38" s="287"/>
      <c r="C38" s="287"/>
      <c r="D38" s="287"/>
      <c r="E38" s="140"/>
      <c r="F38" s="290"/>
      <c r="G38" s="143"/>
      <c r="H38" s="287"/>
      <c r="I38" s="293"/>
      <c r="J38" s="246"/>
      <c r="K38" s="243"/>
      <c r="L38" s="240"/>
      <c r="M38" s="243">
        <f ca="1">IF(NOT(ISERROR(MATCH(L38,_xlfn.ANCHORARRAY(F49),0))),K51&amp;"Por favor no seleccionar los criterios de impacto",L38)</f>
        <v>0</v>
      </c>
      <c r="N38" s="246"/>
      <c r="O38" s="243"/>
      <c r="P38" s="249"/>
      <c r="Q38" s="123"/>
      <c r="R38" s="146"/>
      <c r="S38" s="124" t="str">
        <f t="shared" ref="S38:S40" si="26">IF(OR(T38="Preventivo",T38="Detectivo"),"Probabilidad",IF(T38="Correctivo","Impacto",""))</f>
        <v/>
      </c>
      <c r="T38" s="125"/>
      <c r="U38" s="125"/>
      <c r="V38" s="126" t="str">
        <f t="shared" si="23"/>
        <v/>
      </c>
      <c r="W38" s="125"/>
      <c r="X38" s="125"/>
      <c r="Y38" s="125"/>
      <c r="Z38" s="127" t="str">
        <f t="shared" ref="Z38:Z40" si="27">IFERROR(IF(AND(S37="Probabilidad",S38="Probabilidad"),(AB37-(+AB37*V38)),IF(AND(S37="Impacto",S38="Probabilidad"),(AB36-(+AB36*V38)),IF(S38="Impacto",AB37,""))),"")</f>
        <v/>
      </c>
      <c r="AA38" s="128" t="str">
        <f t="shared" si="8"/>
        <v/>
      </c>
      <c r="AB38" s="129" t="str">
        <f t="shared" si="24"/>
        <v/>
      </c>
      <c r="AC38" s="128" t="str">
        <f t="shared" si="10"/>
        <v/>
      </c>
      <c r="AD38" s="129" t="str">
        <f t="shared" ref="AD38:AD40" si="28">IFERROR(IF(AND(S37="Impacto",S38="Impacto"),(AD37-(+AD37*V38)),IF(AND(S37="Probabilidad",S38="Impacto"),(AD36-(+AD36*V38)),IF(S38="Probabilidad",AD37,""))),"")</f>
        <v/>
      </c>
      <c r="AE38" s="130" t="str">
        <f>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1"/>
      <c r="AG38" s="132"/>
      <c r="AH38" s="133"/>
      <c r="AI38" s="134"/>
      <c r="AJ38" s="134"/>
      <c r="AK38" s="132"/>
      <c r="AL38" s="133"/>
      <c r="AM38" s="133"/>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284"/>
      <c r="B39" s="287"/>
      <c r="C39" s="287"/>
      <c r="D39" s="287"/>
      <c r="E39" s="140"/>
      <c r="F39" s="290"/>
      <c r="G39" s="143"/>
      <c r="H39" s="287"/>
      <c r="I39" s="293"/>
      <c r="J39" s="246"/>
      <c r="K39" s="243"/>
      <c r="L39" s="240"/>
      <c r="M39" s="243">
        <f ca="1">IF(NOT(ISERROR(MATCH(L39,_xlfn.ANCHORARRAY(F50),0))),K52&amp;"Por favor no seleccionar los criterios de impacto",L39)</f>
        <v>0</v>
      </c>
      <c r="N39" s="246"/>
      <c r="O39" s="243"/>
      <c r="P39" s="249"/>
      <c r="Q39" s="123"/>
      <c r="R39" s="146"/>
      <c r="S39" s="124" t="str">
        <f t="shared" si="26"/>
        <v/>
      </c>
      <c r="T39" s="125"/>
      <c r="U39" s="125"/>
      <c r="V39" s="126" t="str">
        <f t="shared" si="23"/>
        <v/>
      </c>
      <c r="W39" s="125"/>
      <c r="X39" s="125"/>
      <c r="Y39" s="125"/>
      <c r="Z39" s="127" t="str">
        <f t="shared" si="27"/>
        <v/>
      </c>
      <c r="AA39" s="128" t="str">
        <f t="shared" si="8"/>
        <v/>
      </c>
      <c r="AB39" s="129" t="str">
        <f t="shared" si="24"/>
        <v/>
      </c>
      <c r="AC39" s="128" t="str">
        <f t="shared" si="10"/>
        <v/>
      </c>
      <c r="AD39" s="129" t="str">
        <f t="shared" si="28"/>
        <v/>
      </c>
      <c r="AE39" s="130" t="str">
        <f t="shared" ref="AE39" si="29">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1"/>
      <c r="AG39" s="132"/>
      <c r="AH39" s="133"/>
      <c r="AI39" s="134"/>
      <c r="AJ39" s="134"/>
      <c r="AK39" s="132"/>
      <c r="AL39" s="133"/>
      <c r="AM39" s="133"/>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285"/>
      <c r="B40" s="288"/>
      <c r="C40" s="288"/>
      <c r="D40" s="288"/>
      <c r="E40" s="141"/>
      <c r="F40" s="291"/>
      <c r="G40" s="144"/>
      <c r="H40" s="288"/>
      <c r="I40" s="294"/>
      <c r="J40" s="247"/>
      <c r="K40" s="244"/>
      <c r="L40" s="241"/>
      <c r="M40" s="244">
        <f ca="1">IF(NOT(ISERROR(MATCH(L40,_xlfn.ANCHORARRAY(F51),0))),K53&amp;"Por favor no seleccionar los criterios de impacto",L40)</f>
        <v>0</v>
      </c>
      <c r="N40" s="247"/>
      <c r="O40" s="244"/>
      <c r="P40" s="250"/>
      <c r="Q40" s="123"/>
      <c r="R40" s="146"/>
      <c r="S40" s="124" t="str">
        <f t="shared" si="26"/>
        <v/>
      </c>
      <c r="T40" s="125"/>
      <c r="U40" s="125"/>
      <c r="V40" s="126" t="str">
        <f t="shared" si="23"/>
        <v/>
      </c>
      <c r="W40" s="125"/>
      <c r="X40" s="125"/>
      <c r="Y40" s="125"/>
      <c r="Z40" s="127" t="str">
        <f t="shared" si="27"/>
        <v/>
      </c>
      <c r="AA40" s="128" t="str">
        <f t="shared" si="8"/>
        <v/>
      </c>
      <c r="AB40" s="129" t="str">
        <f t="shared" si="24"/>
        <v/>
      </c>
      <c r="AC40" s="128" t="str">
        <f>IFERROR(IF(AD40="","",IF(AD40&lt;=0.2,"Leve",IF(AD40&lt;=0.4,"Menor",IF(AD40&lt;=0.6,"Moderado",IF(AD40&lt;=0.8,"Mayor","Catastrófico"))))),"")</f>
        <v/>
      </c>
      <c r="AD40" s="129" t="str">
        <f t="shared" si="28"/>
        <v/>
      </c>
      <c r="AE40" s="130"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1"/>
      <c r="AG40" s="132"/>
      <c r="AH40" s="133"/>
      <c r="AI40" s="134"/>
      <c r="AJ40" s="134"/>
      <c r="AK40" s="132"/>
      <c r="AL40" s="133"/>
      <c r="AM40" s="133"/>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283">
        <v>7</v>
      </c>
      <c r="B41" s="286"/>
      <c r="C41" s="286"/>
      <c r="D41" s="286"/>
      <c r="E41" s="139"/>
      <c r="F41" s="289"/>
      <c r="G41" s="142"/>
      <c r="H41" s="286"/>
      <c r="I41" s="292"/>
      <c r="J41" s="245" t="str">
        <f>IF(I41&lt;=0,"",IF(I41&lt;=2,"Muy Baja",IF(I41&lt;=24,"Baja",IF(I41&lt;=500,"Media",IF(I41&lt;=5000,"Alta","Muy Alta")))))</f>
        <v/>
      </c>
      <c r="K41" s="242" t="str">
        <f>IF(J41="","",IF(J41="Muy Baja",0.2,IF(J41="Baja",0.4,IF(J41="Media",0.6,IF(J41="Alta",0.8,IF(J41="Muy Alta",1,))))))</f>
        <v/>
      </c>
      <c r="L41" s="239"/>
      <c r="M41" s="242">
        <f ca="1">IF(NOT(ISERROR(MATCH(L41,'Tabla Impacto'!$B$221:$B$223,0))),'Tabla Impacto'!$F$223&amp;"Por favor no seleccionar los criterios de impacto(Afectación Económica o presupuestal y Pérdida Reputacional)",L41)</f>
        <v>0</v>
      </c>
      <c r="N41" s="245" t="str">
        <f ca="1">IF(OR(M41='Tabla Impacto'!$C$11,M41='Tabla Impacto'!$D$11),"Leve",IF(OR(M41='Tabla Impacto'!$C$12,M41='Tabla Impacto'!$D$12),"Menor",IF(OR(M41='Tabla Impacto'!$C$13,M41='Tabla Impacto'!$D$13),"Moderado",IF(OR(M41='Tabla Impacto'!$C$14,M41='Tabla Impacto'!$D$14),"Mayor",IF(OR(M41='Tabla Impacto'!$C$15,M41='Tabla Impacto'!$D$15),"Catastrófico","")))))</f>
        <v/>
      </c>
      <c r="O41" s="242" t="str">
        <f ca="1">IF(N41="","",IF(N41="Leve",0.2,IF(N41="Menor",0.4,IF(N41="Moderado",0.6,IF(N41="Mayor",0.8,IF(N41="Catastrófico",1,))))))</f>
        <v/>
      </c>
      <c r="P41" s="248" t="str">
        <f ca="1">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123"/>
      <c r="R41" s="146"/>
      <c r="S41" s="124" t="str">
        <f>IF(OR(T41="Preventivo",T41="Detectivo"),"Probabilidad",IF(T41="Correctivo","Impacto",""))</f>
        <v/>
      </c>
      <c r="T41" s="125"/>
      <c r="U41" s="125"/>
      <c r="V41" s="126" t="str">
        <f>IF(AND(T41="Preventivo",U41="Automático"),"50%",IF(AND(T41="Preventivo",U41="Manual"),"40%",IF(AND(T41="Detectivo",U41="Automático"),"40%",IF(AND(T41="Detectivo",U41="Manual"),"30%",IF(AND(T41="Correctivo",U41="Automático"),"35%",IF(AND(T41="Correctivo",U41="Manual"),"25%",""))))))</f>
        <v/>
      </c>
      <c r="W41" s="125"/>
      <c r="X41" s="125"/>
      <c r="Y41" s="125"/>
      <c r="Z41" s="127" t="str">
        <f>IFERROR(IF(S41="Probabilidad",(K41-(+K41*V41)),IF(S41="Impacto",K41,"")),"")</f>
        <v/>
      </c>
      <c r="AA41" s="128" t="str">
        <f>IFERROR(IF(Z41="","",IF(Z41&lt;=0.2,"Muy Baja",IF(Z41&lt;=0.4,"Baja",IF(Z41&lt;=0.6,"Media",IF(Z41&lt;=0.8,"Alta","Muy Alta"))))),"")</f>
        <v/>
      </c>
      <c r="AB41" s="129" t="str">
        <f>+Z41</f>
        <v/>
      </c>
      <c r="AC41" s="128" t="str">
        <f>IFERROR(IF(AD41="","",IF(AD41&lt;=0.2,"Leve",IF(AD41&lt;=0.4,"Menor",IF(AD41&lt;=0.6,"Moderado",IF(AD41&lt;=0.8,"Mayor","Catastrófico"))))),"")</f>
        <v/>
      </c>
      <c r="AD41" s="129" t="str">
        <f>IFERROR(IF(S41="Impacto",(O41-(+O41*V41)),IF(S41="Probabilidad",O41,"")),"")</f>
        <v/>
      </c>
      <c r="AE41" s="130"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1"/>
      <c r="AG41" s="132"/>
      <c r="AH41" s="133"/>
      <c r="AI41" s="134"/>
      <c r="AJ41" s="134"/>
      <c r="AK41" s="132"/>
      <c r="AL41" s="133"/>
      <c r="AM41" s="133"/>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284"/>
      <c r="B42" s="287"/>
      <c r="C42" s="287"/>
      <c r="D42" s="287"/>
      <c r="E42" s="140"/>
      <c r="F42" s="290"/>
      <c r="G42" s="143"/>
      <c r="H42" s="287"/>
      <c r="I42" s="293"/>
      <c r="J42" s="246"/>
      <c r="K42" s="243"/>
      <c r="L42" s="240"/>
      <c r="M42" s="243">
        <f ca="1">IF(NOT(ISERROR(MATCH(L42,_xlfn.ANCHORARRAY(F53),0))),K55&amp;"Por favor no seleccionar los criterios de impacto",L42)</f>
        <v>0</v>
      </c>
      <c r="N42" s="246"/>
      <c r="O42" s="243"/>
      <c r="P42" s="249"/>
      <c r="Q42" s="123"/>
      <c r="R42" s="146"/>
      <c r="S42" s="124" t="str">
        <f>IF(OR(T42="Preventivo",T42="Detectivo"),"Probabilidad",IF(T42="Correctivo","Impacto",""))</f>
        <v/>
      </c>
      <c r="T42" s="125"/>
      <c r="U42" s="125"/>
      <c r="V42" s="126" t="str">
        <f t="shared" ref="V42:V46" si="30">IF(AND(T42="Preventivo",U42="Automático"),"50%",IF(AND(T42="Preventivo",U42="Manual"),"40%",IF(AND(T42="Detectivo",U42="Automático"),"40%",IF(AND(T42="Detectivo",U42="Manual"),"30%",IF(AND(T42="Correctivo",U42="Automático"),"35%",IF(AND(T42="Correctivo",U42="Manual"),"25%",""))))))</f>
        <v/>
      </c>
      <c r="W42" s="125"/>
      <c r="X42" s="125"/>
      <c r="Y42" s="125"/>
      <c r="Z42" s="127" t="str">
        <f>IFERROR(IF(AND(S41="Probabilidad",S42="Probabilidad"),(AB41-(+AB41*V42)),IF(S42="Probabilidad",(K41-(+K41*V42)),IF(S42="Impacto",AB41,""))),"")</f>
        <v/>
      </c>
      <c r="AA42" s="128" t="str">
        <f t="shared" si="8"/>
        <v/>
      </c>
      <c r="AB42" s="129" t="str">
        <f t="shared" ref="AB42:AB46" si="31">+Z42</f>
        <v/>
      </c>
      <c r="AC42" s="128" t="str">
        <f t="shared" si="10"/>
        <v/>
      </c>
      <c r="AD42" s="129" t="str">
        <f>IFERROR(IF(AND(S41="Impacto",S42="Impacto"),(AD41-(+AD41*V42)),IF(S42="Impacto",(O41-(+O41*V42)),IF(S42="Probabilidad",AD41,""))),"")</f>
        <v/>
      </c>
      <c r="AE42" s="130" t="str">
        <f t="shared" ref="AE42:AE43" si="32">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1"/>
      <c r="AG42" s="132"/>
      <c r="AH42" s="133"/>
      <c r="AI42" s="134"/>
      <c r="AJ42" s="134"/>
      <c r="AK42" s="132"/>
      <c r="AL42" s="133"/>
      <c r="AM42" s="133"/>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284"/>
      <c r="B43" s="287"/>
      <c r="C43" s="287"/>
      <c r="D43" s="287"/>
      <c r="E43" s="140"/>
      <c r="F43" s="290"/>
      <c r="G43" s="143"/>
      <c r="H43" s="287"/>
      <c r="I43" s="293"/>
      <c r="J43" s="246"/>
      <c r="K43" s="243"/>
      <c r="L43" s="240"/>
      <c r="M43" s="243">
        <f ca="1">IF(NOT(ISERROR(MATCH(L43,_xlfn.ANCHORARRAY(F54),0))),K56&amp;"Por favor no seleccionar los criterios de impacto",L43)</f>
        <v>0</v>
      </c>
      <c r="N43" s="246"/>
      <c r="O43" s="243"/>
      <c r="P43" s="249"/>
      <c r="Q43" s="123"/>
      <c r="R43" s="135"/>
      <c r="S43" s="124" t="str">
        <f>IF(OR(T43="Preventivo",T43="Detectivo"),"Probabilidad",IF(T43="Correctivo","Impacto",""))</f>
        <v/>
      </c>
      <c r="T43" s="125"/>
      <c r="U43" s="125"/>
      <c r="V43" s="126" t="str">
        <f t="shared" si="30"/>
        <v/>
      </c>
      <c r="W43" s="125"/>
      <c r="X43" s="125"/>
      <c r="Y43" s="125"/>
      <c r="Z43" s="127" t="str">
        <f>IFERROR(IF(AND(S42="Probabilidad",S43="Probabilidad"),(AB42-(+AB42*V43)),IF(AND(S42="Impacto",S43="Probabilidad"),(AB41-(+AB41*V43)),IF(S43="Impacto",AB42,""))),"")</f>
        <v/>
      </c>
      <c r="AA43" s="128" t="str">
        <f t="shared" si="8"/>
        <v/>
      </c>
      <c r="AB43" s="129" t="str">
        <f t="shared" si="31"/>
        <v/>
      </c>
      <c r="AC43" s="128" t="str">
        <f t="shared" si="10"/>
        <v/>
      </c>
      <c r="AD43" s="129" t="str">
        <f>IFERROR(IF(AND(S42="Impacto",S43="Impacto"),(AD42-(+AD42*V43)),IF(AND(S42="Probabilidad",S43="Impacto"),(AD41-(+AD41*V43)),IF(S43="Probabilidad",AD42,""))),"")</f>
        <v/>
      </c>
      <c r="AE43" s="130" t="str">
        <f t="shared" si="32"/>
        <v/>
      </c>
      <c r="AF43" s="131"/>
      <c r="AG43" s="132"/>
      <c r="AH43" s="133"/>
      <c r="AI43" s="134"/>
      <c r="AJ43" s="134"/>
      <c r="AK43" s="132"/>
      <c r="AL43" s="133"/>
      <c r="AM43" s="133"/>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284"/>
      <c r="B44" s="287"/>
      <c r="C44" s="287"/>
      <c r="D44" s="287"/>
      <c r="E44" s="140"/>
      <c r="F44" s="290"/>
      <c r="G44" s="143"/>
      <c r="H44" s="287"/>
      <c r="I44" s="293"/>
      <c r="J44" s="246"/>
      <c r="K44" s="243"/>
      <c r="L44" s="240"/>
      <c r="M44" s="243">
        <f ca="1">IF(NOT(ISERROR(MATCH(L44,_xlfn.ANCHORARRAY(F55),0))),K57&amp;"Por favor no seleccionar los criterios de impacto",L44)</f>
        <v>0</v>
      </c>
      <c r="N44" s="246"/>
      <c r="O44" s="243"/>
      <c r="P44" s="249"/>
      <c r="Q44" s="123"/>
      <c r="R44" s="146"/>
      <c r="S44" s="124" t="str">
        <f t="shared" ref="S44:S46" si="33">IF(OR(T44="Preventivo",T44="Detectivo"),"Probabilidad",IF(T44="Correctivo","Impacto",""))</f>
        <v/>
      </c>
      <c r="T44" s="125"/>
      <c r="U44" s="125"/>
      <c r="V44" s="126" t="str">
        <f t="shared" si="30"/>
        <v/>
      </c>
      <c r="W44" s="125"/>
      <c r="X44" s="125"/>
      <c r="Y44" s="125"/>
      <c r="Z44" s="127" t="str">
        <f t="shared" ref="Z44:Z46" si="34">IFERROR(IF(AND(S43="Probabilidad",S44="Probabilidad"),(AB43-(+AB43*V44)),IF(AND(S43="Impacto",S44="Probabilidad"),(AB42-(+AB42*V44)),IF(S44="Impacto",AB43,""))),"")</f>
        <v/>
      </c>
      <c r="AA44" s="128" t="str">
        <f t="shared" si="8"/>
        <v/>
      </c>
      <c r="AB44" s="129" t="str">
        <f t="shared" si="31"/>
        <v/>
      </c>
      <c r="AC44" s="128" t="str">
        <f t="shared" si="10"/>
        <v/>
      </c>
      <c r="AD44" s="129" t="str">
        <f t="shared" ref="AD44:AD46" si="35">IFERROR(IF(AND(S43="Impacto",S44="Impacto"),(AD43-(+AD43*V44)),IF(AND(S43="Probabilidad",S44="Impacto"),(AD42-(+AD42*V44)),IF(S44="Probabilidad",AD43,""))),"")</f>
        <v/>
      </c>
      <c r="AE44" s="130"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1"/>
      <c r="AG44" s="132"/>
      <c r="AH44" s="133"/>
      <c r="AI44" s="134"/>
      <c r="AJ44" s="134"/>
      <c r="AK44" s="132"/>
      <c r="AL44" s="133"/>
      <c r="AM44" s="133"/>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284"/>
      <c r="B45" s="287"/>
      <c r="C45" s="287"/>
      <c r="D45" s="287"/>
      <c r="E45" s="140"/>
      <c r="F45" s="290"/>
      <c r="G45" s="143"/>
      <c r="H45" s="287"/>
      <c r="I45" s="293"/>
      <c r="J45" s="246"/>
      <c r="K45" s="243"/>
      <c r="L45" s="240"/>
      <c r="M45" s="243">
        <f ca="1">IF(NOT(ISERROR(MATCH(L45,_xlfn.ANCHORARRAY(F56),0))),K58&amp;"Por favor no seleccionar los criterios de impacto",L45)</f>
        <v>0</v>
      </c>
      <c r="N45" s="246"/>
      <c r="O45" s="243"/>
      <c r="P45" s="249"/>
      <c r="Q45" s="123"/>
      <c r="R45" s="146"/>
      <c r="S45" s="124" t="str">
        <f t="shared" si="33"/>
        <v/>
      </c>
      <c r="T45" s="125"/>
      <c r="U45" s="125"/>
      <c r="V45" s="126" t="str">
        <f t="shared" si="30"/>
        <v/>
      </c>
      <c r="W45" s="125"/>
      <c r="X45" s="125"/>
      <c r="Y45" s="125"/>
      <c r="Z45" s="127" t="str">
        <f t="shared" si="34"/>
        <v/>
      </c>
      <c r="AA45" s="128" t="str">
        <f t="shared" si="8"/>
        <v/>
      </c>
      <c r="AB45" s="129" t="str">
        <f t="shared" si="31"/>
        <v/>
      </c>
      <c r="AC45" s="128" t="str">
        <f t="shared" si="10"/>
        <v/>
      </c>
      <c r="AD45" s="129" t="str">
        <f t="shared" si="35"/>
        <v/>
      </c>
      <c r="AE45" s="130" t="str">
        <f t="shared" ref="AE45:AE46" si="36">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1"/>
      <c r="AG45" s="132"/>
      <c r="AH45" s="133"/>
      <c r="AI45" s="134"/>
      <c r="AJ45" s="134"/>
      <c r="AK45" s="132"/>
      <c r="AL45" s="133"/>
      <c r="AM45" s="133"/>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285"/>
      <c r="B46" s="288"/>
      <c r="C46" s="288"/>
      <c r="D46" s="288"/>
      <c r="E46" s="141"/>
      <c r="F46" s="291"/>
      <c r="G46" s="144"/>
      <c r="H46" s="288"/>
      <c r="I46" s="294"/>
      <c r="J46" s="247"/>
      <c r="K46" s="244"/>
      <c r="L46" s="241"/>
      <c r="M46" s="244">
        <f ca="1">IF(NOT(ISERROR(MATCH(L46,_xlfn.ANCHORARRAY(F57),0))),K59&amp;"Por favor no seleccionar los criterios de impacto",L46)</f>
        <v>0</v>
      </c>
      <c r="N46" s="247"/>
      <c r="O46" s="244"/>
      <c r="P46" s="250"/>
      <c r="Q46" s="123"/>
      <c r="R46" s="146"/>
      <c r="S46" s="124" t="str">
        <f t="shared" si="33"/>
        <v/>
      </c>
      <c r="T46" s="125"/>
      <c r="U46" s="125"/>
      <c r="V46" s="126" t="str">
        <f t="shared" si="30"/>
        <v/>
      </c>
      <c r="W46" s="125"/>
      <c r="X46" s="125"/>
      <c r="Y46" s="125"/>
      <c r="Z46" s="127" t="str">
        <f t="shared" si="34"/>
        <v/>
      </c>
      <c r="AA46" s="128" t="str">
        <f t="shared" si="8"/>
        <v/>
      </c>
      <c r="AB46" s="129" t="str">
        <f t="shared" si="31"/>
        <v/>
      </c>
      <c r="AC46" s="128" t="str">
        <f t="shared" si="10"/>
        <v/>
      </c>
      <c r="AD46" s="129" t="str">
        <f t="shared" si="35"/>
        <v/>
      </c>
      <c r="AE46" s="130" t="str">
        <f t="shared" si="36"/>
        <v/>
      </c>
      <c r="AF46" s="131"/>
      <c r="AG46" s="132"/>
      <c r="AH46" s="133"/>
      <c r="AI46" s="134"/>
      <c r="AJ46" s="134"/>
      <c r="AK46" s="132"/>
      <c r="AL46" s="133"/>
      <c r="AM46" s="133"/>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283">
        <v>8</v>
      </c>
      <c r="B47" s="286"/>
      <c r="C47" s="286"/>
      <c r="D47" s="286"/>
      <c r="E47" s="139"/>
      <c r="F47" s="289"/>
      <c r="G47" s="142"/>
      <c r="H47" s="286"/>
      <c r="I47" s="292"/>
      <c r="J47" s="245" t="str">
        <f>IF(I47&lt;=0,"",IF(I47&lt;=2,"Muy Baja",IF(I47&lt;=24,"Baja",IF(I47&lt;=500,"Media",IF(I47&lt;=5000,"Alta","Muy Alta")))))</f>
        <v/>
      </c>
      <c r="K47" s="242" t="str">
        <f>IF(J47="","",IF(J47="Muy Baja",0.2,IF(J47="Baja",0.4,IF(J47="Media",0.6,IF(J47="Alta",0.8,IF(J47="Muy Alta",1,))))))</f>
        <v/>
      </c>
      <c r="L47" s="239"/>
      <c r="M47" s="242">
        <f ca="1">IF(NOT(ISERROR(MATCH(L47,'Tabla Impacto'!$B$221:$B$223,0))),'Tabla Impacto'!$F$223&amp;"Por favor no seleccionar los criterios de impacto(Afectación Económica o presupuestal y Pérdida Reputacional)",L47)</f>
        <v>0</v>
      </c>
      <c r="N47" s="245" t="str">
        <f ca="1">IF(OR(M47='Tabla Impacto'!$C$11,M47='Tabla Impacto'!$D$11),"Leve",IF(OR(M47='Tabla Impacto'!$C$12,M47='Tabla Impacto'!$D$12),"Menor",IF(OR(M47='Tabla Impacto'!$C$13,M47='Tabla Impacto'!$D$13),"Moderado",IF(OR(M47='Tabla Impacto'!$C$14,M47='Tabla Impacto'!$D$14),"Mayor",IF(OR(M47='Tabla Impacto'!$C$15,M47='Tabla Impacto'!$D$15),"Catastrófico","")))))</f>
        <v/>
      </c>
      <c r="O47" s="242" t="str">
        <f ca="1">IF(N47="","",IF(N47="Leve",0.2,IF(N47="Menor",0.4,IF(N47="Moderado",0.6,IF(N47="Mayor",0.8,IF(N47="Catastrófico",1,))))))</f>
        <v/>
      </c>
      <c r="P47" s="248" t="str">
        <f ca="1">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123"/>
      <c r="R47" s="146"/>
      <c r="S47" s="124" t="str">
        <f>IF(OR(T47="Preventivo",T47="Detectivo"),"Probabilidad",IF(T47="Correctivo","Impacto",""))</f>
        <v/>
      </c>
      <c r="T47" s="125"/>
      <c r="U47" s="125"/>
      <c r="V47" s="126" t="str">
        <f>IF(AND(T47="Preventivo",U47="Automático"),"50%",IF(AND(T47="Preventivo",U47="Manual"),"40%",IF(AND(T47="Detectivo",U47="Automático"),"40%",IF(AND(T47="Detectivo",U47="Manual"),"30%",IF(AND(T47="Correctivo",U47="Automático"),"35%",IF(AND(T47="Correctivo",U47="Manual"),"25%",""))))))</f>
        <v/>
      </c>
      <c r="W47" s="125"/>
      <c r="X47" s="125"/>
      <c r="Y47" s="125"/>
      <c r="Z47" s="127" t="str">
        <f>IFERROR(IF(S47="Probabilidad",(K47-(+K47*V47)),IF(S47="Impacto",K47,"")),"")</f>
        <v/>
      </c>
      <c r="AA47" s="128" t="str">
        <f>IFERROR(IF(Z47="","",IF(Z47&lt;=0.2,"Muy Baja",IF(Z47&lt;=0.4,"Baja",IF(Z47&lt;=0.6,"Media",IF(Z47&lt;=0.8,"Alta","Muy Alta"))))),"")</f>
        <v/>
      </c>
      <c r="AB47" s="129" t="str">
        <f>+Z47</f>
        <v/>
      </c>
      <c r="AC47" s="128" t="str">
        <f>IFERROR(IF(AD47="","",IF(AD47&lt;=0.2,"Leve",IF(AD47&lt;=0.4,"Menor",IF(AD47&lt;=0.6,"Moderado",IF(AD47&lt;=0.8,"Mayor","Catastrófico"))))),"")</f>
        <v/>
      </c>
      <c r="AD47" s="129" t="str">
        <f>IFERROR(IF(S47="Impacto",(O47-(+O47*V47)),IF(S47="Probabilidad",O47,"")),"")</f>
        <v/>
      </c>
      <c r="AE47" s="130"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1"/>
      <c r="AG47" s="132"/>
      <c r="AH47" s="133"/>
      <c r="AI47" s="134"/>
      <c r="AJ47" s="134"/>
      <c r="AK47" s="132"/>
      <c r="AL47" s="133"/>
      <c r="AM47" s="133"/>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284"/>
      <c r="B48" s="287"/>
      <c r="C48" s="287"/>
      <c r="D48" s="287"/>
      <c r="E48" s="140"/>
      <c r="F48" s="290"/>
      <c r="G48" s="143"/>
      <c r="H48" s="287"/>
      <c r="I48" s="293"/>
      <c r="J48" s="246"/>
      <c r="K48" s="243"/>
      <c r="L48" s="240"/>
      <c r="M48" s="243">
        <f ca="1">IF(NOT(ISERROR(MATCH(L48,_xlfn.ANCHORARRAY(F59),0))),K61&amp;"Por favor no seleccionar los criterios de impacto",L48)</f>
        <v>0</v>
      </c>
      <c r="N48" s="246"/>
      <c r="O48" s="243"/>
      <c r="P48" s="249"/>
      <c r="Q48" s="123"/>
      <c r="R48" s="146"/>
      <c r="S48" s="124" t="str">
        <f>IF(OR(T48="Preventivo",T48="Detectivo"),"Probabilidad",IF(T48="Correctivo","Impacto",""))</f>
        <v/>
      </c>
      <c r="T48" s="125"/>
      <c r="U48" s="125"/>
      <c r="V48" s="126" t="str">
        <f t="shared" ref="V48:V52" si="37">IF(AND(T48="Preventivo",U48="Automático"),"50%",IF(AND(T48="Preventivo",U48="Manual"),"40%",IF(AND(T48="Detectivo",U48="Automático"),"40%",IF(AND(T48="Detectivo",U48="Manual"),"30%",IF(AND(T48="Correctivo",U48="Automático"),"35%",IF(AND(T48="Correctivo",U48="Manual"),"25%",""))))))</f>
        <v/>
      </c>
      <c r="W48" s="125"/>
      <c r="X48" s="125"/>
      <c r="Y48" s="125"/>
      <c r="Z48" s="127" t="str">
        <f>IFERROR(IF(AND(S47="Probabilidad",S48="Probabilidad"),(AB47-(+AB47*V48)),IF(S48="Probabilidad",(K47-(+K47*V48)),IF(S48="Impacto",AB47,""))),"")</f>
        <v/>
      </c>
      <c r="AA48" s="128" t="str">
        <f t="shared" si="8"/>
        <v/>
      </c>
      <c r="AB48" s="129" t="str">
        <f t="shared" ref="AB48:AB52" si="38">+Z48</f>
        <v/>
      </c>
      <c r="AC48" s="128" t="str">
        <f t="shared" si="10"/>
        <v/>
      </c>
      <c r="AD48" s="129" t="str">
        <f>IFERROR(IF(AND(S47="Impacto",S48="Impacto"),(AD47-(+AD47*V48)),IF(S48="Impacto",(O47-(+O47*V48)),IF(S48="Probabilidad",AD47,""))),"")</f>
        <v/>
      </c>
      <c r="AE48" s="130" t="str">
        <f t="shared" ref="AE48:AE49" si="39">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1"/>
      <c r="AG48" s="132"/>
      <c r="AH48" s="133"/>
      <c r="AI48" s="134"/>
      <c r="AJ48" s="134"/>
      <c r="AK48" s="132"/>
      <c r="AL48" s="133"/>
      <c r="AM48" s="133"/>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284"/>
      <c r="B49" s="287"/>
      <c r="C49" s="287"/>
      <c r="D49" s="287"/>
      <c r="E49" s="140"/>
      <c r="F49" s="290"/>
      <c r="G49" s="143"/>
      <c r="H49" s="287"/>
      <c r="I49" s="293"/>
      <c r="J49" s="246"/>
      <c r="K49" s="243"/>
      <c r="L49" s="240"/>
      <c r="M49" s="243">
        <f ca="1">IF(NOT(ISERROR(MATCH(L49,_xlfn.ANCHORARRAY(F60),0))),K62&amp;"Por favor no seleccionar los criterios de impacto",L49)</f>
        <v>0</v>
      </c>
      <c r="N49" s="246"/>
      <c r="O49" s="243"/>
      <c r="P49" s="249"/>
      <c r="Q49" s="123"/>
      <c r="R49" s="135"/>
      <c r="S49" s="124" t="str">
        <f>IF(OR(T49="Preventivo",T49="Detectivo"),"Probabilidad",IF(T49="Correctivo","Impacto",""))</f>
        <v/>
      </c>
      <c r="T49" s="125"/>
      <c r="U49" s="125"/>
      <c r="V49" s="126" t="str">
        <f t="shared" si="37"/>
        <v/>
      </c>
      <c r="W49" s="125"/>
      <c r="X49" s="125"/>
      <c r="Y49" s="125"/>
      <c r="Z49" s="127" t="str">
        <f>IFERROR(IF(AND(S48="Probabilidad",S49="Probabilidad"),(AB48-(+AB48*V49)),IF(AND(S48="Impacto",S49="Probabilidad"),(AB47-(+AB47*V49)),IF(S49="Impacto",AB48,""))),"")</f>
        <v/>
      </c>
      <c r="AA49" s="128" t="str">
        <f t="shared" si="8"/>
        <v/>
      </c>
      <c r="AB49" s="129" t="str">
        <f t="shared" si="38"/>
        <v/>
      </c>
      <c r="AC49" s="128" t="str">
        <f t="shared" si="10"/>
        <v/>
      </c>
      <c r="AD49" s="129" t="str">
        <f>IFERROR(IF(AND(S48="Impacto",S49="Impacto"),(AD48-(+AD48*V49)),IF(AND(S48="Probabilidad",S49="Impacto"),(AD47-(+AD47*V49)),IF(S49="Probabilidad",AD48,""))),"")</f>
        <v/>
      </c>
      <c r="AE49" s="130" t="str">
        <f t="shared" si="39"/>
        <v/>
      </c>
      <c r="AF49" s="131"/>
      <c r="AG49" s="132"/>
      <c r="AH49" s="133"/>
      <c r="AI49" s="134"/>
      <c r="AJ49" s="134"/>
      <c r="AK49" s="132"/>
      <c r="AL49" s="133"/>
      <c r="AM49" s="133"/>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284"/>
      <c r="B50" s="287"/>
      <c r="C50" s="287"/>
      <c r="D50" s="287"/>
      <c r="E50" s="140"/>
      <c r="F50" s="290"/>
      <c r="G50" s="143"/>
      <c r="H50" s="287"/>
      <c r="I50" s="293"/>
      <c r="J50" s="246"/>
      <c r="K50" s="243"/>
      <c r="L50" s="240"/>
      <c r="M50" s="243">
        <f ca="1">IF(NOT(ISERROR(MATCH(L50,_xlfn.ANCHORARRAY(F61),0))),K63&amp;"Por favor no seleccionar los criterios de impacto",L50)</f>
        <v>0</v>
      </c>
      <c r="N50" s="246"/>
      <c r="O50" s="243"/>
      <c r="P50" s="249"/>
      <c r="Q50" s="123"/>
      <c r="R50" s="146"/>
      <c r="S50" s="124" t="str">
        <f t="shared" ref="S50:S52" si="40">IF(OR(T50="Preventivo",T50="Detectivo"),"Probabilidad",IF(T50="Correctivo","Impacto",""))</f>
        <v/>
      </c>
      <c r="T50" s="125"/>
      <c r="U50" s="125"/>
      <c r="V50" s="126" t="str">
        <f t="shared" si="37"/>
        <v/>
      </c>
      <c r="W50" s="125"/>
      <c r="X50" s="125"/>
      <c r="Y50" s="125"/>
      <c r="Z50" s="127" t="str">
        <f t="shared" ref="Z50:Z52" si="41">IFERROR(IF(AND(S49="Probabilidad",S50="Probabilidad"),(AB49-(+AB49*V50)),IF(AND(S49="Impacto",S50="Probabilidad"),(AB48-(+AB48*V50)),IF(S50="Impacto",AB49,""))),"")</f>
        <v/>
      </c>
      <c r="AA50" s="128" t="str">
        <f t="shared" si="8"/>
        <v/>
      </c>
      <c r="AB50" s="129" t="str">
        <f t="shared" si="38"/>
        <v/>
      </c>
      <c r="AC50" s="128" t="str">
        <f t="shared" si="10"/>
        <v/>
      </c>
      <c r="AD50" s="129" t="str">
        <f t="shared" ref="AD50:AD52" si="42">IFERROR(IF(AND(S49="Impacto",S50="Impacto"),(AD49-(+AD49*V50)),IF(AND(S49="Probabilidad",S50="Impacto"),(AD48-(+AD48*V50)),IF(S50="Probabilidad",AD49,""))),"")</f>
        <v/>
      </c>
      <c r="AE50" s="130" t="str">
        <f>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1"/>
      <c r="AG50" s="132"/>
      <c r="AH50" s="133"/>
      <c r="AI50" s="134"/>
      <c r="AJ50" s="134"/>
      <c r="AK50" s="132"/>
      <c r="AL50" s="133"/>
      <c r="AM50" s="133"/>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284"/>
      <c r="B51" s="287"/>
      <c r="C51" s="287"/>
      <c r="D51" s="287"/>
      <c r="E51" s="140"/>
      <c r="F51" s="290"/>
      <c r="G51" s="143"/>
      <c r="H51" s="287"/>
      <c r="I51" s="293"/>
      <c r="J51" s="246"/>
      <c r="K51" s="243"/>
      <c r="L51" s="240"/>
      <c r="M51" s="243">
        <f ca="1">IF(NOT(ISERROR(MATCH(L51,_xlfn.ANCHORARRAY(F62),0))),K64&amp;"Por favor no seleccionar los criterios de impacto",L51)</f>
        <v>0</v>
      </c>
      <c r="N51" s="246"/>
      <c r="O51" s="243"/>
      <c r="P51" s="249"/>
      <c r="Q51" s="123"/>
      <c r="R51" s="146"/>
      <c r="S51" s="124" t="str">
        <f t="shared" si="40"/>
        <v/>
      </c>
      <c r="T51" s="125"/>
      <c r="U51" s="125"/>
      <c r="V51" s="126" t="str">
        <f t="shared" si="37"/>
        <v/>
      </c>
      <c r="W51" s="125"/>
      <c r="X51" s="125"/>
      <c r="Y51" s="125"/>
      <c r="Z51" s="127" t="str">
        <f t="shared" si="41"/>
        <v/>
      </c>
      <c r="AA51" s="128" t="str">
        <f t="shared" si="8"/>
        <v/>
      </c>
      <c r="AB51" s="129" t="str">
        <f t="shared" si="38"/>
        <v/>
      </c>
      <c r="AC51" s="128" t="str">
        <f t="shared" si="10"/>
        <v/>
      </c>
      <c r="AD51" s="129" t="str">
        <f t="shared" si="42"/>
        <v/>
      </c>
      <c r="AE51" s="130" t="str">
        <f t="shared" ref="AE51:AE52" si="43">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1"/>
      <c r="AG51" s="132"/>
      <c r="AH51" s="133"/>
      <c r="AI51" s="134"/>
      <c r="AJ51" s="134"/>
      <c r="AK51" s="132"/>
      <c r="AL51" s="133"/>
      <c r="AM51" s="133"/>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285"/>
      <c r="B52" s="288"/>
      <c r="C52" s="288"/>
      <c r="D52" s="288"/>
      <c r="E52" s="141"/>
      <c r="F52" s="291"/>
      <c r="G52" s="144"/>
      <c r="H52" s="288"/>
      <c r="I52" s="294"/>
      <c r="J52" s="247"/>
      <c r="K52" s="244"/>
      <c r="L52" s="241"/>
      <c r="M52" s="244">
        <f ca="1">IF(NOT(ISERROR(MATCH(L52,_xlfn.ANCHORARRAY(F63),0))),K65&amp;"Por favor no seleccionar los criterios de impacto",L52)</f>
        <v>0</v>
      </c>
      <c r="N52" s="247"/>
      <c r="O52" s="244"/>
      <c r="P52" s="250"/>
      <c r="Q52" s="123"/>
      <c r="R52" s="146"/>
      <c r="S52" s="124" t="str">
        <f t="shared" si="40"/>
        <v/>
      </c>
      <c r="T52" s="125"/>
      <c r="U52" s="125"/>
      <c r="V52" s="126" t="str">
        <f t="shared" si="37"/>
        <v/>
      </c>
      <c r="W52" s="125"/>
      <c r="X52" s="125"/>
      <c r="Y52" s="125"/>
      <c r="Z52" s="127" t="str">
        <f t="shared" si="41"/>
        <v/>
      </c>
      <c r="AA52" s="128" t="str">
        <f t="shared" si="8"/>
        <v/>
      </c>
      <c r="AB52" s="129" t="str">
        <f t="shared" si="38"/>
        <v/>
      </c>
      <c r="AC52" s="128" t="str">
        <f t="shared" si="10"/>
        <v/>
      </c>
      <c r="AD52" s="129" t="str">
        <f t="shared" si="42"/>
        <v/>
      </c>
      <c r="AE52" s="130" t="str">
        <f t="shared" si="43"/>
        <v/>
      </c>
      <c r="AF52" s="131"/>
      <c r="AG52" s="132"/>
      <c r="AH52" s="133"/>
      <c r="AI52" s="134"/>
      <c r="AJ52" s="134"/>
      <c r="AK52" s="132"/>
      <c r="AL52" s="133"/>
      <c r="AM52" s="133"/>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283">
        <v>9</v>
      </c>
      <c r="B53" s="286"/>
      <c r="C53" s="286"/>
      <c r="D53" s="286"/>
      <c r="E53" s="139"/>
      <c r="F53" s="289"/>
      <c r="G53" s="142"/>
      <c r="H53" s="286"/>
      <c r="I53" s="292"/>
      <c r="J53" s="245" t="str">
        <f>IF(I53&lt;=0,"",IF(I53&lt;=2,"Muy Baja",IF(I53&lt;=24,"Baja",IF(I53&lt;=500,"Media",IF(I53&lt;=5000,"Alta","Muy Alta")))))</f>
        <v/>
      </c>
      <c r="K53" s="242" t="str">
        <f>IF(J53="","",IF(J53="Muy Baja",0.2,IF(J53="Baja",0.4,IF(J53="Media",0.6,IF(J53="Alta",0.8,IF(J53="Muy Alta",1,))))))</f>
        <v/>
      </c>
      <c r="L53" s="239"/>
      <c r="M53" s="242">
        <f ca="1">IF(NOT(ISERROR(MATCH(L53,'Tabla Impacto'!$B$221:$B$223,0))),'Tabla Impacto'!$F$223&amp;"Por favor no seleccionar los criterios de impacto(Afectación Económica o presupuestal y Pérdida Reputacional)",L53)</f>
        <v>0</v>
      </c>
      <c r="N53" s="245" t="str">
        <f ca="1">IF(OR(M53='Tabla Impacto'!$C$11,M53='Tabla Impacto'!$D$11),"Leve",IF(OR(M53='Tabla Impacto'!$C$12,M53='Tabla Impacto'!$D$12),"Menor",IF(OR(M53='Tabla Impacto'!$C$13,M53='Tabla Impacto'!$D$13),"Moderado",IF(OR(M53='Tabla Impacto'!$C$14,M53='Tabla Impacto'!$D$14),"Mayor",IF(OR(M53='Tabla Impacto'!$C$15,M53='Tabla Impacto'!$D$15),"Catastrófico","")))))</f>
        <v/>
      </c>
      <c r="O53" s="242" t="str">
        <f ca="1">IF(N53="","",IF(N53="Leve",0.2,IF(N53="Menor",0.4,IF(N53="Moderado",0.6,IF(N53="Mayor",0.8,IF(N53="Catastrófico",1,))))))</f>
        <v/>
      </c>
      <c r="P53" s="248" t="str">
        <f ca="1">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123"/>
      <c r="R53" s="146"/>
      <c r="S53" s="124" t="str">
        <f>IF(OR(T53="Preventivo",T53="Detectivo"),"Probabilidad",IF(T53="Correctivo","Impacto",""))</f>
        <v/>
      </c>
      <c r="T53" s="125"/>
      <c r="U53" s="125"/>
      <c r="V53" s="126" t="str">
        <f>IF(AND(T53="Preventivo",U53="Automático"),"50%",IF(AND(T53="Preventivo",U53="Manual"),"40%",IF(AND(T53="Detectivo",U53="Automático"),"40%",IF(AND(T53="Detectivo",U53="Manual"),"30%",IF(AND(T53="Correctivo",U53="Automático"),"35%",IF(AND(T53="Correctivo",U53="Manual"),"25%",""))))))</f>
        <v/>
      </c>
      <c r="W53" s="125"/>
      <c r="X53" s="125"/>
      <c r="Y53" s="125"/>
      <c r="Z53" s="127" t="str">
        <f>IFERROR(IF(S53="Probabilidad",(K53-(+K53*V53)),IF(S53="Impacto",K53,"")),"")</f>
        <v/>
      </c>
      <c r="AA53" s="128" t="str">
        <f>IFERROR(IF(Z53="","",IF(Z53&lt;=0.2,"Muy Baja",IF(Z53&lt;=0.4,"Baja",IF(Z53&lt;=0.6,"Media",IF(Z53&lt;=0.8,"Alta","Muy Alta"))))),"")</f>
        <v/>
      </c>
      <c r="AB53" s="129" t="str">
        <f>+Z53</f>
        <v/>
      </c>
      <c r="AC53" s="128" t="str">
        <f>IFERROR(IF(AD53="","",IF(AD53&lt;=0.2,"Leve",IF(AD53&lt;=0.4,"Menor",IF(AD53&lt;=0.6,"Moderado",IF(AD53&lt;=0.8,"Mayor","Catastrófico"))))),"")</f>
        <v/>
      </c>
      <c r="AD53" s="129" t="str">
        <f>IFERROR(IF(S53="Impacto",(O53-(+O53*V53)),IF(S53="Probabilidad",O53,"")),"")</f>
        <v/>
      </c>
      <c r="AE53" s="130" t="str">
        <f>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1"/>
      <c r="AG53" s="132"/>
      <c r="AH53" s="133"/>
      <c r="AI53" s="134"/>
      <c r="AJ53" s="134"/>
      <c r="AK53" s="132"/>
      <c r="AL53" s="133"/>
      <c r="AM53" s="133"/>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284"/>
      <c r="B54" s="287"/>
      <c r="C54" s="287"/>
      <c r="D54" s="287"/>
      <c r="E54" s="140"/>
      <c r="F54" s="290"/>
      <c r="G54" s="143"/>
      <c r="H54" s="287"/>
      <c r="I54" s="293"/>
      <c r="J54" s="246"/>
      <c r="K54" s="243"/>
      <c r="L54" s="240"/>
      <c r="M54" s="243">
        <f ca="1">IF(NOT(ISERROR(MATCH(L54,_xlfn.ANCHORARRAY(F65),0))),K67&amp;"Por favor no seleccionar los criterios de impacto",L54)</f>
        <v>0</v>
      </c>
      <c r="N54" s="246"/>
      <c r="O54" s="243"/>
      <c r="P54" s="249"/>
      <c r="Q54" s="123"/>
      <c r="R54" s="146"/>
      <c r="S54" s="124" t="str">
        <f>IF(OR(T54="Preventivo",T54="Detectivo"),"Probabilidad",IF(T54="Correctivo","Impacto",""))</f>
        <v/>
      </c>
      <c r="T54" s="125"/>
      <c r="U54" s="125"/>
      <c r="V54" s="126" t="str">
        <f t="shared" ref="V54:V58" si="44">IF(AND(T54="Preventivo",U54="Automático"),"50%",IF(AND(T54="Preventivo",U54="Manual"),"40%",IF(AND(T54="Detectivo",U54="Automático"),"40%",IF(AND(T54="Detectivo",U54="Manual"),"30%",IF(AND(T54="Correctivo",U54="Automático"),"35%",IF(AND(T54="Correctivo",U54="Manual"),"25%",""))))))</f>
        <v/>
      </c>
      <c r="W54" s="125"/>
      <c r="X54" s="125"/>
      <c r="Y54" s="125"/>
      <c r="Z54" s="127" t="str">
        <f>IFERROR(IF(AND(S53="Probabilidad",S54="Probabilidad"),(AB53-(+AB53*V54)),IF(S54="Probabilidad",(K53-(+K53*V54)),IF(S54="Impacto",AB53,""))),"")</f>
        <v/>
      </c>
      <c r="AA54" s="128" t="str">
        <f t="shared" si="8"/>
        <v/>
      </c>
      <c r="AB54" s="129" t="str">
        <f t="shared" ref="AB54:AB58" si="45">+Z54</f>
        <v/>
      </c>
      <c r="AC54" s="128" t="str">
        <f t="shared" si="10"/>
        <v/>
      </c>
      <c r="AD54" s="129" t="str">
        <f>IFERROR(IF(AND(S53="Impacto",S54="Impacto"),(AD53-(+AD53*V54)),IF(S54="Impacto",(O53-(+O53*V54)),IF(S54="Probabilidad",AD53,""))),"")</f>
        <v/>
      </c>
      <c r="AE54" s="130" t="str">
        <f t="shared" ref="AE54:AE55" si="46">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1"/>
      <c r="AG54" s="132"/>
      <c r="AH54" s="133"/>
      <c r="AI54" s="134"/>
      <c r="AJ54" s="134"/>
      <c r="AK54" s="132"/>
      <c r="AL54" s="133"/>
      <c r="AM54" s="133"/>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284"/>
      <c r="B55" s="287"/>
      <c r="C55" s="287"/>
      <c r="D55" s="287"/>
      <c r="E55" s="140"/>
      <c r="F55" s="290"/>
      <c r="G55" s="143"/>
      <c r="H55" s="287"/>
      <c r="I55" s="293"/>
      <c r="J55" s="246"/>
      <c r="K55" s="243"/>
      <c r="L55" s="240"/>
      <c r="M55" s="243">
        <f ca="1">IF(NOT(ISERROR(MATCH(L55,_xlfn.ANCHORARRAY(F66),0))),K68&amp;"Por favor no seleccionar los criterios de impacto",L55)</f>
        <v>0</v>
      </c>
      <c r="N55" s="246"/>
      <c r="O55" s="243"/>
      <c r="P55" s="249"/>
      <c r="Q55" s="123"/>
      <c r="R55" s="135"/>
      <c r="S55" s="124" t="str">
        <f>IF(OR(T55="Preventivo",T55="Detectivo"),"Probabilidad",IF(T55="Correctivo","Impacto",""))</f>
        <v/>
      </c>
      <c r="T55" s="125"/>
      <c r="U55" s="125"/>
      <c r="V55" s="126" t="str">
        <f t="shared" si="44"/>
        <v/>
      </c>
      <c r="W55" s="125"/>
      <c r="X55" s="125"/>
      <c r="Y55" s="125"/>
      <c r="Z55" s="127" t="str">
        <f>IFERROR(IF(AND(S54="Probabilidad",S55="Probabilidad"),(AB54-(+AB54*V55)),IF(AND(S54="Impacto",S55="Probabilidad"),(AB53-(+AB53*V55)),IF(S55="Impacto",AB54,""))),"")</f>
        <v/>
      </c>
      <c r="AA55" s="128" t="str">
        <f t="shared" si="8"/>
        <v/>
      </c>
      <c r="AB55" s="129" t="str">
        <f t="shared" si="45"/>
        <v/>
      </c>
      <c r="AC55" s="128" t="str">
        <f t="shared" si="10"/>
        <v/>
      </c>
      <c r="AD55" s="129" t="str">
        <f>IFERROR(IF(AND(S54="Impacto",S55="Impacto"),(AD54-(+AD54*V55)),IF(AND(S54="Probabilidad",S55="Impacto"),(AD53-(+AD53*V55)),IF(S55="Probabilidad",AD54,""))),"")</f>
        <v/>
      </c>
      <c r="AE55" s="130" t="str">
        <f t="shared" si="46"/>
        <v/>
      </c>
      <c r="AF55" s="131"/>
      <c r="AG55" s="132"/>
      <c r="AH55" s="133"/>
      <c r="AI55" s="134"/>
      <c r="AJ55" s="134"/>
      <c r="AK55" s="132"/>
      <c r="AL55" s="133"/>
      <c r="AM55" s="133"/>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284"/>
      <c r="B56" s="287"/>
      <c r="C56" s="287"/>
      <c r="D56" s="287"/>
      <c r="E56" s="140"/>
      <c r="F56" s="290"/>
      <c r="G56" s="143"/>
      <c r="H56" s="287"/>
      <c r="I56" s="293"/>
      <c r="J56" s="246"/>
      <c r="K56" s="243"/>
      <c r="L56" s="240"/>
      <c r="M56" s="243">
        <f ca="1">IF(NOT(ISERROR(MATCH(L56,_xlfn.ANCHORARRAY(F67),0))),K69&amp;"Por favor no seleccionar los criterios de impacto",L56)</f>
        <v>0</v>
      </c>
      <c r="N56" s="246"/>
      <c r="O56" s="243"/>
      <c r="P56" s="249"/>
      <c r="Q56" s="123"/>
      <c r="R56" s="146"/>
      <c r="S56" s="124" t="str">
        <f t="shared" ref="S56:S58" si="47">IF(OR(T56="Preventivo",T56="Detectivo"),"Probabilidad",IF(T56="Correctivo","Impacto",""))</f>
        <v/>
      </c>
      <c r="T56" s="125"/>
      <c r="U56" s="125"/>
      <c r="V56" s="126" t="str">
        <f t="shared" si="44"/>
        <v/>
      </c>
      <c r="W56" s="125"/>
      <c r="X56" s="125"/>
      <c r="Y56" s="125"/>
      <c r="Z56" s="127" t="str">
        <f t="shared" ref="Z56:Z58" si="48">IFERROR(IF(AND(S55="Probabilidad",S56="Probabilidad"),(AB55-(+AB55*V56)),IF(AND(S55="Impacto",S56="Probabilidad"),(AB54-(+AB54*V56)),IF(S56="Impacto",AB55,""))),"")</f>
        <v/>
      </c>
      <c r="AA56" s="128" t="str">
        <f t="shared" si="8"/>
        <v/>
      </c>
      <c r="AB56" s="129" t="str">
        <f t="shared" si="45"/>
        <v/>
      </c>
      <c r="AC56" s="128" t="str">
        <f t="shared" si="10"/>
        <v/>
      </c>
      <c r="AD56" s="129" t="str">
        <f t="shared" ref="AD56:AD58" si="49">IFERROR(IF(AND(S55="Impacto",S56="Impacto"),(AD55-(+AD55*V56)),IF(AND(S55="Probabilidad",S56="Impacto"),(AD54-(+AD54*V56)),IF(S56="Probabilidad",AD55,""))),"")</f>
        <v/>
      </c>
      <c r="AE56" s="130" t="str">
        <f>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1"/>
      <c r="AG56" s="132"/>
      <c r="AH56" s="133"/>
      <c r="AI56" s="134"/>
      <c r="AJ56" s="134"/>
      <c r="AK56" s="132"/>
      <c r="AL56" s="133"/>
      <c r="AM56" s="133"/>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284"/>
      <c r="B57" s="287"/>
      <c r="C57" s="287"/>
      <c r="D57" s="287"/>
      <c r="E57" s="140"/>
      <c r="F57" s="290"/>
      <c r="G57" s="143"/>
      <c r="H57" s="287"/>
      <c r="I57" s="293"/>
      <c r="J57" s="246"/>
      <c r="K57" s="243"/>
      <c r="L57" s="240"/>
      <c r="M57" s="243">
        <f ca="1">IF(NOT(ISERROR(MATCH(L57,_xlfn.ANCHORARRAY(F68),0))),K70&amp;"Por favor no seleccionar los criterios de impacto",L57)</f>
        <v>0</v>
      </c>
      <c r="N57" s="246"/>
      <c r="O57" s="243"/>
      <c r="P57" s="249"/>
      <c r="Q57" s="123"/>
      <c r="R57" s="146"/>
      <c r="S57" s="124" t="str">
        <f t="shared" si="47"/>
        <v/>
      </c>
      <c r="T57" s="125"/>
      <c r="U57" s="125"/>
      <c r="V57" s="126" t="str">
        <f t="shared" si="44"/>
        <v/>
      </c>
      <c r="W57" s="125"/>
      <c r="X57" s="125"/>
      <c r="Y57" s="125"/>
      <c r="Z57" s="127" t="str">
        <f t="shared" si="48"/>
        <v/>
      </c>
      <c r="AA57" s="128" t="str">
        <f t="shared" si="8"/>
        <v/>
      </c>
      <c r="AB57" s="129" t="str">
        <f t="shared" si="45"/>
        <v/>
      </c>
      <c r="AC57" s="128" t="str">
        <f t="shared" si="10"/>
        <v/>
      </c>
      <c r="AD57" s="129" t="str">
        <f t="shared" si="49"/>
        <v/>
      </c>
      <c r="AE57" s="130" t="str">
        <f t="shared" ref="AE57:AE58" si="50">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1"/>
      <c r="AG57" s="132"/>
      <c r="AH57" s="133"/>
      <c r="AI57" s="134"/>
      <c r="AJ57" s="134"/>
      <c r="AK57" s="132"/>
      <c r="AL57" s="133"/>
      <c r="AM57" s="133"/>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285"/>
      <c r="B58" s="288"/>
      <c r="C58" s="288"/>
      <c r="D58" s="288"/>
      <c r="E58" s="141"/>
      <c r="F58" s="291"/>
      <c r="G58" s="144"/>
      <c r="H58" s="288"/>
      <c r="I58" s="294"/>
      <c r="J58" s="247"/>
      <c r="K58" s="244"/>
      <c r="L58" s="241"/>
      <c r="M58" s="244">
        <f ca="1">IF(NOT(ISERROR(MATCH(L58,_xlfn.ANCHORARRAY(F69),0))),K71&amp;"Por favor no seleccionar los criterios de impacto",L58)</f>
        <v>0</v>
      </c>
      <c r="N58" s="247"/>
      <c r="O58" s="244"/>
      <c r="P58" s="250"/>
      <c r="Q58" s="123"/>
      <c r="R58" s="146"/>
      <c r="S58" s="124" t="str">
        <f t="shared" si="47"/>
        <v/>
      </c>
      <c r="T58" s="125"/>
      <c r="U58" s="125"/>
      <c r="V58" s="126" t="str">
        <f t="shared" si="44"/>
        <v/>
      </c>
      <c r="W58" s="125"/>
      <c r="X58" s="125"/>
      <c r="Y58" s="125"/>
      <c r="Z58" s="127" t="str">
        <f t="shared" si="48"/>
        <v/>
      </c>
      <c r="AA58" s="128" t="str">
        <f t="shared" si="8"/>
        <v/>
      </c>
      <c r="AB58" s="129" t="str">
        <f t="shared" si="45"/>
        <v/>
      </c>
      <c r="AC58" s="128" t="str">
        <f t="shared" si="10"/>
        <v/>
      </c>
      <c r="AD58" s="129" t="str">
        <f t="shared" si="49"/>
        <v/>
      </c>
      <c r="AE58" s="130" t="str">
        <f t="shared" si="50"/>
        <v/>
      </c>
      <c r="AF58" s="131"/>
      <c r="AG58" s="132"/>
      <c r="AH58" s="133"/>
      <c r="AI58" s="134"/>
      <c r="AJ58" s="134"/>
      <c r="AK58" s="132"/>
      <c r="AL58" s="133"/>
      <c r="AM58" s="133"/>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9.5" customHeight="1" x14ac:dyDescent="0.25">
      <c r="A59" s="283">
        <v>10</v>
      </c>
      <c r="B59" s="286"/>
      <c r="C59" s="286"/>
      <c r="D59" s="286"/>
      <c r="E59" s="139"/>
      <c r="F59" s="289"/>
      <c r="G59" s="142"/>
      <c r="H59" s="286"/>
      <c r="I59" s="292"/>
      <c r="J59" s="245" t="str">
        <f>IF(I59&lt;=0,"",IF(I59&lt;=2,"Muy Baja",IF(I59&lt;=24,"Baja",IF(I59&lt;=500,"Media",IF(I59&lt;=5000,"Alta","Muy Alta")))))</f>
        <v/>
      </c>
      <c r="K59" s="242" t="str">
        <f>IF(J59="","",IF(J59="Muy Baja",0.2,IF(J59="Baja",0.4,IF(J59="Media",0.6,IF(J59="Alta",0.8,IF(J59="Muy Alta",1,))))))</f>
        <v/>
      </c>
      <c r="L59" s="239"/>
      <c r="M59" s="242">
        <f ca="1">IF(NOT(ISERROR(MATCH(L59,'Tabla Impacto'!$B$221:$B$223,0))),'Tabla Impacto'!$F$223&amp;"Por favor no seleccionar los criterios de impacto(Afectación Económica o presupuestal y Pérdida Reputacional)",L59)</f>
        <v>0</v>
      </c>
      <c r="N59" s="245" t="str">
        <f ca="1">IF(OR(M59='Tabla Impacto'!$C$11,M59='Tabla Impacto'!$D$11),"Leve",IF(OR(M59='Tabla Impacto'!$C$12,M59='Tabla Impacto'!$D$12),"Menor",IF(OR(M59='Tabla Impacto'!$C$13,M59='Tabla Impacto'!$D$13),"Moderado",IF(OR(M59='Tabla Impacto'!$C$14,M59='Tabla Impacto'!$D$14),"Mayor",IF(OR(M59='Tabla Impacto'!$C$15,M59='Tabla Impacto'!$D$15),"Catastrófico","")))))</f>
        <v/>
      </c>
      <c r="O59" s="242" t="str">
        <f ca="1">IF(N59="","",IF(N59="Leve",0.2,IF(N59="Menor",0.4,IF(N59="Moderado",0.6,IF(N59="Mayor",0.8,IF(N59="Catastrófico",1,))))))</f>
        <v/>
      </c>
      <c r="P59" s="248" t="str">
        <f ca="1">IF(OR(AND(J59="Muy Baja",N59="Leve"),AND(J59="Muy Baja",N59="Menor"),AND(J59="Baja",N59="Leve")),"Bajo",IF(OR(AND(J59="Muy baja",N59="Moderado"),AND(J59="Baja",N59="Menor"),AND(J59="Baja",N59="Moderado"),AND(J59="Media",N59="Leve"),AND(J59="Media",N59="Menor"),AND(J59="Media",N59="Moderado"),AND(J59="Alta",N59="Leve"),AND(J59="Alta",N59="Menor")),"Moderado",IF(OR(AND(J59="Muy Baja",N59="Mayor"),AND(J59="Baja",N59="Mayor"),AND(J59="Media",N59="Mayor"),AND(J59="Alta",N59="Moderado"),AND(J59="Alta",N59="Mayor"),AND(J59="Muy Alta",N59="Leve"),AND(J59="Muy Alta",N59="Menor"),AND(J59="Muy Alta",N59="Moderado"),AND(J59="Muy Alta",N59="Mayor")),"Alto",IF(OR(AND(J59="Muy Baja",N59="Catastrófico"),AND(J59="Baja",N59="Catastrófico"),AND(J59="Media",N59="Catastrófico"),AND(J59="Alta",N59="Catastrófico"),AND(J59="Muy Alta",N59="Catastrófico")),"Extremo",""))))</f>
        <v/>
      </c>
      <c r="Q59" s="123"/>
      <c r="R59" s="146"/>
      <c r="S59" s="124" t="str">
        <f>IF(OR(T59="Preventivo",T59="Detectivo"),"Probabilidad",IF(T59="Correctivo","Impacto",""))</f>
        <v/>
      </c>
      <c r="T59" s="125"/>
      <c r="U59" s="125"/>
      <c r="V59" s="126" t="str">
        <f>IF(AND(T59="Preventivo",U59="Automático"),"50%",IF(AND(T59="Preventivo",U59="Manual"),"40%",IF(AND(T59="Detectivo",U59="Automático"),"40%",IF(AND(T59="Detectivo",U59="Manual"),"30%",IF(AND(T59="Correctivo",U59="Automático"),"35%",IF(AND(T59="Correctivo",U59="Manual"),"25%",""))))))</f>
        <v/>
      </c>
      <c r="W59" s="125"/>
      <c r="X59" s="125"/>
      <c r="Y59" s="125"/>
      <c r="Z59" s="127" t="str">
        <f>IFERROR(IF(S59="Probabilidad",(K59-(+K59*V59)),IF(S59="Impacto",K59,"")),"")</f>
        <v/>
      </c>
      <c r="AA59" s="128" t="str">
        <f>IFERROR(IF(Z59="","",IF(Z59&lt;=0.2,"Muy Baja",IF(Z59&lt;=0.4,"Baja",IF(Z59&lt;=0.6,"Media",IF(Z59&lt;=0.8,"Alta","Muy Alta"))))),"")</f>
        <v/>
      </c>
      <c r="AB59" s="129" t="str">
        <f>+Z59</f>
        <v/>
      </c>
      <c r="AC59" s="128" t="str">
        <f>IFERROR(IF(AD59="","",IF(AD59&lt;=0.2,"Leve",IF(AD59&lt;=0.4,"Menor",IF(AD59&lt;=0.6,"Moderado",IF(AD59&lt;=0.8,"Mayor","Catastrófico"))))),"")</f>
        <v/>
      </c>
      <c r="AD59" s="129" t="str">
        <f>IFERROR(IF(S59="Impacto",(O59-(+O59*V59)),IF(S59="Probabilidad",O59,"")),"")</f>
        <v/>
      </c>
      <c r="AE59" s="130" t="str">
        <f>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1"/>
      <c r="AG59" s="132"/>
      <c r="AH59" s="133"/>
      <c r="AI59" s="134"/>
      <c r="AJ59" s="134"/>
      <c r="AK59" s="132"/>
      <c r="AL59" s="133"/>
      <c r="AM59" s="133"/>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25">
      <c r="A60" s="284"/>
      <c r="B60" s="287"/>
      <c r="C60" s="287"/>
      <c r="D60" s="287"/>
      <c r="E60" s="140"/>
      <c r="F60" s="290"/>
      <c r="G60" s="143"/>
      <c r="H60" s="287"/>
      <c r="I60" s="293"/>
      <c r="J60" s="246"/>
      <c r="K60" s="243"/>
      <c r="L60" s="240"/>
      <c r="M60" s="243">
        <f ca="1">IF(NOT(ISERROR(MATCH(L60,_xlfn.ANCHORARRAY(F71),0))),K73&amp;"Por favor no seleccionar los criterios de impacto",L60)</f>
        <v>0</v>
      </c>
      <c r="N60" s="246"/>
      <c r="O60" s="243"/>
      <c r="P60" s="249"/>
      <c r="Q60" s="123"/>
      <c r="R60" s="146"/>
      <c r="S60" s="124" t="str">
        <f>IF(OR(T60="Preventivo",T60="Detectivo"),"Probabilidad",IF(T60="Correctivo","Impacto",""))</f>
        <v/>
      </c>
      <c r="T60" s="125"/>
      <c r="U60" s="125"/>
      <c r="V60" s="126" t="str">
        <f t="shared" ref="V60:V64" si="51">IF(AND(T60="Preventivo",U60="Automático"),"50%",IF(AND(T60="Preventivo",U60="Manual"),"40%",IF(AND(T60="Detectivo",U60="Automático"),"40%",IF(AND(T60="Detectivo",U60="Manual"),"30%",IF(AND(T60="Correctivo",U60="Automático"),"35%",IF(AND(T60="Correctivo",U60="Manual"),"25%",""))))))</f>
        <v/>
      </c>
      <c r="W60" s="125"/>
      <c r="X60" s="125"/>
      <c r="Y60" s="125"/>
      <c r="Z60" s="127" t="str">
        <f>IFERROR(IF(AND(S59="Probabilidad",S60="Probabilidad"),(AB59-(+AB59*V60)),IF(S60="Probabilidad",(K59-(+K59*V60)),IF(S60="Impacto",AB59,""))),"")</f>
        <v/>
      </c>
      <c r="AA60" s="128" t="str">
        <f t="shared" si="8"/>
        <v/>
      </c>
      <c r="AB60" s="129" t="str">
        <f t="shared" ref="AB60:AB64" si="52">+Z60</f>
        <v/>
      </c>
      <c r="AC60" s="128" t="str">
        <f t="shared" si="10"/>
        <v/>
      </c>
      <c r="AD60" s="129" t="str">
        <f>IFERROR(IF(AND(S59="Impacto",S60="Impacto"),(AD59-(+AD59*V60)),IF(S60="Impacto",(O59-(+O59*V60)),IF(S60="Probabilidad",AD59,""))),"")</f>
        <v/>
      </c>
      <c r="AE60" s="130" t="str">
        <f t="shared" ref="AE60:AE61" si="53">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31"/>
      <c r="AG60" s="132"/>
      <c r="AH60" s="133"/>
      <c r="AI60" s="134"/>
      <c r="AJ60" s="134"/>
      <c r="AK60" s="132"/>
      <c r="AL60" s="133"/>
      <c r="AM60" s="133"/>
    </row>
    <row r="61" spans="1:70" ht="19.5" customHeight="1" x14ac:dyDescent="0.25">
      <c r="A61" s="284"/>
      <c r="B61" s="287"/>
      <c r="C61" s="287"/>
      <c r="D61" s="287"/>
      <c r="E61" s="140"/>
      <c r="F61" s="290"/>
      <c r="G61" s="143"/>
      <c r="H61" s="287"/>
      <c r="I61" s="293"/>
      <c r="J61" s="246"/>
      <c r="K61" s="243"/>
      <c r="L61" s="240"/>
      <c r="M61" s="243">
        <f ca="1">IF(NOT(ISERROR(MATCH(L61,_xlfn.ANCHORARRAY(F72),0))),K74&amp;"Por favor no seleccionar los criterios de impacto",L61)</f>
        <v>0</v>
      </c>
      <c r="N61" s="246"/>
      <c r="O61" s="243"/>
      <c r="P61" s="249"/>
      <c r="Q61" s="123"/>
      <c r="R61" s="135"/>
      <c r="S61" s="124" t="str">
        <f>IF(OR(T61="Preventivo",T61="Detectivo"),"Probabilidad",IF(T61="Correctivo","Impacto",""))</f>
        <v/>
      </c>
      <c r="T61" s="125"/>
      <c r="U61" s="125"/>
      <c r="V61" s="126" t="str">
        <f t="shared" si="51"/>
        <v/>
      </c>
      <c r="W61" s="125"/>
      <c r="X61" s="125"/>
      <c r="Y61" s="125"/>
      <c r="Z61" s="127" t="str">
        <f>IFERROR(IF(AND(S60="Probabilidad",S61="Probabilidad"),(AB60-(+AB60*V61)),IF(AND(S60="Impacto",S61="Probabilidad"),(AB59-(+AB59*V61)),IF(S61="Impacto",AB60,""))),"")</f>
        <v/>
      </c>
      <c r="AA61" s="128" t="str">
        <f t="shared" si="8"/>
        <v/>
      </c>
      <c r="AB61" s="129" t="str">
        <f t="shared" si="52"/>
        <v/>
      </c>
      <c r="AC61" s="128" t="str">
        <f t="shared" si="10"/>
        <v/>
      </c>
      <c r="AD61" s="129" t="str">
        <f>IFERROR(IF(AND(S60="Impacto",S61="Impacto"),(AD60-(+AD60*V61)),IF(AND(S60="Probabilidad",S61="Impacto"),(AD59-(+AD59*V61)),IF(S61="Probabilidad",AD60,""))),"")</f>
        <v/>
      </c>
      <c r="AE61" s="130" t="str">
        <f t="shared" si="53"/>
        <v/>
      </c>
      <c r="AF61" s="131"/>
      <c r="AG61" s="132"/>
      <c r="AH61" s="133"/>
      <c r="AI61" s="134"/>
      <c r="AJ61" s="134"/>
      <c r="AK61" s="132"/>
      <c r="AL61" s="133"/>
      <c r="AM61" s="133"/>
    </row>
    <row r="62" spans="1:70" ht="19.5" customHeight="1" x14ac:dyDescent="0.25">
      <c r="A62" s="284"/>
      <c r="B62" s="287"/>
      <c r="C62" s="287"/>
      <c r="D62" s="287"/>
      <c r="E62" s="140"/>
      <c r="F62" s="290"/>
      <c r="G62" s="143"/>
      <c r="H62" s="287"/>
      <c r="I62" s="293"/>
      <c r="J62" s="246"/>
      <c r="K62" s="243"/>
      <c r="L62" s="240"/>
      <c r="M62" s="243">
        <f ca="1">IF(NOT(ISERROR(MATCH(L62,_xlfn.ANCHORARRAY(F73),0))),K75&amp;"Por favor no seleccionar los criterios de impacto",L62)</f>
        <v>0</v>
      </c>
      <c r="N62" s="246"/>
      <c r="O62" s="243"/>
      <c r="P62" s="249"/>
      <c r="Q62" s="123"/>
      <c r="R62" s="146"/>
      <c r="S62" s="124" t="str">
        <f t="shared" ref="S62:S64" si="54">IF(OR(T62="Preventivo",T62="Detectivo"),"Probabilidad",IF(T62="Correctivo","Impacto",""))</f>
        <v/>
      </c>
      <c r="T62" s="125"/>
      <c r="U62" s="125"/>
      <c r="V62" s="126" t="str">
        <f t="shared" si="51"/>
        <v/>
      </c>
      <c r="W62" s="125"/>
      <c r="X62" s="125"/>
      <c r="Y62" s="125"/>
      <c r="Z62" s="127" t="str">
        <f t="shared" ref="Z62:Z64" si="55">IFERROR(IF(AND(S61="Probabilidad",S62="Probabilidad"),(AB61-(+AB61*V62)),IF(AND(S61="Impacto",S62="Probabilidad"),(AB60-(+AB60*V62)),IF(S62="Impacto",AB61,""))),"")</f>
        <v/>
      </c>
      <c r="AA62" s="128" t="str">
        <f t="shared" si="8"/>
        <v/>
      </c>
      <c r="AB62" s="129" t="str">
        <f t="shared" si="52"/>
        <v/>
      </c>
      <c r="AC62" s="128" t="str">
        <f t="shared" si="10"/>
        <v/>
      </c>
      <c r="AD62" s="129" t="str">
        <f t="shared" ref="AD62:AD64" si="56">IFERROR(IF(AND(S61="Impacto",S62="Impacto"),(AD61-(+AD61*V62)),IF(AND(S61="Probabilidad",S62="Impacto"),(AD60-(+AD60*V62)),IF(S62="Probabilidad",AD61,""))),"")</f>
        <v/>
      </c>
      <c r="AE62" s="130" t="str">
        <f>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1"/>
      <c r="AG62" s="132"/>
      <c r="AH62" s="133"/>
      <c r="AI62" s="134"/>
      <c r="AJ62" s="134"/>
      <c r="AK62" s="132"/>
      <c r="AL62" s="133"/>
      <c r="AM62" s="133"/>
    </row>
    <row r="63" spans="1:70" ht="19.5" customHeight="1" x14ac:dyDescent="0.25">
      <c r="A63" s="284"/>
      <c r="B63" s="287"/>
      <c r="C63" s="287"/>
      <c r="D63" s="287"/>
      <c r="E63" s="140"/>
      <c r="F63" s="290"/>
      <c r="G63" s="143"/>
      <c r="H63" s="287"/>
      <c r="I63" s="293"/>
      <c r="J63" s="246"/>
      <c r="K63" s="243"/>
      <c r="L63" s="240"/>
      <c r="M63" s="243">
        <f ca="1">IF(NOT(ISERROR(MATCH(L63,_xlfn.ANCHORARRAY(F74),0))),K76&amp;"Por favor no seleccionar los criterios de impacto",L63)</f>
        <v>0</v>
      </c>
      <c r="N63" s="246"/>
      <c r="O63" s="243"/>
      <c r="P63" s="249"/>
      <c r="Q63" s="123"/>
      <c r="R63" s="146"/>
      <c r="S63" s="124" t="str">
        <f t="shared" si="54"/>
        <v/>
      </c>
      <c r="T63" s="125"/>
      <c r="U63" s="125"/>
      <c r="V63" s="126" t="str">
        <f t="shared" si="51"/>
        <v/>
      </c>
      <c r="W63" s="125"/>
      <c r="X63" s="125"/>
      <c r="Y63" s="125"/>
      <c r="Z63" s="127" t="str">
        <f t="shared" si="55"/>
        <v/>
      </c>
      <c r="AA63" s="128" t="str">
        <f t="shared" si="8"/>
        <v/>
      </c>
      <c r="AB63" s="129" t="str">
        <f t="shared" si="52"/>
        <v/>
      </c>
      <c r="AC63" s="128" t="str">
        <f t="shared" si="10"/>
        <v/>
      </c>
      <c r="AD63" s="129" t="str">
        <f t="shared" si="56"/>
        <v/>
      </c>
      <c r="AE63" s="130" t="str">
        <f t="shared" ref="AE63:AE64" si="57">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31"/>
      <c r="AG63" s="132"/>
      <c r="AH63" s="133"/>
      <c r="AI63" s="134"/>
      <c r="AJ63" s="134"/>
      <c r="AK63" s="132"/>
      <c r="AL63" s="133"/>
      <c r="AM63" s="133"/>
    </row>
    <row r="64" spans="1:70" ht="19.5" customHeight="1" x14ac:dyDescent="0.25">
      <c r="A64" s="285"/>
      <c r="B64" s="288"/>
      <c r="C64" s="288"/>
      <c r="D64" s="288"/>
      <c r="E64" s="141"/>
      <c r="F64" s="291"/>
      <c r="G64" s="144"/>
      <c r="H64" s="288"/>
      <c r="I64" s="294"/>
      <c r="J64" s="247"/>
      <c r="K64" s="244"/>
      <c r="L64" s="241"/>
      <c r="M64" s="244">
        <f ca="1">IF(NOT(ISERROR(MATCH(L64,_xlfn.ANCHORARRAY(F75),0))),K77&amp;"Por favor no seleccionar los criterios de impacto",L64)</f>
        <v>0</v>
      </c>
      <c r="N64" s="247"/>
      <c r="O64" s="244"/>
      <c r="P64" s="250"/>
      <c r="Q64" s="123"/>
      <c r="R64" s="146"/>
      <c r="S64" s="124" t="str">
        <f t="shared" si="54"/>
        <v/>
      </c>
      <c r="T64" s="125"/>
      <c r="U64" s="125"/>
      <c r="V64" s="126" t="str">
        <f t="shared" si="51"/>
        <v/>
      </c>
      <c r="W64" s="125"/>
      <c r="X64" s="125"/>
      <c r="Y64" s="125"/>
      <c r="Z64" s="127" t="str">
        <f t="shared" si="55"/>
        <v/>
      </c>
      <c r="AA64" s="128" t="str">
        <f t="shared" si="8"/>
        <v/>
      </c>
      <c r="AB64" s="129" t="str">
        <f t="shared" si="52"/>
        <v/>
      </c>
      <c r="AC64" s="128" t="str">
        <f t="shared" si="10"/>
        <v/>
      </c>
      <c r="AD64" s="129" t="str">
        <f t="shared" si="56"/>
        <v/>
      </c>
      <c r="AE64" s="130" t="str">
        <f t="shared" si="57"/>
        <v/>
      </c>
      <c r="AF64" s="131"/>
      <c r="AG64" s="132"/>
      <c r="AH64" s="133"/>
      <c r="AI64" s="134"/>
      <c r="AJ64" s="134"/>
      <c r="AK64" s="132"/>
      <c r="AL64" s="133"/>
      <c r="AM64" s="133"/>
    </row>
    <row r="65" spans="1:38" ht="49.5" customHeight="1" x14ac:dyDescent="0.25">
      <c r="A65" s="6"/>
      <c r="B65" s="280" t="s">
        <v>131</v>
      </c>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2"/>
    </row>
    <row r="67" spans="1:38" x14ac:dyDescent="0.25">
      <c r="A67" s="1"/>
      <c r="B67" s="24" t="s">
        <v>143</v>
      </c>
      <c r="C67" s="1"/>
      <c r="D67" s="1"/>
      <c r="E67" s="1"/>
      <c r="H67" s="1"/>
    </row>
  </sheetData>
  <dataConsolidate/>
  <mergeCells count="259">
    <mergeCell ref="Y10:Y12"/>
    <mergeCell ref="AA10:AA12"/>
    <mergeCell ref="AB10:AB12"/>
    <mergeCell ref="AC10:AC12"/>
    <mergeCell ref="AD10:AD12"/>
    <mergeCell ref="AE10:AE12"/>
    <mergeCell ref="AF10:AF12"/>
    <mergeCell ref="AG10:AG12"/>
    <mergeCell ref="Q10:Q12"/>
    <mergeCell ref="W10:W12"/>
    <mergeCell ref="X10:X12"/>
    <mergeCell ref="U10:U12"/>
    <mergeCell ref="V10:V12"/>
    <mergeCell ref="S10:S12"/>
    <mergeCell ref="T10:T12"/>
    <mergeCell ref="R10:R12"/>
    <mergeCell ref="AI13:AI15"/>
    <mergeCell ref="AJ13:AJ15"/>
    <mergeCell ref="AK13:AK15"/>
    <mergeCell ref="AL13:AL15"/>
    <mergeCell ref="AH16:AH18"/>
    <mergeCell ref="AI16:AI18"/>
    <mergeCell ref="AJ16:AJ18"/>
    <mergeCell ref="AK16:AK18"/>
    <mergeCell ref="AL16:AL18"/>
    <mergeCell ref="R13:R15"/>
    <mergeCell ref="R16:R18"/>
    <mergeCell ref="Q13:Q15"/>
    <mergeCell ref="Q16:Q18"/>
    <mergeCell ref="AE16:AE18"/>
    <mergeCell ref="AF16:AF18"/>
    <mergeCell ref="AG13:AG15"/>
    <mergeCell ref="AG16:AG18"/>
    <mergeCell ref="AH13:AH15"/>
    <mergeCell ref="AC13:AC15"/>
    <mergeCell ref="AD13:AD15"/>
    <mergeCell ref="AE13:AE15"/>
    <mergeCell ref="AF13:AF15"/>
    <mergeCell ref="S16:S18"/>
    <mergeCell ref="T16:T18"/>
    <mergeCell ref="U16:U18"/>
    <mergeCell ref="V16:V18"/>
    <mergeCell ref="W16:W18"/>
    <mergeCell ref="X16:X18"/>
    <mergeCell ref="Y16:Y18"/>
    <mergeCell ref="AA16:AA18"/>
    <mergeCell ref="AB16:AB18"/>
    <mergeCell ref="AC16:AC18"/>
    <mergeCell ref="AD16:AD18"/>
    <mergeCell ref="S13:S15"/>
    <mergeCell ref="T13:T15"/>
    <mergeCell ref="U13:U15"/>
    <mergeCell ref="V13:V15"/>
    <mergeCell ref="W13:W15"/>
    <mergeCell ref="X13:X15"/>
    <mergeCell ref="Y13:Y15"/>
    <mergeCell ref="AA13:AA15"/>
    <mergeCell ref="AB13:AB15"/>
    <mergeCell ref="L13:L15"/>
    <mergeCell ref="N13:N15"/>
    <mergeCell ref="O13:O15"/>
    <mergeCell ref="P13:P15"/>
    <mergeCell ref="I16:I18"/>
    <mergeCell ref="H13:H15"/>
    <mergeCell ref="C13:C15"/>
    <mergeCell ref="C17:C18"/>
    <mergeCell ref="D13:D18"/>
    <mergeCell ref="E13:E14"/>
    <mergeCell ref="E15:E16"/>
    <mergeCell ref="E17:E18"/>
    <mergeCell ref="F13:F18"/>
    <mergeCell ref="G13:G18"/>
    <mergeCell ref="H16:H18"/>
    <mergeCell ref="J16:J18"/>
    <mergeCell ref="L16:L18"/>
    <mergeCell ref="K16:K18"/>
    <mergeCell ref="N16:N18"/>
    <mergeCell ref="O16:O18"/>
    <mergeCell ref="P16:P18"/>
    <mergeCell ref="A9:A12"/>
    <mergeCell ref="B9:B12"/>
    <mergeCell ref="C9:C12"/>
    <mergeCell ref="D9:D12"/>
    <mergeCell ref="F9:F12"/>
    <mergeCell ref="G9:G12"/>
    <mergeCell ref="E10:E11"/>
    <mergeCell ref="A13:A18"/>
    <mergeCell ref="B13:B18"/>
    <mergeCell ref="AI7:AI8"/>
    <mergeCell ref="AH7:AH8"/>
    <mergeCell ref="A4:B4"/>
    <mergeCell ref="A5:B5"/>
    <mergeCell ref="A7:A8"/>
    <mergeCell ref="H7:H8"/>
    <mergeCell ref="F7:F8"/>
    <mergeCell ref="D7:D8"/>
    <mergeCell ref="C7:C8"/>
    <mergeCell ref="AF7:AF8"/>
    <mergeCell ref="C4:P4"/>
    <mergeCell ref="C5:P5"/>
    <mergeCell ref="Q7:Q8"/>
    <mergeCell ref="AE7:AE8"/>
    <mergeCell ref="AD7:AD8"/>
    <mergeCell ref="Z7:Z8"/>
    <mergeCell ref="R7:R8"/>
    <mergeCell ref="L7:L8"/>
    <mergeCell ref="M7:M8"/>
    <mergeCell ref="S7:S8"/>
    <mergeCell ref="T7:Y7"/>
    <mergeCell ref="E7:E8"/>
    <mergeCell ref="A23:A28"/>
    <mergeCell ref="B23:B28"/>
    <mergeCell ref="D23:D28"/>
    <mergeCell ref="F23:F28"/>
    <mergeCell ref="H23:H28"/>
    <mergeCell ref="I23:I28"/>
    <mergeCell ref="J23:J28"/>
    <mergeCell ref="K23:K28"/>
    <mergeCell ref="G23:G28"/>
    <mergeCell ref="C23:C25"/>
    <mergeCell ref="C27:C28"/>
    <mergeCell ref="E25:E26"/>
    <mergeCell ref="E23:E24"/>
    <mergeCell ref="O29:O34"/>
    <mergeCell ref="P29:P34"/>
    <mergeCell ref="O35:O40"/>
    <mergeCell ref="P35:P40"/>
    <mergeCell ref="L41:L46"/>
    <mergeCell ref="M41:M46"/>
    <mergeCell ref="N41:N46"/>
    <mergeCell ref="A29:A34"/>
    <mergeCell ref="B29:B34"/>
    <mergeCell ref="C29:C34"/>
    <mergeCell ref="A35:A40"/>
    <mergeCell ref="B35:B40"/>
    <mergeCell ref="C35:C40"/>
    <mergeCell ref="D35:D40"/>
    <mergeCell ref="F35:F40"/>
    <mergeCell ref="H35:H40"/>
    <mergeCell ref="F29:F34"/>
    <mergeCell ref="L35:L40"/>
    <mergeCell ref="M35:M40"/>
    <mergeCell ref="N35:N40"/>
    <mergeCell ref="H29:H34"/>
    <mergeCell ref="I29:I34"/>
    <mergeCell ref="J29:J34"/>
    <mergeCell ref="K29:K34"/>
    <mergeCell ref="L29:L34"/>
    <mergeCell ref="I35:I40"/>
    <mergeCell ref="J35:J40"/>
    <mergeCell ref="K35:K40"/>
    <mergeCell ref="M29:M34"/>
    <mergeCell ref="N29:N34"/>
    <mergeCell ref="A47:A52"/>
    <mergeCell ref="B47:B52"/>
    <mergeCell ref="C47:C52"/>
    <mergeCell ref="D47:D52"/>
    <mergeCell ref="F47:F52"/>
    <mergeCell ref="A41:A46"/>
    <mergeCell ref="B41:B46"/>
    <mergeCell ref="C41:C46"/>
    <mergeCell ref="D41:D46"/>
    <mergeCell ref="F41:F46"/>
    <mergeCell ref="O41:O46"/>
    <mergeCell ref="P41:P46"/>
    <mergeCell ref="H47:H52"/>
    <mergeCell ref="I47:I52"/>
    <mergeCell ref="J47:J52"/>
    <mergeCell ref="K47:K52"/>
    <mergeCell ref="L47:L52"/>
    <mergeCell ref="H41:H46"/>
    <mergeCell ref="I41:I46"/>
    <mergeCell ref="J41:J46"/>
    <mergeCell ref="K41:K46"/>
    <mergeCell ref="M47:M52"/>
    <mergeCell ref="N47:N52"/>
    <mergeCell ref="O47:O52"/>
    <mergeCell ref="P47:P52"/>
    <mergeCell ref="A53:A58"/>
    <mergeCell ref="B53:B58"/>
    <mergeCell ref="C53:C58"/>
    <mergeCell ref="D53:D58"/>
    <mergeCell ref="F53:F58"/>
    <mergeCell ref="H53:H58"/>
    <mergeCell ref="I53:I58"/>
    <mergeCell ref="J53:J58"/>
    <mergeCell ref="K53:K58"/>
    <mergeCell ref="AH9:AH12"/>
    <mergeCell ref="P9:P12"/>
    <mergeCell ref="AK7:AK8"/>
    <mergeCell ref="AJ7:AJ8"/>
    <mergeCell ref="B65:AL65"/>
    <mergeCell ref="O53:O58"/>
    <mergeCell ref="P53:P58"/>
    <mergeCell ref="A59:A64"/>
    <mergeCell ref="B59:B64"/>
    <mergeCell ref="C59:C64"/>
    <mergeCell ref="D59:D64"/>
    <mergeCell ref="F59:F64"/>
    <mergeCell ref="H59:H64"/>
    <mergeCell ref="I59:I64"/>
    <mergeCell ref="J59:J64"/>
    <mergeCell ref="K59:K64"/>
    <mergeCell ref="L59:L64"/>
    <mergeCell ref="M59:M64"/>
    <mergeCell ref="N59:N64"/>
    <mergeCell ref="O59:O64"/>
    <mergeCell ref="P59:P64"/>
    <mergeCell ref="L53:L58"/>
    <mergeCell ref="M53:M58"/>
    <mergeCell ref="N53:N58"/>
    <mergeCell ref="J9:J12"/>
    <mergeCell ref="I13:I15"/>
    <mergeCell ref="J13:J15"/>
    <mergeCell ref="K13:K15"/>
    <mergeCell ref="AK9:AK12"/>
    <mergeCell ref="AL9:AL12"/>
    <mergeCell ref="A1:AL1"/>
    <mergeCell ref="A6:I6"/>
    <mergeCell ref="J6:P6"/>
    <mergeCell ref="Q6:Y6"/>
    <mergeCell ref="Z6:AF6"/>
    <mergeCell ref="AG6:AL6"/>
    <mergeCell ref="AC7:AC8"/>
    <mergeCell ref="AA7:AA8"/>
    <mergeCell ref="AB7:AB8"/>
    <mergeCell ref="I7:I8"/>
    <mergeCell ref="J7:J8"/>
    <mergeCell ref="K7:K8"/>
    <mergeCell ref="N7:N8"/>
    <mergeCell ref="O7:O8"/>
    <mergeCell ref="B7:B8"/>
    <mergeCell ref="P7:P8"/>
    <mergeCell ref="AG7:AG8"/>
    <mergeCell ref="AL7:AL8"/>
    <mergeCell ref="AM7:AM8"/>
    <mergeCell ref="AM9:AM12"/>
    <mergeCell ref="AM13:AM15"/>
    <mergeCell ref="AM16:AM18"/>
    <mergeCell ref="AJ23:AJ28"/>
    <mergeCell ref="E27:E28"/>
    <mergeCell ref="L23:L28"/>
    <mergeCell ref="M23:M28"/>
    <mergeCell ref="N23:N28"/>
    <mergeCell ref="O23:O28"/>
    <mergeCell ref="P23:P28"/>
    <mergeCell ref="K9:K12"/>
    <mergeCell ref="L9:L12"/>
    <mergeCell ref="M9:M12"/>
    <mergeCell ref="N9:N12"/>
    <mergeCell ref="O9:O12"/>
    <mergeCell ref="AG25:AG26"/>
    <mergeCell ref="AG27:AG28"/>
    <mergeCell ref="AG23:AG24"/>
    <mergeCell ref="AI23:AI28"/>
    <mergeCell ref="AI9:AI12"/>
    <mergeCell ref="AJ9:AJ12"/>
    <mergeCell ref="H9:H12"/>
    <mergeCell ref="I9:I12"/>
  </mergeCells>
  <conditionalFormatting sqref="J9 J13">
    <cfRule type="cellIs" dxfId="249" priority="352" operator="equal">
      <formula>"Muy Alta"</formula>
    </cfRule>
    <cfRule type="cellIs" dxfId="248" priority="353" operator="equal">
      <formula>"Alta"</formula>
    </cfRule>
    <cfRule type="cellIs" dxfId="247" priority="354" operator="equal">
      <formula>"Media"</formula>
    </cfRule>
    <cfRule type="cellIs" dxfId="246" priority="355" operator="equal">
      <formula>"Baja"</formula>
    </cfRule>
    <cfRule type="cellIs" dxfId="245" priority="356" operator="equal">
      <formula>"Muy Baja"</formula>
    </cfRule>
  </conditionalFormatting>
  <conditionalFormatting sqref="N9 N13 N23 N29 N35 N41 N47 N53 N59">
    <cfRule type="cellIs" dxfId="244" priority="347" operator="equal">
      <formula>"Catastrófico"</formula>
    </cfRule>
    <cfRule type="cellIs" dxfId="243" priority="348" operator="equal">
      <formula>"Mayor"</formula>
    </cfRule>
    <cfRule type="cellIs" dxfId="242" priority="349" operator="equal">
      <formula>"Moderado"</formula>
    </cfRule>
    <cfRule type="cellIs" dxfId="241" priority="350" operator="equal">
      <formula>"Menor"</formula>
    </cfRule>
    <cfRule type="cellIs" dxfId="240" priority="351" operator="equal">
      <formula>"Leve"</formula>
    </cfRule>
  </conditionalFormatting>
  <conditionalFormatting sqref="P9">
    <cfRule type="cellIs" dxfId="239" priority="343" operator="equal">
      <formula>"Extremo"</formula>
    </cfRule>
    <cfRule type="cellIs" dxfId="238" priority="344" operator="equal">
      <formula>"Alto"</formula>
    </cfRule>
    <cfRule type="cellIs" dxfId="237" priority="345" operator="equal">
      <formula>"Moderado"</formula>
    </cfRule>
    <cfRule type="cellIs" dxfId="236" priority="346" operator="equal">
      <formula>"Bajo"</formula>
    </cfRule>
  </conditionalFormatting>
  <conditionalFormatting sqref="AA9:AA10">
    <cfRule type="cellIs" dxfId="235" priority="338" operator="equal">
      <formula>"Muy Alta"</formula>
    </cfRule>
    <cfRule type="cellIs" dxfId="234" priority="339" operator="equal">
      <formula>"Alta"</formula>
    </cfRule>
    <cfRule type="cellIs" dxfId="233" priority="340" operator="equal">
      <formula>"Media"</formula>
    </cfRule>
    <cfRule type="cellIs" dxfId="232" priority="341" operator="equal">
      <formula>"Baja"</formula>
    </cfRule>
    <cfRule type="cellIs" dxfId="231" priority="342" operator="equal">
      <formula>"Muy Baja"</formula>
    </cfRule>
  </conditionalFormatting>
  <conditionalFormatting sqref="AC9:AC10">
    <cfRule type="cellIs" dxfId="230" priority="333" operator="equal">
      <formula>"Catastrófico"</formula>
    </cfRule>
    <cfRule type="cellIs" dxfId="229" priority="334" operator="equal">
      <formula>"Mayor"</formula>
    </cfRule>
    <cfRule type="cellIs" dxfId="228" priority="335" operator="equal">
      <formula>"Moderado"</formula>
    </cfRule>
    <cfRule type="cellIs" dxfId="227" priority="336" operator="equal">
      <formula>"Menor"</formula>
    </cfRule>
    <cfRule type="cellIs" dxfId="226" priority="337" operator="equal">
      <formula>"Leve"</formula>
    </cfRule>
  </conditionalFormatting>
  <conditionalFormatting sqref="AE9:AE10">
    <cfRule type="cellIs" dxfId="225" priority="329" operator="equal">
      <formula>"Extremo"</formula>
    </cfRule>
    <cfRule type="cellIs" dxfId="224" priority="330" operator="equal">
      <formula>"Alto"</formula>
    </cfRule>
    <cfRule type="cellIs" dxfId="223" priority="331" operator="equal">
      <formula>"Moderado"</formula>
    </cfRule>
    <cfRule type="cellIs" dxfId="222" priority="332" operator="equal">
      <formula>"Bajo"</formula>
    </cfRule>
  </conditionalFormatting>
  <conditionalFormatting sqref="J53">
    <cfRule type="cellIs" dxfId="221" priority="86" operator="equal">
      <formula>"Muy Alta"</formula>
    </cfRule>
    <cfRule type="cellIs" dxfId="220" priority="87" operator="equal">
      <formula>"Alta"</formula>
    </cfRule>
    <cfRule type="cellIs" dxfId="219" priority="88" operator="equal">
      <formula>"Media"</formula>
    </cfRule>
    <cfRule type="cellIs" dxfId="218" priority="89" operator="equal">
      <formula>"Baja"</formula>
    </cfRule>
    <cfRule type="cellIs" dxfId="217" priority="90" operator="equal">
      <formula>"Muy Baja"</formula>
    </cfRule>
  </conditionalFormatting>
  <conditionalFormatting sqref="P13">
    <cfRule type="cellIs" dxfId="216" priority="273" operator="equal">
      <formula>"Extremo"</formula>
    </cfRule>
    <cfRule type="cellIs" dxfId="215" priority="274" operator="equal">
      <formula>"Alto"</formula>
    </cfRule>
    <cfRule type="cellIs" dxfId="214" priority="275" operator="equal">
      <formula>"Moderado"</formula>
    </cfRule>
    <cfRule type="cellIs" dxfId="213" priority="276" operator="equal">
      <formula>"Bajo"</formula>
    </cfRule>
  </conditionalFormatting>
  <conditionalFormatting sqref="AA13">
    <cfRule type="cellIs" dxfId="212" priority="268" operator="equal">
      <formula>"Muy Alta"</formula>
    </cfRule>
    <cfRule type="cellIs" dxfId="211" priority="269" operator="equal">
      <formula>"Alta"</formula>
    </cfRule>
    <cfRule type="cellIs" dxfId="210" priority="270" operator="equal">
      <formula>"Media"</formula>
    </cfRule>
    <cfRule type="cellIs" dxfId="209" priority="271" operator="equal">
      <formula>"Baja"</formula>
    </cfRule>
    <cfRule type="cellIs" dxfId="208" priority="272" operator="equal">
      <formula>"Muy Baja"</formula>
    </cfRule>
  </conditionalFormatting>
  <conditionalFormatting sqref="AC13">
    <cfRule type="cellIs" dxfId="207" priority="263" operator="equal">
      <formula>"Catastrófico"</formula>
    </cfRule>
    <cfRule type="cellIs" dxfId="206" priority="264" operator="equal">
      <formula>"Mayor"</formula>
    </cfRule>
    <cfRule type="cellIs" dxfId="205" priority="265" operator="equal">
      <formula>"Moderado"</formula>
    </cfRule>
    <cfRule type="cellIs" dxfId="204" priority="266" operator="equal">
      <formula>"Menor"</formula>
    </cfRule>
    <cfRule type="cellIs" dxfId="203" priority="267" operator="equal">
      <formula>"Leve"</formula>
    </cfRule>
  </conditionalFormatting>
  <conditionalFormatting sqref="AE13">
    <cfRule type="cellIs" dxfId="202" priority="259" operator="equal">
      <formula>"Extremo"</formula>
    </cfRule>
    <cfRule type="cellIs" dxfId="201" priority="260" operator="equal">
      <formula>"Alto"</formula>
    </cfRule>
    <cfRule type="cellIs" dxfId="200" priority="261" operator="equal">
      <formula>"Moderado"</formula>
    </cfRule>
    <cfRule type="cellIs" dxfId="199" priority="262" operator="equal">
      <formula>"Bajo"</formula>
    </cfRule>
  </conditionalFormatting>
  <conditionalFormatting sqref="AA19:AA22">
    <cfRule type="cellIs" dxfId="198" priority="240" operator="equal">
      <formula>"Muy Alta"</formula>
    </cfRule>
    <cfRule type="cellIs" dxfId="197" priority="241" operator="equal">
      <formula>"Alta"</formula>
    </cfRule>
    <cfRule type="cellIs" dxfId="196" priority="242" operator="equal">
      <formula>"Media"</formula>
    </cfRule>
    <cfRule type="cellIs" dxfId="195" priority="243" operator="equal">
      <formula>"Baja"</formula>
    </cfRule>
    <cfRule type="cellIs" dxfId="194" priority="244" operator="equal">
      <formula>"Muy Baja"</formula>
    </cfRule>
  </conditionalFormatting>
  <conditionalFormatting sqref="AC19:AC22">
    <cfRule type="cellIs" dxfId="193" priority="235" operator="equal">
      <formula>"Catastrófico"</formula>
    </cfRule>
    <cfRule type="cellIs" dxfId="192" priority="236" operator="equal">
      <formula>"Mayor"</formula>
    </cfRule>
    <cfRule type="cellIs" dxfId="191" priority="237" operator="equal">
      <formula>"Moderado"</formula>
    </cfRule>
    <cfRule type="cellIs" dxfId="190" priority="238" operator="equal">
      <formula>"Menor"</formula>
    </cfRule>
    <cfRule type="cellIs" dxfId="189" priority="239" operator="equal">
      <formula>"Leve"</formula>
    </cfRule>
  </conditionalFormatting>
  <conditionalFormatting sqref="AE19:AE22">
    <cfRule type="cellIs" dxfId="188" priority="231" operator="equal">
      <formula>"Extremo"</formula>
    </cfRule>
    <cfRule type="cellIs" dxfId="187" priority="232" operator="equal">
      <formula>"Alto"</formula>
    </cfRule>
    <cfRule type="cellIs" dxfId="186" priority="233" operator="equal">
      <formula>"Moderado"</formula>
    </cfRule>
    <cfRule type="cellIs" dxfId="185" priority="234" operator="equal">
      <formula>"Bajo"</formula>
    </cfRule>
  </conditionalFormatting>
  <conditionalFormatting sqref="J23">
    <cfRule type="cellIs" dxfId="184" priority="226" operator="equal">
      <formula>"Muy Alta"</formula>
    </cfRule>
    <cfRule type="cellIs" dxfId="183" priority="227" operator="equal">
      <formula>"Alta"</formula>
    </cfRule>
    <cfRule type="cellIs" dxfId="182" priority="228" operator="equal">
      <formula>"Media"</formula>
    </cfRule>
    <cfRule type="cellIs" dxfId="181" priority="229" operator="equal">
      <formula>"Baja"</formula>
    </cfRule>
    <cfRule type="cellIs" dxfId="180" priority="230" operator="equal">
      <formula>"Muy Baja"</formula>
    </cfRule>
  </conditionalFormatting>
  <conditionalFormatting sqref="P23">
    <cfRule type="cellIs" dxfId="179" priority="217" operator="equal">
      <formula>"Extremo"</formula>
    </cfRule>
    <cfRule type="cellIs" dxfId="178" priority="218" operator="equal">
      <formula>"Alto"</formula>
    </cfRule>
    <cfRule type="cellIs" dxfId="177" priority="219" operator="equal">
      <formula>"Moderado"</formula>
    </cfRule>
    <cfRule type="cellIs" dxfId="176" priority="220" operator="equal">
      <formula>"Bajo"</formula>
    </cfRule>
  </conditionalFormatting>
  <conditionalFormatting sqref="AA23:AA28">
    <cfRule type="cellIs" dxfId="175" priority="212" operator="equal">
      <formula>"Muy Alta"</formula>
    </cfRule>
    <cfRule type="cellIs" dxfId="174" priority="213" operator="equal">
      <formula>"Alta"</formula>
    </cfRule>
    <cfRule type="cellIs" dxfId="173" priority="214" operator="equal">
      <formula>"Media"</formula>
    </cfRule>
    <cfRule type="cellIs" dxfId="172" priority="215" operator="equal">
      <formula>"Baja"</formula>
    </cfRule>
    <cfRule type="cellIs" dxfId="171" priority="216" operator="equal">
      <formula>"Muy Baja"</formula>
    </cfRule>
  </conditionalFormatting>
  <conditionalFormatting sqref="AC23:AC28">
    <cfRule type="cellIs" dxfId="170" priority="207" operator="equal">
      <formula>"Catastrófico"</formula>
    </cfRule>
    <cfRule type="cellIs" dxfId="169" priority="208" operator="equal">
      <formula>"Mayor"</formula>
    </cfRule>
    <cfRule type="cellIs" dxfId="168" priority="209" operator="equal">
      <formula>"Moderado"</formula>
    </cfRule>
    <cfRule type="cellIs" dxfId="167" priority="210" operator="equal">
      <formula>"Menor"</formula>
    </cfRule>
    <cfRule type="cellIs" dxfId="166" priority="211" operator="equal">
      <formula>"Leve"</formula>
    </cfRule>
  </conditionalFormatting>
  <conditionalFormatting sqref="AE23:AE28">
    <cfRule type="cellIs" dxfId="165" priority="203" operator="equal">
      <formula>"Extremo"</formula>
    </cfRule>
    <cfRule type="cellIs" dxfId="164" priority="204" operator="equal">
      <formula>"Alto"</formula>
    </cfRule>
    <cfRule type="cellIs" dxfId="163" priority="205" operator="equal">
      <formula>"Moderado"</formula>
    </cfRule>
    <cfRule type="cellIs" dxfId="162" priority="206" operator="equal">
      <formula>"Bajo"</formula>
    </cfRule>
  </conditionalFormatting>
  <conditionalFormatting sqref="J29">
    <cfRule type="cellIs" dxfId="161" priority="198" operator="equal">
      <formula>"Muy Alta"</formula>
    </cfRule>
    <cfRule type="cellIs" dxfId="160" priority="199" operator="equal">
      <formula>"Alta"</formula>
    </cfRule>
    <cfRule type="cellIs" dxfId="159" priority="200" operator="equal">
      <formula>"Media"</formula>
    </cfRule>
    <cfRule type="cellIs" dxfId="158" priority="201" operator="equal">
      <formula>"Baja"</formula>
    </cfRule>
    <cfRule type="cellIs" dxfId="157" priority="202" operator="equal">
      <formula>"Muy Baja"</formula>
    </cfRule>
  </conditionalFormatting>
  <conditionalFormatting sqref="P29">
    <cfRule type="cellIs" dxfId="156" priority="189" operator="equal">
      <formula>"Extremo"</formula>
    </cfRule>
    <cfRule type="cellIs" dxfId="155" priority="190" operator="equal">
      <formula>"Alto"</formula>
    </cfRule>
    <cfRule type="cellIs" dxfId="154" priority="191" operator="equal">
      <formula>"Moderado"</formula>
    </cfRule>
    <cfRule type="cellIs" dxfId="153" priority="192" operator="equal">
      <formula>"Bajo"</formula>
    </cfRule>
  </conditionalFormatting>
  <conditionalFormatting sqref="AA29:AA34">
    <cfRule type="cellIs" dxfId="152" priority="184" operator="equal">
      <formula>"Muy Alta"</formula>
    </cfRule>
    <cfRule type="cellIs" dxfId="151" priority="185" operator="equal">
      <formula>"Alta"</formula>
    </cfRule>
    <cfRule type="cellIs" dxfId="150" priority="186" operator="equal">
      <formula>"Media"</formula>
    </cfRule>
    <cfRule type="cellIs" dxfId="149" priority="187" operator="equal">
      <formula>"Baja"</formula>
    </cfRule>
    <cfRule type="cellIs" dxfId="148" priority="188" operator="equal">
      <formula>"Muy Baja"</formula>
    </cfRule>
  </conditionalFormatting>
  <conditionalFormatting sqref="AC29:AC34">
    <cfRule type="cellIs" dxfId="147" priority="179" operator="equal">
      <formula>"Catastrófico"</formula>
    </cfRule>
    <cfRule type="cellIs" dxfId="146" priority="180" operator="equal">
      <formula>"Mayor"</formula>
    </cfRule>
    <cfRule type="cellIs" dxfId="145" priority="181" operator="equal">
      <formula>"Moderado"</formula>
    </cfRule>
    <cfRule type="cellIs" dxfId="144" priority="182" operator="equal">
      <formula>"Menor"</formula>
    </cfRule>
    <cfRule type="cellIs" dxfId="143" priority="183" operator="equal">
      <formula>"Leve"</formula>
    </cfRule>
  </conditionalFormatting>
  <conditionalFormatting sqref="AE29:AE34">
    <cfRule type="cellIs" dxfId="142" priority="175" operator="equal">
      <formula>"Extremo"</formula>
    </cfRule>
    <cfRule type="cellIs" dxfId="141" priority="176" operator="equal">
      <formula>"Alto"</formula>
    </cfRule>
    <cfRule type="cellIs" dxfId="140" priority="177" operator="equal">
      <formula>"Moderado"</formula>
    </cfRule>
    <cfRule type="cellIs" dxfId="139" priority="178" operator="equal">
      <formula>"Bajo"</formula>
    </cfRule>
  </conditionalFormatting>
  <conditionalFormatting sqref="J35">
    <cfRule type="cellIs" dxfId="138" priority="170" operator="equal">
      <formula>"Muy Alta"</formula>
    </cfRule>
    <cfRule type="cellIs" dxfId="137" priority="171" operator="equal">
      <formula>"Alta"</formula>
    </cfRule>
    <cfRule type="cellIs" dxfId="136" priority="172" operator="equal">
      <formula>"Media"</formula>
    </cfRule>
    <cfRule type="cellIs" dxfId="135" priority="173" operator="equal">
      <formula>"Baja"</formula>
    </cfRule>
    <cfRule type="cellIs" dxfId="134" priority="174" operator="equal">
      <formula>"Muy Baja"</formula>
    </cfRule>
  </conditionalFormatting>
  <conditionalFormatting sqref="P35">
    <cfRule type="cellIs" dxfId="133" priority="161" operator="equal">
      <formula>"Extremo"</formula>
    </cfRule>
    <cfRule type="cellIs" dxfId="132" priority="162" operator="equal">
      <formula>"Alto"</formula>
    </cfRule>
    <cfRule type="cellIs" dxfId="131" priority="163" operator="equal">
      <formula>"Moderado"</formula>
    </cfRule>
    <cfRule type="cellIs" dxfId="130" priority="164" operator="equal">
      <formula>"Bajo"</formula>
    </cfRule>
  </conditionalFormatting>
  <conditionalFormatting sqref="AA35:AA40">
    <cfRule type="cellIs" dxfId="129" priority="156" operator="equal">
      <formula>"Muy Alta"</formula>
    </cfRule>
    <cfRule type="cellIs" dxfId="128" priority="157" operator="equal">
      <formula>"Alta"</formula>
    </cfRule>
    <cfRule type="cellIs" dxfId="127" priority="158" operator="equal">
      <formula>"Media"</formula>
    </cfRule>
    <cfRule type="cellIs" dxfId="126" priority="159" operator="equal">
      <formula>"Baja"</formula>
    </cfRule>
    <cfRule type="cellIs" dxfId="125" priority="160" operator="equal">
      <formula>"Muy Baja"</formula>
    </cfRule>
  </conditionalFormatting>
  <conditionalFormatting sqref="AC35:AC40">
    <cfRule type="cellIs" dxfId="124" priority="151" operator="equal">
      <formula>"Catastrófico"</formula>
    </cfRule>
    <cfRule type="cellIs" dxfId="123" priority="152" operator="equal">
      <formula>"Mayor"</formula>
    </cfRule>
    <cfRule type="cellIs" dxfId="122" priority="153" operator="equal">
      <formula>"Moderado"</formula>
    </cfRule>
    <cfRule type="cellIs" dxfId="121" priority="154" operator="equal">
      <formula>"Menor"</formula>
    </cfRule>
    <cfRule type="cellIs" dxfId="120" priority="155" operator="equal">
      <formula>"Leve"</formula>
    </cfRule>
  </conditionalFormatting>
  <conditionalFormatting sqref="AE35:AE40">
    <cfRule type="cellIs" dxfId="119" priority="147" operator="equal">
      <formula>"Extremo"</formula>
    </cfRule>
    <cfRule type="cellIs" dxfId="118" priority="148" operator="equal">
      <formula>"Alto"</formula>
    </cfRule>
    <cfRule type="cellIs" dxfId="117" priority="149" operator="equal">
      <formula>"Moderado"</formula>
    </cfRule>
    <cfRule type="cellIs" dxfId="116" priority="150" operator="equal">
      <formula>"Bajo"</formula>
    </cfRule>
  </conditionalFormatting>
  <conditionalFormatting sqref="J41">
    <cfRule type="cellIs" dxfId="115" priority="142" operator="equal">
      <formula>"Muy Alta"</formula>
    </cfRule>
    <cfRule type="cellIs" dxfId="114" priority="143" operator="equal">
      <formula>"Alta"</formula>
    </cfRule>
    <cfRule type="cellIs" dxfId="113" priority="144" operator="equal">
      <formula>"Media"</formula>
    </cfRule>
    <cfRule type="cellIs" dxfId="112" priority="145" operator="equal">
      <formula>"Baja"</formula>
    </cfRule>
    <cfRule type="cellIs" dxfId="111" priority="146" operator="equal">
      <formula>"Muy Baja"</formula>
    </cfRule>
  </conditionalFormatting>
  <conditionalFormatting sqref="P41">
    <cfRule type="cellIs" dxfId="110" priority="133" operator="equal">
      <formula>"Extremo"</formula>
    </cfRule>
    <cfRule type="cellIs" dxfId="109" priority="134" operator="equal">
      <formula>"Alto"</formula>
    </cfRule>
    <cfRule type="cellIs" dxfId="108" priority="135" operator="equal">
      <formula>"Moderado"</formula>
    </cfRule>
    <cfRule type="cellIs" dxfId="107" priority="136" operator="equal">
      <formula>"Bajo"</formula>
    </cfRule>
  </conditionalFormatting>
  <conditionalFormatting sqref="AA41:AA46">
    <cfRule type="cellIs" dxfId="106" priority="128" operator="equal">
      <formula>"Muy Alta"</formula>
    </cfRule>
    <cfRule type="cellIs" dxfId="105" priority="129" operator="equal">
      <formula>"Alta"</formula>
    </cfRule>
    <cfRule type="cellIs" dxfId="104" priority="130" operator="equal">
      <formula>"Media"</formula>
    </cfRule>
    <cfRule type="cellIs" dxfId="103" priority="131" operator="equal">
      <formula>"Baja"</formula>
    </cfRule>
    <cfRule type="cellIs" dxfId="102" priority="132" operator="equal">
      <formula>"Muy Baja"</formula>
    </cfRule>
  </conditionalFormatting>
  <conditionalFormatting sqref="AC41:AC46">
    <cfRule type="cellIs" dxfId="101" priority="123" operator="equal">
      <formula>"Catastrófico"</formula>
    </cfRule>
    <cfRule type="cellIs" dxfId="100" priority="124" operator="equal">
      <formula>"Mayor"</formula>
    </cfRule>
    <cfRule type="cellIs" dxfId="99" priority="125" operator="equal">
      <formula>"Moderado"</formula>
    </cfRule>
    <cfRule type="cellIs" dxfId="98" priority="126" operator="equal">
      <formula>"Menor"</formula>
    </cfRule>
    <cfRule type="cellIs" dxfId="97" priority="127" operator="equal">
      <formula>"Leve"</formula>
    </cfRule>
  </conditionalFormatting>
  <conditionalFormatting sqref="AE41:AE46">
    <cfRule type="cellIs" dxfId="96" priority="119" operator="equal">
      <formula>"Extremo"</formula>
    </cfRule>
    <cfRule type="cellIs" dxfId="95" priority="120" operator="equal">
      <formula>"Alto"</formula>
    </cfRule>
    <cfRule type="cellIs" dxfId="94" priority="121" operator="equal">
      <formula>"Moderado"</formula>
    </cfRule>
    <cfRule type="cellIs" dxfId="93" priority="122" operator="equal">
      <formula>"Bajo"</formula>
    </cfRule>
  </conditionalFormatting>
  <conditionalFormatting sqref="J47">
    <cfRule type="cellIs" dxfId="92" priority="114" operator="equal">
      <formula>"Muy Alta"</formula>
    </cfRule>
    <cfRule type="cellIs" dxfId="91" priority="115" operator="equal">
      <formula>"Alta"</formula>
    </cfRule>
    <cfRule type="cellIs" dxfId="90" priority="116" operator="equal">
      <formula>"Media"</formula>
    </cfRule>
    <cfRule type="cellIs" dxfId="89" priority="117" operator="equal">
      <formula>"Baja"</formula>
    </cfRule>
    <cfRule type="cellIs" dxfId="88" priority="118" operator="equal">
      <formula>"Muy Baja"</formula>
    </cfRule>
  </conditionalFormatting>
  <conditionalFormatting sqref="P47">
    <cfRule type="cellIs" dxfId="87" priority="105" operator="equal">
      <formula>"Extremo"</formula>
    </cfRule>
    <cfRule type="cellIs" dxfId="86" priority="106" operator="equal">
      <formula>"Alto"</formula>
    </cfRule>
    <cfRule type="cellIs" dxfId="85" priority="107" operator="equal">
      <formula>"Moderado"</formula>
    </cfRule>
    <cfRule type="cellIs" dxfId="84" priority="108" operator="equal">
      <formula>"Bajo"</formula>
    </cfRule>
  </conditionalFormatting>
  <conditionalFormatting sqref="AA47:AA52">
    <cfRule type="cellIs" dxfId="83" priority="100" operator="equal">
      <formula>"Muy Alta"</formula>
    </cfRule>
    <cfRule type="cellIs" dxfId="82" priority="101" operator="equal">
      <formula>"Alta"</formula>
    </cfRule>
    <cfRule type="cellIs" dxfId="81" priority="102" operator="equal">
      <formula>"Media"</formula>
    </cfRule>
    <cfRule type="cellIs" dxfId="80" priority="103" operator="equal">
      <formula>"Baja"</formula>
    </cfRule>
    <cfRule type="cellIs" dxfId="79" priority="104" operator="equal">
      <formula>"Muy Baja"</formula>
    </cfRule>
  </conditionalFormatting>
  <conditionalFormatting sqref="AC47:AC52">
    <cfRule type="cellIs" dxfId="78" priority="95" operator="equal">
      <formula>"Catastrófico"</formula>
    </cfRule>
    <cfRule type="cellIs" dxfId="77" priority="96" operator="equal">
      <formula>"Mayor"</formula>
    </cfRule>
    <cfRule type="cellIs" dxfId="76" priority="97" operator="equal">
      <formula>"Moderado"</formula>
    </cfRule>
    <cfRule type="cellIs" dxfId="75" priority="98" operator="equal">
      <formula>"Menor"</formula>
    </cfRule>
    <cfRule type="cellIs" dxfId="74" priority="99" operator="equal">
      <formula>"Leve"</formula>
    </cfRule>
  </conditionalFormatting>
  <conditionalFormatting sqref="AE47:AE52">
    <cfRule type="cellIs" dxfId="73" priority="91" operator="equal">
      <formula>"Extremo"</formula>
    </cfRule>
    <cfRule type="cellIs" dxfId="72" priority="92" operator="equal">
      <formula>"Alto"</formula>
    </cfRule>
    <cfRule type="cellIs" dxfId="71" priority="93" operator="equal">
      <formula>"Moderado"</formula>
    </cfRule>
    <cfRule type="cellIs" dxfId="70" priority="94" operator="equal">
      <formula>"Bajo"</formula>
    </cfRule>
  </conditionalFormatting>
  <conditionalFormatting sqref="P53">
    <cfRule type="cellIs" dxfId="69" priority="77" operator="equal">
      <formula>"Extremo"</formula>
    </cfRule>
    <cfRule type="cellIs" dxfId="68" priority="78" operator="equal">
      <formula>"Alto"</formula>
    </cfRule>
    <cfRule type="cellIs" dxfId="67" priority="79" operator="equal">
      <formula>"Moderado"</formula>
    </cfRule>
    <cfRule type="cellIs" dxfId="66" priority="80" operator="equal">
      <formula>"Bajo"</formula>
    </cfRule>
  </conditionalFormatting>
  <conditionalFormatting sqref="AA53:AA58">
    <cfRule type="cellIs" dxfId="65" priority="72" operator="equal">
      <formula>"Muy Alta"</formula>
    </cfRule>
    <cfRule type="cellIs" dxfId="64" priority="73" operator="equal">
      <formula>"Alta"</formula>
    </cfRule>
    <cfRule type="cellIs" dxfId="63" priority="74" operator="equal">
      <formula>"Media"</formula>
    </cfRule>
    <cfRule type="cellIs" dxfId="62" priority="75" operator="equal">
      <formula>"Baja"</formula>
    </cfRule>
    <cfRule type="cellIs" dxfId="61" priority="76" operator="equal">
      <formula>"Muy Baja"</formula>
    </cfRule>
  </conditionalFormatting>
  <conditionalFormatting sqref="AC53:AC58">
    <cfRule type="cellIs" dxfId="60" priority="67" operator="equal">
      <formula>"Catastrófico"</formula>
    </cfRule>
    <cfRule type="cellIs" dxfId="59" priority="68" operator="equal">
      <formula>"Mayor"</formula>
    </cfRule>
    <cfRule type="cellIs" dxfId="58" priority="69" operator="equal">
      <formula>"Moderado"</formula>
    </cfRule>
    <cfRule type="cellIs" dxfId="57" priority="70" operator="equal">
      <formula>"Menor"</formula>
    </cfRule>
    <cfRule type="cellIs" dxfId="56" priority="71" operator="equal">
      <formula>"Leve"</formula>
    </cfRule>
  </conditionalFormatting>
  <conditionalFormatting sqref="AE53:AE58">
    <cfRule type="cellIs" dxfId="55" priority="63" operator="equal">
      <formula>"Extremo"</formula>
    </cfRule>
    <cfRule type="cellIs" dxfId="54" priority="64" operator="equal">
      <formula>"Alto"</formula>
    </cfRule>
    <cfRule type="cellIs" dxfId="53" priority="65" operator="equal">
      <formula>"Moderado"</formula>
    </cfRule>
    <cfRule type="cellIs" dxfId="52" priority="66" operator="equal">
      <formula>"Bajo"</formula>
    </cfRule>
  </conditionalFormatting>
  <conditionalFormatting sqref="J59">
    <cfRule type="cellIs" dxfId="51" priority="58" operator="equal">
      <formula>"Muy Alta"</formula>
    </cfRule>
    <cfRule type="cellIs" dxfId="50" priority="59" operator="equal">
      <formula>"Alta"</formula>
    </cfRule>
    <cfRule type="cellIs" dxfId="49" priority="60" operator="equal">
      <formula>"Media"</formula>
    </cfRule>
    <cfRule type="cellIs" dxfId="48" priority="61" operator="equal">
      <formula>"Baja"</formula>
    </cfRule>
    <cfRule type="cellIs" dxfId="47" priority="62" operator="equal">
      <formula>"Muy Baja"</formula>
    </cfRule>
  </conditionalFormatting>
  <conditionalFormatting sqref="P59">
    <cfRule type="cellIs" dxfId="46" priority="49" operator="equal">
      <formula>"Extremo"</formula>
    </cfRule>
    <cfRule type="cellIs" dxfId="45" priority="50" operator="equal">
      <formula>"Alto"</formula>
    </cfRule>
    <cfRule type="cellIs" dxfId="44" priority="51" operator="equal">
      <formula>"Moderado"</formula>
    </cfRule>
    <cfRule type="cellIs" dxfId="43" priority="52" operator="equal">
      <formula>"Bajo"</formula>
    </cfRule>
  </conditionalFormatting>
  <conditionalFormatting sqref="AA59:AA64">
    <cfRule type="cellIs" dxfId="42" priority="44" operator="equal">
      <formula>"Muy Alta"</formula>
    </cfRule>
    <cfRule type="cellIs" dxfId="41" priority="45" operator="equal">
      <formula>"Alta"</formula>
    </cfRule>
    <cfRule type="cellIs" dxfId="40" priority="46" operator="equal">
      <formula>"Media"</formula>
    </cfRule>
    <cfRule type="cellIs" dxfId="39" priority="47" operator="equal">
      <formula>"Baja"</formula>
    </cfRule>
    <cfRule type="cellIs" dxfId="38" priority="48" operator="equal">
      <formula>"Muy Baja"</formula>
    </cfRule>
  </conditionalFormatting>
  <conditionalFormatting sqref="AC59:AC64">
    <cfRule type="cellIs" dxfId="37" priority="39" operator="equal">
      <formula>"Catastrófico"</formula>
    </cfRule>
    <cfRule type="cellIs" dxfId="36" priority="40" operator="equal">
      <formula>"Mayor"</formula>
    </cfRule>
    <cfRule type="cellIs" dxfId="35" priority="41" operator="equal">
      <formula>"Moderado"</formula>
    </cfRule>
    <cfRule type="cellIs" dxfId="34" priority="42" operator="equal">
      <formula>"Menor"</formula>
    </cfRule>
    <cfRule type="cellIs" dxfId="33" priority="43" operator="equal">
      <formula>"Leve"</formula>
    </cfRule>
  </conditionalFormatting>
  <conditionalFormatting sqref="AE59:AE64">
    <cfRule type="cellIs" dxfId="32" priority="35" operator="equal">
      <formula>"Extremo"</formula>
    </cfRule>
    <cfRule type="cellIs" dxfId="31" priority="36" operator="equal">
      <formula>"Alto"</formula>
    </cfRule>
    <cfRule type="cellIs" dxfId="30" priority="37" operator="equal">
      <formula>"Moderado"</formula>
    </cfRule>
    <cfRule type="cellIs" dxfId="29" priority="38" operator="equal">
      <formula>"Bajo"</formula>
    </cfRule>
  </conditionalFormatting>
  <conditionalFormatting sqref="M9:M64">
    <cfRule type="containsText" dxfId="28" priority="34" operator="containsText" text="❌">
      <formula>NOT(ISERROR(SEARCH("❌",M9)))</formula>
    </cfRule>
  </conditionalFormatting>
  <conditionalFormatting sqref="J16">
    <cfRule type="cellIs" dxfId="27" priority="29" operator="equal">
      <formula>"Muy Alta"</formula>
    </cfRule>
    <cfRule type="cellIs" dxfId="26" priority="30" operator="equal">
      <formula>"Alta"</formula>
    </cfRule>
    <cfRule type="cellIs" dxfId="25" priority="31" operator="equal">
      <formula>"Media"</formula>
    </cfRule>
    <cfRule type="cellIs" dxfId="24" priority="32" operator="equal">
      <formula>"Baja"</formula>
    </cfRule>
    <cfRule type="cellIs" dxfId="23" priority="33" operator="equal">
      <formula>"Muy Baja"</formula>
    </cfRule>
  </conditionalFormatting>
  <conditionalFormatting sqref="AC16">
    <cfRule type="cellIs" dxfId="22" priority="5" operator="equal">
      <formula>"Catastrófico"</formula>
    </cfRule>
    <cfRule type="cellIs" dxfId="21" priority="6" operator="equal">
      <formula>"Mayor"</formula>
    </cfRule>
    <cfRule type="cellIs" dxfId="20" priority="7" operator="equal">
      <formula>"Moderado"</formula>
    </cfRule>
    <cfRule type="cellIs" dxfId="19" priority="8" operator="equal">
      <formula>"Menor"</formula>
    </cfRule>
    <cfRule type="cellIs" dxfId="18" priority="9" operator="equal">
      <formula>"Leve"</formula>
    </cfRule>
  </conditionalFormatting>
  <conditionalFormatting sqref="P16">
    <cfRule type="cellIs" dxfId="17" priority="20" operator="equal">
      <formula>"Extremo"</formula>
    </cfRule>
    <cfRule type="cellIs" dxfId="16" priority="21" operator="equal">
      <formula>"Alto"</formula>
    </cfRule>
    <cfRule type="cellIs" dxfId="15" priority="22" operator="equal">
      <formula>"Moderado"</formula>
    </cfRule>
    <cfRule type="cellIs" dxfId="14" priority="23" operator="equal">
      <formula>"Bajo"</formula>
    </cfRule>
  </conditionalFormatting>
  <conditionalFormatting sqref="N16">
    <cfRule type="cellIs" dxfId="13" priority="15" operator="equal">
      <formula>"Catastrófico"</formula>
    </cfRule>
    <cfRule type="cellIs" dxfId="12" priority="16" operator="equal">
      <formula>"Mayor"</formula>
    </cfRule>
    <cfRule type="cellIs" dxfId="11" priority="17" operator="equal">
      <formula>"Moderado"</formula>
    </cfRule>
    <cfRule type="cellIs" dxfId="10" priority="18" operator="equal">
      <formula>"Menor"</formula>
    </cfRule>
    <cfRule type="cellIs" dxfId="9" priority="19" operator="equal">
      <formula>"Leve"</formula>
    </cfRule>
  </conditionalFormatting>
  <conditionalFormatting sqref="AA16">
    <cfRule type="cellIs" dxfId="8" priority="10" operator="equal">
      <formula>"Muy Alta"</formula>
    </cfRule>
    <cfRule type="cellIs" dxfId="7" priority="11" operator="equal">
      <formula>"Alta"</formula>
    </cfRule>
    <cfRule type="cellIs" dxfId="6" priority="12" operator="equal">
      <formula>"Media"</formula>
    </cfRule>
    <cfRule type="cellIs" dxfId="5" priority="13" operator="equal">
      <formula>"Baja"</formula>
    </cfRule>
    <cfRule type="cellIs" dxfId="4" priority="14" operator="equal">
      <formula>"Muy Baja"</formula>
    </cfRule>
  </conditionalFormatting>
  <conditionalFormatting sqref="AE1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00000000-0002-0000-0200-000000000000}">
          <x14:formula1>
            <xm:f>'Opciones Tratamiento'!$B$9:$B$10</xm:f>
          </x14:formula1>
          <xm:sqref>AL9:AL10 AL12:AL13 AL62:AL63 AL20:AL21 AL23:AL24 AL26:AL27 AL29:AL30 AL32:AL33 AL35:AL36 AL38:AL39 AL41:AL42 AL44:AL45 AL47:AL48 AL50:AL51 AL53:AL54 AL56:AL57 AL59:AL60 AL16</xm:sqref>
        </x14:dataValidation>
        <x14:dataValidation type="custom" allowBlank="1" showInputMessage="1" showErrorMessage="1" error="Recuerde que las acciones se generan bajo la medida de mitigar el riesgo" xr:uid="{00000000-0002-0000-0200-000001000000}">
          <x14:formula1>
            <xm:f>IF(OR(AF9='Opciones Tratamiento'!$B$2,AF9='Opciones Tratamiento'!$B$3,AF9='Opciones Tratamiento'!$B$4),ISBLANK(AF9),ISTEXT(AF9))</xm:f>
          </x14:formula1>
          <xm:sqref>AG9 AG29:AG64 AG19:AG22</xm:sqref>
        </x14:dataValidation>
        <x14:dataValidation type="list" allowBlank="1" showInputMessage="1" showErrorMessage="1" xr:uid="{00000000-0002-0000-0200-000002000000}">
          <x14:formula1>
            <xm:f>'Tabla Valoración controles'!$D$4:$D$6</xm:f>
          </x14:formula1>
          <xm:sqref>T16 T19:T64 T9:T10 T13</xm:sqref>
        </x14:dataValidation>
        <x14:dataValidation type="list" allowBlank="1" showInputMessage="1" showErrorMessage="1" xr:uid="{00000000-0002-0000-0200-000003000000}">
          <x14:formula1>
            <xm:f>'Opciones Tratamiento'!$B$2:$B$5</xm:f>
          </x14:formula1>
          <xm:sqref>AF19:AF64 AF9:AF10 AF13 AF16</xm:sqref>
        </x14:dataValidation>
        <x14:dataValidation type="list" allowBlank="1" showInputMessage="1" showErrorMessage="1" xr:uid="{00000000-0002-0000-0200-000004000000}">
          <x14:formula1>
            <xm:f>'Tabla Valoración controles'!$D$7:$D$8</xm:f>
          </x14:formula1>
          <xm:sqref>U16 U19:U64 U9:U10 U13</xm:sqref>
        </x14:dataValidation>
        <x14:dataValidation type="list" allowBlank="1" showInputMessage="1" showErrorMessage="1" xr:uid="{00000000-0002-0000-0200-000005000000}">
          <x14:formula1>
            <xm:f>'Tabla Valoración controles'!$D$9:$D$10</xm:f>
          </x14:formula1>
          <xm:sqref>W16 W19:W64 W9:W10 W13</xm:sqref>
        </x14:dataValidation>
        <x14:dataValidation type="list" allowBlank="1" showInputMessage="1" showErrorMessage="1" xr:uid="{00000000-0002-0000-0200-000006000000}">
          <x14:formula1>
            <xm:f>'Tabla Valoración controles'!$D$11:$D$12</xm:f>
          </x14:formula1>
          <xm:sqref>X16 X19:X64 X9:X10 X13</xm:sqref>
        </x14:dataValidation>
        <x14:dataValidation type="list" allowBlank="1" showInputMessage="1" showErrorMessage="1" xr:uid="{00000000-0002-0000-0200-000007000000}">
          <x14:formula1>
            <xm:f>'Tabla Valoración controles'!$D$13:$D$14</xm:f>
          </x14:formula1>
          <xm:sqref>Y16 Y19:Y64 Y9:Y10 Y13</xm:sqref>
        </x14:dataValidation>
        <x14:dataValidation type="list" allowBlank="1" showInputMessage="1" showErrorMessage="1" xr:uid="{00000000-0002-0000-0200-000008000000}">
          <x14:formula1>
            <xm:f>'Opciones Tratamiento'!$B$13:$B$19</xm:f>
          </x14:formula1>
          <xm:sqref>H9:H13 H23:H64 H16</xm:sqref>
        </x14:dataValidation>
        <x14:dataValidation type="list" allowBlank="1" showInputMessage="1" showErrorMessage="1" xr:uid="{00000000-0002-0000-0200-000009000000}">
          <x14:formula1>
            <xm:f>'Opciones Tratamiento'!$E$2:$E$4</xm:f>
          </x14:formula1>
          <xm:sqref>B9:B13 B19:B64</xm:sqref>
        </x14:dataValidation>
        <x14:dataValidation type="list" allowBlank="1" showInputMessage="1" showErrorMessage="1" xr:uid="{00000000-0002-0000-0200-00000A000000}">
          <x14:formula1>
            <xm:f>'Tabla Impacto'!$F$210:$F$221</xm:f>
          </x14:formula1>
          <xm:sqref>L9:L13 L19:L64 L16</xm:sqref>
        </x14:dataValidation>
        <x14:dataValidation type="custom" allowBlank="1" showInputMessage="1" showErrorMessage="1" error="Recuerde que las acciones se generan bajo la medida de mitigar el riesgo" xr:uid="{00000000-0002-0000-0200-00000B000000}">
          <x14:formula1>
            <xm:f>IF(OR(AF9='Opciones Tratamiento'!$B$2,AF9='Opciones Tratamiento'!$B$3,AF9='Opciones Tratamiento'!$B$4),ISBLANK(AF9),ISTEXT(AF9))</xm:f>
          </x14:formula1>
          <xm:sqref>AH9:AH13 AH19:AH64 AH16</xm:sqref>
        </x14:dataValidation>
        <x14:dataValidation type="custom" allowBlank="1" showInputMessage="1" showErrorMessage="1" error="Recuerde que las acciones se generan bajo la medida de mitigar el riesgo" xr:uid="{00000000-0002-0000-0200-00000C000000}">
          <x14:formula1>
            <xm:f>IF(OR(AF9='Opciones Tratamiento'!$B$2,AF9='Opciones Tratamiento'!$B$3,AF9='Opciones Tratamiento'!$B$4),ISBLANK(AF9),ISTEXT(AF9))</xm:f>
          </x14:formula1>
          <xm:sqref>AI29:AI64 AI9:AI13 AI19:AI23 AI16</xm:sqref>
        </x14:dataValidation>
        <x14:dataValidation type="custom" allowBlank="1" showInputMessage="1" showErrorMessage="1" error="Recuerde que las acciones se generan bajo la medida de mitigar el riesgo" xr:uid="{00000000-0002-0000-0200-00000D000000}">
          <x14:formula1>
            <xm:f>IF(OR(AF9='Opciones Tratamiento'!$B$2,AF9='Opciones Tratamiento'!$B$3,AF9='Opciones Tratamiento'!$B$4),ISBLANK(AF9),ISTEXT(AF9))</xm:f>
          </x14:formula1>
          <xm:sqref>AJ29:AJ64 AJ19:AJ23 AJ9:AJ13 AJ16</xm:sqref>
        </x14:dataValidation>
        <x14:dataValidation type="custom" allowBlank="1" showInputMessage="1" showErrorMessage="1" error="Recuerde que las acciones se generan bajo la medida de mitigar el riesgo" xr:uid="{00000000-0002-0000-0200-00000E000000}">
          <x14:formula1>
            <xm:f>IF(OR(AF9='Opciones Tratamiento'!$B$2,AF9='Opciones Tratamiento'!$B$3,AF9='Opciones Tratamiento'!$B$4),ISBLANK(AF9),ISTEXT(AF9))</xm:f>
          </x14:formula1>
          <xm:sqref>AK9:AK13 AK16 AK19:AK64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40" zoomScaleNormal="40" workbookViewId="0">
      <selection activeCell="P77" sqref="P77"/>
    </sheetView>
  </sheetViews>
  <sheetFormatPr baseColWidth="10" defaultRowHeight="14.4" x14ac:dyDescent="0.3"/>
  <cols>
    <col min="2" max="39" width="5.6640625" customWidth="1"/>
    <col min="41" max="46" width="5.6640625" customWidth="1"/>
  </cols>
  <sheetData>
    <row r="1" spans="1:99" x14ac:dyDescent="0.3">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3">
      <c r="A2" s="83"/>
      <c r="B2" s="469" t="s">
        <v>161</v>
      </c>
      <c r="C2" s="469"/>
      <c r="D2" s="469"/>
      <c r="E2" s="469"/>
      <c r="F2" s="469"/>
      <c r="G2" s="469"/>
      <c r="H2" s="469"/>
      <c r="I2" s="469"/>
      <c r="J2" s="437" t="s">
        <v>2</v>
      </c>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3">
      <c r="A3" s="83"/>
      <c r="B3" s="469"/>
      <c r="C3" s="469"/>
      <c r="D3" s="469"/>
      <c r="E3" s="469"/>
      <c r="F3" s="469"/>
      <c r="G3" s="469"/>
      <c r="H3" s="469"/>
      <c r="I3" s="469"/>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3">
      <c r="A4" s="83"/>
      <c r="B4" s="469"/>
      <c r="C4" s="469"/>
      <c r="D4" s="469"/>
      <c r="E4" s="469"/>
      <c r="F4" s="469"/>
      <c r="G4" s="469"/>
      <c r="H4" s="469"/>
      <c r="I4" s="469"/>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 thickBot="1"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3">
      <c r="A6" s="83"/>
      <c r="B6" s="384" t="s">
        <v>4</v>
      </c>
      <c r="C6" s="384"/>
      <c r="D6" s="385"/>
      <c r="E6" s="422" t="s">
        <v>116</v>
      </c>
      <c r="F6" s="423"/>
      <c r="G6" s="423"/>
      <c r="H6" s="423"/>
      <c r="I6" s="424"/>
      <c r="J6" s="433" t="str">
        <f ca="1">IF(AND('Mapa final'!$J$9="Muy Alta",'Mapa final'!$N$9="Leve"),CONCATENATE("R",'Mapa final'!$A$9),"")</f>
        <v/>
      </c>
      <c r="K6" s="434"/>
      <c r="L6" s="434" t="str">
        <f ca="1">IF(AND('Mapa final'!$J$13="Muy Alta",'Mapa final'!$N$13="Leve"),CONCATENATE("R",'Mapa final'!$A$13),"")</f>
        <v/>
      </c>
      <c r="M6" s="434"/>
      <c r="N6" s="434" t="str">
        <f>IF(AND('Mapa final'!$J$17="Muy Alta",'Mapa final'!$N$17="Leve"),CONCATENATE("R",'Mapa final'!$A$17),"")</f>
        <v/>
      </c>
      <c r="O6" s="436"/>
      <c r="P6" s="433" t="str">
        <f ca="1">IF(AND('Mapa final'!$J$9="Muy Alta",'Mapa final'!$N$9="Menor"),CONCATENATE("R",'Mapa final'!$A$9),"")</f>
        <v/>
      </c>
      <c r="Q6" s="434"/>
      <c r="R6" s="434" t="str">
        <f ca="1">IF(AND('Mapa final'!$J$13="Muy Alta",'Mapa final'!$N$13="Menor"),CONCATENATE("R",'Mapa final'!$A$13),"")</f>
        <v/>
      </c>
      <c r="S6" s="434"/>
      <c r="T6" s="434" t="str">
        <f>IF(AND('Mapa final'!$J$17="Muy Alta",'Mapa final'!$N$17="Menor"),CONCATENATE("R",'Mapa final'!$A$17),"")</f>
        <v/>
      </c>
      <c r="U6" s="436"/>
      <c r="V6" s="433" t="str">
        <f ca="1">IF(AND('Mapa final'!$J$9="Muy Alta",'Mapa final'!$N$9="Moderado"),CONCATENATE("R",'Mapa final'!$A$9),"")</f>
        <v/>
      </c>
      <c r="W6" s="434"/>
      <c r="X6" s="434" t="str">
        <f ca="1">IF(AND('Mapa final'!$J$13="Muy Alta",'Mapa final'!$N$13="Moderado"),CONCATENATE("R",'Mapa final'!$A$13),"")</f>
        <v/>
      </c>
      <c r="Y6" s="434"/>
      <c r="Z6" s="434" t="str">
        <f>IF(AND('Mapa final'!$J$17="Muy Alta",'Mapa final'!$N$17="Moderado"),CONCATENATE("R",'Mapa final'!$A$17),"")</f>
        <v/>
      </c>
      <c r="AA6" s="436"/>
      <c r="AB6" s="433" t="str">
        <f ca="1">IF(AND('Mapa final'!$J$9="Muy Alta",'Mapa final'!$N$9="Mayor"),CONCATENATE("R",'Mapa final'!$A$9),"")</f>
        <v/>
      </c>
      <c r="AC6" s="434"/>
      <c r="AD6" s="434" t="str">
        <f ca="1">IF(AND('Mapa final'!$J$13="Muy Alta",'Mapa final'!$N$13="Mayor"),CONCATENATE("R",'Mapa final'!$A$13),"")</f>
        <v/>
      </c>
      <c r="AE6" s="434"/>
      <c r="AF6" s="434" t="str">
        <f>IF(AND('Mapa final'!$J$17="Muy Alta",'Mapa final'!$N$17="Mayor"),CONCATENATE("R",'Mapa final'!$A$17),"")</f>
        <v/>
      </c>
      <c r="AG6" s="436"/>
      <c r="AH6" s="448" t="str">
        <f ca="1">IF(AND('Mapa final'!$J$9="Muy Alta",'Mapa final'!$N$9="Catastrófico"),CONCATENATE("R",'Mapa final'!$A$9),"")</f>
        <v/>
      </c>
      <c r="AI6" s="449"/>
      <c r="AJ6" s="449" t="str">
        <f ca="1">IF(AND('Mapa final'!$J$13="Muy Alta",'Mapa final'!$N$13="Catastrófico"),CONCATENATE("R",'Mapa final'!$A$13),"")</f>
        <v/>
      </c>
      <c r="AK6" s="449"/>
      <c r="AL6" s="449" t="str">
        <f>IF(AND('Mapa final'!$J$17="Muy Alta",'Mapa final'!$N$17="Catastrófico"),CONCATENATE("R",'Mapa final'!$A$17),"")</f>
        <v/>
      </c>
      <c r="AM6" s="450"/>
      <c r="AO6" s="386" t="s">
        <v>79</v>
      </c>
      <c r="AP6" s="387"/>
      <c r="AQ6" s="387"/>
      <c r="AR6" s="387"/>
      <c r="AS6" s="387"/>
      <c r="AT6" s="3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3">
      <c r="A7" s="83"/>
      <c r="B7" s="384"/>
      <c r="C7" s="384"/>
      <c r="D7" s="385"/>
      <c r="E7" s="425"/>
      <c r="F7" s="426"/>
      <c r="G7" s="426"/>
      <c r="H7" s="426"/>
      <c r="I7" s="427"/>
      <c r="J7" s="435"/>
      <c r="K7" s="431"/>
      <c r="L7" s="431"/>
      <c r="M7" s="431"/>
      <c r="N7" s="431"/>
      <c r="O7" s="432"/>
      <c r="P7" s="435"/>
      <c r="Q7" s="431"/>
      <c r="R7" s="431"/>
      <c r="S7" s="431"/>
      <c r="T7" s="431"/>
      <c r="U7" s="432"/>
      <c r="V7" s="435"/>
      <c r="W7" s="431"/>
      <c r="X7" s="431"/>
      <c r="Y7" s="431"/>
      <c r="Z7" s="431"/>
      <c r="AA7" s="432"/>
      <c r="AB7" s="435"/>
      <c r="AC7" s="431"/>
      <c r="AD7" s="431"/>
      <c r="AE7" s="431"/>
      <c r="AF7" s="431"/>
      <c r="AG7" s="432"/>
      <c r="AH7" s="442"/>
      <c r="AI7" s="443"/>
      <c r="AJ7" s="443"/>
      <c r="AK7" s="443"/>
      <c r="AL7" s="443"/>
      <c r="AM7" s="444"/>
      <c r="AN7" s="83"/>
      <c r="AO7" s="389"/>
      <c r="AP7" s="390"/>
      <c r="AQ7" s="390"/>
      <c r="AR7" s="390"/>
      <c r="AS7" s="390"/>
      <c r="AT7" s="3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3">
      <c r="A8" s="83"/>
      <c r="B8" s="384"/>
      <c r="C8" s="384"/>
      <c r="D8" s="385"/>
      <c r="E8" s="425"/>
      <c r="F8" s="426"/>
      <c r="G8" s="426"/>
      <c r="H8" s="426"/>
      <c r="I8" s="427"/>
      <c r="J8" s="435" t="str">
        <f>IF(AND('Mapa final'!$J$23="Muy Alta",'Mapa final'!$N$23="Leve"),CONCATENATE("R",'Mapa final'!$A$23),"")</f>
        <v/>
      </c>
      <c r="K8" s="431"/>
      <c r="L8" s="431" t="str">
        <f ca="1">IF(AND('Mapa final'!$J$29="Muy Alta",'Mapa final'!$N$29="Leve"),CONCATENATE("R",'Mapa final'!$A$29),"")</f>
        <v/>
      </c>
      <c r="M8" s="431"/>
      <c r="N8" s="431" t="str">
        <f ca="1">IF(AND('Mapa final'!$J$35="Muy Alta",'Mapa final'!$N$35="Leve"),CONCATENATE("R",'Mapa final'!$A$35),"")</f>
        <v/>
      </c>
      <c r="O8" s="432"/>
      <c r="P8" s="435" t="str">
        <f>IF(AND('Mapa final'!$J$23="Muy Alta",'Mapa final'!$N$23="Menor"),CONCATENATE("R",'Mapa final'!$A$23),"")</f>
        <v/>
      </c>
      <c r="Q8" s="431"/>
      <c r="R8" s="431" t="str">
        <f ca="1">IF(AND('Mapa final'!$J$29="Muy Alta",'Mapa final'!$N$29="Menor"),CONCATENATE("R",'Mapa final'!$A$29),"")</f>
        <v/>
      </c>
      <c r="S8" s="431"/>
      <c r="T8" s="431" t="str">
        <f ca="1">IF(AND('Mapa final'!$J$35="Muy Alta",'Mapa final'!$N$35="Menor"),CONCATENATE("R",'Mapa final'!$A$35),"")</f>
        <v/>
      </c>
      <c r="U8" s="432"/>
      <c r="V8" s="435" t="str">
        <f>IF(AND('Mapa final'!$J$23="Muy Alta",'Mapa final'!$N$23="Moderado"),CONCATENATE("R",'Mapa final'!$A$23),"")</f>
        <v/>
      </c>
      <c r="W8" s="431"/>
      <c r="X8" s="431" t="str">
        <f ca="1">IF(AND('Mapa final'!$J$29="Muy Alta",'Mapa final'!$N$29="Moderado"),CONCATENATE("R",'Mapa final'!$A$29),"")</f>
        <v/>
      </c>
      <c r="Y8" s="431"/>
      <c r="Z8" s="431" t="str">
        <f ca="1">IF(AND('Mapa final'!$J$35="Muy Alta",'Mapa final'!$N$35="Moderado"),CONCATENATE("R",'Mapa final'!$A$35),"")</f>
        <v/>
      </c>
      <c r="AA8" s="432"/>
      <c r="AB8" s="435" t="str">
        <f>IF(AND('Mapa final'!$J$23="Muy Alta",'Mapa final'!$N$23="Mayor"),CONCATENATE("R",'Mapa final'!$A$23),"")</f>
        <v/>
      </c>
      <c r="AC8" s="431"/>
      <c r="AD8" s="431" t="str">
        <f ca="1">IF(AND('Mapa final'!$J$29="Muy Alta",'Mapa final'!$N$29="Mayor"),CONCATENATE("R",'Mapa final'!$A$29),"")</f>
        <v/>
      </c>
      <c r="AE8" s="431"/>
      <c r="AF8" s="431" t="str">
        <f ca="1">IF(AND('Mapa final'!$J$35="Muy Alta",'Mapa final'!$N$35="Mayor"),CONCATENATE("R",'Mapa final'!$A$35),"")</f>
        <v/>
      </c>
      <c r="AG8" s="432"/>
      <c r="AH8" s="442" t="str">
        <f>IF(AND('Mapa final'!$J$23="Muy Alta",'Mapa final'!$N$23="Catastrófico"),CONCATENATE("R",'Mapa final'!$A$23),"")</f>
        <v/>
      </c>
      <c r="AI8" s="443"/>
      <c r="AJ8" s="443" t="str">
        <f ca="1">IF(AND('Mapa final'!$J$29="Muy Alta",'Mapa final'!$N$29="Catastrófico"),CONCATENATE("R",'Mapa final'!$A$29),"")</f>
        <v/>
      </c>
      <c r="AK8" s="443"/>
      <c r="AL8" s="443" t="str">
        <f ca="1">IF(AND('Mapa final'!$J$35="Muy Alta",'Mapa final'!$N$35="Catastrófico"),CONCATENATE("R",'Mapa final'!$A$35),"")</f>
        <v/>
      </c>
      <c r="AM8" s="444"/>
      <c r="AN8" s="83"/>
      <c r="AO8" s="389"/>
      <c r="AP8" s="390"/>
      <c r="AQ8" s="390"/>
      <c r="AR8" s="390"/>
      <c r="AS8" s="390"/>
      <c r="AT8" s="3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3">
      <c r="A9" s="83"/>
      <c r="B9" s="384"/>
      <c r="C9" s="384"/>
      <c r="D9" s="385"/>
      <c r="E9" s="425"/>
      <c r="F9" s="426"/>
      <c r="G9" s="426"/>
      <c r="H9" s="426"/>
      <c r="I9" s="427"/>
      <c r="J9" s="435"/>
      <c r="K9" s="431"/>
      <c r="L9" s="431"/>
      <c r="M9" s="431"/>
      <c r="N9" s="431"/>
      <c r="O9" s="432"/>
      <c r="P9" s="435"/>
      <c r="Q9" s="431"/>
      <c r="R9" s="431"/>
      <c r="S9" s="431"/>
      <c r="T9" s="431"/>
      <c r="U9" s="432"/>
      <c r="V9" s="435"/>
      <c r="W9" s="431"/>
      <c r="X9" s="431"/>
      <c r="Y9" s="431"/>
      <c r="Z9" s="431"/>
      <c r="AA9" s="432"/>
      <c r="AB9" s="435"/>
      <c r="AC9" s="431"/>
      <c r="AD9" s="431"/>
      <c r="AE9" s="431"/>
      <c r="AF9" s="431"/>
      <c r="AG9" s="432"/>
      <c r="AH9" s="442"/>
      <c r="AI9" s="443"/>
      <c r="AJ9" s="443"/>
      <c r="AK9" s="443"/>
      <c r="AL9" s="443"/>
      <c r="AM9" s="444"/>
      <c r="AN9" s="83"/>
      <c r="AO9" s="389"/>
      <c r="AP9" s="390"/>
      <c r="AQ9" s="390"/>
      <c r="AR9" s="390"/>
      <c r="AS9" s="390"/>
      <c r="AT9" s="3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3">
      <c r="A10" s="83"/>
      <c r="B10" s="384"/>
      <c r="C10" s="384"/>
      <c r="D10" s="385"/>
      <c r="E10" s="425"/>
      <c r="F10" s="426"/>
      <c r="G10" s="426"/>
      <c r="H10" s="426"/>
      <c r="I10" s="427"/>
      <c r="J10" s="435" t="str">
        <f ca="1">IF(AND('Mapa final'!$J$41="Muy Alta",'Mapa final'!$N$41="Leve"),CONCATENATE("R",'Mapa final'!$A$41),"")</f>
        <v/>
      </c>
      <c r="K10" s="431"/>
      <c r="L10" s="431" t="str">
        <f ca="1">IF(AND('Mapa final'!$J$47="Muy Alta",'Mapa final'!$N$47="Leve"),CONCATENATE("R",'Mapa final'!$A$47),"")</f>
        <v/>
      </c>
      <c r="M10" s="431"/>
      <c r="N10" s="431" t="str">
        <f ca="1">IF(AND('Mapa final'!$J$53="Muy Alta",'Mapa final'!$N$53="Leve"),CONCATENATE("R",'Mapa final'!$A$53),"")</f>
        <v/>
      </c>
      <c r="O10" s="432"/>
      <c r="P10" s="435" t="str">
        <f ca="1">IF(AND('Mapa final'!$J$41="Muy Alta",'Mapa final'!$N$41="Menor"),CONCATENATE("R",'Mapa final'!$A$41),"")</f>
        <v/>
      </c>
      <c r="Q10" s="431"/>
      <c r="R10" s="431" t="str">
        <f ca="1">IF(AND('Mapa final'!$J$47="Muy Alta",'Mapa final'!$N$47="Menor"),CONCATENATE("R",'Mapa final'!$A$47),"")</f>
        <v/>
      </c>
      <c r="S10" s="431"/>
      <c r="T10" s="431" t="str">
        <f ca="1">IF(AND('Mapa final'!$J$53="Muy Alta",'Mapa final'!$N$53="Menor"),CONCATENATE("R",'Mapa final'!$A$53),"")</f>
        <v/>
      </c>
      <c r="U10" s="432"/>
      <c r="V10" s="435" t="str">
        <f ca="1">IF(AND('Mapa final'!$J$41="Muy Alta",'Mapa final'!$N$41="Moderado"),CONCATENATE("R",'Mapa final'!$A$41),"")</f>
        <v/>
      </c>
      <c r="W10" s="431"/>
      <c r="X10" s="431" t="str">
        <f ca="1">IF(AND('Mapa final'!$J$47="Muy Alta",'Mapa final'!$N$47="Moderado"),CONCATENATE("R",'Mapa final'!$A$47),"")</f>
        <v/>
      </c>
      <c r="Y10" s="431"/>
      <c r="Z10" s="431" t="str">
        <f ca="1">IF(AND('Mapa final'!$J$53="Muy Alta",'Mapa final'!$N$53="Moderado"),CONCATENATE("R",'Mapa final'!$A$53),"")</f>
        <v/>
      </c>
      <c r="AA10" s="432"/>
      <c r="AB10" s="435" t="str">
        <f ca="1">IF(AND('Mapa final'!$J$41="Muy Alta",'Mapa final'!$N$41="Mayor"),CONCATENATE("R",'Mapa final'!$A$41),"")</f>
        <v/>
      </c>
      <c r="AC10" s="431"/>
      <c r="AD10" s="431" t="str">
        <f ca="1">IF(AND('Mapa final'!$J$47="Muy Alta",'Mapa final'!$N$47="Mayor"),CONCATENATE("R",'Mapa final'!$A$47),"")</f>
        <v/>
      </c>
      <c r="AE10" s="431"/>
      <c r="AF10" s="431" t="str">
        <f ca="1">IF(AND('Mapa final'!$J$53="Muy Alta",'Mapa final'!$N$53="Mayor"),CONCATENATE("R",'Mapa final'!$A$53),"")</f>
        <v/>
      </c>
      <c r="AG10" s="432"/>
      <c r="AH10" s="442" t="str">
        <f ca="1">IF(AND('Mapa final'!$J$41="Muy Alta",'Mapa final'!$N$41="Catastrófico"),CONCATENATE("R",'Mapa final'!$A$41),"")</f>
        <v/>
      </c>
      <c r="AI10" s="443"/>
      <c r="AJ10" s="443" t="str">
        <f ca="1">IF(AND('Mapa final'!$J$47="Muy Alta",'Mapa final'!$N$47="Catastrófico"),CONCATENATE("R",'Mapa final'!$A$47),"")</f>
        <v/>
      </c>
      <c r="AK10" s="443"/>
      <c r="AL10" s="443" t="str">
        <f ca="1">IF(AND('Mapa final'!$J$53="Muy Alta",'Mapa final'!$N$53="Catastrófico"),CONCATENATE("R",'Mapa final'!$A$53),"")</f>
        <v/>
      </c>
      <c r="AM10" s="444"/>
      <c r="AN10" s="83"/>
      <c r="AO10" s="389"/>
      <c r="AP10" s="390"/>
      <c r="AQ10" s="390"/>
      <c r="AR10" s="390"/>
      <c r="AS10" s="390"/>
      <c r="AT10" s="3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3">
      <c r="A11" s="83"/>
      <c r="B11" s="384"/>
      <c r="C11" s="384"/>
      <c r="D11" s="385"/>
      <c r="E11" s="425"/>
      <c r="F11" s="426"/>
      <c r="G11" s="426"/>
      <c r="H11" s="426"/>
      <c r="I11" s="427"/>
      <c r="J11" s="435"/>
      <c r="K11" s="431"/>
      <c r="L11" s="431"/>
      <c r="M11" s="431"/>
      <c r="N11" s="431"/>
      <c r="O11" s="432"/>
      <c r="P11" s="435"/>
      <c r="Q11" s="431"/>
      <c r="R11" s="431"/>
      <c r="S11" s="431"/>
      <c r="T11" s="431"/>
      <c r="U11" s="432"/>
      <c r="V11" s="435"/>
      <c r="W11" s="431"/>
      <c r="X11" s="431"/>
      <c r="Y11" s="431"/>
      <c r="Z11" s="431"/>
      <c r="AA11" s="432"/>
      <c r="AB11" s="435"/>
      <c r="AC11" s="431"/>
      <c r="AD11" s="431"/>
      <c r="AE11" s="431"/>
      <c r="AF11" s="431"/>
      <c r="AG11" s="432"/>
      <c r="AH11" s="442"/>
      <c r="AI11" s="443"/>
      <c r="AJ11" s="443"/>
      <c r="AK11" s="443"/>
      <c r="AL11" s="443"/>
      <c r="AM11" s="444"/>
      <c r="AN11" s="83"/>
      <c r="AO11" s="389"/>
      <c r="AP11" s="390"/>
      <c r="AQ11" s="390"/>
      <c r="AR11" s="390"/>
      <c r="AS11" s="390"/>
      <c r="AT11" s="3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3">
      <c r="A12" s="83"/>
      <c r="B12" s="384"/>
      <c r="C12" s="384"/>
      <c r="D12" s="385"/>
      <c r="E12" s="425"/>
      <c r="F12" s="426"/>
      <c r="G12" s="426"/>
      <c r="H12" s="426"/>
      <c r="I12" s="427"/>
      <c r="J12" s="435" t="str">
        <f ca="1">IF(AND('Mapa final'!$J$59="Muy Alta",'Mapa final'!$N$59="Leve"),CONCATENATE("R",'Mapa final'!$A$59),"")</f>
        <v/>
      </c>
      <c r="K12" s="431"/>
      <c r="L12" s="431" t="str">
        <f>IF(AND('Mapa final'!$J$65="Muy Alta",'Mapa final'!$N$65="Leve"),CONCATENATE("R",'Mapa final'!$A$65),"")</f>
        <v/>
      </c>
      <c r="M12" s="431"/>
      <c r="N12" s="431" t="str">
        <f>IF(AND('Mapa final'!$J$71="Muy Alta",'Mapa final'!$N$71="Leve"),CONCATENATE("R",'Mapa final'!$A$71),"")</f>
        <v/>
      </c>
      <c r="O12" s="432"/>
      <c r="P12" s="435" t="str">
        <f ca="1">IF(AND('Mapa final'!$J$59="Muy Alta",'Mapa final'!$N$59="Menor"),CONCATENATE("R",'Mapa final'!$A$59),"")</f>
        <v/>
      </c>
      <c r="Q12" s="431"/>
      <c r="R12" s="431" t="str">
        <f>IF(AND('Mapa final'!$J$65="Muy Alta",'Mapa final'!$N$65="Menor"),CONCATENATE("R",'Mapa final'!$A$65),"")</f>
        <v/>
      </c>
      <c r="S12" s="431"/>
      <c r="T12" s="431" t="str">
        <f>IF(AND('Mapa final'!$J$71="Muy Alta",'Mapa final'!$N$71="Menor"),CONCATENATE("R",'Mapa final'!$A$71),"")</f>
        <v/>
      </c>
      <c r="U12" s="432"/>
      <c r="V12" s="435" t="str">
        <f ca="1">IF(AND('Mapa final'!$J$59="Muy Alta",'Mapa final'!$N$59="Moderado"),CONCATENATE("R",'Mapa final'!$A$59),"")</f>
        <v/>
      </c>
      <c r="W12" s="431"/>
      <c r="X12" s="431" t="str">
        <f>IF(AND('Mapa final'!$J$65="Muy Alta",'Mapa final'!$N$65="Moderado"),CONCATENATE("R",'Mapa final'!$A$65),"")</f>
        <v/>
      </c>
      <c r="Y12" s="431"/>
      <c r="Z12" s="431" t="str">
        <f>IF(AND('Mapa final'!$J$71="Muy Alta",'Mapa final'!$N$71="Moderado"),CONCATENATE("R",'Mapa final'!$A$71),"")</f>
        <v/>
      </c>
      <c r="AA12" s="432"/>
      <c r="AB12" s="435" t="str">
        <f ca="1">IF(AND('Mapa final'!$J$59="Muy Alta",'Mapa final'!$N$59="Mayor"),CONCATENATE("R",'Mapa final'!$A$59),"")</f>
        <v/>
      </c>
      <c r="AC12" s="431"/>
      <c r="AD12" s="431" t="str">
        <f>IF(AND('Mapa final'!$J$65="Muy Alta",'Mapa final'!$N$65="Mayor"),CONCATENATE("R",'Mapa final'!$A$65),"")</f>
        <v/>
      </c>
      <c r="AE12" s="431"/>
      <c r="AF12" s="431" t="str">
        <f>IF(AND('Mapa final'!$J$71="Muy Alta",'Mapa final'!$N$71="Mayor"),CONCATENATE("R",'Mapa final'!$A$71),"")</f>
        <v/>
      </c>
      <c r="AG12" s="432"/>
      <c r="AH12" s="442" t="str">
        <f ca="1">IF(AND('Mapa final'!$J$59="Muy Alta",'Mapa final'!$N$59="Catastrófico"),CONCATENATE("R",'Mapa final'!$A$59),"")</f>
        <v/>
      </c>
      <c r="AI12" s="443"/>
      <c r="AJ12" s="443" t="str">
        <f>IF(AND('Mapa final'!$J$65="Muy Alta",'Mapa final'!$N$65="Catastrófico"),CONCATENATE("R",'Mapa final'!$A$65),"")</f>
        <v/>
      </c>
      <c r="AK12" s="443"/>
      <c r="AL12" s="443" t="str">
        <f>IF(AND('Mapa final'!$J$71="Muy Alta",'Mapa final'!$N$71="Catastrófico"),CONCATENATE("R",'Mapa final'!$A$71),"")</f>
        <v/>
      </c>
      <c r="AM12" s="444"/>
      <c r="AN12" s="83"/>
      <c r="AO12" s="389"/>
      <c r="AP12" s="390"/>
      <c r="AQ12" s="390"/>
      <c r="AR12" s="390"/>
      <c r="AS12" s="390"/>
      <c r="AT12" s="3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5">
      <c r="A13" s="83"/>
      <c r="B13" s="384"/>
      <c r="C13" s="384"/>
      <c r="D13" s="385"/>
      <c r="E13" s="428"/>
      <c r="F13" s="429"/>
      <c r="G13" s="429"/>
      <c r="H13" s="429"/>
      <c r="I13" s="430"/>
      <c r="J13" s="435"/>
      <c r="K13" s="431"/>
      <c r="L13" s="431"/>
      <c r="M13" s="431"/>
      <c r="N13" s="431"/>
      <c r="O13" s="432"/>
      <c r="P13" s="435"/>
      <c r="Q13" s="431"/>
      <c r="R13" s="431"/>
      <c r="S13" s="431"/>
      <c r="T13" s="431"/>
      <c r="U13" s="432"/>
      <c r="V13" s="435"/>
      <c r="W13" s="431"/>
      <c r="X13" s="431"/>
      <c r="Y13" s="431"/>
      <c r="Z13" s="431"/>
      <c r="AA13" s="432"/>
      <c r="AB13" s="435"/>
      <c r="AC13" s="431"/>
      <c r="AD13" s="431"/>
      <c r="AE13" s="431"/>
      <c r="AF13" s="431"/>
      <c r="AG13" s="432"/>
      <c r="AH13" s="445"/>
      <c r="AI13" s="446"/>
      <c r="AJ13" s="446"/>
      <c r="AK13" s="446"/>
      <c r="AL13" s="446"/>
      <c r="AM13" s="447"/>
      <c r="AN13" s="83"/>
      <c r="AO13" s="392"/>
      <c r="AP13" s="393"/>
      <c r="AQ13" s="393"/>
      <c r="AR13" s="393"/>
      <c r="AS13" s="393"/>
      <c r="AT13" s="3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3">
      <c r="A14" s="83"/>
      <c r="B14" s="384"/>
      <c r="C14" s="384"/>
      <c r="D14" s="385"/>
      <c r="E14" s="422" t="s">
        <v>115</v>
      </c>
      <c r="F14" s="423"/>
      <c r="G14" s="423"/>
      <c r="H14" s="423"/>
      <c r="I14" s="423"/>
      <c r="J14" s="457" t="str">
        <f ca="1">IF(AND('Mapa final'!$J$9="Alta",'Mapa final'!$N$9="Leve"),CONCATENATE("R",'Mapa final'!$A$9),"")</f>
        <v/>
      </c>
      <c r="K14" s="458"/>
      <c r="L14" s="458" t="str">
        <f ca="1">IF(AND('Mapa final'!$J$13="Alta",'Mapa final'!$N$13="Leve"),CONCATENATE("R",'Mapa final'!$A$13),"")</f>
        <v/>
      </c>
      <c r="M14" s="458"/>
      <c r="N14" s="458" t="str">
        <f>IF(AND('Mapa final'!$J$17="Alta",'Mapa final'!$N$17="Leve"),CONCATENATE("R",'Mapa final'!$A$17),"")</f>
        <v/>
      </c>
      <c r="O14" s="459"/>
      <c r="P14" s="457" t="str">
        <f ca="1">IF(AND('Mapa final'!$J$9="Alta",'Mapa final'!$N$9="Menor"),CONCATENATE("R",'Mapa final'!$A$9),"")</f>
        <v/>
      </c>
      <c r="Q14" s="458"/>
      <c r="R14" s="458" t="str">
        <f ca="1">IF(AND('Mapa final'!$J$13="Alta",'Mapa final'!$N$13="Menor"),CONCATENATE("R",'Mapa final'!$A$13),"")</f>
        <v/>
      </c>
      <c r="S14" s="458"/>
      <c r="T14" s="458" t="str">
        <f>IF(AND('Mapa final'!$J$17="Alta",'Mapa final'!$N$17="Menor"),CONCATENATE("R",'Mapa final'!$A$17),"")</f>
        <v/>
      </c>
      <c r="U14" s="459"/>
      <c r="V14" s="433" t="str">
        <f ca="1">IF(AND('Mapa final'!$J$9="Alta",'Mapa final'!$N$9="Moderado"),CONCATENATE("R",'Mapa final'!$A$9),"")</f>
        <v/>
      </c>
      <c r="W14" s="434"/>
      <c r="X14" s="434" t="str">
        <f ca="1">IF(AND('Mapa final'!$J$13="Alta",'Mapa final'!$N$13="Moderado"),CONCATENATE("R",'Mapa final'!$A$13),"")</f>
        <v/>
      </c>
      <c r="Y14" s="434"/>
      <c r="Z14" s="434" t="str">
        <f>IF(AND('Mapa final'!$J$17="Alta",'Mapa final'!$N$17="Moderado"),CONCATENATE("R",'Mapa final'!$A$17),"")</f>
        <v/>
      </c>
      <c r="AA14" s="436"/>
      <c r="AB14" s="433" t="str">
        <f ca="1">IF(AND('Mapa final'!$J$9="Alta",'Mapa final'!$N$9="Mayor"),CONCATENATE("R",'Mapa final'!$A$9),"")</f>
        <v/>
      </c>
      <c r="AC14" s="434"/>
      <c r="AD14" s="434" t="str">
        <f ca="1">IF(AND('Mapa final'!$J$13="Alta",'Mapa final'!$N$13="Mayor"),CONCATENATE("R",'Mapa final'!$A$13),"")</f>
        <v/>
      </c>
      <c r="AE14" s="434"/>
      <c r="AF14" s="434" t="str">
        <f>IF(AND('Mapa final'!$J$17="Alta",'Mapa final'!$N$17="Mayor"),CONCATENATE("R",'Mapa final'!$A$17),"")</f>
        <v/>
      </c>
      <c r="AG14" s="436"/>
      <c r="AH14" s="448" t="str">
        <f ca="1">IF(AND('Mapa final'!$J$9="Alta",'Mapa final'!$N$9="Catastrófico"),CONCATENATE("R",'Mapa final'!$A$9),"")</f>
        <v/>
      </c>
      <c r="AI14" s="449"/>
      <c r="AJ14" s="449" t="str">
        <f ca="1">IF(AND('Mapa final'!$J$13="Alta",'Mapa final'!$N$13="Catastrófico"),CONCATENATE("R",'Mapa final'!$A$13),"")</f>
        <v/>
      </c>
      <c r="AK14" s="449"/>
      <c r="AL14" s="449" t="str">
        <f>IF(AND('Mapa final'!$J$17="Alta",'Mapa final'!$N$17="Catastrófico"),CONCATENATE("R",'Mapa final'!$A$17),"")</f>
        <v/>
      </c>
      <c r="AM14" s="450"/>
      <c r="AN14" s="83"/>
      <c r="AO14" s="395" t="s">
        <v>80</v>
      </c>
      <c r="AP14" s="396"/>
      <c r="AQ14" s="396"/>
      <c r="AR14" s="396"/>
      <c r="AS14" s="396"/>
      <c r="AT14" s="3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3">
      <c r="A15" s="83"/>
      <c r="B15" s="384"/>
      <c r="C15" s="384"/>
      <c r="D15" s="385"/>
      <c r="E15" s="425"/>
      <c r="F15" s="426"/>
      <c r="G15" s="426"/>
      <c r="H15" s="426"/>
      <c r="I15" s="426"/>
      <c r="J15" s="451"/>
      <c r="K15" s="452"/>
      <c r="L15" s="452"/>
      <c r="M15" s="452"/>
      <c r="N15" s="452"/>
      <c r="O15" s="453"/>
      <c r="P15" s="451"/>
      <c r="Q15" s="452"/>
      <c r="R15" s="452"/>
      <c r="S15" s="452"/>
      <c r="T15" s="452"/>
      <c r="U15" s="453"/>
      <c r="V15" s="435"/>
      <c r="W15" s="431"/>
      <c r="X15" s="431"/>
      <c r="Y15" s="431"/>
      <c r="Z15" s="431"/>
      <c r="AA15" s="432"/>
      <c r="AB15" s="435"/>
      <c r="AC15" s="431"/>
      <c r="AD15" s="431"/>
      <c r="AE15" s="431"/>
      <c r="AF15" s="431"/>
      <c r="AG15" s="432"/>
      <c r="AH15" s="442"/>
      <c r="AI15" s="443"/>
      <c r="AJ15" s="443"/>
      <c r="AK15" s="443"/>
      <c r="AL15" s="443"/>
      <c r="AM15" s="444"/>
      <c r="AN15" s="83"/>
      <c r="AO15" s="398"/>
      <c r="AP15" s="399"/>
      <c r="AQ15" s="399"/>
      <c r="AR15" s="399"/>
      <c r="AS15" s="399"/>
      <c r="AT15" s="4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3">
      <c r="A16" s="83"/>
      <c r="B16" s="384"/>
      <c r="C16" s="384"/>
      <c r="D16" s="385"/>
      <c r="E16" s="425"/>
      <c r="F16" s="426"/>
      <c r="G16" s="426"/>
      <c r="H16" s="426"/>
      <c r="I16" s="426"/>
      <c r="J16" s="451" t="str">
        <f>IF(AND('Mapa final'!$J$23="Alta",'Mapa final'!$N$23="Leve"),CONCATENATE("R",'Mapa final'!$A$23),"")</f>
        <v/>
      </c>
      <c r="K16" s="452"/>
      <c r="L16" s="452" t="str">
        <f ca="1">IF(AND('Mapa final'!$J$29="Alta",'Mapa final'!$N$29="Leve"),CONCATENATE("R",'Mapa final'!$A$29),"")</f>
        <v/>
      </c>
      <c r="M16" s="452"/>
      <c r="N16" s="452" t="str">
        <f ca="1">IF(AND('Mapa final'!$J$35="Alta",'Mapa final'!$N$35="Leve"),CONCATENATE("R",'Mapa final'!$A$35),"")</f>
        <v/>
      </c>
      <c r="O16" s="453"/>
      <c r="P16" s="451" t="str">
        <f>IF(AND('Mapa final'!$J$23="Alta",'Mapa final'!$N$23="Menor"),CONCATENATE("R",'Mapa final'!$A$23),"")</f>
        <v/>
      </c>
      <c r="Q16" s="452"/>
      <c r="R16" s="452" t="str">
        <f ca="1">IF(AND('Mapa final'!$J$29="Alta",'Mapa final'!$N$29="Menor"),CONCATENATE("R",'Mapa final'!$A$29),"")</f>
        <v/>
      </c>
      <c r="S16" s="452"/>
      <c r="T16" s="452" t="str">
        <f ca="1">IF(AND('Mapa final'!$J$35="Alta",'Mapa final'!$N$35="Menor"),CONCATENATE("R",'Mapa final'!$A$35),"")</f>
        <v/>
      </c>
      <c r="U16" s="453"/>
      <c r="V16" s="435" t="str">
        <f>IF(AND('Mapa final'!$J$23="Alta",'Mapa final'!$N$23="Moderado"),CONCATENATE("R",'Mapa final'!$A$23),"")</f>
        <v/>
      </c>
      <c r="W16" s="431"/>
      <c r="X16" s="431" t="str">
        <f ca="1">IF(AND('Mapa final'!$J$29="Alta",'Mapa final'!$N$29="Moderado"),CONCATENATE("R",'Mapa final'!$A$29),"")</f>
        <v/>
      </c>
      <c r="Y16" s="431"/>
      <c r="Z16" s="431" t="str">
        <f ca="1">IF(AND('Mapa final'!$J$35="Alta",'Mapa final'!$N$35="Moderado"),CONCATENATE("R",'Mapa final'!$A$35),"")</f>
        <v/>
      </c>
      <c r="AA16" s="432"/>
      <c r="AB16" s="435" t="str">
        <f>IF(AND('Mapa final'!$J$23="Alta",'Mapa final'!$N$23="Mayor"),CONCATENATE("R",'Mapa final'!$A$23),"")</f>
        <v/>
      </c>
      <c r="AC16" s="431"/>
      <c r="AD16" s="431" t="str">
        <f ca="1">IF(AND('Mapa final'!$J$29="Alta",'Mapa final'!$N$29="Mayor"),CONCATENATE("R",'Mapa final'!$A$29),"")</f>
        <v/>
      </c>
      <c r="AE16" s="431"/>
      <c r="AF16" s="431" t="str">
        <f ca="1">IF(AND('Mapa final'!$J$35="Alta",'Mapa final'!$N$35="Mayor"),CONCATENATE("R",'Mapa final'!$A$35),"")</f>
        <v/>
      </c>
      <c r="AG16" s="432"/>
      <c r="AH16" s="442" t="str">
        <f>IF(AND('Mapa final'!$J$23="Alta",'Mapa final'!$N$23="Catastrófico"),CONCATENATE("R",'Mapa final'!$A$23),"")</f>
        <v/>
      </c>
      <c r="AI16" s="443"/>
      <c r="AJ16" s="443" t="str">
        <f ca="1">IF(AND('Mapa final'!$J$29="Alta",'Mapa final'!$N$29="Catastrófico"),CONCATENATE("R",'Mapa final'!$A$29),"")</f>
        <v/>
      </c>
      <c r="AK16" s="443"/>
      <c r="AL16" s="443" t="str">
        <f ca="1">IF(AND('Mapa final'!$J$35="Alta",'Mapa final'!$N$35="Catastrófico"),CONCATENATE("R",'Mapa final'!$A$35),"")</f>
        <v/>
      </c>
      <c r="AM16" s="444"/>
      <c r="AN16" s="83"/>
      <c r="AO16" s="398"/>
      <c r="AP16" s="399"/>
      <c r="AQ16" s="399"/>
      <c r="AR16" s="399"/>
      <c r="AS16" s="399"/>
      <c r="AT16" s="4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3">
      <c r="A17" s="83"/>
      <c r="B17" s="384"/>
      <c r="C17" s="384"/>
      <c r="D17" s="385"/>
      <c r="E17" s="425"/>
      <c r="F17" s="426"/>
      <c r="G17" s="426"/>
      <c r="H17" s="426"/>
      <c r="I17" s="426"/>
      <c r="J17" s="451"/>
      <c r="K17" s="452"/>
      <c r="L17" s="452"/>
      <c r="M17" s="452"/>
      <c r="N17" s="452"/>
      <c r="O17" s="453"/>
      <c r="P17" s="451"/>
      <c r="Q17" s="452"/>
      <c r="R17" s="452"/>
      <c r="S17" s="452"/>
      <c r="T17" s="452"/>
      <c r="U17" s="453"/>
      <c r="V17" s="435"/>
      <c r="W17" s="431"/>
      <c r="X17" s="431"/>
      <c r="Y17" s="431"/>
      <c r="Z17" s="431"/>
      <c r="AA17" s="432"/>
      <c r="AB17" s="435"/>
      <c r="AC17" s="431"/>
      <c r="AD17" s="431"/>
      <c r="AE17" s="431"/>
      <c r="AF17" s="431"/>
      <c r="AG17" s="432"/>
      <c r="AH17" s="442"/>
      <c r="AI17" s="443"/>
      <c r="AJ17" s="443"/>
      <c r="AK17" s="443"/>
      <c r="AL17" s="443"/>
      <c r="AM17" s="444"/>
      <c r="AN17" s="83"/>
      <c r="AO17" s="398"/>
      <c r="AP17" s="399"/>
      <c r="AQ17" s="399"/>
      <c r="AR17" s="399"/>
      <c r="AS17" s="399"/>
      <c r="AT17" s="4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3">
      <c r="A18" s="83"/>
      <c r="B18" s="384"/>
      <c r="C18" s="384"/>
      <c r="D18" s="385"/>
      <c r="E18" s="425"/>
      <c r="F18" s="426"/>
      <c r="G18" s="426"/>
      <c r="H18" s="426"/>
      <c r="I18" s="426"/>
      <c r="J18" s="451" t="str">
        <f ca="1">IF(AND('Mapa final'!$J$41="Alta",'Mapa final'!$N$41="Leve"),CONCATENATE("R",'Mapa final'!$A$41),"")</f>
        <v/>
      </c>
      <c r="K18" s="452"/>
      <c r="L18" s="452" t="str">
        <f ca="1">IF(AND('Mapa final'!$J$47="Alta",'Mapa final'!$N$47="Leve"),CONCATENATE("R",'Mapa final'!$A$47),"")</f>
        <v/>
      </c>
      <c r="M18" s="452"/>
      <c r="N18" s="452" t="str">
        <f ca="1">IF(AND('Mapa final'!$J$53="Alta",'Mapa final'!$N$53="Leve"),CONCATENATE("R",'Mapa final'!$A$53),"")</f>
        <v/>
      </c>
      <c r="O18" s="453"/>
      <c r="P18" s="451" t="str">
        <f ca="1">IF(AND('Mapa final'!$J$41="Alta",'Mapa final'!$N$41="Menor"),CONCATENATE("R",'Mapa final'!$A$41),"")</f>
        <v/>
      </c>
      <c r="Q18" s="452"/>
      <c r="R18" s="452" t="str">
        <f ca="1">IF(AND('Mapa final'!$J$47="Alta",'Mapa final'!$N$47="Menor"),CONCATENATE("R",'Mapa final'!$A$47),"")</f>
        <v/>
      </c>
      <c r="S18" s="452"/>
      <c r="T18" s="452" t="str">
        <f ca="1">IF(AND('Mapa final'!$J$53="Alta",'Mapa final'!$N$53="Menor"),CONCATENATE("R",'Mapa final'!$A$53),"")</f>
        <v/>
      </c>
      <c r="U18" s="453"/>
      <c r="V18" s="435" t="str">
        <f ca="1">IF(AND('Mapa final'!$J$41="Alta",'Mapa final'!$N$41="Moderado"),CONCATENATE("R",'Mapa final'!$A$41),"")</f>
        <v/>
      </c>
      <c r="W18" s="431"/>
      <c r="X18" s="431" t="str">
        <f ca="1">IF(AND('Mapa final'!$J$47="Alta",'Mapa final'!$N$47="Moderado"),CONCATENATE("R",'Mapa final'!$A$47),"")</f>
        <v/>
      </c>
      <c r="Y18" s="431"/>
      <c r="Z18" s="431" t="str">
        <f ca="1">IF(AND('Mapa final'!$J$53="Alta",'Mapa final'!$N$53="Moderado"),CONCATENATE("R",'Mapa final'!$A$53),"")</f>
        <v/>
      </c>
      <c r="AA18" s="432"/>
      <c r="AB18" s="435" t="str">
        <f ca="1">IF(AND('Mapa final'!$J$41="Alta",'Mapa final'!$N$41="Mayor"),CONCATENATE("R",'Mapa final'!$A$41),"")</f>
        <v/>
      </c>
      <c r="AC18" s="431"/>
      <c r="AD18" s="431" t="str">
        <f ca="1">IF(AND('Mapa final'!$J$47="Alta",'Mapa final'!$N$47="Mayor"),CONCATENATE("R",'Mapa final'!$A$47),"")</f>
        <v/>
      </c>
      <c r="AE18" s="431"/>
      <c r="AF18" s="431" t="str">
        <f ca="1">IF(AND('Mapa final'!$J$53="Alta",'Mapa final'!$N$53="Mayor"),CONCATENATE("R",'Mapa final'!$A$53),"")</f>
        <v/>
      </c>
      <c r="AG18" s="432"/>
      <c r="AH18" s="442" t="str">
        <f ca="1">IF(AND('Mapa final'!$J$41="Alta",'Mapa final'!$N$41="Catastrófico"),CONCATENATE("R",'Mapa final'!$A$41),"")</f>
        <v/>
      </c>
      <c r="AI18" s="443"/>
      <c r="AJ18" s="443" t="str">
        <f ca="1">IF(AND('Mapa final'!$J$47="Alta",'Mapa final'!$N$47="Catastrófico"),CONCATENATE("R",'Mapa final'!$A$47),"")</f>
        <v/>
      </c>
      <c r="AK18" s="443"/>
      <c r="AL18" s="443" t="str">
        <f ca="1">IF(AND('Mapa final'!$J$53="Alta",'Mapa final'!$N$53="Catastrófico"),CONCATENATE("R",'Mapa final'!$A$53),"")</f>
        <v/>
      </c>
      <c r="AM18" s="444"/>
      <c r="AN18" s="83"/>
      <c r="AO18" s="398"/>
      <c r="AP18" s="399"/>
      <c r="AQ18" s="399"/>
      <c r="AR18" s="399"/>
      <c r="AS18" s="399"/>
      <c r="AT18" s="4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3">
      <c r="A19" s="83"/>
      <c r="B19" s="384"/>
      <c r="C19" s="384"/>
      <c r="D19" s="385"/>
      <c r="E19" s="425"/>
      <c r="F19" s="426"/>
      <c r="G19" s="426"/>
      <c r="H19" s="426"/>
      <c r="I19" s="426"/>
      <c r="J19" s="451"/>
      <c r="K19" s="452"/>
      <c r="L19" s="452"/>
      <c r="M19" s="452"/>
      <c r="N19" s="452"/>
      <c r="O19" s="453"/>
      <c r="P19" s="451"/>
      <c r="Q19" s="452"/>
      <c r="R19" s="452"/>
      <c r="S19" s="452"/>
      <c r="T19" s="452"/>
      <c r="U19" s="453"/>
      <c r="V19" s="435"/>
      <c r="W19" s="431"/>
      <c r="X19" s="431"/>
      <c r="Y19" s="431"/>
      <c r="Z19" s="431"/>
      <c r="AA19" s="432"/>
      <c r="AB19" s="435"/>
      <c r="AC19" s="431"/>
      <c r="AD19" s="431"/>
      <c r="AE19" s="431"/>
      <c r="AF19" s="431"/>
      <c r="AG19" s="432"/>
      <c r="AH19" s="442"/>
      <c r="AI19" s="443"/>
      <c r="AJ19" s="443"/>
      <c r="AK19" s="443"/>
      <c r="AL19" s="443"/>
      <c r="AM19" s="444"/>
      <c r="AN19" s="83"/>
      <c r="AO19" s="398"/>
      <c r="AP19" s="399"/>
      <c r="AQ19" s="399"/>
      <c r="AR19" s="399"/>
      <c r="AS19" s="399"/>
      <c r="AT19" s="4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3">
      <c r="A20" s="83"/>
      <c r="B20" s="384"/>
      <c r="C20" s="384"/>
      <c r="D20" s="385"/>
      <c r="E20" s="425"/>
      <c r="F20" s="426"/>
      <c r="G20" s="426"/>
      <c r="H20" s="426"/>
      <c r="I20" s="426"/>
      <c r="J20" s="451" t="str">
        <f ca="1">IF(AND('Mapa final'!$J$59="Alta",'Mapa final'!$N$59="Leve"),CONCATENATE("R",'Mapa final'!$A$59),"")</f>
        <v/>
      </c>
      <c r="K20" s="452"/>
      <c r="L20" s="452" t="str">
        <f>IF(AND('Mapa final'!$J$65="Alta",'Mapa final'!$N$65="Leve"),CONCATENATE("R",'Mapa final'!$A$65),"")</f>
        <v/>
      </c>
      <c r="M20" s="452"/>
      <c r="N20" s="452" t="str">
        <f>IF(AND('Mapa final'!$J$71="Alta",'Mapa final'!$N$71="Leve"),CONCATENATE("R",'Mapa final'!$A$71),"")</f>
        <v/>
      </c>
      <c r="O20" s="453"/>
      <c r="P20" s="451" t="str">
        <f ca="1">IF(AND('Mapa final'!$J$59="Alta",'Mapa final'!$N$59="Menor"),CONCATENATE("R",'Mapa final'!$A$59),"")</f>
        <v/>
      </c>
      <c r="Q20" s="452"/>
      <c r="R20" s="452" t="str">
        <f>IF(AND('Mapa final'!$J$65="Alta",'Mapa final'!$N$65="Menor"),CONCATENATE("R",'Mapa final'!$A$65),"")</f>
        <v/>
      </c>
      <c r="S20" s="452"/>
      <c r="T20" s="452" t="str">
        <f>IF(AND('Mapa final'!$J$71="Alta",'Mapa final'!$N$71="Menor"),CONCATENATE("R",'Mapa final'!$A$71),"")</f>
        <v/>
      </c>
      <c r="U20" s="453"/>
      <c r="V20" s="435" t="str">
        <f ca="1">IF(AND('Mapa final'!$J$59="Alta",'Mapa final'!$N$59="Moderado"),CONCATENATE("R",'Mapa final'!$A$59),"")</f>
        <v/>
      </c>
      <c r="W20" s="431"/>
      <c r="X20" s="431" t="str">
        <f>IF(AND('Mapa final'!$J$65="Alta",'Mapa final'!$N$65="Moderado"),CONCATENATE("R",'Mapa final'!$A$65),"")</f>
        <v/>
      </c>
      <c r="Y20" s="431"/>
      <c r="Z20" s="431" t="str">
        <f>IF(AND('Mapa final'!$J$71="Alta",'Mapa final'!$N$71="Moderado"),CONCATENATE("R",'Mapa final'!$A$71),"")</f>
        <v/>
      </c>
      <c r="AA20" s="432"/>
      <c r="AB20" s="435" t="str">
        <f ca="1">IF(AND('Mapa final'!$J$59="Alta",'Mapa final'!$N$59="Mayor"),CONCATENATE("R",'Mapa final'!$A$59),"")</f>
        <v/>
      </c>
      <c r="AC20" s="431"/>
      <c r="AD20" s="431" t="str">
        <f>IF(AND('Mapa final'!$J$65="Alta",'Mapa final'!$N$65="Mayor"),CONCATENATE("R",'Mapa final'!$A$65),"")</f>
        <v/>
      </c>
      <c r="AE20" s="431"/>
      <c r="AF20" s="431" t="str">
        <f>IF(AND('Mapa final'!$J$71="Alta",'Mapa final'!$N$71="Mayor"),CONCATENATE("R",'Mapa final'!$A$71),"")</f>
        <v/>
      </c>
      <c r="AG20" s="432"/>
      <c r="AH20" s="442" t="str">
        <f ca="1">IF(AND('Mapa final'!$J$59="Alta",'Mapa final'!$N$59="Catastrófico"),CONCATENATE("R",'Mapa final'!$A$59),"")</f>
        <v/>
      </c>
      <c r="AI20" s="443"/>
      <c r="AJ20" s="443" t="str">
        <f>IF(AND('Mapa final'!$J$65="Alta",'Mapa final'!$N$65="Catastrófico"),CONCATENATE("R",'Mapa final'!$A$65),"")</f>
        <v/>
      </c>
      <c r="AK20" s="443"/>
      <c r="AL20" s="443" t="str">
        <f>IF(AND('Mapa final'!$J$71="Alta",'Mapa final'!$N$71="Catastrófico"),CONCATENATE("R",'Mapa final'!$A$71),"")</f>
        <v/>
      </c>
      <c r="AM20" s="444"/>
      <c r="AN20" s="83"/>
      <c r="AO20" s="398"/>
      <c r="AP20" s="399"/>
      <c r="AQ20" s="399"/>
      <c r="AR20" s="399"/>
      <c r="AS20" s="399"/>
      <c r="AT20" s="4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5">
      <c r="A21" s="83"/>
      <c r="B21" s="384"/>
      <c r="C21" s="384"/>
      <c r="D21" s="385"/>
      <c r="E21" s="428"/>
      <c r="F21" s="429"/>
      <c r="G21" s="429"/>
      <c r="H21" s="429"/>
      <c r="I21" s="429"/>
      <c r="J21" s="454"/>
      <c r="K21" s="455"/>
      <c r="L21" s="455"/>
      <c r="M21" s="455"/>
      <c r="N21" s="455"/>
      <c r="O21" s="456"/>
      <c r="P21" s="454"/>
      <c r="Q21" s="455"/>
      <c r="R21" s="455"/>
      <c r="S21" s="455"/>
      <c r="T21" s="455"/>
      <c r="U21" s="456"/>
      <c r="V21" s="439"/>
      <c r="W21" s="440"/>
      <c r="X21" s="440"/>
      <c r="Y21" s="440"/>
      <c r="Z21" s="440"/>
      <c r="AA21" s="441"/>
      <c r="AB21" s="439"/>
      <c r="AC21" s="440"/>
      <c r="AD21" s="440"/>
      <c r="AE21" s="440"/>
      <c r="AF21" s="440"/>
      <c r="AG21" s="441"/>
      <c r="AH21" s="445"/>
      <c r="AI21" s="446"/>
      <c r="AJ21" s="446"/>
      <c r="AK21" s="446"/>
      <c r="AL21" s="446"/>
      <c r="AM21" s="447"/>
      <c r="AN21" s="83"/>
      <c r="AO21" s="401"/>
      <c r="AP21" s="402"/>
      <c r="AQ21" s="402"/>
      <c r="AR21" s="402"/>
      <c r="AS21" s="402"/>
      <c r="AT21" s="4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3">
      <c r="A22" s="83"/>
      <c r="B22" s="384"/>
      <c r="C22" s="384"/>
      <c r="D22" s="385"/>
      <c r="E22" s="422" t="s">
        <v>117</v>
      </c>
      <c r="F22" s="423"/>
      <c r="G22" s="423"/>
      <c r="H22" s="423"/>
      <c r="I22" s="424"/>
      <c r="J22" s="457" t="str">
        <f ca="1">IF(AND('Mapa final'!$J$9="Media",'Mapa final'!$N$9="Leve"),CONCATENATE("R",'Mapa final'!$A$9),"")</f>
        <v/>
      </c>
      <c r="K22" s="458"/>
      <c r="L22" s="458" t="str">
        <f ca="1">IF(AND('Mapa final'!$J$13="Media",'Mapa final'!$N$13="Leve"),CONCATENATE("R",'Mapa final'!$A$13),"")</f>
        <v/>
      </c>
      <c r="M22" s="458"/>
      <c r="N22" s="458" t="str">
        <f>IF(AND('Mapa final'!$J$17="Media",'Mapa final'!$N$17="Leve"),CONCATENATE("R",'Mapa final'!$A$17),"")</f>
        <v/>
      </c>
      <c r="O22" s="459"/>
      <c r="P22" s="457" t="str">
        <f ca="1">IF(AND('Mapa final'!$J$9="Media",'Mapa final'!$N$9="Menor"),CONCATENATE("R",'Mapa final'!$A$9),"")</f>
        <v/>
      </c>
      <c r="Q22" s="458"/>
      <c r="R22" s="458" t="str">
        <f ca="1">IF(AND('Mapa final'!$J$13="Media",'Mapa final'!$N$13="Menor"),CONCATENATE("R",'Mapa final'!$A$13),"")</f>
        <v/>
      </c>
      <c r="S22" s="458"/>
      <c r="T22" s="458" t="str">
        <f>IF(AND('Mapa final'!$J$17="Media",'Mapa final'!$N$17="Menor"),CONCATENATE("R",'Mapa final'!$A$17),"")</f>
        <v/>
      </c>
      <c r="U22" s="459"/>
      <c r="V22" s="457" t="str">
        <f ca="1">IF(AND('Mapa final'!$J$9="Media",'Mapa final'!$N$9="Moderado"),CONCATENATE("R",'Mapa final'!$A$9),"")</f>
        <v/>
      </c>
      <c r="W22" s="458"/>
      <c r="X22" s="458" t="str">
        <f ca="1">IF(AND('Mapa final'!$J$13="Media",'Mapa final'!$N$13="Moderado"),CONCATENATE("R",'Mapa final'!$A$13),"")</f>
        <v/>
      </c>
      <c r="Y22" s="458"/>
      <c r="Z22" s="458" t="str">
        <f>IF(AND('Mapa final'!$J$17="Media",'Mapa final'!$N$17="Moderado"),CONCATENATE("R",'Mapa final'!$A$17),"")</f>
        <v/>
      </c>
      <c r="AA22" s="459"/>
      <c r="AB22" s="433" t="str">
        <f ca="1">IF(AND('Mapa final'!$J$9="Media",'Mapa final'!$N$9="Mayor"),CONCATENATE("R",'Mapa final'!$A$9),"")</f>
        <v/>
      </c>
      <c r="AC22" s="434"/>
      <c r="AD22" s="434" t="str">
        <f ca="1">IF(AND('Mapa final'!$J$13="Media",'Mapa final'!$N$13="Mayor"),CONCATENATE("R",'Mapa final'!$A$13),"")</f>
        <v/>
      </c>
      <c r="AE22" s="434"/>
      <c r="AF22" s="434" t="str">
        <f>IF(AND('Mapa final'!$J$17="Media",'Mapa final'!$N$17="Mayor"),CONCATENATE("R",'Mapa final'!$A$17),"")</f>
        <v/>
      </c>
      <c r="AG22" s="436"/>
      <c r="AH22" s="448" t="str">
        <f ca="1">IF(AND('Mapa final'!$J$9="Media",'Mapa final'!$N$9="Catastrófico"),CONCATENATE("R",'Mapa final'!$A$9),"")</f>
        <v/>
      </c>
      <c r="AI22" s="449"/>
      <c r="AJ22" s="449" t="str">
        <f ca="1">IF(AND('Mapa final'!$J$13="Media",'Mapa final'!$N$13="Catastrófico"),CONCATENATE("R",'Mapa final'!$A$13),"")</f>
        <v/>
      </c>
      <c r="AK22" s="449"/>
      <c r="AL22" s="449" t="str">
        <f>IF(AND('Mapa final'!$J$17="Media",'Mapa final'!$N$17="Catastrófico"),CONCATENATE("R",'Mapa final'!$A$17),"")</f>
        <v/>
      </c>
      <c r="AM22" s="450"/>
      <c r="AN22" s="83"/>
      <c r="AO22" s="404" t="s">
        <v>81</v>
      </c>
      <c r="AP22" s="405"/>
      <c r="AQ22" s="405"/>
      <c r="AR22" s="405"/>
      <c r="AS22" s="405"/>
      <c r="AT22" s="4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3">
      <c r="A23" s="83"/>
      <c r="B23" s="384"/>
      <c r="C23" s="384"/>
      <c r="D23" s="385"/>
      <c r="E23" s="425"/>
      <c r="F23" s="426"/>
      <c r="G23" s="426"/>
      <c r="H23" s="426"/>
      <c r="I23" s="427"/>
      <c r="J23" s="451"/>
      <c r="K23" s="452"/>
      <c r="L23" s="452"/>
      <c r="M23" s="452"/>
      <c r="N23" s="452"/>
      <c r="O23" s="453"/>
      <c r="P23" s="451"/>
      <c r="Q23" s="452"/>
      <c r="R23" s="452"/>
      <c r="S23" s="452"/>
      <c r="T23" s="452"/>
      <c r="U23" s="453"/>
      <c r="V23" s="451"/>
      <c r="W23" s="452"/>
      <c r="X23" s="452"/>
      <c r="Y23" s="452"/>
      <c r="Z23" s="452"/>
      <c r="AA23" s="453"/>
      <c r="AB23" s="435"/>
      <c r="AC23" s="431"/>
      <c r="AD23" s="431"/>
      <c r="AE23" s="431"/>
      <c r="AF23" s="431"/>
      <c r="AG23" s="432"/>
      <c r="AH23" s="442"/>
      <c r="AI23" s="443"/>
      <c r="AJ23" s="443"/>
      <c r="AK23" s="443"/>
      <c r="AL23" s="443"/>
      <c r="AM23" s="444"/>
      <c r="AN23" s="83"/>
      <c r="AO23" s="407"/>
      <c r="AP23" s="408"/>
      <c r="AQ23" s="408"/>
      <c r="AR23" s="408"/>
      <c r="AS23" s="408"/>
      <c r="AT23" s="4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3">
      <c r="A24" s="83"/>
      <c r="B24" s="384"/>
      <c r="C24" s="384"/>
      <c r="D24" s="385"/>
      <c r="E24" s="425"/>
      <c r="F24" s="426"/>
      <c r="G24" s="426"/>
      <c r="H24" s="426"/>
      <c r="I24" s="427"/>
      <c r="J24" s="451" t="str">
        <f>IF(AND('Mapa final'!$J$23="Media",'Mapa final'!$N$23="Leve"),CONCATENATE("R",'Mapa final'!$A$23),"")</f>
        <v/>
      </c>
      <c r="K24" s="452"/>
      <c r="L24" s="452" t="str">
        <f ca="1">IF(AND('Mapa final'!$J$29="Media",'Mapa final'!$N$29="Leve"),CONCATENATE("R",'Mapa final'!$A$29),"")</f>
        <v/>
      </c>
      <c r="M24" s="452"/>
      <c r="N24" s="452" t="str">
        <f ca="1">IF(AND('Mapa final'!$J$35="Media",'Mapa final'!$N$35="Leve"),CONCATENATE("R",'Mapa final'!$A$35),"")</f>
        <v/>
      </c>
      <c r="O24" s="453"/>
      <c r="P24" s="451" t="str">
        <f>IF(AND('Mapa final'!$J$23="Media",'Mapa final'!$N$23="Menor"),CONCATENATE("R",'Mapa final'!$A$23),"")</f>
        <v/>
      </c>
      <c r="Q24" s="452"/>
      <c r="R24" s="452" t="str">
        <f ca="1">IF(AND('Mapa final'!$J$29="Media",'Mapa final'!$N$29="Menor"),CONCATENATE("R",'Mapa final'!$A$29),"")</f>
        <v/>
      </c>
      <c r="S24" s="452"/>
      <c r="T24" s="452" t="str">
        <f ca="1">IF(AND('Mapa final'!$J$35="Media",'Mapa final'!$N$35="Menor"),CONCATENATE("R",'Mapa final'!$A$35),"")</f>
        <v/>
      </c>
      <c r="U24" s="453"/>
      <c r="V24" s="451" t="str">
        <f>IF(AND('Mapa final'!$J$23="Media",'Mapa final'!$N$23="Moderado"),CONCATENATE("R",'Mapa final'!$A$23),"")</f>
        <v/>
      </c>
      <c r="W24" s="452"/>
      <c r="X24" s="452" t="str">
        <f ca="1">IF(AND('Mapa final'!$J$29="Media",'Mapa final'!$N$29="Moderado"),CONCATENATE("R",'Mapa final'!$A$29),"")</f>
        <v/>
      </c>
      <c r="Y24" s="452"/>
      <c r="Z24" s="452" t="str">
        <f ca="1">IF(AND('Mapa final'!$J$35="Media",'Mapa final'!$N$35="Moderado"),CONCATENATE("R",'Mapa final'!$A$35),"")</f>
        <v/>
      </c>
      <c r="AA24" s="453"/>
      <c r="AB24" s="435" t="str">
        <f>IF(AND('Mapa final'!$J$23="Media",'Mapa final'!$N$23="Mayor"),CONCATENATE("R",'Mapa final'!$A$23),"")</f>
        <v/>
      </c>
      <c r="AC24" s="431"/>
      <c r="AD24" s="431" t="str">
        <f ca="1">IF(AND('Mapa final'!$J$29="Media",'Mapa final'!$N$29="Mayor"),CONCATENATE("R",'Mapa final'!$A$29),"")</f>
        <v/>
      </c>
      <c r="AE24" s="431"/>
      <c r="AF24" s="431" t="str">
        <f ca="1">IF(AND('Mapa final'!$J$35="Media",'Mapa final'!$N$35="Mayor"),CONCATENATE("R",'Mapa final'!$A$35),"")</f>
        <v/>
      </c>
      <c r="AG24" s="432"/>
      <c r="AH24" s="442" t="str">
        <f>IF(AND('Mapa final'!$J$23="Media",'Mapa final'!$N$23="Catastrófico"),CONCATENATE("R",'Mapa final'!$A$23),"")</f>
        <v/>
      </c>
      <c r="AI24" s="443"/>
      <c r="AJ24" s="443" t="str">
        <f ca="1">IF(AND('Mapa final'!$J$29="Media",'Mapa final'!$N$29="Catastrófico"),CONCATENATE("R",'Mapa final'!$A$29),"")</f>
        <v/>
      </c>
      <c r="AK24" s="443"/>
      <c r="AL24" s="443" t="str">
        <f ca="1">IF(AND('Mapa final'!$J$35="Media",'Mapa final'!$N$35="Catastrófico"),CONCATENATE("R",'Mapa final'!$A$35),"")</f>
        <v/>
      </c>
      <c r="AM24" s="444"/>
      <c r="AN24" s="83"/>
      <c r="AO24" s="407"/>
      <c r="AP24" s="408"/>
      <c r="AQ24" s="408"/>
      <c r="AR24" s="408"/>
      <c r="AS24" s="408"/>
      <c r="AT24" s="4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3">
      <c r="A25" s="83"/>
      <c r="B25" s="384"/>
      <c r="C25" s="384"/>
      <c r="D25" s="385"/>
      <c r="E25" s="425"/>
      <c r="F25" s="426"/>
      <c r="G25" s="426"/>
      <c r="H25" s="426"/>
      <c r="I25" s="427"/>
      <c r="J25" s="451"/>
      <c r="K25" s="452"/>
      <c r="L25" s="452"/>
      <c r="M25" s="452"/>
      <c r="N25" s="452"/>
      <c r="O25" s="453"/>
      <c r="P25" s="451"/>
      <c r="Q25" s="452"/>
      <c r="R25" s="452"/>
      <c r="S25" s="452"/>
      <c r="T25" s="452"/>
      <c r="U25" s="453"/>
      <c r="V25" s="451"/>
      <c r="W25" s="452"/>
      <c r="X25" s="452"/>
      <c r="Y25" s="452"/>
      <c r="Z25" s="452"/>
      <c r="AA25" s="453"/>
      <c r="AB25" s="435"/>
      <c r="AC25" s="431"/>
      <c r="AD25" s="431"/>
      <c r="AE25" s="431"/>
      <c r="AF25" s="431"/>
      <c r="AG25" s="432"/>
      <c r="AH25" s="442"/>
      <c r="AI25" s="443"/>
      <c r="AJ25" s="443"/>
      <c r="AK25" s="443"/>
      <c r="AL25" s="443"/>
      <c r="AM25" s="444"/>
      <c r="AN25" s="83"/>
      <c r="AO25" s="407"/>
      <c r="AP25" s="408"/>
      <c r="AQ25" s="408"/>
      <c r="AR25" s="408"/>
      <c r="AS25" s="408"/>
      <c r="AT25" s="4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3">
      <c r="A26" s="83"/>
      <c r="B26" s="384"/>
      <c r="C26" s="384"/>
      <c r="D26" s="385"/>
      <c r="E26" s="425"/>
      <c r="F26" s="426"/>
      <c r="G26" s="426"/>
      <c r="H26" s="426"/>
      <c r="I26" s="427"/>
      <c r="J26" s="451" t="str">
        <f ca="1">IF(AND('Mapa final'!$J$41="Media",'Mapa final'!$N$41="Leve"),CONCATENATE("R",'Mapa final'!$A$41),"")</f>
        <v/>
      </c>
      <c r="K26" s="452"/>
      <c r="L26" s="452" t="str">
        <f ca="1">IF(AND('Mapa final'!$J$47="Media",'Mapa final'!$N$47="Leve"),CONCATENATE("R",'Mapa final'!$A$47),"")</f>
        <v/>
      </c>
      <c r="M26" s="452"/>
      <c r="N26" s="452" t="str">
        <f ca="1">IF(AND('Mapa final'!$J$53="Media",'Mapa final'!$N$53="Leve"),CONCATENATE("R",'Mapa final'!$A$53),"")</f>
        <v/>
      </c>
      <c r="O26" s="453"/>
      <c r="P26" s="451" t="str">
        <f ca="1">IF(AND('Mapa final'!$J$41="Media",'Mapa final'!$N$41="Menor"),CONCATENATE("R",'Mapa final'!$A$41),"")</f>
        <v/>
      </c>
      <c r="Q26" s="452"/>
      <c r="R26" s="452" t="str">
        <f ca="1">IF(AND('Mapa final'!$J$47="Media",'Mapa final'!$N$47="Menor"),CONCATENATE("R",'Mapa final'!$A$47),"")</f>
        <v/>
      </c>
      <c r="S26" s="452"/>
      <c r="T26" s="452" t="str">
        <f ca="1">IF(AND('Mapa final'!$J$53="Media",'Mapa final'!$N$53="Menor"),CONCATENATE("R",'Mapa final'!$A$53),"")</f>
        <v/>
      </c>
      <c r="U26" s="453"/>
      <c r="V26" s="451" t="str">
        <f ca="1">IF(AND('Mapa final'!$J$41="Media",'Mapa final'!$N$41="Moderado"),CONCATENATE("R",'Mapa final'!$A$41),"")</f>
        <v/>
      </c>
      <c r="W26" s="452"/>
      <c r="X26" s="452" t="str">
        <f ca="1">IF(AND('Mapa final'!$J$47="Media",'Mapa final'!$N$47="Moderado"),CONCATENATE("R",'Mapa final'!$A$47),"")</f>
        <v/>
      </c>
      <c r="Y26" s="452"/>
      <c r="Z26" s="452" t="str">
        <f ca="1">IF(AND('Mapa final'!$J$53="Media",'Mapa final'!$N$53="Moderado"),CONCATENATE("R",'Mapa final'!$A$53),"")</f>
        <v/>
      </c>
      <c r="AA26" s="453"/>
      <c r="AB26" s="435" t="str">
        <f ca="1">IF(AND('Mapa final'!$J$41="Media",'Mapa final'!$N$41="Mayor"),CONCATENATE("R",'Mapa final'!$A$41),"")</f>
        <v/>
      </c>
      <c r="AC26" s="431"/>
      <c r="AD26" s="431" t="str">
        <f ca="1">IF(AND('Mapa final'!$J$47="Media",'Mapa final'!$N$47="Mayor"),CONCATENATE("R",'Mapa final'!$A$47),"")</f>
        <v/>
      </c>
      <c r="AE26" s="431"/>
      <c r="AF26" s="431" t="str">
        <f ca="1">IF(AND('Mapa final'!$J$53="Media",'Mapa final'!$N$53="Mayor"),CONCATENATE("R",'Mapa final'!$A$53),"")</f>
        <v/>
      </c>
      <c r="AG26" s="432"/>
      <c r="AH26" s="442" t="str">
        <f ca="1">IF(AND('Mapa final'!$J$41="Media",'Mapa final'!$N$41="Catastrófico"),CONCATENATE("R",'Mapa final'!$A$41),"")</f>
        <v/>
      </c>
      <c r="AI26" s="443"/>
      <c r="AJ26" s="443" t="str">
        <f ca="1">IF(AND('Mapa final'!$J$47="Media",'Mapa final'!$N$47="Catastrófico"),CONCATENATE("R",'Mapa final'!$A$47),"")</f>
        <v/>
      </c>
      <c r="AK26" s="443"/>
      <c r="AL26" s="443" t="str">
        <f ca="1">IF(AND('Mapa final'!$J$53="Media",'Mapa final'!$N$53="Catastrófico"),CONCATENATE("R",'Mapa final'!$A$53),"")</f>
        <v/>
      </c>
      <c r="AM26" s="444"/>
      <c r="AN26" s="83"/>
      <c r="AO26" s="407"/>
      <c r="AP26" s="408"/>
      <c r="AQ26" s="408"/>
      <c r="AR26" s="408"/>
      <c r="AS26" s="408"/>
      <c r="AT26" s="4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3">
      <c r="A27" s="83"/>
      <c r="B27" s="384"/>
      <c r="C27" s="384"/>
      <c r="D27" s="385"/>
      <c r="E27" s="425"/>
      <c r="F27" s="426"/>
      <c r="G27" s="426"/>
      <c r="H27" s="426"/>
      <c r="I27" s="427"/>
      <c r="J27" s="451"/>
      <c r="K27" s="452"/>
      <c r="L27" s="452"/>
      <c r="M27" s="452"/>
      <c r="N27" s="452"/>
      <c r="O27" s="453"/>
      <c r="P27" s="451"/>
      <c r="Q27" s="452"/>
      <c r="R27" s="452"/>
      <c r="S27" s="452"/>
      <c r="T27" s="452"/>
      <c r="U27" s="453"/>
      <c r="V27" s="451"/>
      <c r="W27" s="452"/>
      <c r="X27" s="452"/>
      <c r="Y27" s="452"/>
      <c r="Z27" s="452"/>
      <c r="AA27" s="453"/>
      <c r="AB27" s="435"/>
      <c r="AC27" s="431"/>
      <c r="AD27" s="431"/>
      <c r="AE27" s="431"/>
      <c r="AF27" s="431"/>
      <c r="AG27" s="432"/>
      <c r="AH27" s="442"/>
      <c r="AI27" s="443"/>
      <c r="AJ27" s="443"/>
      <c r="AK27" s="443"/>
      <c r="AL27" s="443"/>
      <c r="AM27" s="444"/>
      <c r="AN27" s="83"/>
      <c r="AO27" s="407"/>
      <c r="AP27" s="408"/>
      <c r="AQ27" s="408"/>
      <c r="AR27" s="408"/>
      <c r="AS27" s="408"/>
      <c r="AT27" s="4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3">
      <c r="A28" s="83"/>
      <c r="B28" s="384"/>
      <c r="C28" s="384"/>
      <c r="D28" s="385"/>
      <c r="E28" s="425"/>
      <c r="F28" s="426"/>
      <c r="G28" s="426"/>
      <c r="H28" s="426"/>
      <c r="I28" s="427"/>
      <c r="J28" s="451" t="str">
        <f ca="1">IF(AND('Mapa final'!$J$59="Media",'Mapa final'!$N$59="Leve"),CONCATENATE("R",'Mapa final'!$A$59),"")</f>
        <v/>
      </c>
      <c r="K28" s="452"/>
      <c r="L28" s="452" t="str">
        <f>IF(AND('Mapa final'!$J$65="Media",'Mapa final'!$N$65="Leve"),CONCATENATE("R",'Mapa final'!$A$65),"")</f>
        <v/>
      </c>
      <c r="M28" s="452"/>
      <c r="N28" s="452" t="str">
        <f>IF(AND('Mapa final'!$J$71="Media",'Mapa final'!$N$71="Leve"),CONCATENATE("R",'Mapa final'!$A$71),"")</f>
        <v/>
      </c>
      <c r="O28" s="453"/>
      <c r="P28" s="451" t="str">
        <f ca="1">IF(AND('Mapa final'!$J$59="Media",'Mapa final'!$N$59="Menor"),CONCATENATE("R",'Mapa final'!$A$59),"")</f>
        <v/>
      </c>
      <c r="Q28" s="452"/>
      <c r="R28" s="452" t="str">
        <f>IF(AND('Mapa final'!$J$65="Media",'Mapa final'!$N$65="Menor"),CONCATENATE("R",'Mapa final'!$A$65),"")</f>
        <v/>
      </c>
      <c r="S28" s="452"/>
      <c r="T28" s="452" t="str">
        <f>IF(AND('Mapa final'!$J$71="Media",'Mapa final'!$N$71="Menor"),CONCATENATE("R",'Mapa final'!$A$71),"")</f>
        <v/>
      </c>
      <c r="U28" s="453"/>
      <c r="V28" s="451" t="str">
        <f ca="1">IF(AND('Mapa final'!$J$59="Media",'Mapa final'!$N$59="Moderado"),CONCATENATE("R",'Mapa final'!$A$59),"")</f>
        <v/>
      </c>
      <c r="W28" s="452"/>
      <c r="X28" s="452" t="str">
        <f>IF(AND('Mapa final'!$J$65="Media",'Mapa final'!$N$65="Moderado"),CONCATENATE("R",'Mapa final'!$A$65),"")</f>
        <v/>
      </c>
      <c r="Y28" s="452"/>
      <c r="Z28" s="452" t="str">
        <f>IF(AND('Mapa final'!$J$71="Media",'Mapa final'!$N$71="Moderado"),CONCATENATE("R",'Mapa final'!$A$71),"")</f>
        <v/>
      </c>
      <c r="AA28" s="453"/>
      <c r="AB28" s="435" t="str">
        <f ca="1">IF(AND('Mapa final'!$J$59="Media",'Mapa final'!$N$59="Mayor"),CONCATENATE("R",'Mapa final'!$A$59),"")</f>
        <v/>
      </c>
      <c r="AC28" s="431"/>
      <c r="AD28" s="431" t="str">
        <f>IF(AND('Mapa final'!$J$65="Media",'Mapa final'!$N$65="Mayor"),CONCATENATE("R",'Mapa final'!$A$65),"")</f>
        <v/>
      </c>
      <c r="AE28" s="431"/>
      <c r="AF28" s="431" t="str">
        <f>IF(AND('Mapa final'!$J$71="Media",'Mapa final'!$N$71="Mayor"),CONCATENATE("R",'Mapa final'!$A$71),"")</f>
        <v/>
      </c>
      <c r="AG28" s="432"/>
      <c r="AH28" s="442" t="str">
        <f ca="1">IF(AND('Mapa final'!$J$59="Media",'Mapa final'!$N$59="Catastrófico"),CONCATENATE("R",'Mapa final'!$A$59),"")</f>
        <v/>
      </c>
      <c r="AI28" s="443"/>
      <c r="AJ28" s="443" t="str">
        <f>IF(AND('Mapa final'!$J$65="Media",'Mapa final'!$N$65="Catastrófico"),CONCATENATE("R",'Mapa final'!$A$65),"")</f>
        <v/>
      </c>
      <c r="AK28" s="443"/>
      <c r="AL28" s="443" t="str">
        <f>IF(AND('Mapa final'!$J$71="Media",'Mapa final'!$N$71="Catastrófico"),CONCATENATE("R",'Mapa final'!$A$71),"")</f>
        <v/>
      </c>
      <c r="AM28" s="444"/>
      <c r="AN28" s="83"/>
      <c r="AO28" s="407"/>
      <c r="AP28" s="408"/>
      <c r="AQ28" s="408"/>
      <c r="AR28" s="408"/>
      <c r="AS28" s="408"/>
      <c r="AT28" s="4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 thickBot="1" x14ac:dyDescent="0.35">
      <c r="A29" s="83"/>
      <c r="B29" s="384"/>
      <c r="C29" s="384"/>
      <c r="D29" s="385"/>
      <c r="E29" s="428"/>
      <c r="F29" s="429"/>
      <c r="G29" s="429"/>
      <c r="H29" s="429"/>
      <c r="I29" s="430"/>
      <c r="J29" s="451"/>
      <c r="K29" s="452"/>
      <c r="L29" s="452"/>
      <c r="M29" s="452"/>
      <c r="N29" s="452"/>
      <c r="O29" s="453"/>
      <c r="P29" s="454"/>
      <c r="Q29" s="455"/>
      <c r="R29" s="455"/>
      <c r="S29" s="455"/>
      <c r="T29" s="455"/>
      <c r="U29" s="456"/>
      <c r="V29" s="454"/>
      <c r="W29" s="455"/>
      <c r="X29" s="455"/>
      <c r="Y29" s="455"/>
      <c r="Z29" s="455"/>
      <c r="AA29" s="456"/>
      <c r="AB29" s="439"/>
      <c r="AC29" s="440"/>
      <c r="AD29" s="440"/>
      <c r="AE29" s="440"/>
      <c r="AF29" s="440"/>
      <c r="AG29" s="441"/>
      <c r="AH29" s="445"/>
      <c r="AI29" s="446"/>
      <c r="AJ29" s="446"/>
      <c r="AK29" s="446"/>
      <c r="AL29" s="446"/>
      <c r="AM29" s="447"/>
      <c r="AN29" s="83"/>
      <c r="AO29" s="410"/>
      <c r="AP29" s="411"/>
      <c r="AQ29" s="411"/>
      <c r="AR29" s="411"/>
      <c r="AS29" s="411"/>
      <c r="AT29" s="4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3">
      <c r="A30" s="83"/>
      <c r="B30" s="384"/>
      <c r="C30" s="384"/>
      <c r="D30" s="385"/>
      <c r="E30" s="422" t="s">
        <v>114</v>
      </c>
      <c r="F30" s="423"/>
      <c r="G30" s="423"/>
      <c r="H30" s="423"/>
      <c r="I30" s="423"/>
      <c r="J30" s="466" t="str">
        <f ca="1">IF(AND('Mapa final'!$J$9="Baja",'Mapa final'!$N$9="Leve"),CONCATENATE("R",'Mapa final'!$A$9),"")</f>
        <v/>
      </c>
      <c r="K30" s="467"/>
      <c r="L30" s="467" t="str">
        <f ca="1">IF(AND('Mapa final'!$J$13="Baja",'Mapa final'!$N$13="Leve"),CONCATENATE("R",'Mapa final'!$A$13),"")</f>
        <v/>
      </c>
      <c r="M30" s="467"/>
      <c r="N30" s="467" t="str">
        <f>IF(AND('Mapa final'!$J$17="Baja",'Mapa final'!$N$17="Leve"),CONCATENATE("R",'Mapa final'!$A$17),"")</f>
        <v/>
      </c>
      <c r="O30" s="468"/>
      <c r="P30" s="458" t="str">
        <f ca="1">IF(AND('Mapa final'!$J$9="Baja",'Mapa final'!$N$9="Menor"),CONCATENATE("R",'Mapa final'!$A$9),"")</f>
        <v/>
      </c>
      <c r="Q30" s="458"/>
      <c r="R30" s="458" t="str">
        <f ca="1">IF(AND('Mapa final'!$J$13="Baja",'Mapa final'!$N$13="Menor"),CONCATENATE("R",'Mapa final'!$A$13),"")</f>
        <v/>
      </c>
      <c r="S30" s="458"/>
      <c r="T30" s="458" t="str">
        <f>IF(AND('Mapa final'!$J$17="Baja",'Mapa final'!$N$17="Menor"),CONCATENATE("R",'Mapa final'!$A$17),"")</f>
        <v/>
      </c>
      <c r="U30" s="459"/>
      <c r="V30" s="457" t="str">
        <f ca="1">IF(AND('Mapa final'!$J$9="Baja",'Mapa final'!$N$9="Moderado"),CONCATENATE("R",'Mapa final'!$A$9),"")</f>
        <v>R1</v>
      </c>
      <c r="W30" s="458"/>
      <c r="X30" s="458" t="str">
        <f ca="1">IF(AND('Mapa final'!$J$13="Baja",'Mapa final'!$N$13="Moderado"),CONCATENATE("R",'Mapa final'!$A$13),"")</f>
        <v>R2</v>
      </c>
      <c r="Y30" s="458"/>
      <c r="Z30" s="458" t="str">
        <f>IF(AND('Mapa final'!$J$17="Baja",'Mapa final'!$N$17="Moderado"),CONCATENATE("R",'Mapa final'!$A$17),"")</f>
        <v/>
      </c>
      <c r="AA30" s="459"/>
      <c r="AB30" s="433" t="str">
        <f ca="1">IF(AND('Mapa final'!$J$9="Baja",'Mapa final'!$N$9="Mayor"),CONCATENATE("R",'Mapa final'!$A$9),"")</f>
        <v/>
      </c>
      <c r="AC30" s="434"/>
      <c r="AD30" s="434" t="str">
        <f ca="1">IF(AND('Mapa final'!$J$13="Baja",'Mapa final'!$N$13="Mayor"),CONCATENATE("R",'Mapa final'!$A$13),"")</f>
        <v/>
      </c>
      <c r="AE30" s="434"/>
      <c r="AF30" s="434" t="str">
        <f>IF(AND('Mapa final'!$J$17="Baja",'Mapa final'!$N$17="Mayor"),CONCATENATE("R",'Mapa final'!$A$17),"")</f>
        <v/>
      </c>
      <c r="AG30" s="436"/>
      <c r="AH30" s="448" t="str">
        <f ca="1">IF(AND('Mapa final'!$J$9="Baja",'Mapa final'!$N$9="Catastrófico"),CONCATENATE("R",'Mapa final'!$A$9),"")</f>
        <v/>
      </c>
      <c r="AI30" s="449"/>
      <c r="AJ30" s="449" t="str">
        <f ca="1">IF(AND('Mapa final'!$J$13="Baja",'Mapa final'!$N$13="Catastrófico"),CONCATENATE("R",'Mapa final'!$A$13),"")</f>
        <v/>
      </c>
      <c r="AK30" s="449"/>
      <c r="AL30" s="449" t="str">
        <f>IF(AND('Mapa final'!$J$17="Baja",'Mapa final'!$N$17="Catastrófico"),CONCATENATE("R",'Mapa final'!$A$17),"")</f>
        <v/>
      </c>
      <c r="AM30" s="450"/>
      <c r="AN30" s="83"/>
      <c r="AO30" s="413" t="s">
        <v>82</v>
      </c>
      <c r="AP30" s="414"/>
      <c r="AQ30" s="414"/>
      <c r="AR30" s="414"/>
      <c r="AS30" s="414"/>
      <c r="AT30" s="4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3">
      <c r="A31" s="83"/>
      <c r="B31" s="384"/>
      <c r="C31" s="384"/>
      <c r="D31" s="385"/>
      <c r="E31" s="425"/>
      <c r="F31" s="426"/>
      <c r="G31" s="426"/>
      <c r="H31" s="426"/>
      <c r="I31" s="426"/>
      <c r="J31" s="462"/>
      <c r="K31" s="460"/>
      <c r="L31" s="460"/>
      <c r="M31" s="460"/>
      <c r="N31" s="460"/>
      <c r="O31" s="461"/>
      <c r="P31" s="452"/>
      <c r="Q31" s="452"/>
      <c r="R31" s="452"/>
      <c r="S31" s="452"/>
      <c r="T31" s="452"/>
      <c r="U31" s="453"/>
      <c r="V31" s="451"/>
      <c r="W31" s="452"/>
      <c r="X31" s="452"/>
      <c r="Y31" s="452"/>
      <c r="Z31" s="452"/>
      <c r="AA31" s="453"/>
      <c r="AB31" s="435"/>
      <c r="AC31" s="431"/>
      <c r="AD31" s="431"/>
      <c r="AE31" s="431"/>
      <c r="AF31" s="431"/>
      <c r="AG31" s="432"/>
      <c r="AH31" s="442"/>
      <c r="AI31" s="443"/>
      <c r="AJ31" s="443"/>
      <c r="AK31" s="443"/>
      <c r="AL31" s="443"/>
      <c r="AM31" s="444"/>
      <c r="AN31" s="83"/>
      <c r="AO31" s="416"/>
      <c r="AP31" s="417"/>
      <c r="AQ31" s="417"/>
      <c r="AR31" s="417"/>
      <c r="AS31" s="417"/>
      <c r="AT31" s="4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3">
      <c r="A32" s="83"/>
      <c r="B32" s="384"/>
      <c r="C32" s="384"/>
      <c r="D32" s="385"/>
      <c r="E32" s="425"/>
      <c r="F32" s="426"/>
      <c r="G32" s="426"/>
      <c r="H32" s="426"/>
      <c r="I32" s="426"/>
      <c r="J32" s="462" t="str">
        <f>IF(AND('Mapa final'!$J$23="Baja",'Mapa final'!$N$23="Leve"),CONCATENATE("R",'Mapa final'!$A$23),"")</f>
        <v/>
      </c>
      <c r="K32" s="460"/>
      <c r="L32" s="460" t="str">
        <f ca="1">IF(AND('Mapa final'!$J$29="Baja",'Mapa final'!$N$29="Leve"),CONCATENATE("R",'Mapa final'!$A$29),"")</f>
        <v/>
      </c>
      <c r="M32" s="460"/>
      <c r="N32" s="460" t="str">
        <f ca="1">IF(AND('Mapa final'!$J$35="Baja",'Mapa final'!$N$35="Leve"),CONCATENATE("R",'Mapa final'!$A$35),"")</f>
        <v/>
      </c>
      <c r="O32" s="461"/>
      <c r="P32" s="452" t="str">
        <f>IF(AND('Mapa final'!$J$23="Baja",'Mapa final'!$N$23="Menor"),CONCATENATE("R",'Mapa final'!$A$23),"")</f>
        <v/>
      </c>
      <c r="Q32" s="452"/>
      <c r="R32" s="452" t="str">
        <f ca="1">IF(AND('Mapa final'!$J$29="Baja",'Mapa final'!$N$29="Menor"),CONCATENATE("R",'Mapa final'!$A$29),"")</f>
        <v/>
      </c>
      <c r="S32" s="452"/>
      <c r="T32" s="452" t="str">
        <f ca="1">IF(AND('Mapa final'!$J$35="Baja",'Mapa final'!$N$35="Menor"),CONCATENATE("R",'Mapa final'!$A$35),"")</f>
        <v/>
      </c>
      <c r="U32" s="453"/>
      <c r="V32" s="451" t="str">
        <f>IF(AND('Mapa final'!$J$23="Baja",'Mapa final'!$N$23="Moderado"),CONCATENATE("R",'Mapa final'!$A$23),"")</f>
        <v/>
      </c>
      <c r="W32" s="452"/>
      <c r="X32" s="452" t="str">
        <f ca="1">IF(AND('Mapa final'!$J$29="Baja",'Mapa final'!$N$29="Moderado"),CONCATENATE("R",'Mapa final'!$A$29),"")</f>
        <v/>
      </c>
      <c r="Y32" s="452"/>
      <c r="Z32" s="452" t="str">
        <f ca="1">IF(AND('Mapa final'!$J$35="Baja",'Mapa final'!$N$35="Moderado"),CONCATENATE("R",'Mapa final'!$A$35),"")</f>
        <v/>
      </c>
      <c r="AA32" s="453"/>
      <c r="AB32" s="435" t="str">
        <f>IF(AND('Mapa final'!$J$23="Baja",'Mapa final'!$N$23="Mayor"),CONCATENATE("R",'Mapa final'!$A$23),"")</f>
        <v/>
      </c>
      <c r="AC32" s="431"/>
      <c r="AD32" s="431" t="str">
        <f ca="1">IF(AND('Mapa final'!$J$29="Baja",'Mapa final'!$N$29="Mayor"),CONCATENATE("R",'Mapa final'!$A$29),"")</f>
        <v/>
      </c>
      <c r="AE32" s="431"/>
      <c r="AF32" s="431" t="str">
        <f ca="1">IF(AND('Mapa final'!$J$35="Baja",'Mapa final'!$N$35="Mayor"),CONCATENATE("R",'Mapa final'!$A$35),"")</f>
        <v/>
      </c>
      <c r="AG32" s="432"/>
      <c r="AH32" s="442" t="str">
        <f>IF(AND('Mapa final'!$J$23="Baja",'Mapa final'!$N$23="Catastrófico"),CONCATENATE("R",'Mapa final'!$A$23),"")</f>
        <v/>
      </c>
      <c r="AI32" s="443"/>
      <c r="AJ32" s="443" t="str">
        <f ca="1">IF(AND('Mapa final'!$J$29="Baja",'Mapa final'!$N$29="Catastrófico"),CONCATENATE("R",'Mapa final'!$A$29),"")</f>
        <v/>
      </c>
      <c r="AK32" s="443"/>
      <c r="AL32" s="443" t="str">
        <f ca="1">IF(AND('Mapa final'!$J$35="Baja",'Mapa final'!$N$35="Catastrófico"),CONCATENATE("R",'Mapa final'!$A$35),"")</f>
        <v/>
      </c>
      <c r="AM32" s="444"/>
      <c r="AN32" s="83"/>
      <c r="AO32" s="416"/>
      <c r="AP32" s="417"/>
      <c r="AQ32" s="417"/>
      <c r="AR32" s="417"/>
      <c r="AS32" s="417"/>
      <c r="AT32" s="4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3">
      <c r="A33" s="83"/>
      <c r="B33" s="384"/>
      <c r="C33" s="384"/>
      <c r="D33" s="385"/>
      <c r="E33" s="425"/>
      <c r="F33" s="426"/>
      <c r="G33" s="426"/>
      <c r="H33" s="426"/>
      <c r="I33" s="426"/>
      <c r="J33" s="462"/>
      <c r="K33" s="460"/>
      <c r="L33" s="460"/>
      <c r="M33" s="460"/>
      <c r="N33" s="460"/>
      <c r="O33" s="461"/>
      <c r="P33" s="452"/>
      <c r="Q33" s="452"/>
      <c r="R33" s="452"/>
      <c r="S33" s="452"/>
      <c r="T33" s="452"/>
      <c r="U33" s="453"/>
      <c r="V33" s="451"/>
      <c r="W33" s="452"/>
      <c r="X33" s="452"/>
      <c r="Y33" s="452"/>
      <c r="Z33" s="452"/>
      <c r="AA33" s="453"/>
      <c r="AB33" s="435"/>
      <c r="AC33" s="431"/>
      <c r="AD33" s="431"/>
      <c r="AE33" s="431"/>
      <c r="AF33" s="431"/>
      <c r="AG33" s="432"/>
      <c r="AH33" s="442"/>
      <c r="AI33" s="443"/>
      <c r="AJ33" s="443"/>
      <c r="AK33" s="443"/>
      <c r="AL33" s="443"/>
      <c r="AM33" s="444"/>
      <c r="AN33" s="83"/>
      <c r="AO33" s="416"/>
      <c r="AP33" s="417"/>
      <c r="AQ33" s="417"/>
      <c r="AR33" s="417"/>
      <c r="AS33" s="417"/>
      <c r="AT33" s="4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3">
      <c r="A34" s="83"/>
      <c r="B34" s="384"/>
      <c r="C34" s="384"/>
      <c r="D34" s="385"/>
      <c r="E34" s="425"/>
      <c r="F34" s="426"/>
      <c r="G34" s="426"/>
      <c r="H34" s="426"/>
      <c r="I34" s="426"/>
      <c r="J34" s="462" t="str">
        <f ca="1">IF(AND('Mapa final'!$J$41="Baja",'Mapa final'!$N$41="Leve"),CONCATENATE("R",'Mapa final'!$A$41),"")</f>
        <v/>
      </c>
      <c r="K34" s="460"/>
      <c r="L34" s="460" t="str">
        <f ca="1">IF(AND('Mapa final'!$J$47="Baja",'Mapa final'!$N$47="Leve"),CONCATENATE("R",'Mapa final'!$A$47),"")</f>
        <v/>
      </c>
      <c r="M34" s="460"/>
      <c r="N34" s="460" t="str">
        <f ca="1">IF(AND('Mapa final'!$J$53="Baja",'Mapa final'!$N$53="Leve"),CONCATENATE("R",'Mapa final'!$A$53),"")</f>
        <v/>
      </c>
      <c r="O34" s="461"/>
      <c r="P34" s="452" t="str">
        <f ca="1">IF(AND('Mapa final'!$J$41="Baja",'Mapa final'!$N$41="Menor"),CONCATENATE("R",'Mapa final'!$A$41),"")</f>
        <v/>
      </c>
      <c r="Q34" s="452"/>
      <c r="R34" s="452" t="str">
        <f ca="1">IF(AND('Mapa final'!$J$47="Baja",'Mapa final'!$N$47="Menor"),CONCATENATE("R",'Mapa final'!$A$47),"")</f>
        <v/>
      </c>
      <c r="S34" s="452"/>
      <c r="T34" s="452" t="str">
        <f ca="1">IF(AND('Mapa final'!$J$53="Baja",'Mapa final'!$N$53="Menor"),CONCATENATE("R",'Mapa final'!$A$53),"")</f>
        <v/>
      </c>
      <c r="U34" s="453"/>
      <c r="V34" s="451" t="str">
        <f ca="1">IF(AND('Mapa final'!$J$41="Baja",'Mapa final'!$N$41="Moderado"),CONCATENATE("R",'Mapa final'!$A$41),"")</f>
        <v/>
      </c>
      <c r="W34" s="452"/>
      <c r="X34" s="452" t="str">
        <f ca="1">IF(AND('Mapa final'!$J$47="Baja",'Mapa final'!$N$47="Moderado"),CONCATENATE("R",'Mapa final'!$A$47),"")</f>
        <v/>
      </c>
      <c r="Y34" s="452"/>
      <c r="Z34" s="452" t="str">
        <f ca="1">IF(AND('Mapa final'!$J$53="Baja",'Mapa final'!$N$53="Moderado"),CONCATENATE("R",'Mapa final'!$A$53),"")</f>
        <v/>
      </c>
      <c r="AA34" s="453"/>
      <c r="AB34" s="435" t="str">
        <f ca="1">IF(AND('Mapa final'!$J$41="Baja",'Mapa final'!$N$41="Mayor"),CONCATENATE("R",'Mapa final'!$A$41),"")</f>
        <v/>
      </c>
      <c r="AC34" s="431"/>
      <c r="AD34" s="431" t="str">
        <f ca="1">IF(AND('Mapa final'!$J$47="Baja",'Mapa final'!$N$47="Mayor"),CONCATENATE("R",'Mapa final'!$A$47),"")</f>
        <v/>
      </c>
      <c r="AE34" s="431"/>
      <c r="AF34" s="431" t="str">
        <f ca="1">IF(AND('Mapa final'!$J$53="Baja",'Mapa final'!$N$53="Mayor"),CONCATENATE("R",'Mapa final'!$A$53),"")</f>
        <v/>
      </c>
      <c r="AG34" s="432"/>
      <c r="AH34" s="442" t="str">
        <f ca="1">IF(AND('Mapa final'!$J$41="Baja",'Mapa final'!$N$41="Catastrófico"),CONCATENATE("R",'Mapa final'!$A$41),"")</f>
        <v/>
      </c>
      <c r="AI34" s="443"/>
      <c r="AJ34" s="443" t="str">
        <f ca="1">IF(AND('Mapa final'!$J$47="Baja",'Mapa final'!$N$47="Catastrófico"),CONCATENATE("R",'Mapa final'!$A$47),"")</f>
        <v/>
      </c>
      <c r="AK34" s="443"/>
      <c r="AL34" s="443" t="str">
        <f ca="1">IF(AND('Mapa final'!$J$53="Baja",'Mapa final'!$N$53="Catastrófico"),CONCATENATE("R",'Mapa final'!$A$53),"")</f>
        <v/>
      </c>
      <c r="AM34" s="444"/>
      <c r="AN34" s="83"/>
      <c r="AO34" s="416"/>
      <c r="AP34" s="417"/>
      <c r="AQ34" s="417"/>
      <c r="AR34" s="417"/>
      <c r="AS34" s="417"/>
      <c r="AT34" s="4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3">
      <c r="A35" s="83"/>
      <c r="B35" s="384"/>
      <c r="C35" s="384"/>
      <c r="D35" s="385"/>
      <c r="E35" s="425"/>
      <c r="F35" s="426"/>
      <c r="G35" s="426"/>
      <c r="H35" s="426"/>
      <c r="I35" s="426"/>
      <c r="J35" s="462"/>
      <c r="K35" s="460"/>
      <c r="L35" s="460"/>
      <c r="M35" s="460"/>
      <c r="N35" s="460"/>
      <c r="O35" s="461"/>
      <c r="P35" s="452"/>
      <c r="Q35" s="452"/>
      <c r="R35" s="452"/>
      <c r="S35" s="452"/>
      <c r="T35" s="452"/>
      <c r="U35" s="453"/>
      <c r="V35" s="451"/>
      <c r="W35" s="452"/>
      <c r="X35" s="452"/>
      <c r="Y35" s="452"/>
      <c r="Z35" s="452"/>
      <c r="AA35" s="453"/>
      <c r="AB35" s="435"/>
      <c r="AC35" s="431"/>
      <c r="AD35" s="431"/>
      <c r="AE35" s="431"/>
      <c r="AF35" s="431"/>
      <c r="AG35" s="432"/>
      <c r="AH35" s="442"/>
      <c r="AI35" s="443"/>
      <c r="AJ35" s="443"/>
      <c r="AK35" s="443"/>
      <c r="AL35" s="443"/>
      <c r="AM35" s="444"/>
      <c r="AN35" s="83"/>
      <c r="AO35" s="416"/>
      <c r="AP35" s="417"/>
      <c r="AQ35" s="417"/>
      <c r="AR35" s="417"/>
      <c r="AS35" s="417"/>
      <c r="AT35" s="4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3">
      <c r="A36" s="83"/>
      <c r="B36" s="384"/>
      <c r="C36" s="384"/>
      <c r="D36" s="385"/>
      <c r="E36" s="425"/>
      <c r="F36" s="426"/>
      <c r="G36" s="426"/>
      <c r="H36" s="426"/>
      <c r="I36" s="426"/>
      <c r="J36" s="462" t="str">
        <f ca="1">IF(AND('Mapa final'!$J$59="Baja",'Mapa final'!$N$59="Leve"),CONCATENATE("R",'Mapa final'!$A$59),"")</f>
        <v/>
      </c>
      <c r="K36" s="460"/>
      <c r="L36" s="460" t="str">
        <f>IF(AND('Mapa final'!$J$65="Baja",'Mapa final'!$N$65="Leve"),CONCATENATE("R",'Mapa final'!$A$65),"")</f>
        <v/>
      </c>
      <c r="M36" s="460"/>
      <c r="N36" s="460" t="str">
        <f>IF(AND('Mapa final'!$J$71="Baja",'Mapa final'!$N$71="Leve"),CONCATENATE("R",'Mapa final'!$A$71),"")</f>
        <v/>
      </c>
      <c r="O36" s="461"/>
      <c r="P36" s="452" t="str">
        <f ca="1">IF(AND('Mapa final'!$J$59="Baja",'Mapa final'!$N$59="Menor"),CONCATENATE("R",'Mapa final'!$A$59),"")</f>
        <v/>
      </c>
      <c r="Q36" s="452"/>
      <c r="R36" s="452" t="str">
        <f>IF(AND('Mapa final'!$J$65="Baja",'Mapa final'!$N$65="Menor"),CONCATENATE("R",'Mapa final'!$A$65),"")</f>
        <v/>
      </c>
      <c r="S36" s="452"/>
      <c r="T36" s="452" t="str">
        <f>IF(AND('Mapa final'!$J$71="Baja",'Mapa final'!$N$71="Menor"),CONCATENATE("R",'Mapa final'!$A$71),"")</f>
        <v/>
      </c>
      <c r="U36" s="453"/>
      <c r="V36" s="451" t="str">
        <f ca="1">IF(AND('Mapa final'!$J$59="Baja",'Mapa final'!$N$59="Moderado"),CONCATENATE("R",'Mapa final'!$A$59),"")</f>
        <v/>
      </c>
      <c r="W36" s="452"/>
      <c r="X36" s="452" t="str">
        <f>IF(AND('Mapa final'!$J$65="Baja",'Mapa final'!$N$65="Moderado"),CONCATENATE("R",'Mapa final'!$A$65),"")</f>
        <v/>
      </c>
      <c r="Y36" s="452"/>
      <c r="Z36" s="452" t="str">
        <f>IF(AND('Mapa final'!$J$71="Baja",'Mapa final'!$N$71="Moderado"),CONCATENATE("R",'Mapa final'!$A$71),"")</f>
        <v/>
      </c>
      <c r="AA36" s="453"/>
      <c r="AB36" s="435" t="str">
        <f ca="1">IF(AND('Mapa final'!$J$59="Baja",'Mapa final'!$N$59="Mayor"),CONCATENATE("R",'Mapa final'!$A$59),"")</f>
        <v/>
      </c>
      <c r="AC36" s="431"/>
      <c r="AD36" s="431" t="str">
        <f>IF(AND('Mapa final'!$J$65="Baja",'Mapa final'!$N$65="Mayor"),CONCATENATE("R",'Mapa final'!$A$65),"")</f>
        <v/>
      </c>
      <c r="AE36" s="431"/>
      <c r="AF36" s="431" t="str">
        <f>IF(AND('Mapa final'!$J$71="Baja",'Mapa final'!$N$71="Mayor"),CONCATENATE("R",'Mapa final'!$A$71),"")</f>
        <v/>
      </c>
      <c r="AG36" s="432"/>
      <c r="AH36" s="442" t="str">
        <f ca="1">IF(AND('Mapa final'!$J$59="Baja",'Mapa final'!$N$59="Catastrófico"),CONCATENATE("R",'Mapa final'!$A$59),"")</f>
        <v/>
      </c>
      <c r="AI36" s="443"/>
      <c r="AJ36" s="443" t="str">
        <f>IF(AND('Mapa final'!$J$65="Baja",'Mapa final'!$N$65="Catastrófico"),CONCATENATE("R",'Mapa final'!$A$65),"")</f>
        <v/>
      </c>
      <c r="AK36" s="443"/>
      <c r="AL36" s="443" t="str">
        <f>IF(AND('Mapa final'!$J$71="Baja",'Mapa final'!$N$71="Catastrófico"),CONCATENATE("R",'Mapa final'!$A$71),"")</f>
        <v/>
      </c>
      <c r="AM36" s="444"/>
      <c r="AN36" s="83"/>
      <c r="AO36" s="416"/>
      <c r="AP36" s="417"/>
      <c r="AQ36" s="417"/>
      <c r="AR36" s="417"/>
      <c r="AS36" s="417"/>
      <c r="AT36" s="4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 thickBot="1" x14ac:dyDescent="0.35">
      <c r="A37" s="83"/>
      <c r="B37" s="384"/>
      <c r="C37" s="384"/>
      <c r="D37" s="385"/>
      <c r="E37" s="428"/>
      <c r="F37" s="429"/>
      <c r="G37" s="429"/>
      <c r="H37" s="429"/>
      <c r="I37" s="429"/>
      <c r="J37" s="463"/>
      <c r="K37" s="464"/>
      <c r="L37" s="464"/>
      <c r="M37" s="464"/>
      <c r="N37" s="464"/>
      <c r="O37" s="465"/>
      <c r="P37" s="455"/>
      <c r="Q37" s="455"/>
      <c r="R37" s="455"/>
      <c r="S37" s="455"/>
      <c r="T37" s="455"/>
      <c r="U37" s="456"/>
      <c r="V37" s="454"/>
      <c r="W37" s="455"/>
      <c r="X37" s="455"/>
      <c r="Y37" s="455"/>
      <c r="Z37" s="455"/>
      <c r="AA37" s="456"/>
      <c r="AB37" s="439"/>
      <c r="AC37" s="440"/>
      <c r="AD37" s="440"/>
      <c r="AE37" s="440"/>
      <c r="AF37" s="440"/>
      <c r="AG37" s="441"/>
      <c r="AH37" s="445"/>
      <c r="AI37" s="446"/>
      <c r="AJ37" s="446"/>
      <c r="AK37" s="446"/>
      <c r="AL37" s="446"/>
      <c r="AM37" s="447"/>
      <c r="AN37" s="83"/>
      <c r="AO37" s="419"/>
      <c r="AP37" s="420"/>
      <c r="AQ37" s="420"/>
      <c r="AR37" s="420"/>
      <c r="AS37" s="420"/>
      <c r="AT37" s="4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3">
      <c r="A38" s="83"/>
      <c r="B38" s="384"/>
      <c r="C38" s="384"/>
      <c r="D38" s="385"/>
      <c r="E38" s="422" t="s">
        <v>113</v>
      </c>
      <c r="F38" s="423"/>
      <c r="G38" s="423"/>
      <c r="H38" s="423"/>
      <c r="I38" s="424"/>
      <c r="J38" s="466" t="str">
        <f ca="1">IF(AND('Mapa final'!$J$9="Muy Baja",'Mapa final'!$N$9="Leve"),CONCATENATE("R",'Mapa final'!$A$9),"")</f>
        <v/>
      </c>
      <c r="K38" s="467"/>
      <c r="L38" s="467" t="str">
        <f ca="1">IF(AND('Mapa final'!$J$13="Muy Baja",'Mapa final'!$N$13="Leve"),CONCATENATE("R",'Mapa final'!$A$13),"")</f>
        <v/>
      </c>
      <c r="M38" s="467"/>
      <c r="N38" s="467" t="str">
        <f>IF(AND('Mapa final'!$J$17="Muy Baja",'Mapa final'!$N$17="Leve"),CONCATENATE("R",'Mapa final'!$A$17),"")</f>
        <v/>
      </c>
      <c r="O38" s="468"/>
      <c r="P38" s="466" t="str">
        <f ca="1">IF(AND('Mapa final'!$J$9="Muy Baja",'Mapa final'!$N$9="Menor"),CONCATENATE("R",'Mapa final'!$A$9),"")</f>
        <v/>
      </c>
      <c r="Q38" s="467"/>
      <c r="R38" s="467" t="str">
        <f ca="1">IF(AND('Mapa final'!$J$13="Muy Baja",'Mapa final'!$N$13="Menor"),CONCATENATE("R",'Mapa final'!$A$13),"")</f>
        <v/>
      </c>
      <c r="S38" s="467"/>
      <c r="T38" s="467" t="str">
        <f>IF(AND('Mapa final'!$J$17="Muy Baja",'Mapa final'!$N$17="Menor"),CONCATENATE("R",'Mapa final'!$A$17),"")</f>
        <v/>
      </c>
      <c r="U38" s="468"/>
      <c r="V38" s="457" t="str">
        <f ca="1">IF(AND('Mapa final'!$J$9="Muy Baja",'Mapa final'!$N$9="Moderado"),CONCATENATE("R",'Mapa final'!$A$9),"")</f>
        <v/>
      </c>
      <c r="W38" s="458"/>
      <c r="X38" s="458" t="str">
        <f ca="1">IF(AND('Mapa final'!$J$13="Muy Baja",'Mapa final'!$N$13="Moderado"),CONCATENATE("R",'Mapa final'!$A$13),"")</f>
        <v/>
      </c>
      <c r="Y38" s="458"/>
      <c r="Z38" s="458" t="str">
        <f>IF(AND('Mapa final'!$J$17="Muy Baja",'Mapa final'!$N$17="Moderado"),CONCATENATE("R",'Mapa final'!$A$17),"")</f>
        <v/>
      </c>
      <c r="AA38" s="459"/>
      <c r="AB38" s="433" t="str">
        <f ca="1">IF(AND('Mapa final'!$J$9="Muy Baja",'Mapa final'!$N$9="Mayor"),CONCATENATE("R",'Mapa final'!$A$9),"")</f>
        <v/>
      </c>
      <c r="AC38" s="434"/>
      <c r="AD38" s="434" t="str">
        <f ca="1">IF(AND('Mapa final'!$J$13="Muy Baja",'Mapa final'!$N$13="Mayor"),CONCATENATE("R",'Mapa final'!$A$13),"")</f>
        <v/>
      </c>
      <c r="AE38" s="434"/>
      <c r="AF38" s="434" t="str">
        <f>IF(AND('Mapa final'!$J$17="Muy Baja",'Mapa final'!$N$17="Mayor"),CONCATENATE("R",'Mapa final'!$A$17),"")</f>
        <v/>
      </c>
      <c r="AG38" s="436"/>
      <c r="AH38" s="448" t="str">
        <f ca="1">IF(AND('Mapa final'!$J$9="Muy Baja",'Mapa final'!$N$9="Catastrófico"),CONCATENATE("R",'Mapa final'!$A$9),"")</f>
        <v/>
      </c>
      <c r="AI38" s="449"/>
      <c r="AJ38" s="449" t="str">
        <f ca="1">IF(AND('Mapa final'!$J$13="Muy Baja",'Mapa final'!$N$13="Catastrófico"),CONCATENATE("R",'Mapa final'!$A$13),"")</f>
        <v/>
      </c>
      <c r="AK38" s="449"/>
      <c r="AL38" s="449" t="str">
        <f>IF(AND('Mapa final'!$J$17="Muy Baja",'Mapa final'!$N$17="Catastrófico"),CONCATENATE("R",'Mapa final'!$A$17),"")</f>
        <v/>
      </c>
      <c r="AM38" s="450"/>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3">
      <c r="A39" s="83"/>
      <c r="B39" s="384"/>
      <c r="C39" s="384"/>
      <c r="D39" s="385"/>
      <c r="E39" s="425"/>
      <c r="F39" s="426"/>
      <c r="G39" s="426"/>
      <c r="H39" s="426"/>
      <c r="I39" s="427"/>
      <c r="J39" s="462"/>
      <c r="K39" s="460"/>
      <c r="L39" s="460"/>
      <c r="M39" s="460"/>
      <c r="N39" s="460"/>
      <c r="O39" s="461"/>
      <c r="P39" s="462"/>
      <c r="Q39" s="460"/>
      <c r="R39" s="460"/>
      <c r="S39" s="460"/>
      <c r="T39" s="460"/>
      <c r="U39" s="461"/>
      <c r="V39" s="451"/>
      <c r="W39" s="452"/>
      <c r="X39" s="452"/>
      <c r="Y39" s="452"/>
      <c r="Z39" s="452"/>
      <c r="AA39" s="453"/>
      <c r="AB39" s="435"/>
      <c r="AC39" s="431"/>
      <c r="AD39" s="431"/>
      <c r="AE39" s="431"/>
      <c r="AF39" s="431"/>
      <c r="AG39" s="432"/>
      <c r="AH39" s="442"/>
      <c r="AI39" s="443"/>
      <c r="AJ39" s="443"/>
      <c r="AK39" s="443"/>
      <c r="AL39" s="443"/>
      <c r="AM39" s="444"/>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3">
      <c r="A40" s="83"/>
      <c r="B40" s="384"/>
      <c r="C40" s="384"/>
      <c r="D40" s="385"/>
      <c r="E40" s="425"/>
      <c r="F40" s="426"/>
      <c r="G40" s="426"/>
      <c r="H40" s="426"/>
      <c r="I40" s="427"/>
      <c r="J40" s="462" t="str">
        <f>IF(AND('Mapa final'!$J$23="Muy Baja",'Mapa final'!$N$23="Leve"),CONCATENATE("R",'Mapa final'!$A$23),"")</f>
        <v/>
      </c>
      <c r="K40" s="460"/>
      <c r="L40" s="460" t="str">
        <f ca="1">IF(AND('Mapa final'!$J$29="Muy Baja",'Mapa final'!$N$29="Leve"),CONCATENATE("R",'Mapa final'!$A$29),"")</f>
        <v/>
      </c>
      <c r="M40" s="460"/>
      <c r="N40" s="460" t="str">
        <f ca="1">IF(AND('Mapa final'!$J$35="Muy Baja",'Mapa final'!$N$35="Leve"),CONCATENATE("R",'Mapa final'!$A$35),"")</f>
        <v/>
      </c>
      <c r="O40" s="461"/>
      <c r="P40" s="462" t="str">
        <f>IF(AND('Mapa final'!$J$23="Muy Baja",'Mapa final'!$N$23="Menor"),CONCATENATE("R",'Mapa final'!$A$23),"")</f>
        <v/>
      </c>
      <c r="Q40" s="460"/>
      <c r="R40" s="460" t="str">
        <f ca="1">IF(AND('Mapa final'!$J$29="Muy Baja",'Mapa final'!$N$29="Menor"),CONCATENATE("R",'Mapa final'!$A$29),"")</f>
        <v/>
      </c>
      <c r="S40" s="460"/>
      <c r="T40" s="460" t="str">
        <f ca="1">IF(AND('Mapa final'!$J$35="Muy Baja",'Mapa final'!$N$35="Menor"),CONCATENATE("R",'Mapa final'!$A$35),"")</f>
        <v/>
      </c>
      <c r="U40" s="461"/>
      <c r="V40" s="451" t="str">
        <f>IF(AND('Mapa final'!$J$23="Muy Baja",'Mapa final'!$N$23="Moderado"),CONCATENATE("R",'Mapa final'!$A$23),"")</f>
        <v/>
      </c>
      <c r="W40" s="452"/>
      <c r="X40" s="452" t="str">
        <f ca="1">IF(AND('Mapa final'!$J$29="Muy Baja",'Mapa final'!$N$29="Moderado"),CONCATENATE("R",'Mapa final'!$A$29),"")</f>
        <v/>
      </c>
      <c r="Y40" s="452"/>
      <c r="Z40" s="452" t="str">
        <f ca="1">IF(AND('Mapa final'!$J$35="Muy Baja",'Mapa final'!$N$35="Moderado"),CONCATENATE("R",'Mapa final'!$A$35),"")</f>
        <v/>
      </c>
      <c r="AA40" s="453"/>
      <c r="AB40" s="435" t="str">
        <f>IF(AND('Mapa final'!$J$23="Muy Baja",'Mapa final'!$N$23="Mayor"),CONCATENATE("R",'Mapa final'!$A$23),"")</f>
        <v/>
      </c>
      <c r="AC40" s="431"/>
      <c r="AD40" s="431" t="str">
        <f ca="1">IF(AND('Mapa final'!$J$29="Muy Baja",'Mapa final'!$N$29="Mayor"),CONCATENATE("R",'Mapa final'!$A$29),"")</f>
        <v/>
      </c>
      <c r="AE40" s="431"/>
      <c r="AF40" s="431" t="str">
        <f ca="1">IF(AND('Mapa final'!$J$35="Muy Baja",'Mapa final'!$N$35="Mayor"),CONCATENATE("R",'Mapa final'!$A$35),"")</f>
        <v/>
      </c>
      <c r="AG40" s="432"/>
      <c r="AH40" s="442" t="str">
        <f>IF(AND('Mapa final'!$J$23="Muy Baja",'Mapa final'!$N$23="Catastrófico"),CONCATENATE("R",'Mapa final'!$A$23),"")</f>
        <v/>
      </c>
      <c r="AI40" s="443"/>
      <c r="AJ40" s="443" t="str">
        <f ca="1">IF(AND('Mapa final'!$J$29="Muy Baja",'Mapa final'!$N$29="Catastrófico"),CONCATENATE("R",'Mapa final'!$A$29),"")</f>
        <v/>
      </c>
      <c r="AK40" s="443"/>
      <c r="AL40" s="443" t="str">
        <f ca="1">IF(AND('Mapa final'!$J$35="Muy Baja",'Mapa final'!$N$35="Catastrófico"),CONCATENATE("R",'Mapa final'!$A$35),"")</f>
        <v/>
      </c>
      <c r="AM40" s="444"/>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3">
      <c r="A41" s="83"/>
      <c r="B41" s="384"/>
      <c r="C41" s="384"/>
      <c r="D41" s="385"/>
      <c r="E41" s="425"/>
      <c r="F41" s="426"/>
      <c r="G41" s="426"/>
      <c r="H41" s="426"/>
      <c r="I41" s="427"/>
      <c r="J41" s="462"/>
      <c r="K41" s="460"/>
      <c r="L41" s="460"/>
      <c r="M41" s="460"/>
      <c r="N41" s="460"/>
      <c r="O41" s="461"/>
      <c r="P41" s="462"/>
      <c r="Q41" s="460"/>
      <c r="R41" s="460"/>
      <c r="S41" s="460"/>
      <c r="T41" s="460"/>
      <c r="U41" s="461"/>
      <c r="V41" s="451"/>
      <c r="W41" s="452"/>
      <c r="X41" s="452"/>
      <c r="Y41" s="452"/>
      <c r="Z41" s="452"/>
      <c r="AA41" s="453"/>
      <c r="AB41" s="435"/>
      <c r="AC41" s="431"/>
      <c r="AD41" s="431"/>
      <c r="AE41" s="431"/>
      <c r="AF41" s="431"/>
      <c r="AG41" s="432"/>
      <c r="AH41" s="442"/>
      <c r="AI41" s="443"/>
      <c r="AJ41" s="443"/>
      <c r="AK41" s="443"/>
      <c r="AL41" s="443"/>
      <c r="AM41" s="444"/>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3">
      <c r="A42" s="83"/>
      <c r="B42" s="384"/>
      <c r="C42" s="384"/>
      <c r="D42" s="385"/>
      <c r="E42" s="425"/>
      <c r="F42" s="426"/>
      <c r="G42" s="426"/>
      <c r="H42" s="426"/>
      <c r="I42" s="427"/>
      <c r="J42" s="462" t="str">
        <f ca="1">IF(AND('Mapa final'!$J$41="Muy Baja",'Mapa final'!$N$41="Leve"),CONCATENATE("R",'Mapa final'!$A$41),"")</f>
        <v/>
      </c>
      <c r="K42" s="460"/>
      <c r="L42" s="460" t="str">
        <f ca="1">IF(AND('Mapa final'!$J$47="Muy Baja",'Mapa final'!$N$47="Leve"),CONCATENATE("R",'Mapa final'!$A$47),"")</f>
        <v/>
      </c>
      <c r="M42" s="460"/>
      <c r="N42" s="460" t="str">
        <f ca="1">IF(AND('Mapa final'!$J$53="Muy Baja",'Mapa final'!$N$53="Leve"),CONCATENATE("R",'Mapa final'!$A$53),"")</f>
        <v/>
      </c>
      <c r="O42" s="461"/>
      <c r="P42" s="462" t="str">
        <f ca="1">IF(AND('Mapa final'!$J$41="Muy Baja",'Mapa final'!$N$41="Menor"),CONCATENATE("R",'Mapa final'!$A$41),"")</f>
        <v/>
      </c>
      <c r="Q42" s="460"/>
      <c r="R42" s="460" t="str">
        <f ca="1">IF(AND('Mapa final'!$J$47="Muy Baja",'Mapa final'!$N$47="Menor"),CONCATENATE("R",'Mapa final'!$A$47),"")</f>
        <v/>
      </c>
      <c r="S42" s="460"/>
      <c r="T42" s="460" t="str">
        <f ca="1">IF(AND('Mapa final'!$J$53="Muy Baja",'Mapa final'!$N$53="Menor"),CONCATENATE("R",'Mapa final'!$A$53),"")</f>
        <v/>
      </c>
      <c r="U42" s="461"/>
      <c r="V42" s="451" t="str">
        <f ca="1">IF(AND('Mapa final'!$J$41="Muy Baja",'Mapa final'!$N$41="Moderado"),CONCATENATE("R",'Mapa final'!$A$41),"")</f>
        <v/>
      </c>
      <c r="W42" s="452"/>
      <c r="X42" s="452" t="str">
        <f ca="1">IF(AND('Mapa final'!$J$47="Muy Baja",'Mapa final'!$N$47="Moderado"),CONCATENATE("R",'Mapa final'!$A$47),"")</f>
        <v/>
      </c>
      <c r="Y42" s="452"/>
      <c r="Z42" s="452" t="str">
        <f ca="1">IF(AND('Mapa final'!$J$53="Muy Baja",'Mapa final'!$N$53="Moderado"),CONCATENATE("R",'Mapa final'!$A$53),"")</f>
        <v/>
      </c>
      <c r="AA42" s="453"/>
      <c r="AB42" s="435" t="str">
        <f ca="1">IF(AND('Mapa final'!$J$41="Muy Baja",'Mapa final'!$N$41="Mayor"),CONCATENATE("R",'Mapa final'!$A$41),"")</f>
        <v/>
      </c>
      <c r="AC42" s="431"/>
      <c r="AD42" s="431" t="str">
        <f ca="1">IF(AND('Mapa final'!$J$47="Muy Baja",'Mapa final'!$N$47="Mayor"),CONCATENATE("R",'Mapa final'!$A$47),"")</f>
        <v/>
      </c>
      <c r="AE42" s="431"/>
      <c r="AF42" s="431" t="str">
        <f ca="1">IF(AND('Mapa final'!$J$53="Muy Baja",'Mapa final'!$N$53="Mayor"),CONCATENATE("R",'Mapa final'!$A$53),"")</f>
        <v/>
      </c>
      <c r="AG42" s="432"/>
      <c r="AH42" s="442" t="str">
        <f ca="1">IF(AND('Mapa final'!$J$41="Muy Baja",'Mapa final'!$N$41="Catastrófico"),CONCATENATE("R",'Mapa final'!$A$41),"")</f>
        <v/>
      </c>
      <c r="AI42" s="443"/>
      <c r="AJ42" s="443" t="str">
        <f ca="1">IF(AND('Mapa final'!$J$47="Muy Baja",'Mapa final'!$N$47="Catastrófico"),CONCATENATE("R",'Mapa final'!$A$47),"")</f>
        <v/>
      </c>
      <c r="AK42" s="443"/>
      <c r="AL42" s="443" t="str">
        <f ca="1">IF(AND('Mapa final'!$J$53="Muy Baja",'Mapa final'!$N$53="Catastrófico"),CONCATENATE("R",'Mapa final'!$A$53),"")</f>
        <v/>
      </c>
      <c r="AM42" s="444"/>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3">
      <c r="A43" s="83"/>
      <c r="B43" s="384"/>
      <c r="C43" s="384"/>
      <c r="D43" s="385"/>
      <c r="E43" s="425"/>
      <c r="F43" s="426"/>
      <c r="G43" s="426"/>
      <c r="H43" s="426"/>
      <c r="I43" s="427"/>
      <c r="J43" s="462"/>
      <c r="K43" s="460"/>
      <c r="L43" s="460"/>
      <c r="M43" s="460"/>
      <c r="N43" s="460"/>
      <c r="O43" s="461"/>
      <c r="P43" s="462"/>
      <c r="Q43" s="460"/>
      <c r="R43" s="460"/>
      <c r="S43" s="460"/>
      <c r="T43" s="460"/>
      <c r="U43" s="461"/>
      <c r="V43" s="451"/>
      <c r="W43" s="452"/>
      <c r="X43" s="452"/>
      <c r="Y43" s="452"/>
      <c r="Z43" s="452"/>
      <c r="AA43" s="453"/>
      <c r="AB43" s="435"/>
      <c r="AC43" s="431"/>
      <c r="AD43" s="431"/>
      <c r="AE43" s="431"/>
      <c r="AF43" s="431"/>
      <c r="AG43" s="432"/>
      <c r="AH43" s="442"/>
      <c r="AI43" s="443"/>
      <c r="AJ43" s="443"/>
      <c r="AK43" s="443"/>
      <c r="AL43" s="443"/>
      <c r="AM43" s="444"/>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3">
      <c r="A44" s="83"/>
      <c r="B44" s="384"/>
      <c r="C44" s="384"/>
      <c r="D44" s="385"/>
      <c r="E44" s="425"/>
      <c r="F44" s="426"/>
      <c r="G44" s="426"/>
      <c r="H44" s="426"/>
      <c r="I44" s="427"/>
      <c r="J44" s="462" t="str">
        <f ca="1">IF(AND('Mapa final'!$J$59="Muy Baja",'Mapa final'!$N$59="Leve"),CONCATENATE("R",'Mapa final'!$A$59),"")</f>
        <v/>
      </c>
      <c r="K44" s="460"/>
      <c r="L44" s="460" t="str">
        <f>IF(AND('Mapa final'!$J$65="Muy Baja",'Mapa final'!$N$65="Leve"),CONCATENATE("R",'Mapa final'!$A$65),"")</f>
        <v/>
      </c>
      <c r="M44" s="460"/>
      <c r="N44" s="460" t="str">
        <f>IF(AND('Mapa final'!$J$71="Muy Baja",'Mapa final'!$N$71="Leve"),CONCATENATE("R",'Mapa final'!$A$71),"")</f>
        <v/>
      </c>
      <c r="O44" s="461"/>
      <c r="P44" s="462" t="str">
        <f ca="1">IF(AND('Mapa final'!$J$59="Muy Baja",'Mapa final'!$N$59="Menor"),CONCATENATE("R",'Mapa final'!$A$59),"")</f>
        <v/>
      </c>
      <c r="Q44" s="460"/>
      <c r="R44" s="460" t="str">
        <f>IF(AND('Mapa final'!$J$65="Muy Baja",'Mapa final'!$N$65="Menor"),CONCATENATE("R",'Mapa final'!$A$65),"")</f>
        <v/>
      </c>
      <c r="S44" s="460"/>
      <c r="T44" s="460" t="str">
        <f>IF(AND('Mapa final'!$J$71="Muy Baja",'Mapa final'!$N$71="Menor"),CONCATENATE("R",'Mapa final'!$A$71),"")</f>
        <v/>
      </c>
      <c r="U44" s="461"/>
      <c r="V44" s="451" t="str">
        <f ca="1">IF(AND('Mapa final'!$J$59="Muy Baja",'Mapa final'!$N$59="Moderado"),CONCATENATE("R",'Mapa final'!$A$59),"")</f>
        <v/>
      </c>
      <c r="W44" s="452"/>
      <c r="X44" s="452" t="str">
        <f>IF(AND('Mapa final'!$J$65="Muy Baja",'Mapa final'!$N$65="Moderado"),CONCATENATE("R",'Mapa final'!$A$65),"")</f>
        <v/>
      </c>
      <c r="Y44" s="452"/>
      <c r="Z44" s="452" t="str">
        <f>IF(AND('Mapa final'!$J$71="Muy Baja",'Mapa final'!$N$71="Moderado"),CONCATENATE("R",'Mapa final'!$A$71),"")</f>
        <v/>
      </c>
      <c r="AA44" s="453"/>
      <c r="AB44" s="435" t="str">
        <f ca="1">IF(AND('Mapa final'!$J$59="Muy Baja",'Mapa final'!$N$59="Mayor"),CONCATENATE("R",'Mapa final'!$A$59),"")</f>
        <v/>
      </c>
      <c r="AC44" s="431"/>
      <c r="AD44" s="431" t="str">
        <f>IF(AND('Mapa final'!$J$65="Muy Baja",'Mapa final'!$N$65="Mayor"),CONCATENATE("R",'Mapa final'!$A$65),"")</f>
        <v/>
      </c>
      <c r="AE44" s="431"/>
      <c r="AF44" s="431" t="str">
        <f>IF(AND('Mapa final'!$J$71="Muy Baja",'Mapa final'!$N$71="Mayor"),CONCATENATE("R",'Mapa final'!$A$71),"")</f>
        <v/>
      </c>
      <c r="AG44" s="432"/>
      <c r="AH44" s="442" t="str">
        <f ca="1">IF(AND('Mapa final'!$J$59="Muy Baja",'Mapa final'!$N$59="Catastrófico"),CONCATENATE("R",'Mapa final'!$A$59),"")</f>
        <v/>
      </c>
      <c r="AI44" s="443"/>
      <c r="AJ44" s="443" t="str">
        <f>IF(AND('Mapa final'!$J$65="Muy Baja",'Mapa final'!$N$65="Catastrófico"),CONCATENATE("R",'Mapa final'!$A$65),"")</f>
        <v/>
      </c>
      <c r="AK44" s="443"/>
      <c r="AL44" s="443" t="str">
        <f>IF(AND('Mapa final'!$J$71="Muy Baja",'Mapa final'!$N$71="Catastrófico"),CONCATENATE("R",'Mapa final'!$A$71),"")</f>
        <v/>
      </c>
      <c r="AM44" s="444"/>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 thickBot="1" x14ac:dyDescent="0.35">
      <c r="A45" s="83"/>
      <c r="B45" s="384"/>
      <c r="C45" s="384"/>
      <c r="D45" s="385"/>
      <c r="E45" s="428"/>
      <c r="F45" s="429"/>
      <c r="G45" s="429"/>
      <c r="H45" s="429"/>
      <c r="I45" s="430"/>
      <c r="J45" s="463"/>
      <c r="K45" s="464"/>
      <c r="L45" s="464"/>
      <c r="M45" s="464"/>
      <c r="N45" s="464"/>
      <c r="O45" s="465"/>
      <c r="P45" s="463"/>
      <c r="Q45" s="464"/>
      <c r="R45" s="464"/>
      <c r="S45" s="464"/>
      <c r="T45" s="464"/>
      <c r="U45" s="465"/>
      <c r="V45" s="454"/>
      <c r="W45" s="455"/>
      <c r="X45" s="455"/>
      <c r="Y45" s="455"/>
      <c r="Z45" s="455"/>
      <c r="AA45" s="456"/>
      <c r="AB45" s="439"/>
      <c r="AC45" s="440"/>
      <c r="AD45" s="440"/>
      <c r="AE45" s="440"/>
      <c r="AF45" s="440"/>
      <c r="AG45" s="441"/>
      <c r="AH45" s="445"/>
      <c r="AI45" s="446"/>
      <c r="AJ45" s="446"/>
      <c r="AK45" s="446"/>
      <c r="AL45" s="446"/>
      <c r="AM45" s="447"/>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3">
      <c r="A46" s="83"/>
      <c r="B46" s="83"/>
      <c r="C46" s="83"/>
      <c r="D46" s="83"/>
      <c r="E46" s="83"/>
      <c r="F46" s="83"/>
      <c r="G46" s="83"/>
      <c r="H46" s="83"/>
      <c r="I46" s="83"/>
      <c r="J46" s="422" t="s">
        <v>112</v>
      </c>
      <c r="K46" s="423"/>
      <c r="L46" s="423"/>
      <c r="M46" s="423"/>
      <c r="N46" s="423"/>
      <c r="O46" s="424"/>
      <c r="P46" s="422" t="s">
        <v>111</v>
      </c>
      <c r="Q46" s="423"/>
      <c r="R46" s="423"/>
      <c r="S46" s="423"/>
      <c r="T46" s="423"/>
      <c r="U46" s="424"/>
      <c r="V46" s="422" t="s">
        <v>110</v>
      </c>
      <c r="W46" s="423"/>
      <c r="X46" s="423"/>
      <c r="Y46" s="423"/>
      <c r="Z46" s="423"/>
      <c r="AA46" s="424"/>
      <c r="AB46" s="422" t="s">
        <v>109</v>
      </c>
      <c r="AC46" s="438"/>
      <c r="AD46" s="423"/>
      <c r="AE46" s="423"/>
      <c r="AF46" s="423"/>
      <c r="AG46" s="424"/>
      <c r="AH46" s="422" t="s">
        <v>108</v>
      </c>
      <c r="AI46" s="423"/>
      <c r="AJ46" s="423"/>
      <c r="AK46" s="423"/>
      <c r="AL46" s="423"/>
      <c r="AM46" s="42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3">
      <c r="A47" s="83"/>
      <c r="B47" s="83"/>
      <c r="C47" s="83"/>
      <c r="D47" s="83"/>
      <c r="E47" s="83"/>
      <c r="F47" s="83"/>
      <c r="G47" s="83"/>
      <c r="H47" s="83"/>
      <c r="I47" s="83"/>
      <c r="J47" s="425"/>
      <c r="K47" s="426"/>
      <c r="L47" s="426"/>
      <c r="M47" s="426"/>
      <c r="N47" s="426"/>
      <c r="O47" s="427"/>
      <c r="P47" s="425"/>
      <c r="Q47" s="426"/>
      <c r="R47" s="426"/>
      <c r="S47" s="426"/>
      <c r="T47" s="426"/>
      <c r="U47" s="427"/>
      <c r="V47" s="425"/>
      <c r="W47" s="426"/>
      <c r="X47" s="426"/>
      <c r="Y47" s="426"/>
      <c r="Z47" s="426"/>
      <c r="AA47" s="427"/>
      <c r="AB47" s="425"/>
      <c r="AC47" s="426"/>
      <c r="AD47" s="426"/>
      <c r="AE47" s="426"/>
      <c r="AF47" s="426"/>
      <c r="AG47" s="427"/>
      <c r="AH47" s="425"/>
      <c r="AI47" s="426"/>
      <c r="AJ47" s="426"/>
      <c r="AK47" s="426"/>
      <c r="AL47" s="426"/>
      <c r="AM47" s="42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3">
      <c r="A48" s="83"/>
      <c r="B48" s="83"/>
      <c r="C48" s="83"/>
      <c r="D48" s="83"/>
      <c r="E48" s="83"/>
      <c r="F48" s="83"/>
      <c r="G48" s="83"/>
      <c r="H48" s="83"/>
      <c r="I48" s="83"/>
      <c r="J48" s="425"/>
      <c r="K48" s="426"/>
      <c r="L48" s="426"/>
      <c r="M48" s="426"/>
      <c r="N48" s="426"/>
      <c r="O48" s="427"/>
      <c r="P48" s="425"/>
      <c r="Q48" s="426"/>
      <c r="R48" s="426"/>
      <c r="S48" s="426"/>
      <c r="T48" s="426"/>
      <c r="U48" s="427"/>
      <c r="V48" s="425"/>
      <c r="W48" s="426"/>
      <c r="X48" s="426"/>
      <c r="Y48" s="426"/>
      <c r="Z48" s="426"/>
      <c r="AA48" s="427"/>
      <c r="AB48" s="425"/>
      <c r="AC48" s="426"/>
      <c r="AD48" s="426"/>
      <c r="AE48" s="426"/>
      <c r="AF48" s="426"/>
      <c r="AG48" s="427"/>
      <c r="AH48" s="425"/>
      <c r="AI48" s="426"/>
      <c r="AJ48" s="426"/>
      <c r="AK48" s="426"/>
      <c r="AL48" s="426"/>
      <c r="AM48" s="42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3">
      <c r="A49" s="83"/>
      <c r="B49" s="83"/>
      <c r="C49" s="83"/>
      <c r="D49" s="83"/>
      <c r="E49" s="83"/>
      <c r="F49" s="83"/>
      <c r="G49" s="83"/>
      <c r="H49" s="83"/>
      <c r="I49" s="83"/>
      <c r="J49" s="425"/>
      <c r="K49" s="426"/>
      <c r="L49" s="426"/>
      <c r="M49" s="426"/>
      <c r="N49" s="426"/>
      <c r="O49" s="427"/>
      <c r="P49" s="425"/>
      <c r="Q49" s="426"/>
      <c r="R49" s="426"/>
      <c r="S49" s="426"/>
      <c r="T49" s="426"/>
      <c r="U49" s="427"/>
      <c r="V49" s="425"/>
      <c r="W49" s="426"/>
      <c r="X49" s="426"/>
      <c r="Y49" s="426"/>
      <c r="Z49" s="426"/>
      <c r="AA49" s="427"/>
      <c r="AB49" s="425"/>
      <c r="AC49" s="426"/>
      <c r="AD49" s="426"/>
      <c r="AE49" s="426"/>
      <c r="AF49" s="426"/>
      <c r="AG49" s="427"/>
      <c r="AH49" s="425"/>
      <c r="AI49" s="426"/>
      <c r="AJ49" s="426"/>
      <c r="AK49" s="426"/>
      <c r="AL49" s="426"/>
      <c r="AM49" s="42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3">
      <c r="A50" s="83"/>
      <c r="B50" s="83"/>
      <c r="C50" s="83"/>
      <c r="D50" s="83"/>
      <c r="E50" s="83"/>
      <c r="F50" s="83"/>
      <c r="G50" s="83"/>
      <c r="H50" s="83"/>
      <c r="I50" s="83"/>
      <c r="J50" s="425"/>
      <c r="K50" s="426"/>
      <c r="L50" s="426"/>
      <c r="M50" s="426"/>
      <c r="N50" s="426"/>
      <c r="O50" s="427"/>
      <c r="P50" s="425"/>
      <c r="Q50" s="426"/>
      <c r="R50" s="426"/>
      <c r="S50" s="426"/>
      <c r="T50" s="426"/>
      <c r="U50" s="427"/>
      <c r="V50" s="425"/>
      <c r="W50" s="426"/>
      <c r="X50" s="426"/>
      <c r="Y50" s="426"/>
      <c r="Z50" s="426"/>
      <c r="AA50" s="427"/>
      <c r="AB50" s="425"/>
      <c r="AC50" s="426"/>
      <c r="AD50" s="426"/>
      <c r="AE50" s="426"/>
      <c r="AF50" s="426"/>
      <c r="AG50" s="427"/>
      <c r="AH50" s="425"/>
      <c r="AI50" s="426"/>
      <c r="AJ50" s="426"/>
      <c r="AK50" s="426"/>
      <c r="AL50" s="426"/>
      <c r="AM50" s="42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thickBot="1" x14ac:dyDescent="0.35">
      <c r="A51" s="83"/>
      <c r="B51" s="83"/>
      <c r="C51" s="83"/>
      <c r="D51" s="83"/>
      <c r="E51" s="83"/>
      <c r="F51" s="83"/>
      <c r="G51" s="83"/>
      <c r="H51" s="83"/>
      <c r="I51" s="83"/>
      <c r="J51" s="428"/>
      <c r="K51" s="429"/>
      <c r="L51" s="429"/>
      <c r="M51" s="429"/>
      <c r="N51" s="429"/>
      <c r="O51" s="430"/>
      <c r="P51" s="428"/>
      <c r="Q51" s="429"/>
      <c r="R51" s="429"/>
      <c r="S51" s="429"/>
      <c r="T51" s="429"/>
      <c r="U51" s="430"/>
      <c r="V51" s="428"/>
      <c r="W51" s="429"/>
      <c r="X51" s="429"/>
      <c r="Y51" s="429"/>
      <c r="Z51" s="429"/>
      <c r="AA51" s="430"/>
      <c r="AB51" s="428"/>
      <c r="AC51" s="429"/>
      <c r="AD51" s="429"/>
      <c r="AE51" s="429"/>
      <c r="AF51" s="429"/>
      <c r="AG51" s="430"/>
      <c r="AH51" s="428"/>
      <c r="AI51" s="429"/>
      <c r="AJ51" s="429"/>
      <c r="AK51" s="429"/>
      <c r="AL51" s="429"/>
      <c r="AM51" s="43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3">
      <c r="B137" s="83"/>
      <c r="C137" s="83"/>
      <c r="D137" s="83"/>
      <c r="E137" s="83"/>
      <c r="F137" s="83"/>
      <c r="G137" s="83"/>
      <c r="H137" s="83"/>
      <c r="I137" s="83"/>
    </row>
    <row r="138" spans="2:63" x14ac:dyDescent="0.3">
      <c r="B138" s="83"/>
      <c r="C138" s="83"/>
      <c r="D138" s="83"/>
      <c r="E138" s="83"/>
      <c r="F138" s="83"/>
      <c r="G138" s="83"/>
      <c r="H138" s="83"/>
      <c r="I138" s="83"/>
    </row>
    <row r="139" spans="2:63" x14ac:dyDescent="0.3">
      <c r="B139" s="83"/>
      <c r="C139" s="83"/>
      <c r="D139" s="83"/>
      <c r="E139" s="83"/>
      <c r="F139" s="83"/>
      <c r="G139" s="83"/>
      <c r="H139" s="83"/>
      <c r="I139" s="83"/>
    </row>
    <row r="140" spans="2:63" x14ac:dyDescent="0.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topLeftCell="A4" zoomScale="50" zoomScaleNormal="50" workbookViewId="0">
      <selection activeCell="X46" sqref="X4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3">
      <c r="A2" s="83"/>
      <c r="B2" s="495" t="s">
        <v>160</v>
      </c>
      <c r="C2" s="496"/>
      <c r="D2" s="496"/>
      <c r="E2" s="496"/>
      <c r="F2" s="496"/>
      <c r="G2" s="496"/>
      <c r="H2" s="496"/>
      <c r="I2" s="496"/>
      <c r="J2" s="437" t="s">
        <v>2</v>
      </c>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3">
      <c r="A3" s="83"/>
      <c r="B3" s="496"/>
      <c r="C3" s="496"/>
      <c r="D3" s="496"/>
      <c r="E3" s="496"/>
      <c r="F3" s="496"/>
      <c r="G3" s="496"/>
      <c r="H3" s="496"/>
      <c r="I3" s="496"/>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3">
      <c r="A4" s="83"/>
      <c r="B4" s="496"/>
      <c r="C4" s="496"/>
      <c r="D4" s="496"/>
      <c r="E4" s="496"/>
      <c r="F4" s="496"/>
      <c r="G4" s="496"/>
      <c r="H4" s="496"/>
      <c r="I4" s="496"/>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 thickBot="1"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3">
      <c r="A6" s="83"/>
      <c r="B6" s="384" t="s">
        <v>4</v>
      </c>
      <c r="C6" s="384"/>
      <c r="D6" s="385"/>
      <c r="E6" s="479" t="s">
        <v>116</v>
      </c>
      <c r="F6" s="480"/>
      <c r="G6" s="480"/>
      <c r="H6" s="480"/>
      <c r="I6" s="497"/>
      <c r="J6" s="46" t="str">
        <f ca="1">IF(AND('Mapa final'!$AA$9="Muy Alta",'Mapa final'!$AC$9="Leve"),CONCATENATE("R1C",'Mapa final'!$Q$9),"")</f>
        <v/>
      </c>
      <c r="K6" s="47" t="str">
        <f ca="1">IF(AND('Mapa final'!$AA$10="Muy Alta",'Mapa final'!$AC$10="Leve"),CONCATENATE("R1C",'Mapa final'!$Q$10),"")</f>
        <v/>
      </c>
      <c r="L6" s="47" t="str">
        <f>IF(AND('Mapa final'!$AA$11="Muy Alta",'Mapa final'!$AC$11="Leve"),CONCATENATE("R1C",'Mapa final'!$Q$11),"")</f>
        <v/>
      </c>
      <c r="M6" s="47" t="str">
        <f>IF(AND('Mapa final'!$AA$12="Muy Alta",'Mapa final'!$AC$12="Leve"),CONCATENATE("R1C",'Mapa final'!$Q$12),"")</f>
        <v/>
      </c>
      <c r="N6" s="47" t="e">
        <f>IF(AND('Mapa final'!#REF!="Muy Alta",'Mapa final'!#REF!="Leve"),CONCATENATE("R1C",'Mapa final'!#REF!),"")</f>
        <v>#REF!</v>
      </c>
      <c r="O6" s="48" t="e">
        <f>IF(AND('Mapa final'!#REF!="Muy Alta",'Mapa final'!#REF!="Leve"),CONCATENATE("R1C",'Mapa final'!#REF!),"")</f>
        <v>#REF!</v>
      </c>
      <c r="P6" s="46" t="str">
        <f ca="1">IF(AND('Mapa final'!$AA$9="Muy Alta",'Mapa final'!$AC$9="Menor"),CONCATENATE("R1C",'Mapa final'!$Q$9),"")</f>
        <v/>
      </c>
      <c r="Q6" s="47" t="str">
        <f ca="1">IF(AND('Mapa final'!$AA$10="Muy Alta",'Mapa final'!$AC$10="Menor"),CONCATENATE("R1C",'Mapa final'!$Q$10),"")</f>
        <v/>
      </c>
      <c r="R6" s="47" t="str">
        <f>IF(AND('Mapa final'!$AA$11="Muy Alta",'Mapa final'!$AC$11="Menor"),CONCATENATE("R1C",'Mapa final'!$Q$11),"")</f>
        <v/>
      </c>
      <c r="S6" s="47" t="str">
        <f>IF(AND('Mapa final'!$AA$12="Muy Alta",'Mapa final'!$AC$12="Menor"),CONCATENATE("R1C",'Mapa final'!$Q$12),"")</f>
        <v/>
      </c>
      <c r="T6" s="47" t="e">
        <f>IF(AND('Mapa final'!#REF!="Muy Alta",'Mapa final'!#REF!="Menor"),CONCATENATE("R1C",'Mapa final'!#REF!),"")</f>
        <v>#REF!</v>
      </c>
      <c r="U6" s="48" t="e">
        <f>IF(AND('Mapa final'!#REF!="Muy Alta",'Mapa final'!#REF!="Menor"),CONCATENATE("R1C",'Mapa final'!#REF!),"")</f>
        <v>#REF!</v>
      </c>
      <c r="V6" s="46" t="str">
        <f ca="1">IF(AND('Mapa final'!$AA$9="Muy Alta",'Mapa final'!$AC$9="Moderado"),CONCATENATE("R1C",'Mapa final'!$Q$9),"")</f>
        <v/>
      </c>
      <c r="W6" s="47" t="str">
        <f ca="1">IF(AND('Mapa final'!$AA$10="Muy Alta",'Mapa final'!$AC$10="Moderado"),CONCATENATE("R1C",'Mapa final'!$Q$10),"")</f>
        <v/>
      </c>
      <c r="X6" s="47" t="str">
        <f>IF(AND('Mapa final'!$AA$11="Muy Alta",'Mapa final'!$AC$11="Moderado"),CONCATENATE("R1C",'Mapa final'!$Q$11),"")</f>
        <v/>
      </c>
      <c r="Y6" s="47" t="str">
        <f>IF(AND('Mapa final'!$AA$12="Muy Alta",'Mapa final'!$AC$12="Moderado"),CONCATENATE("R1C",'Mapa final'!$Q$12),"")</f>
        <v/>
      </c>
      <c r="Z6" s="47" t="e">
        <f>IF(AND('Mapa final'!#REF!="Muy Alta",'Mapa final'!#REF!="Moderado"),CONCATENATE("R1C",'Mapa final'!#REF!),"")</f>
        <v>#REF!</v>
      </c>
      <c r="AA6" s="48" t="e">
        <f>IF(AND('Mapa final'!#REF!="Muy Alta",'Mapa final'!#REF!="Moderado"),CONCATENATE("R1C",'Mapa final'!#REF!),"")</f>
        <v>#REF!</v>
      </c>
      <c r="AB6" s="46" t="str">
        <f ca="1">IF(AND('Mapa final'!$AA$9="Muy Alta",'Mapa final'!$AC$9="Mayor"),CONCATENATE("R1C",'Mapa final'!$Q$9),"")</f>
        <v/>
      </c>
      <c r="AC6" s="47" t="str">
        <f ca="1">IF(AND('Mapa final'!$AA$10="Muy Alta",'Mapa final'!$AC$10="Mayor"),CONCATENATE("R1C",'Mapa final'!$Q$10),"")</f>
        <v/>
      </c>
      <c r="AD6" s="47" t="str">
        <f>IF(AND('Mapa final'!$AA$11="Muy Alta",'Mapa final'!$AC$11="Mayor"),CONCATENATE("R1C",'Mapa final'!$Q$11),"")</f>
        <v/>
      </c>
      <c r="AE6" s="47" t="str">
        <f>IF(AND('Mapa final'!$AA$12="Muy Alta",'Mapa final'!$AC$12="Mayor"),CONCATENATE("R1C",'Mapa final'!$Q$12),"")</f>
        <v/>
      </c>
      <c r="AF6" s="47" t="e">
        <f>IF(AND('Mapa final'!#REF!="Muy Alta",'Mapa final'!#REF!="Mayor"),CONCATENATE("R1C",'Mapa final'!#REF!),"")</f>
        <v>#REF!</v>
      </c>
      <c r="AG6" s="48" t="e">
        <f>IF(AND('Mapa final'!#REF!="Muy Alta",'Mapa final'!#REF!="Mayor"),CONCATENATE("R1C",'Mapa final'!#REF!),"")</f>
        <v>#REF!</v>
      </c>
      <c r="AH6" s="49" t="str">
        <f ca="1">IF(AND('Mapa final'!$AA$9="Muy Alta",'Mapa final'!$AC$9="Catastrófico"),CONCATENATE("R1C",'Mapa final'!$Q$9),"")</f>
        <v/>
      </c>
      <c r="AI6" s="50" t="str">
        <f ca="1">IF(AND('Mapa final'!$AA$10="Muy Alta",'Mapa final'!$AC$10="Catastrófico"),CONCATENATE("R1C",'Mapa final'!$Q$10),"")</f>
        <v/>
      </c>
      <c r="AJ6" s="50" t="str">
        <f>IF(AND('Mapa final'!$AA$11="Muy Alta",'Mapa final'!$AC$11="Catastrófico"),CONCATENATE("R1C",'Mapa final'!$Q$11),"")</f>
        <v/>
      </c>
      <c r="AK6" s="50" t="str">
        <f>IF(AND('Mapa final'!$AA$12="Muy Alta",'Mapa final'!$AC$12="Catastrófico"),CONCATENATE("R1C",'Mapa final'!$Q$12),"")</f>
        <v/>
      </c>
      <c r="AL6" s="50" t="e">
        <f>IF(AND('Mapa final'!#REF!="Muy Alta",'Mapa final'!#REF!="Catastrófico"),CONCATENATE("R1C",'Mapa final'!#REF!),"")</f>
        <v>#REF!</v>
      </c>
      <c r="AM6" s="51" t="e">
        <f>IF(AND('Mapa final'!#REF!="Muy Alta",'Mapa final'!#REF!="Catastrófico"),CONCATENATE("R1C",'Mapa final'!#REF!),"")</f>
        <v>#REF!</v>
      </c>
      <c r="AN6" s="83"/>
      <c r="AO6" s="486" t="s">
        <v>79</v>
      </c>
      <c r="AP6" s="487"/>
      <c r="AQ6" s="487"/>
      <c r="AR6" s="487"/>
      <c r="AS6" s="487"/>
      <c r="AT6" s="4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3">
      <c r="A7" s="83"/>
      <c r="B7" s="384"/>
      <c r="C7" s="384"/>
      <c r="D7" s="385"/>
      <c r="E7" s="483"/>
      <c r="F7" s="482"/>
      <c r="G7" s="482"/>
      <c r="H7" s="482"/>
      <c r="I7" s="498"/>
      <c r="J7" s="52" t="str">
        <f ca="1">IF(AND('Mapa final'!$AA$13="Muy Alta",'Mapa final'!$AC$13="Leve"),CONCATENATE("R2C",'Mapa final'!$Q$13),"")</f>
        <v/>
      </c>
      <c r="K7" s="53" t="e">
        <f>IF(AND('Mapa final'!#REF!="Muy Alta",'Mapa final'!#REF!="Leve"),CONCATENATE("R2C",'Mapa final'!#REF!),"")</f>
        <v>#REF!</v>
      </c>
      <c r="L7" s="53" t="str">
        <f>IF(AND('Mapa final'!$AA$14="Muy Alta",'Mapa final'!$AC$14="Leve"),CONCATENATE("R2C",'Mapa final'!$Q$14),"")</f>
        <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 ca="1">IF(AND('Mapa final'!$AA$13="Muy Alta",'Mapa final'!$AC$13="Menor"),CONCATENATE("R2C",'Mapa final'!$Q$13),"")</f>
        <v/>
      </c>
      <c r="Q7" s="53" t="e">
        <f>IF(AND('Mapa final'!#REF!="Muy Alta",'Mapa final'!#REF!="Menor"),CONCATENATE("R2C",'Mapa final'!#REF!),"")</f>
        <v>#REF!</v>
      </c>
      <c r="R7" s="53" t="str">
        <f>IF(AND('Mapa final'!$AA$14="Muy Alta",'Mapa final'!$AC$14="Menor"),CONCATENATE("R2C",'Mapa final'!$Q$14),"")</f>
        <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 ca="1">IF(AND('Mapa final'!$AA$13="Muy Alta",'Mapa final'!$AC$13="Moderado"),CONCATENATE("R2C",'Mapa final'!$Q$13),"")</f>
        <v/>
      </c>
      <c r="W7" s="53" t="e">
        <f>IF(AND('Mapa final'!#REF!="Muy Alta",'Mapa final'!#REF!="Moderado"),CONCATENATE("R2C",'Mapa final'!#REF!),"")</f>
        <v>#REF!</v>
      </c>
      <c r="X7" s="53" t="str">
        <f>IF(AND('Mapa final'!$AA$14="Muy Alta",'Mapa final'!$AC$14="Moderado"),CONCATENATE("R2C",'Mapa final'!$Q$14),"")</f>
        <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 ca="1">IF(AND('Mapa final'!$AA$13="Muy Alta",'Mapa final'!$AC$13="Mayor"),CONCATENATE("R2C",'Mapa final'!$Q$13),"")</f>
        <v/>
      </c>
      <c r="AC7" s="53" t="e">
        <f>IF(AND('Mapa final'!#REF!="Muy Alta",'Mapa final'!#REF!="Mayor"),CONCATENATE("R2C",'Mapa final'!#REF!),"")</f>
        <v>#REF!</v>
      </c>
      <c r="AD7" s="53" t="str">
        <f>IF(AND('Mapa final'!$AA$14="Muy Alta",'Mapa final'!$AC$14="Mayor"),CONCATENATE("R2C",'Mapa final'!$Q$14),"")</f>
        <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 ca="1">IF(AND('Mapa final'!$AA$13="Muy Alta",'Mapa final'!$AC$13="Catastrófico"),CONCATENATE("R2C",'Mapa final'!$Q$13),"")</f>
        <v/>
      </c>
      <c r="AI7" s="56" t="e">
        <f>IF(AND('Mapa final'!#REF!="Muy Alta",'Mapa final'!#REF!="Catastrófico"),CONCATENATE("R2C",'Mapa final'!#REF!),"")</f>
        <v>#REF!</v>
      </c>
      <c r="AJ7" s="56" t="str">
        <f>IF(AND('Mapa final'!$AA$14="Muy Alta",'Mapa final'!$AC$14="Catastrófico"),CONCATENATE("R2C",'Mapa final'!$Q$14),"")</f>
        <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489"/>
      <c r="AP7" s="490"/>
      <c r="AQ7" s="490"/>
      <c r="AR7" s="490"/>
      <c r="AS7" s="490"/>
      <c r="AT7" s="4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3">
      <c r="A8" s="83"/>
      <c r="B8" s="384"/>
      <c r="C8" s="384"/>
      <c r="D8" s="385"/>
      <c r="E8" s="483"/>
      <c r="F8" s="482"/>
      <c r="G8" s="482"/>
      <c r="H8" s="482"/>
      <c r="I8" s="498"/>
      <c r="J8" s="52" t="str">
        <f>IF(AND('Mapa final'!$AA$17="Muy Alta",'Mapa final'!$AC$17="Leve"),CONCATENATE("R3C",'Mapa final'!$Q$17),"")</f>
        <v/>
      </c>
      <c r="K8" s="53" t="str">
        <f>IF(AND('Mapa final'!$AA$18="Muy Alta",'Mapa final'!$AC$18="Leve"),CONCATENATE("R3C",'Mapa final'!$Q$18),"")</f>
        <v/>
      </c>
      <c r="L8" s="53" t="str">
        <f>IF(AND('Mapa final'!$AA$19="Muy Alta",'Mapa final'!$AC$19="Leve"),CONCATENATE("R3C",'Mapa final'!$Q$19),"")</f>
        <v/>
      </c>
      <c r="M8" s="53" t="str">
        <f>IF(AND('Mapa final'!$AA$20="Muy Alta",'Mapa final'!$AC$20="Leve"),CONCATENATE("R3C",'Mapa final'!$Q$20),"")</f>
        <v/>
      </c>
      <c r="N8" s="53" t="str">
        <f>IF(AND('Mapa final'!$AA$21="Muy Alta",'Mapa final'!$AC$21="Leve"),CONCATENATE("R3C",'Mapa final'!$Q$21),"")</f>
        <v/>
      </c>
      <c r="O8" s="54" t="str">
        <f>IF(AND('Mapa final'!$AA$22="Muy Alta",'Mapa final'!$AC$22="Leve"),CONCATENATE("R3C",'Mapa final'!$Q$22),"")</f>
        <v/>
      </c>
      <c r="P8" s="52" t="str">
        <f>IF(AND('Mapa final'!$AA$17="Muy Alta",'Mapa final'!$AC$17="Menor"),CONCATENATE("R3C",'Mapa final'!$Q$17),"")</f>
        <v/>
      </c>
      <c r="Q8" s="53" t="str">
        <f>IF(AND('Mapa final'!$AA$18="Muy Alta",'Mapa final'!$AC$18="Menor"),CONCATENATE("R3C",'Mapa final'!$Q$18),"")</f>
        <v/>
      </c>
      <c r="R8" s="53" t="str">
        <f>IF(AND('Mapa final'!$AA$19="Muy Alta",'Mapa final'!$AC$19="Menor"),CONCATENATE("R3C",'Mapa final'!$Q$19),"")</f>
        <v/>
      </c>
      <c r="S8" s="53" t="str">
        <f>IF(AND('Mapa final'!$AA$20="Muy Alta",'Mapa final'!$AC$20="Menor"),CONCATENATE("R3C",'Mapa final'!$Q$20),"")</f>
        <v/>
      </c>
      <c r="T8" s="53" t="str">
        <f>IF(AND('Mapa final'!$AA$21="Muy Alta",'Mapa final'!$AC$21="Menor"),CONCATENATE("R3C",'Mapa final'!$Q$21),"")</f>
        <v/>
      </c>
      <c r="U8" s="54" t="str">
        <f>IF(AND('Mapa final'!$AA$22="Muy Alta",'Mapa final'!$AC$22="Menor"),CONCATENATE("R3C",'Mapa final'!$Q$22),"")</f>
        <v/>
      </c>
      <c r="V8" s="52" t="str">
        <f>IF(AND('Mapa final'!$AA$17="Muy Alta",'Mapa final'!$AC$17="Moderado"),CONCATENATE("R3C",'Mapa final'!$Q$17),"")</f>
        <v/>
      </c>
      <c r="W8" s="53" t="str">
        <f>IF(AND('Mapa final'!$AA$18="Muy Alta",'Mapa final'!$AC$18="Moderado"),CONCATENATE("R3C",'Mapa final'!$Q$18),"")</f>
        <v/>
      </c>
      <c r="X8" s="53" t="str">
        <f>IF(AND('Mapa final'!$AA$19="Muy Alta",'Mapa final'!$AC$19="Moderado"),CONCATENATE("R3C",'Mapa final'!$Q$19),"")</f>
        <v/>
      </c>
      <c r="Y8" s="53" t="str">
        <f>IF(AND('Mapa final'!$AA$20="Muy Alta",'Mapa final'!$AC$20="Moderado"),CONCATENATE("R3C",'Mapa final'!$Q$20),"")</f>
        <v/>
      </c>
      <c r="Z8" s="53" t="str">
        <f>IF(AND('Mapa final'!$AA$21="Muy Alta",'Mapa final'!$AC$21="Moderado"),CONCATENATE("R3C",'Mapa final'!$Q$21),"")</f>
        <v/>
      </c>
      <c r="AA8" s="54" t="str">
        <f>IF(AND('Mapa final'!$AA$22="Muy Alta",'Mapa final'!$AC$22="Moderado"),CONCATENATE("R3C",'Mapa final'!$Q$22),"")</f>
        <v/>
      </c>
      <c r="AB8" s="52" t="str">
        <f>IF(AND('Mapa final'!$AA$17="Muy Alta",'Mapa final'!$AC$17="Mayor"),CONCATENATE("R3C",'Mapa final'!$Q$17),"")</f>
        <v/>
      </c>
      <c r="AC8" s="53" t="str">
        <f>IF(AND('Mapa final'!$AA$18="Muy Alta",'Mapa final'!$AC$18="Mayor"),CONCATENATE("R3C",'Mapa final'!$Q$18),"")</f>
        <v/>
      </c>
      <c r="AD8" s="53" t="str">
        <f>IF(AND('Mapa final'!$AA$19="Muy Alta",'Mapa final'!$AC$19="Mayor"),CONCATENATE("R3C",'Mapa final'!$Q$19),"")</f>
        <v/>
      </c>
      <c r="AE8" s="53" t="str">
        <f>IF(AND('Mapa final'!$AA$20="Muy Alta",'Mapa final'!$AC$20="Mayor"),CONCATENATE("R3C",'Mapa final'!$Q$20),"")</f>
        <v/>
      </c>
      <c r="AF8" s="53" t="str">
        <f>IF(AND('Mapa final'!$AA$21="Muy Alta",'Mapa final'!$AC$21="Mayor"),CONCATENATE("R3C",'Mapa final'!$Q$21),"")</f>
        <v/>
      </c>
      <c r="AG8" s="54" t="str">
        <f>IF(AND('Mapa final'!$AA$22="Muy Alta",'Mapa final'!$AC$22="Mayor"),CONCATENATE("R3C",'Mapa final'!$Q$22),"")</f>
        <v/>
      </c>
      <c r="AH8" s="55" t="str">
        <f>IF(AND('Mapa final'!$AA$17="Muy Alta",'Mapa final'!$AC$17="Catastrófico"),CONCATENATE("R3C",'Mapa final'!$Q$17),"")</f>
        <v/>
      </c>
      <c r="AI8" s="56" t="str">
        <f>IF(AND('Mapa final'!$AA$18="Muy Alta",'Mapa final'!$AC$18="Catastrófico"),CONCATENATE("R3C",'Mapa final'!$Q$18),"")</f>
        <v/>
      </c>
      <c r="AJ8" s="56" t="str">
        <f>IF(AND('Mapa final'!$AA$19="Muy Alta",'Mapa final'!$AC$19="Catastrófico"),CONCATENATE("R3C",'Mapa final'!$Q$19),"")</f>
        <v/>
      </c>
      <c r="AK8" s="56" t="str">
        <f>IF(AND('Mapa final'!$AA$20="Muy Alta",'Mapa final'!$AC$20="Catastrófico"),CONCATENATE("R3C",'Mapa final'!$Q$20),"")</f>
        <v/>
      </c>
      <c r="AL8" s="56" t="str">
        <f>IF(AND('Mapa final'!$AA$21="Muy Alta",'Mapa final'!$AC$21="Catastrófico"),CONCATENATE("R3C",'Mapa final'!$Q$21),"")</f>
        <v/>
      </c>
      <c r="AM8" s="57" t="str">
        <f>IF(AND('Mapa final'!$AA$22="Muy Alta",'Mapa final'!$AC$22="Catastrófico"),CONCATENATE("R3C",'Mapa final'!$Q$22),"")</f>
        <v/>
      </c>
      <c r="AN8" s="83"/>
      <c r="AO8" s="489"/>
      <c r="AP8" s="490"/>
      <c r="AQ8" s="490"/>
      <c r="AR8" s="490"/>
      <c r="AS8" s="490"/>
      <c r="AT8" s="4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3">
      <c r="A9" s="83"/>
      <c r="B9" s="384"/>
      <c r="C9" s="384"/>
      <c r="D9" s="385"/>
      <c r="E9" s="483"/>
      <c r="F9" s="482"/>
      <c r="G9" s="482"/>
      <c r="H9" s="482"/>
      <c r="I9" s="498"/>
      <c r="J9" s="52" t="str">
        <f>IF(AND('Mapa final'!$AA$23="Muy Alta",'Mapa final'!$AC$23="Leve"),CONCATENATE("R4C",'Mapa final'!$Q$23),"")</f>
        <v/>
      </c>
      <c r="K9" s="53" t="str">
        <f>IF(AND('Mapa final'!$AA$24="Muy Alta",'Mapa final'!$AC$24="Leve"),CONCATENATE("R4C",'Mapa final'!$Q$24),"")</f>
        <v/>
      </c>
      <c r="L9" s="53" t="str">
        <f>IF(AND('Mapa final'!$AA$25="Muy Alta",'Mapa final'!$AC$25="Leve"),CONCATENATE("R4C",'Mapa final'!$Q$25),"")</f>
        <v/>
      </c>
      <c r="M9" s="53" t="str">
        <f>IF(AND('Mapa final'!$AA$26="Muy Alta",'Mapa final'!$AC$26="Leve"),CONCATENATE("R4C",'Mapa final'!$Q$26),"")</f>
        <v/>
      </c>
      <c r="N9" s="53" t="str">
        <f>IF(AND('Mapa final'!$AA$27="Muy Alta",'Mapa final'!$AC$27="Leve"),CONCATENATE("R4C",'Mapa final'!$Q$27),"")</f>
        <v/>
      </c>
      <c r="O9" s="54" t="str">
        <f>IF(AND('Mapa final'!$AA$28="Muy Alta",'Mapa final'!$AC$28="Leve"),CONCATENATE("R4C",'Mapa final'!$Q$28),"")</f>
        <v/>
      </c>
      <c r="P9" s="52" t="str">
        <f>IF(AND('Mapa final'!$AA$23="Muy Alta",'Mapa final'!$AC$23="Menor"),CONCATENATE("R4C",'Mapa final'!$Q$23),"")</f>
        <v/>
      </c>
      <c r="Q9" s="53" t="str">
        <f>IF(AND('Mapa final'!$AA$24="Muy Alta",'Mapa final'!$AC$24="Menor"),CONCATENATE("R4C",'Mapa final'!$Q$24),"")</f>
        <v/>
      </c>
      <c r="R9" s="53" t="str">
        <f>IF(AND('Mapa final'!$AA$25="Muy Alta",'Mapa final'!$AC$25="Menor"),CONCATENATE("R4C",'Mapa final'!$Q$25),"")</f>
        <v/>
      </c>
      <c r="S9" s="53" t="str">
        <f>IF(AND('Mapa final'!$AA$26="Muy Alta",'Mapa final'!$AC$26="Menor"),CONCATENATE("R4C",'Mapa final'!$Q$26),"")</f>
        <v/>
      </c>
      <c r="T9" s="53" t="str">
        <f>IF(AND('Mapa final'!$AA$27="Muy Alta",'Mapa final'!$AC$27="Menor"),CONCATENATE("R4C",'Mapa final'!$Q$27),"")</f>
        <v/>
      </c>
      <c r="U9" s="54" t="str">
        <f>IF(AND('Mapa final'!$AA$28="Muy Alta",'Mapa final'!$AC$28="Menor"),CONCATENATE("R4C",'Mapa final'!$Q$28),"")</f>
        <v/>
      </c>
      <c r="V9" s="52" t="str">
        <f>IF(AND('Mapa final'!$AA$23="Muy Alta",'Mapa final'!$AC$23="Moderado"),CONCATENATE("R4C",'Mapa final'!$Q$23),"")</f>
        <v/>
      </c>
      <c r="W9" s="53" t="str">
        <f>IF(AND('Mapa final'!$AA$24="Muy Alta",'Mapa final'!$AC$24="Moderado"),CONCATENATE("R4C",'Mapa final'!$Q$24),"")</f>
        <v/>
      </c>
      <c r="X9" s="53" t="str">
        <f>IF(AND('Mapa final'!$AA$25="Muy Alta",'Mapa final'!$AC$25="Moderado"),CONCATENATE("R4C",'Mapa final'!$Q$25),"")</f>
        <v/>
      </c>
      <c r="Y9" s="53" t="str">
        <f>IF(AND('Mapa final'!$AA$26="Muy Alta",'Mapa final'!$AC$26="Moderado"),CONCATENATE("R4C",'Mapa final'!$Q$26),"")</f>
        <v/>
      </c>
      <c r="Z9" s="53" t="str">
        <f>IF(AND('Mapa final'!$AA$27="Muy Alta",'Mapa final'!$AC$27="Moderado"),CONCATENATE("R4C",'Mapa final'!$Q$27),"")</f>
        <v/>
      </c>
      <c r="AA9" s="54" t="str">
        <f>IF(AND('Mapa final'!$AA$28="Muy Alta",'Mapa final'!$AC$28="Moderado"),CONCATENATE("R4C",'Mapa final'!$Q$28),"")</f>
        <v/>
      </c>
      <c r="AB9" s="52" t="str">
        <f>IF(AND('Mapa final'!$AA$23="Muy Alta",'Mapa final'!$AC$23="Mayor"),CONCATENATE("R4C",'Mapa final'!$Q$23),"")</f>
        <v/>
      </c>
      <c r="AC9" s="53" t="str">
        <f>IF(AND('Mapa final'!$AA$24="Muy Alta",'Mapa final'!$AC$24="Mayor"),CONCATENATE("R4C",'Mapa final'!$Q$24),"")</f>
        <v/>
      </c>
      <c r="AD9" s="53" t="str">
        <f>IF(AND('Mapa final'!$AA$25="Muy Alta",'Mapa final'!$AC$25="Mayor"),CONCATENATE("R4C",'Mapa final'!$Q$25),"")</f>
        <v/>
      </c>
      <c r="AE9" s="53" t="str">
        <f>IF(AND('Mapa final'!$AA$26="Muy Alta",'Mapa final'!$AC$26="Mayor"),CONCATENATE("R4C",'Mapa final'!$Q$26),"")</f>
        <v/>
      </c>
      <c r="AF9" s="53" t="str">
        <f>IF(AND('Mapa final'!$AA$27="Muy Alta",'Mapa final'!$AC$27="Mayor"),CONCATENATE("R4C",'Mapa final'!$Q$27),"")</f>
        <v/>
      </c>
      <c r="AG9" s="54" t="str">
        <f>IF(AND('Mapa final'!$AA$28="Muy Alta",'Mapa final'!$AC$28="Mayor"),CONCATENATE("R4C",'Mapa final'!$Q$28),"")</f>
        <v/>
      </c>
      <c r="AH9" s="55" t="str">
        <f>IF(AND('Mapa final'!$AA$23="Muy Alta",'Mapa final'!$AC$23="Catastrófico"),CONCATENATE("R4C",'Mapa final'!$Q$23),"")</f>
        <v/>
      </c>
      <c r="AI9" s="56" t="str">
        <f>IF(AND('Mapa final'!$AA$24="Muy Alta",'Mapa final'!$AC$24="Catastrófico"),CONCATENATE("R4C",'Mapa final'!$Q$24),"")</f>
        <v/>
      </c>
      <c r="AJ9" s="56" t="str">
        <f>IF(AND('Mapa final'!$AA$25="Muy Alta",'Mapa final'!$AC$25="Catastrófico"),CONCATENATE("R4C",'Mapa final'!$Q$25),"")</f>
        <v/>
      </c>
      <c r="AK9" s="56" t="str">
        <f>IF(AND('Mapa final'!$AA$26="Muy Alta",'Mapa final'!$AC$26="Catastrófico"),CONCATENATE("R4C",'Mapa final'!$Q$26),"")</f>
        <v/>
      </c>
      <c r="AL9" s="56" t="str">
        <f>IF(AND('Mapa final'!$AA$27="Muy Alta",'Mapa final'!$AC$27="Catastrófico"),CONCATENATE("R4C",'Mapa final'!$Q$27),"")</f>
        <v/>
      </c>
      <c r="AM9" s="57" t="str">
        <f>IF(AND('Mapa final'!$AA$28="Muy Alta",'Mapa final'!$AC$28="Catastrófico"),CONCATENATE("R4C",'Mapa final'!$Q$28),"")</f>
        <v/>
      </c>
      <c r="AN9" s="83"/>
      <c r="AO9" s="489"/>
      <c r="AP9" s="490"/>
      <c r="AQ9" s="490"/>
      <c r="AR9" s="490"/>
      <c r="AS9" s="490"/>
      <c r="AT9" s="4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3">
      <c r="A10" s="83"/>
      <c r="B10" s="384"/>
      <c r="C10" s="384"/>
      <c r="D10" s="385"/>
      <c r="E10" s="483"/>
      <c r="F10" s="482"/>
      <c r="G10" s="482"/>
      <c r="H10" s="482"/>
      <c r="I10" s="498"/>
      <c r="J10" s="52" t="str">
        <f>IF(AND('Mapa final'!$AA$29="Muy Alta",'Mapa final'!$AC$29="Leve"),CONCATENATE("R5C",'Mapa final'!$Q$29),"")</f>
        <v/>
      </c>
      <c r="K10" s="53" t="str">
        <f>IF(AND('Mapa final'!$AA$30="Muy Alta",'Mapa final'!$AC$30="Leve"),CONCATENATE("R5C",'Mapa final'!$Q$30),"")</f>
        <v/>
      </c>
      <c r="L10" s="53" t="str">
        <f>IF(AND('Mapa final'!$AA$31="Muy Alta",'Mapa final'!$AC$31="Leve"),CONCATENATE("R5C",'Mapa final'!$Q$31),"")</f>
        <v/>
      </c>
      <c r="M10" s="53" t="str">
        <f>IF(AND('Mapa final'!$AA$32="Muy Alta",'Mapa final'!$AC$32="Leve"),CONCATENATE("R5C",'Mapa final'!$Q$32),"")</f>
        <v/>
      </c>
      <c r="N10" s="53" t="str">
        <f>IF(AND('Mapa final'!$AA$33="Muy Alta",'Mapa final'!$AC$33="Leve"),CONCATENATE("R5C",'Mapa final'!$Q$33),"")</f>
        <v/>
      </c>
      <c r="O10" s="54" t="str">
        <f>IF(AND('Mapa final'!$AA$34="Muy Alta",'Mapa final'!$AC$34="Leve"),CONCATENATE("R5C",'Mapa final'!$Q$34),"")</f>
        <v/>
      </c>
      <c r="P10" s="52" t="str">
        <f>IF(AND('Mapa final'!$AA$29="Muy Alta",'Mapa final'!$AC$29="Menor"),CONCATENATE("R5C",'Mapa final'!$Q$29),"")</f>
        <v/>
      </c>
      <c r="Q10" s="53" t="str">
        <f>IF(AND('Mapa final'!$AA$30="Muy Alta",'Mapa final'!$AC$30="Menor"),CONCATENATE("R5C",'Mapa final'!$Q$30),"")</f>
        <v/>
      </c>
      <c r="R10" s="53" t="str">
        <f>IF(AND('Mapa final'!$AA$31="Muy Alta",'Mapa final'!$AC$31="Menor"),CONCATENATE("R5C",'Mapa final'!$Q$31),"")</f>
        <v/>
      </c>
      <c r="S10" s="53" t="str">
        <f>IF(AND('Mapa final'!$AA$32="Muy Alta",'Mapa final'!$AC$32="Menor"),CONCATENATE("R5C",'Mapa final'!$Q$32),"")</f>
        <v/>
      </c>
      <c r="T10" s="53" t="str">
        <f>IF(AND('Mapa final'!$AA$33="Muy Alta",'Mapa final'!$AC$33="Menor"),CONCATENATE("R5C",'Mapa final'!$Q$33),"")</f>
        <v/>
      </c>
      <c r="U10" s="54" t="str">
        <f>IF(AND('Mapa final'!$AA$34="Muy Alta",'Mapa final'!$AC$34="Menor"),CONCATENATE("R5C",'Mapa final'!$Q$34),"")</f>
        <v/>
      </c>
      <c r="V10" s="52" t="str">
        <f>IF(AND('Mapa final'!$AA$29="Muy Alta",'Mapa final'!$AC$29="Moderado"),CONCATENATE("R5C",'Mapa final'!$Q$29),"")</f>
        <v/>
      </c>
      <c r="W10" s="53" t="str">
        <f>IF(AND('Mapa final'!$AA$30="Muy Alta",'Mapa final'!$AC$30="Moderado"),CONCATENATE("R5C",'Mapa final'!$Q$30),"")</f>
        <v/>
      </c>
      <c r="X10" s="53" t="str">
        <f>IF(AND('Mapa final'!$AA$31="Muy Alta",'Mapa final'!$AC$31="Moderado"),CONCATENATE("R5C",'Mapa final'!$Q$31),"")</f>
        <v/>
      </c>
      <c r="Y10" s="53" t="str">
        <f>IF(AND('Mapa final'!$AA$32="Muy Alta",'Mapa final'!$AC$32="Moderado"),CONCATENATE("R5C",'Mapa final'!$Q$32),"")</f>
        <v/>
      </c>
      <c r="Z10" s="53" t="str">
        <f>IF(AND('Mapa final'!$AA$33="Muy Alta",'Mapa final'!$AC$33="Moderado"),CONCATENATE("R5C",'Mapa final'!$Q$33),"")</f>
        <v/>
      </c>
      <c r="AA10" s="54" t="str">
        <f>IF(AND('Mapa final'!$AA$34="Muy Alta",'Mapa final'!$AC$34="Moderado"),CONCATENATE("R5C",'Mapa final'!$Q$34),"")</f>
        <v/>
      </c>
      <c r="AB10" s="52" t="str">
        <f>IF(AND('Mapa final'!$AA$29="Muy Alta",'Mapa final'!$AC$29="Mayor"),CONCATENATE("R5C",'Mapa final'!$Q$29),"")</f>
        <v/>
      </c>
      <c r="AC10" s="53" t="str">
        <f>IF(AND('Mapa final'!$AA$30="Muy Alta",'Mapa final'!$AC$30="Mayor"),CONCATENATE("R5C",'Mapa final'!$Q$30),"")</f>
        <v/>
      </c>
      <c r="AD10" s="53" t="str">
        <f>IF(AND('Mapa final'!$AA$31="Muy Alta",'Mapa final'!$AC$31="Mayor"),CONCATENATE("R5C",'Mapa final'!$Q$31),"")</f>
        <v/>
      </c>
      <c r="AE10" s="53" t="str">
        <f>IF(AND('Mapa final'!$AA$32="Muy Alta",'Mapa final'!$AC$32="Mayor"),CONCATENATE("R5C",'Mapa final'!$Q$32),"")</f>
        <v/>
      </c>
      <c r="AF10" s="53" t="str">
        <f>IF(AND('Mapa final'!$AA$33="Muy Alta",'Mapa final'!$AC$33="Mayor"),CONCATENATE("R5C",'Mapa final'!$Q$33),"")</f>
        <v/>
      </c>
      <c r="AG10" s="54" t="str">
        <f>IF(AND('Mapa final'!$AA$34="Muy Alta",'Mapa final'!$AC$34="Mayor"),CONCATENATE("R5C",'Mapa final'!$Q$34),"")</f>
        <v/>
      </c>
      <c r="AH10" s="55" t="str">
        <f>IF(AND('Mapa final'!$AA$29="Muy Alta",'Mapa final'!$AC$29="Catastrófico"),CONCATENATE("R5C",'Mapa final'!$Q$29),"")</f>
        <v/>
      </c>
      <c r="AI10" s="56" t="str">
        <f>IF(AND('Mapa final'!$AA$30="Muy Alta",'Mapa final'!$AC$30="Catastrófico"),CONCATENATE("R5C",'Mapa final'!$Q$30),"")</f>
        <v/>
      </c>
      <c r="AJ10" s="56" t="str">
        <f>IF(AND('Mapa final'!$AA$31="Muy Alta",'Mapa final'!$AC$31="Catastrófico"),CONCATENATE("R5C",'Mapa final'!$Q$31),"")</f>
        <v/>
      </c>
      <c r="AK10" s="56" t="str">
        <f>IF(AND('Mapa final'!$AA$32="Muy Alta",'Mapa final'!$AC$32="Catastrófico"),CONCATENATE("R5C",'Mapa final'!$Q$32),"")</f>
        <v/>
      </c>
      <c r="AL10" s="56" t="str">
        <f>IF(AND('Mapa final'!$AA$33="Muy Alta",'Mapa final'!$AC$33="Catastrófico"),CONCATENATE("R5C",'Mapa final'!$Q$33),"")</f>
        <v/>
      </c>
      <c r="AM10" s="57" t="str">
        <f>IF(AND('Mapa final'!$AA$34="Muy Alta",'Mapa final'!$AC$34="Catastrófico"),CONCATENATE("R5C",'Mapa final'!$Q$34),"")</f>
        <v/>
      </c>
      <c r="AN10" s="83"/>
      <c r="AO10" s="489"/>
      <c r="AP10" s="490"/>
      <c r="AQ10" s="490"/>
      <c r="AR10" s="490"/>
      <c r="AS10" s="490"/>
      <c r="AT10" s="4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3">
      <c r="A11" s="83"/>
      <c r="B11" s="384"/>
      <c r="C11" s="384"/>
      <c r="D11" s="385"/>
      <c r="E11" s="483"/>
      <c r="F11" s="482"/>
      <c r="G11" s="482"/>
      <c r="H11" s="482"/>
      <c r="I11" s="498"/>
      <c r="J11" s="52" t="str">
        <f>IF(AND('Mapa final'!$AA$35="Muy Alta",'Mapa final'!$AC$35="Leve"),CONCATENATE("R6C",'Mapa final'!$Q$35),"")</f>
        <v/>
      </c>
      <c r="K11" s="53" t="str">
        <f>IF(AND('Mapa final'!$AA$36="Muy Alta",'Mapa final'!$AC$36="Leve"),CONCATENATE("R6C",'Mapa final'!$Q$36),"")</f>
        <v/>
      </c>
      <c r="L11" s="53" t="str">
        <f>IF(AND('Mapa final'!$AA$37="Muy Alta",'Mapa final'!$AC$37="Leve"),CONCATENATE("R6C",'Mapa final'!$Q$37),"")</f>
        <v/>
      </c>
      <c r="M11" s="53" t="str">
        <f>IF(AND('Mapa final'!$AA$38="Muy Alta",'Mapa final'!$AC$38="Leve"),CONCATENATE("R6C",'Mapa final'!$Q$38),"")</f>
        <v/>
      </c>
      <c r="N11" s="53" t="str">
        <f>IF(AND('Mapa final'!$AA$39="Muy Alta",'Mapa final'!$AC$39="Leve"),CONCATENATE("R6C",'Mapa final'!$Q$39),"")</f>
        <v/>
      </c>
      <c r="O11" s="54" t="str">
        <f>IF(AND('Mapa final'!$AA$40="Muy Alta",'Mapa final'!$AC$40="Leve"),CONCATENATE("R6C",'Mapa final'!$Q$40),"")</f>
        <v/>
      </c>
      <c r="P11" s="52" t="str">
        <f>IF(AND('Mapa final'!$AA$35="Muy Alta",'Mapa final'!$AC$35="Menor"),CONCATENATE("R6C",'Mapa final'!$Q$35),"")</f>
        <v/>
      </c>
      <c r="Q11" s="53" t="str">
        <f>IF(AND('Mapa final'!$AA$36="Muy Alta",'Mapa final'!$AC$36="Menor"),CONCATENATE("R6C",'Mapa final'!$Q$36),"")</f>
        <v/>
      </c>
      <c r="R11" s="53" t="str">
        <f>IF(AND('Mapa final'!$AA$37="Muy Alta",'Mapa final'!$AC$37="Menor"),CONCATENATE("R6C",'Mapa final'!$Q$37),"")</f>
        <v/>
      </c>
      <c r="S11" s="53" t="str">
        <f>IF(AND('Mapa final'!$AA$38="Muy Alta",'Mapa final'!$AC$38="Menor"),CONCATENATE("R6C",'Mapa final'!$Q$38),"")</f>
        <v/>
      </c>
      <c r="T11" s="53" t="str">
        <f>IF(AND('Mapa final'!$AA$39="Muy Alta",'Mapa final'!$AC$39="Menor"),CONCATENATE("R6C",'Mapa final'!$Q$39),"")</f>
        <v/>
      </c>
      <c r="U11" s="54" t="str">
        <f>IF(AND('Mapa final'!$AA$40="Muy Alta",'Mapa final'!$AC$40="Menor"),CONCATENATE("R6C",'Mapa final'!$Q$40),"")</f>
        <v/>
      </c>
      <c r="V11" s="52" t="str">
        <f>IF(AND('Mapa final'!$AA$35="Muy Alta",'Mapa final'!$AC$35="Moderado"),CONCATENATE("R6C",'Mapa final'!$Q$35),"")</f>
        <v/>
      </c>
      <c r="W11" s="53" t="str">
        <f>IF(AND('Mapa final'!$AA$36="Muy Alta",'Mapa final'!$AC$36="Moderado"),CONCATENATE("R6C",'Mapa final'!$Q$36),"")</f>
        <v/>
      </c>
      <c r="X11" s="53" t="str">
        <f>IF(AND('Mapa final'!$AA$37="Muy Alta",'Mapa final'!$AC$37="Moderado"),CONCATENATE("R6C",'Mapa final'!$Q$37),"")</f>
        <v/>
      </c>
      <c r="Y11" s="53" t="str">
        <f>IF(AND('Mapa final'!$AA$38="Muy Alta",'Mapa final'!$AC$38="Moderado"),CONCATENATE("R6C",'Mapa final'!$Q$38),"")</f>
        <v/>
      </c>
      <c r="Z11" s="53" t="str">
        <f>IF(AND('Mapa final'!$AA$39="Muy Alta",'Mapa final'!$AC$39="Moderado"),CONCATENATE("R6C",'Mapa final'!$Q$39),"")</f>
        <v/>
      </c>
      <c r="AA11" s="54" t="str">
        <f>IF(AND('Mapa final'!$AA$40="Muy Alta",'Mapa final'!$AC$40="Moderado"),CONCATENATE("R6C",'Mapa final'!$Q$40),"")</f>
        <v/>
      </c>
      <c r="AB11" s="52" t="str">
        <f>IF(AND('Mapa final'!$AA$35="Muy Alta",'Mapa final'!$AC$35="Mayor"),CONCATENATE("R6C",'Mapa final'!$Q$35),"")</f>
        <v/>
      </c>
      <c r="AC11" s="53" t="str">
        <f>IF(AND('Mapa final'!$AA$36="Muy Alta",'Mapa final'!$AC$36="Mayor"),CONCATENATE("R6C",'Mapa final'!$Q$36),"")</f>
        <v/>
      </c>
      <c r="AD11" s="53" t="str">
        <f>IF(AND('Mapa final'!$AA$37="Muy Alta",'Mapa final'!$AC$37="Mayor"),CONCATENATE("R6C",'Mapa final'!$Q$37),"")</f>
        <v/>
      </c>
      <c r="AE11" s="53" t="str">
        <f>IF(AND('Mapa final'!$AA$38="Muy Alta",'Mapa final'!$AC$38="Mayor"),CONCATENATE("R6C",'Mapa final'!$Q$38),"")</f>
        <v/>
      </c>
      <c r="AF11" s="53" t="str">
        <f>IF(AND('Mapa final'!$AA$39="Muy Alta",'Mapa final'!$AC$39="Mayor"),CONCATENATE("R6C",'Mapa final'!$Q$39),"")</f>
        <v/>
      </c>
      <c r="AG11" s="54" t="str">
        <f>IF(AND('Mapa final'!$AA$40="Muy Alta",'Mapa final'!$AC$40="Mayor"),CONCATENATE("R6C",'Mapa final'!$Q$40),"")</f>
        <v/>
      </c>
      <c r="AH11" s="55" t="str">
        <f>IF(AND('Mapa final'!$AA$35="Muy Alta",'Mapa final'!$AC$35="Catastrófico"),CONCATENATE("R6C",'Mapa final'!$Q$35),"")</f>
        <v/>
      </c>
      <c r="AI11" s="56" t="str">
        <f>IF(AND('Mapa final'!$AA$36="Muy Alta",'Mapa final'!$AC$36="Catastrófico"),CONCATENATE("R6C",'Mapa final'!$Q$36),"")</f>
        <v/>
      </c>
      <c r="AJ11" s="56" t="str">
        <f>IF(AND('Mapa final'!$AA$37="Muy Alta",'Mapa final'!$AC$37="Catastrófico"),CONCATENATE("R6C",'Mapa final'!$Q$37),"")</f>
        <v/>
      </c>
      <c r="AK11" s="56" t="str">
        <f>IF(AND('Mapa final'!$AA$38="Muy Alta",'Mapa final'!$AC$38="Catastrófico"),CONCATENATE("R6C",'Mapa final'!$Q$38),"")</f>
        <v/>
      </c>
      <c r="AL11" s="56" t="str">
        <f>IF(AND('Mapa final'!$AA$39="Muy Alta",'Mapa final'!$AC$39="Catastrófico"),CONCATENATE("R6C",'Mapa final'!$Q$39),"")</f>
        <v/>
      </c>
      <c r="AM11" s="57" t="str">
        <f>IF(AND('Mapa final'!$AA$40="Muy Alta",'Mapa final'!$AC$40="Catastrófico"),CONCATENATE("R6C",'Mapa final'!$Q$40),"")</f>
        <v/>
      </c>
      <c r="AN11" s="83"/>
      <c r="AO11" s="489"/>
      <c r="AP11" s="490"/>
      <c r="AQ11" s="490"/>
      <c r="AR11" s="490"/>
      <c r="AS11" s="490"/>
      <c r="AT11" s="4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3">
      <c r="A12" s="83"/>
      <c r="B12" s="384"/>
      <c r="C12" s="384"/>
      <c r="D12" s="385"/>
      <c r="E12" s="483"/>
      <c r="F12" s="482"/>
      <c r="G12" s="482"/>
      <c r="H12" s="482"/>
      <c r="I12" s="498"/>
      <c r="J12" s="52" t="str">
        <f>IF(AND('Mapa final'!$AA$41="Muy Alta",'Mapa final'!$AC$41="Leve"),CONCATENATE("R7C",'Mapa final'!$Q$41),"")</f>
        <v/>
      </c>
      <c r="K12" s="53" t="str">
        <f>IF(AND('Mapa final'!$AA$42="Muy Alta",'Mapa final'!$AC$42="Leve"),CONCATENATE("R7C",'Mapa final'!$Q$42),"")</f>
        <v/>
      </c>
      <c r="L12" s="53" t="str">
        <f>IF(AND('Mapa final'!$AA$43="Muy Alta",'Mapa final'!$AC$43="Leve"),CONCATENATE("R7C",'Mapa final'!$Q$43),"")</f>
        <v/>
      </c>
      <c r="M12" s="53" t="str">
        <f>IF(AND('Mapa final'!$AA$44="Muy Alta",'Mapa final'!$AC$44="Leve"),CONCATENATE("R7C",'Mapa final'!$Q$44),"")</f>
        <v/>
      </c>
      <c r="N12" s="53" t="str">
        <f>IF(AND('Mapa final'!$AA$45="Muy Alta",'Mapa final'!$AC$45="Leve"),CONCATENATE("R7C",'Mapa final'!$Q$45),"")</f>
        <v/>
      </c>
      <c r="O12" s="54" t="str">
        <f>IF(AND('Mapa final'!$AA$46="Muy Alta",'Mapa final'!$AC$46="Leve"),CONCATENATE("R7C",'Mapa final'!$Q$46),"")</f>
        <v/>
      </c>
      <c r="P12" s="52" t="str">
        <f>IF(AND('Mapa final'!$AA$41="Muy Alta",'Mapa final'!$AC$41="Menor"),CONCATENATE("R7C",'Mapa final'!$Q$41),"")</f>
        <v/>
      </c>
      <c r="Q12" s="53" t="str">
        <f>IF(AND('Mapa final'!$AA$42="Muy Alta",'Mapa final'!$AC$42="Menor"),CONCATENATE("R7C",'Mapa final'!$Q$42),"")</f>
        <v/>
      </c>
      <c r="R12" s="53" t="str">
        <f>IF(AND('Mapa final'!$AA$43="Muy Alta",'Mapa final'!$AC$43="Menor"),CONCATENATE("R7C",'Mapa final'!$Q$43),"")</f>
        <v/>
      </c>
      <c r="S12" s="53" t="str">
        <f>IF(AND('Mapa final'!$AA$44="Muy Alta",'Mapa final'!$AC$44="Menor"),CONCATENATE("R7C",'Mapa final'!$Q$44),"")</f>
        <v/>
      </c>
      <c r="T12" s="53" t="str">
        <f>IF(AND('Mapa final'!$AA$45="Muy Alta",'Mapa final'!$AC$45="Menor"),CONCATENATE("R7C",'Mapa final'!$Q$45),"")</f>
        <v/>
      </c>
      <c r="U12" s="54" t="str">
        <f>IF(AND('Mapa final'!$AA$46="Muy Alta",'Mapa final'!$AC$46="Menor"),CONCATENATE("R7C",'Mapa final'!$Q$46),"")</f>
        <v/>
      </c>
      <c r="V12" s="52" t="str">
        <f>IF(AND('Mapa final'!$AA$41="Muy Alta",'Mapa final'!$AC$41="Moderado"),CONCATENATE("R7C",'Mapa final'!$Q$41),"")</f>
        <v/>
      </c>
      <c r="W12" s="53" t="str">
        <f>IF(AND('Mapa final'!$AA$42="Muy Alta",'Mapa final'!$AC$42="Moderado"),CONCATENATE("R7C",'Mapa final'!$Q$42),"")</f>
        <v/>
      </c>
      <c r="X12" s="53" t="str">
        <f>IF(AND('Mapa final'!$AA$43="Muy Alta",'Mapa final'!$AC$43="Moderado"),CONCATENATE("R7C",'Mapa final'!$Q$43),"")</f>
        <v/>
      </c>
      <c r="Y12" s="53" t="str">
        <f>IF(AND('Mapa final'!$AA$44="Muy Alta",'Mapa final'!$AC$44="Moderado"),CONCATENATE("R7C",'Mapa final'!$Q$44),"")</f>
        <v/>
      </c>
      <c r="Z12" s="53" t="str">
        <f>IF(AND('Mapa final'!$AA$45="Muy Alta",'Mapa final'!$AC$45="Moderado"),CONCATENATE("R7C",'Mapa final'!$Q$45),"")</f>
        <v/>
      </c>
      <c r="AA12" s="54" t="str">
        <f>IF(AND('Mapa final'!$AA$46="Muy Alta",'Mapa final'!$AC$46="Moderado"),CONCATENATE("R7C",'Mapa final'!$Q$46),"")</f>
        <v/>
      </c>
      <c r="AB12" s="52" t="str">
        <f>IF(AND('Mapa final'!$AA$41="Muy Alta",'Mapa final'!$AC$41="Mayor"),CONCATENATE("R7C",'Mapa final'!$Q$41),"")</f>
        <v/>
      </c>
      <c r="AC12" s="53" t="str">
        <f>IF(AND('Mapa final'!$AA$42="Muy Alta",'Mapa final'!$AC$42="Mayor"),CONCATENATE("R7C",'Mapa final'!$Q$42),"")</f>
        <v/>
      </c>
      <c r="AD12" s="53" t="str">
        <f>IF(AND('Mapa final'!$AA$43="Muy Alta",'Mapa final'!$AC$43="Mayor"),CONCATENATE("R7C",'Mapa final'!$Q$43),"")</f>
        <v/>
      </c>
      <c r="AE12" s="53" t="str">
        <f>IF(AND('Mapa final'!$AA$44="Muy Alta",'Mapa final'!$AC$44="Mayor"),CONCATENATE("R7C",'Mapa final'!$Q$44),"")</f>
        <v/>
      </c>
      <c r="AF12" s="53" t="str">
        <f>IF(AND('Mapa final'!$AA$45="Muy Alta",'Mapa final'!$AC$45="Mayor"),CONCATENATE("R7C",'Mapa final'!$Q$45),"")</f>
        <v/>
      </c>
      <c r="AG12" s="54" t="str">
        <f>IF(AND('Mapa final'!$AA$46="Muy Alta",'Mapa final'!$AC$46="Mayor"),CONCATENATE("R7C",'Mapa final'!$Q$46),"")</f>
        <v/>
      </c>
      <c r="AH12" s="55" t="str">
        <f>IF(AND('Mapa final'!$AA$41="Muy Alta",'Mapa final'!$AC$41="Catastrófico"),CONCATENATE("R7C",'Mapa final'!$Q$41),"")</f>
        <v/>
      </c>
      <c r="AI12" s="56" t="str">
        <f>IF(AND('Mapa final'!$AA$42="Muy Alta",'Mapa final'!$AC$42="Catastrófico"),CONCATENATE("R7C",'Mapa final'!$Q$42),"")</f>
        <v/>
      </c>
      <c r="AJ12" s="56" t="str">
        <f>IF(AND('Mapa final'!$AA$43="Muy Alta",'Mapa final'!$AC$43="Catastrófico"),CONCATENATE("R7C",'Mapa final'!$Q$43),"")</f>
        <v/>
      </c>
      <c r="AK12" s="56" t="str">
        <f>IF(AND('Mapa final'!$AA$44="Muy Alta",'Mapa final'!$AC$44="Catastrófico"),CONCATENATE("R7C",'Mapa final'!$Q$44),"")</f>
        <v/>
      </c>
      <c r="AL12" s="56" t="str">
        <f>IF(AND('Mapa final'!$AA$45="Muy Alta",'Mapa final'!$AC$45="Catastrófico"),CONCATENATE("R7C",'Mapa final'!$Q$45),"")</f>
        <v/>
      </c>
      <c r="AM12" s="57" t="str">
        <f>IF(AND('Mapa final'!$AA$46="Muy Alta",'Mapa final'!$AC$46="Catastrófico"),CONCATENATE("R7C",'Mapa final'!$Q$46),"")</f>
        <v/>
      </c>
      <c r="AN12" s="83"/>
      <c r="AO12" s="489"/>
      <c r="AP12" s="490"/>
      <c r="AQ12" s="490"/>
      <c r="AR12" s="490"/>
      <c r="AS12" s="490"/>
      <c r="AT12" s="4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3">
      <c r="A13" s="83"/>
      <c r="B13" s="384"/>
      <c r="C13" s="384"/>
      <c r="D13" s="385"/>
      <c r="E13" s="483"/>
      <c r="F13" s="482"/>
      <c r="G13" s="482"/>
      <c r="H13" s="482"/>
      <c r="I13" s="498"/>
      <c r="J13" s="52" t="str">
        <f>IF(AND('Mapa final'!$AA$47="Muy Alta",'Mapa final'!$AC$47="Leve"),CONCATENATE("R8C",'Mapa final'!$Q$47),"")</f>
        <v/>
      </c>
      <c r="K13" s="53" t="str">
        <f>IF(AND('Mapa final'!$AA$48="Muy Alta",'Mapa final'!$AC$48="Leve"),CONCATENATE("R8C",'Mapa final'!$Q$48),"")</f>
        <v/>
      </c>
      <c r="L13" s="53" t="str">
        <f>IF(AND('Mapa final'!$AA$49="Muy Alta",'Mapa final'!$AC$49="Leve"),CONCATENATE("R8C",'Mapa final'!$Q$49),"")</f>
        <v/>
      </c>
      <c r="M13" s="53" t="str">
        <f>IF(AND('Mapa final'!$AA$50="Muy Alta",'Mapa final'!$AC$50="Leve"),CONCATENATE("R8C",'Mapa final'!$Q$50),"")</f>
        <v/>
      </c>
      <c r="N13" s="53" t="str">
        <f>IF(AND('Mapa final'!$AA$51="Muy Alta",'Mapa final'!$AC$51="Leve"),CONCATENATE("R8C",'Mapa final'!$Q$51),"")</f>
        <v/>
      </c>
      <c r="O13" s="54" t="str">
        <f>IF(AND('Mapa final'!$AA$52="Muy Alta",'Mapa final'!$AC$52="Leve"),CONCATENATE("R8C",'Mapa final'!$Q$52),"")</f>
        <v/>
      </c>
      <c r="P13" s="52" t="str">
        <f>IF(AND('Mapa final'!$AA$47="Muy Alta",'Mapa final'!$AC$47="Menor"),CONCATENATE("R8C",'Mapa final'!$Q$47),"")</f>
        <v/>
      </c>
      <c r="Q13" s="53" t="str">
        <f>IF(AND('Mapa final'!$AA$48="Muy Alta",'Mapa final'!$AC$48="Menor"),CONCATENATE("R8C",'Mapa final'!$Q$48),"")</f>
        <v/>
      </c>
      <c r="R13" s="53" t="str">
        <f>IF(AND('Mapa final'!$AA$49="Muy Alta",'Mapa final'!$AC$49="Menor"),CONCATENATE("R8C",'Mapa final'!$Q$49),"")</f>
        <v/>
      </c>
      <c r="S13" s="53" t="str">
        <f>IF(AND('Mapa final'!$AA$50="Muy Alta",'Mapa final'!$AC$50="Menor"),CONCATENATE("R8C",'Mapa final'!$Q$50),"")</f>
        <v/>
      </c>
      <c r="T13" s="53" t="str">
        <f>IF(AND('Mapa final'!$AA$51="Muy Alta",'Mapa final'!$AC$51="Menor"),CONCATENATE("R8C",'Mapa final'!$Q$51),"")</f>
        <v/>
      </c>
      <c r="U13" s="54" t="str">
        <f>IF(AND('Mapa final'!$AA$52="Muy Alta",'Mapa final'!$AC$52="Menor"),CONCATENATE("R8C",'Mapa final'!$Q$52),"")</f>
        <v/>
      </c>
      <c r="V13" s="52" t="str">
        <f>IF(AND('Mapa final'!$AA$47="Muy Alta",'Mapa final'!$AC$47="Moderado"),CONCATENATE("R8C",'Mapa final'!$Q$47),"")</f>
        <v/>
      </c>
      <c r="W13" s="53" t="str">
        <f>IF(AND('Mapa final'!$AA$48="Muy Alta",'Mapa final'!$AC$48="Moderado"),CONCATENATE("R8C",'Mapa final'!$Q$48),"")</f>
        <v/>
      </c>
      <c r="X13" s="53" t="str">
        <f>IF(AND('Mapa final'!$AA$49="Muy Alta",'Mapa final'!$AC$49="Moderado"),CONCATENATE("R8C",'Mapa final'!$Q$49),"")</f>
        <v/>
      </c>
      <c r="Y13" s="53" t="str">
        <f>IF(AND('Mapa final'!$AA$50="Muy Alta",'Mapa final'!$AC$50="Moderado"),CONCATENATE("R8C",'Mapa final'!$Q$50),"")</f>
        <v/>
      </c>
      <c r="Z13" s="53" t="str">
        <f>IF(AND('Mapa final'!$AA$51="Muy Alta",'Mapa final'!$AC$51="Moderado"),CONCATENATE("R8C",'Mapa final'!$Q$51),"")</f>
        <v/>
      </c>
      <c r="AA13" s="54" t="str">
        <f>IF(AND('Mapa final'!$AA$52="Muy Alta",'Mapa final'!$AC$52="Moderado"),CONCATENATE("R8C",'Mapa final'!$Q$52),"")</f>
        <v/>
      </c>
      <c r="AB13" s="52" t="str">
        <f>IF(AND('Mapa final'!$AA$47="Muy Alta",'Mapa final'!$AC$47="Mayor"),CONCATENATE("R8C",'Mapa final'!$Q$47),"")</f>
        <v/>
      </c>
      <c r="AC13" s="53" t="str">
        <f>IF(AND('Mapa final'!$AA$48="Muy Alta",'Mapa final'!$AC$48="Mayor"),CONCATENATE("R8C",'Mapa final'!$Q$48),"")</f>
        <v/>
      </c>
      <c r="AD13" s="53" t="str">
        <f>IF(AND('Mapa final'!$AA$49="Muy Alta",'Mapa final'!$AC$49="Mayor"),CONCATENATE("R8C",'Mapa final'!$Q$49),"")</f>
        <v/>
      </c>
      <c r="AE13" s="53" t="str">
        <f>IF(AND('Mapa final'!$AA$50="Muy Alta",'Mapa final'!$AC$50="Mayor"),CONCATENATE("R8C",'Mapa final'!$Q$50),"")</f>
        <v/>
      </c>
      <c r="AF13" s="53" t="str">
        <f>IF(AND('Mapa final'!$AA$51="Muy Alta",'Mapa final'!$AC$51="Mayor"),CONCATENATE("R8C",'Mapa final'!$Q$51),"")</f>
        <v/>
      </c>
      <c r="AG13" s="54" t="str">
        <f>IF(AND('Mapa final'!$AA$52="Muy Alta",'Mapa final'!$AC$52="Mayor"),CONCATENATE("R8C",'Mapa final'!$Q$52),"")</f>
        <v/>
      </c>
      <c r="AH13" s="55" t="str">
        <f>IF(AND('Mapa final'!$AA$47="Muy Alta",'Mapa final'!$AC$47="Catastrófico"),CONCATENATE("R8C",'Mapa final'!$Q$47),"")</f>
        <v/>
      </c>
      <c r="AI13" s="56" t="str">
        <f>IF(AND('Mapa final'!$AA$48="Muy Alta",'Mapa final'!$AC$48="Catastrófico"),CONCATENATE("R8C",'Mapa final'!$Q$48),"")</f>
        <v/>
      </c>
      <c r="AJ13" s="56" t="str">
        <f>IF(AND('Mapa final'!$AA$49="Muy Alta",'Mapa final'!$AC$49="Catastrófico"),CONCATENATE("R8C",'Mapa final'!$Q$49),"")</f>
        <v/>
      </c>
      <c r="AK13" s="56" t="str">
        <f>IF(AND('Mapa final'!$AA$50="Muy Alta",'Mapa final'!$AC$50="Catastrófico"),CONCATENATE("R8C",'Mapa final'!$Q$50),"")</f>
        <v/>
      </c>
      <c r="AL13" s="56" t="str">
        <f>IF(AND('Mapa final'!$AA$51="Muy Alta",'Mapa final'!$AC$51="Catastrófico"),CONCATENATE("R8C",'Mapa final'!$Q$51),"")</f>
        <v/>
      </c>
      <c r="AM13" s="57" t="str">
        <f>IF(AND('Mapa final'!$AA$52="Muy Alta",'Mapa final'!$AC$52="Catastrófico"),CONCATENATE("R8C",'Mapa final'!$Q$52),"")</f>
        <v/>
      </c>
      <c r="AN13" s="83"/>
      <c r="AO13" s="489"/>
      <c r="AP13" s="490"/>
      <c r="AQ13" s="490"/>
      <c r="AR13" s="490"/>
      <c r="AS13" s="490"/>
      <c r="AT13" s="49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3">
      <c r="A14" s="83"/>
      <c r="B14" s="384"/>
      <c r="C14" s="384"/>
      <c r="D14" s="385"/>
      <c r="E14" s="483"/>
      <c r="F14" s="482"/>
      <c r="G14" s="482"/>
      <c r="H14" s="482"/>
      <c r="I14" s="498"/>
      <c r="J14" s="52" t="str">
        <f>IF(AND('Mapa final'!$AA$53="Muy Alta",'Mapa final'!$AC$53="Leve"),CONCATENATE("R9C",'Mapa final'!$Q$53),"")</f>
        <v/>
      </c>
      <c r="K14" s="53" t="str">
        <f>IF(AND('Mapa final'!$AA$54="Muy Alta",'Mapa final'!$AC$54="Leve"),CONCATENATE("R9C",'Mapa final'!$Q$54),"")</f>
        <v/>
      </c>
      <c r="L14" s="53" t="str">
        <f>IF(AND('Mapa final'!$AA$55="Muy Alta",'Mapa final'!$AC$55="Leve"),CONCATENATE("R9C",'Mapa final'!$Q$55),"")</f>
        <v/>
      </c>
      <c r="M14" s="53" t="str">
        <f>IF(AND('Mapa final'!$AA$56="Muy Alta",'Mapa final'!$AC$56="Leve"),CONCATENATE("R9C",'Mapa final'!$Q$56),"")</f>
        <v/>
      </c>
      <c r="N14" s="53" t="str">
        <f>IF(AND('Mapa final'!$AA$57="Muy Alta",'Mapa final'!$AC$57="Leve"),CONCATENATE("R9C",'Mapa final'!$Q$57),"")</f>
        <v/>
      </c>
      <c r="O14" s="54" t="str">
        <f>IF(AND('Mapa final'!$AA$58="Muy Alta",'Mapa final'!$AC$58="Leve"),CONCATENATE("R9C",'Mapa final'!$Q$58),"")</f>
        <v/>
      </c>
      <c r="P14" s="52" t="str">
        <f>IF(AND('Mapa final'!$AA$53="Muy Alta",'Mapa final'!$AC$53="Menor"),CONCATENATE("R9C",'Mapa final'!$Q$53),"")</f>
        <v/>
      </c>
      <c r="Q14" s="53" t="str">
        <f>IF(AND('Mapa final'!$AA$54="Muy Alta",'Mapa final'!$AC$54="Menor"),CONCATENATE("R9C",'Mapa final'!$Q$54),"")</f>
        <v/>
      </c>
      <c r="R14" s="53" t="str">
        <f>IF(AND('Mapa final'!$AA$55="Muy Alta",'Mapa final'!$AC$55="Menor"),CONCATENATE("R9C",'Mapa final'!$Q$55),"")</f>
        <v/>
      </c>
      <c r="S14" s="53" t="str">
        <f>IF(AND('Mapa final'!$AA$56="Muy Alta",'Mapa final'!$AC$56="Menor"),CONCATENATE("R9C",'Mapa final'!$Q$56),"")</f>
        <v/>
      </c>
      <c r="T14" s="53" t="str">
        <f>IF(AND('Mapa final'!$AA$57="Muy Alta",'Mapa final'!$AC$57="Menor"),CONCATENATE("R9C",'Mapa final'!$Q$57),"")</f>
        <v/>
      </c>
      <c r="U14" s="54" t="str">
        <f>IF(AND('Mapa final'!$AA$58="Muy Alta",'Mapa final'!$AC$58="Menor"),CONCATENATE("R9C",'Mapa final'!$Q$58),"")</f>
        <v/>
      </c>
      <c r="V14" s="52" t="str">
        <f>IF(AND('Mapa final'!$AA$53="Muy Alta",'Mapa final'!$AC$53="Moderado"),CONCATENATE("R9C",'Mapa final'!$Q$53),"")</f>
        <v/>
      </c>
      <c r="W14" s="53" t="str">
        <f>IF(AND('Mapa final'!$AA$54="Muy Alta",'Mapa final'!$AC$54="Moderado"),CONCATENATE("R9C",'Mapa final'!$Q$54),"")</f>
        <v/>
      </c>
      <c r="X14" s="53" t="str">
        <f>IF(AND('Mapa final'!$AA$55="Muy Alta",'Mapa final'!$AC$55="Moderado"),CONCATENATE("R9C",'Mapa final'!$Q$55),"")</f>
        <v/>
      </c>
      <c r="Y14" s="53" t="str">
        <f>IF(AND('Mapa final'!$AA$56="Muy Alta",'Mapa final'!$AC$56="Moderado"),CONCATENATE("R9C",'Mapa final'!$Q$56),"")</f>
        <v/>
      </c>
      <c r="Z14" s="53" t="str">
        <f>IF(AND('Mapa final'!$AA$57="Muy Alta",'Mapa final'!$AC$57="Moderado"),CONCATENATE("R9C",'Mapa final'!$Q$57),"")</f>
        <v/>
      </c>
      <c r="AA14" s="54" t="str">
        <f>IF(AND('Mapa final'!$AA$58="Muy Alta",'Mapa final'!$AC$58="Moderado"),CONCATENATE("R9C",'Mapa final'!$Q$58),"")</f>
        <v/>
      </c>
      <c r="AB14" s="52" t="str">
        <f>IF(AND('Mapa final'!$AA$53="Muy Alta",'Mapa final'!$AC$53="Mayor"),CONCATENATE("R9C",'Mapa final'!$Q$53),"")</f>
        <v/>
      </c>
      <c r="AC14" s="53" t="str">
        <f>IF(AND('Mapa final'!$AA$54="Muy Alta",'Mapa final'!$AC$54="Mayor"),CONCATENATE("R9C",'Mapa final'!$Q$54),"")</f>
        <v/>
      </c>
      <c r="AD14" s="53" t="str">
        <f>IF(AND('Mapa final'!$AA$55="Muy Alta",'Mapa final'!$AC$55="Mayor"),CONCATENATE("R9C",'Mapa final'!$Q$55),"")</f>
        <v/>
      </c>
      <c r="AE14" s="53" t="str">
        <f>IF(AND('Mapa final'!$AA$56="Muy Alta",'Mapa final'!$AC$56="Mayor"),CONCATENATE("R9C",'Mapa final'!$Q$56),"")</f>
        <v/>
      </c>
      <c r="AF14" s="53" t="str">
        <f>IF(AND('Mapa final'!$AA$57="Muy Alta",'Mapa final'!$AC$57="Mayor"),CONCATENATE("R9C",'Mapa final'!$Q$57),"")</f>
        <v/>
      </c>
      <c r="AG14" s="54" t="str">
        <f>IF(AND('Mapa final'!$AA$58="Muy Alta",'Mapa final'!$AC$58="Mayor"),CONCATENATE("R9C",'Mapa final'!$Q$58),"")</f>
        <v/>
      </c>
      <c r="AH14" s="55" t="str">
        <f>IF(AND('Mapa final'!$AA$53="Muy Alta",'Mapa final'!$AC$53="Catastrófico"),CONCATENATE("R9C",'Mapa final'!$Q$53),"")</f>
        <v/>
      </c>
      <c r="AI14" s="56" t="str">
        <f>IF(AND('Mapa final'!$AA$54="Muy Alta",'Mapa final'!$AC$54="Catastrófico"),CONCATENATE("R9C",'Mapa final'!$Q$54),"")</f>
        <v/>
      </c>
      <c r="AJ14" s="56" t="str">
        <f>IF(AND('Mapa final'!$AA$55="Muy Alta",'Mapa final'!$AC$55="Catastrófico"),CONCATENATE("R9C",'Mapa final'!$Q$55),"")</f>
        <v/>
      </c>
      <c r="AK14" s="56" t="str">
        <f>IF(AND('Mapa final'!$AA$56="Muy Alta",'Mapa final'!$AC$56="Catastrófico"),CONCATENATE("R9C",'Mapa final'!$Q$56),"")</f>
        <v/>
      </c>
      <c r="AL14" s="56" t="str">
        <f>IF(AND('Mapa final'!$AA$57="Muy Alta",'Mapa final'!$AC$57="Catastrófico"),CONCATENATE("R9C",'Mapa final'!$Q$57),"")</f>
        <v/>
      </c>
      <c r="AM14" s="57" t="str">
        <f>IF(AND('Mapa final'!$AA$58="Muy Alta",'Mapa final'!$AC$58="Catastrófico"),CONCATENATE("R9C",'Mapa final'!$Q$58),"")</f>
        <v/>
      </c>
      <c r="AN14" s="83"/>
      <c r="AO14" s="489"/>
      <c r="AP14" s="490"/>
      <c r="AQ14" s="490"/>
      <c r="AR14" s="490"/>
      <c r="AS14" s="490"/>
      <c r="AT14" s="49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5">
      <c r="A15" s="83"/>
      <c r="B15" s="384"/>
      <c r="C15" s="384"/>
      <c r="D15" s="385"/>
      <c r="E15" s="484"/>
      <c r="F15" s="485"/>
      <c r="G15" s="485"/>
      <c r="H15" s="485"/>
      <c r="I15" s="499"/>
      <c r="J15" s="58" t="str">
        <f>IF(AND('Mapa final'!$AA$59="Muy Alta",'Mapa final'!$AC$59="Leve"),CONCATENATE("R10C",'Mapa final'!$Q$59),"")</f>
        <v/>
      </c>
      <c r="K15" s="59" t="str">
        <f>IF(AND('Mapa final'!$AA$60="Muy Alta",'Mapa final'!$AC$60="Leve"),CONCATENATE("R10C",'Mapa final'!$Q$60),"")</f>
        <v/>
      </c>
      <c r="L15" s="59" t="str">
        <f>IF(AND('Mapa final'!$AA$61="Muy Alta",'Mapa final'!$AC$61="Leve"),CONCATENATE("R10C",'Mapa final'!$Q$61),"")</f>
        <v/>
      </c>
      <c r="M15" s="59" t="str">
        <f>IF(AND('Mapa final'!$AA$62="Muy Alta",'Mapa final'!$AC$62="Leve"),CONCATENATE("R10C",'Mapa final'!$Q$62),"")</f>
        <v/>
      </c>
      <c r="N15" s="59" t="str">
        <f>IF(AND('Mapa final'!$AA$63="Muy Alta",'Mapa final'!$AC$63="Leve"),CONCATENATE("R10C",'Mapa final'!$Q$63),"")</f>
        <v/>
      </c>
      <c r="O15" s="60" t="str">
        <f>IF(AND('Mapa final'!$AA$64="Muy Alta",'Mapa final'!$AC$64="Leve"),CONCATENATE("R10C",'Mapa final'!$Q$64),"")</f>
        <v/>
      </c>
      <c r="P15" s="52" t="str">
        <f>IF(AND('Mapa final'!$AA$59="Muy Alta",'Mapa final'!$AC$59="Menor"),CONCATENATE("R10C",'Mapa final'!$Q$59),"")</f>
        <v/>
      </c>
      <c r="Q15" s="53" t="str">
        <f>IF(AND('Mapa final'!$AA$60="Muy Alta",'Mapa final'!$AC$60="Menor"),CONCATENATE("R10C",'Mapa final'!$Q$60),"")</f>
        <v/>
      </c>
      <c r="R15" s="53" t="str">
        <f>IF(AND('Mapa final'!$AA$61="Muy Alta",'Mapa final'!$AC$61="Menor"),CONCATENATE("R10C",'Mapa final'!$Q$61),"")</f>
        <v/>
      </c>
      <c r="S15" s="53" t="str">
        <f>IF(AND('Mapa final'!$AA$62="Muy Alta",'Mapa final'!$AC$62="Menor"),CONCATENATE("R10C",'Mapa final'!$Q$62),"")</f>
        <v/>
      </c>
      <c r="T15" s="53" t="str">
        <f>IF(AND('Mapa final'!$AA$63="Muy Alta",'Mapa final'!$AC$63="Menor"),CONCATENATE("R10C",'Mapa final'!$Q$63),"")</f>
        <v/>
      </c>
      <c r="U15" s="54" t="str">
        <f>IF(AND('Mapa final'!$AA$64="Muy Alta",'Mapa final'!$AC$64="Menor"),CONCATENATE("R10C",'Mapa final'!$Q$64),"")</f>
        <v/>
      </c>
      <c r="V15" s="58" t="str">
        <f>IF(AND('Mapa final'!$AA$59="Muy Alta",'Mapa final'!$AC$59="Moderado"),CONCATENATE("R10C",'Mapa final'!$Q$59),"")</f>
        <v/>
      </c>
      <c r="W15" s="59" t="str">
        <f>IF(AND('Mapa final'!$AA$60="Muy Alta",'Mapa final'!$AC$60="Moderado"),CONCATENATE("R10C",'Mapa final'!$Q$60),"")</f>
        <v/>
      </c>
      <c r="X15" s="59" t="str">
        <f>IF(AND('Mapa final'!$AA$61="Muy Alta",'Mapa final'!$AC$61="Moderado"),CONCATENATE("R10C",'Mapa final'!$Q$61),"")</f>
        <v/>
      </c>
      <c r="Y15" s="59" t="str">
        <f>IF(AND('Mapa final'!$AA$62="Muy Alta",'Mapa final'!$AC$62="Moderado"),CONCATENATE("R10C",'Mapa final'!$Q$62),"")</f>
        <v/>
      </c>
      <c r="Z15" s="59" t="str">
        <f>IF(AND('Mapa final'!$AA$63="Muy Alta",'Mapa final'!$AC$63="Moderado"),CONCATENATE("R10C",'Mapa final'!$Q$63),"")</f>
        <v/>
      </c>
      <c r="AA15" s="60" t="str">
        <f>IF(AND('Mapa final'!$AA$64="Muy Alta",'Mapa final'!$AC$64="Moderado"),CONCATENATE("R10C",'Mapa final'!$Q$64),"")</f>
        <v/>
      </c>
      <c r="AB15" s="52" t="str">
        <f>IF(AND('Mapa final'!$AA$59="Muy Alta",'Mapa final'!$AC$59="Mayor"),CONCATENATE("R10C",'Mapa final'!$Q$59),"")</f>
        <v/>
      </c>
      <c r="AC15" s="53" t="str">
        <f>IF(AND('Mapa final'!$AA$60="Muy Alta",'Mapa final'!$AC$60="Mayor"),CONCATENATE("R10C",'Mapa final'!$Q$60),"")</f>
        <v/>
      </c>
      <c r="AD15" s="53" t="str">
        <f>IF(AND('Mapa final'!$AA$61="Muy Alta",'Mapa final'!$AC$61="Mayor"),CONCATENATE("R10C",'Mapa final'!$Q$61),"")</f>
        <v/>
      </c>
      <c r="AE15" s="53" t="str">
        <f>IF(AND('Mapa final'!$AA$62="Muy Alta",'Mapa final'!$AC$62="Mayor"),CONCATENATE("R10C",'Mapa final'!$Q$62),"")</f>
        <v/>
      </c>
      <c r="AF15" s="53" t="str">
        <f>IF(AND('Mapa final'!$AA$63="Muy Alta",'Mapa final'!$AC$63="Mayor"),CONCATENATE("R10C",'Mapa final'!$Q$63),"")</f>
        <v/>
      </c>
      <c r="AG15" s="54" t="str">
        <f>IF(AND('Mapa final'!$AA$64="Muy Alta",'Mapa final'!$AC$64="Mayor"),CONCATENATE("R10C",'Mapa final'!$Q$64),"")</f>
        <v/>
      </c>
      <c r="AH15" s="61" t="str">
        <f>IF(AND('Mapa final'!$AA$59="Muy Alta",'Mapa final'!$AC$59="Catastrófico"),CONCATENATE("R10C",'Mapa final'!$Q$59),"")</f>
        <v/>
      </c>
      <c r="AI15" s="62" t="str">
        <f>IF(AND('Mapa final'!$AA$60="Muy Alta",'Mapa final'!$AC$60="Catastrófico"),CONCATENATE("R10C",'Mapa final'!$Q$60),"")</f>
        <v/>
      </c>
      <c r="AJ15" s="62" t="str">
        <f>IF(AND('Mapa final'!$AA$61="Muy Alta",'Mapa final'!$AC$61="Catastrófico"),CONCATENATE("R10C",'Mapa final'!$Q$61),"")</f>
        <v/>
      </c>
      <c r="AK15" s="62" t="str">
        <f>IF(AND('Mapa final'!$AA$62="Muy Alta",'Mapa final'!$AC$62="Catastrófico"),CONCATENATE("R10C",'Mapa final'!$Q$62),"")</f>
        <v/>
      </c>
      <c r="AL15" s="62" t="str">
        <f>IF(AND('Mapa final'!$AA$63="Muy Alta",'Mapa final'!$AC$63="Catastrófico"),CONCATENATE("R10C",'Mapa final'!$Q$63),"")</f>
        <v/>
      </c>
      <c r="AM15" s="63" t="str">
        <f>IF(AND('Mapa final'!$AA$64="Muy Alta",'Mapa final'!$AC$64="Catastrófico"),CONCATENATE("R10C",'Mapa final'!$Q$64),"")</f>
        <v/>
      </c>
      <c r="AN15" s="83"/>
      <c r="AO15" s="492"/>
      <c r="AP15" s="493"/>
      <c r="AQ15" s="493"/>
      <c r="AR15" s="493"/>
      <c r="AS15" s="493"/>
      <c r="AT15" s="49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3">
      <c r="A16" s="83"/>
      <c r="B16" s="384"/>
      <c r="C16" s="384"/>
      <c r="D16" s="385"/>
      <c r="E16" s="479" t="s">
        <v>115</v>
      </c>
      <c r="F16" s="480"/>
      <c r="G16" s="480"/>
      <c r="H16" s="480"/>
      <c r="I16" s="480"/>
      <c r="J16" s="64" t="str">
        <f ca="1">IF(AND('Mapa final'!$AA$9="Alta",'Mapa final'!$AC$9="Leve"),CONCATENATE("R1C",'Mapa final'!$Q$9),"")</f>
        <v/>
      </c>
      <c r="K16" s="65" t="str">
        <f ca="1">IF(AND('Mapa final'!$AA$10="Alta",'Mapa final'!$AC$10="Leve"),CONCATENATE("R1C",'Mapa final'!$Q$10),"")</f>
        <v/>
      </c>
      <c r="L16" s="65" t="str">
        <f>IF(AND('Mapa final'!$AA$11="Alta",'Mapa final'!$AC$11="Leve"),CONCATENATE("R1C",'Mapa final'!$Q$11),"")</f>
        <v/>
      </c>
      <c r="M16" s="65" t="str">
        <f>IF(AND('Mapa final'!$AA$12="Alta",'Mapa final'!$AC$12="Leve"),CONCATENATE("R1C",'Mapa final'!$Q$12),"")</f>
        <v/>
      </c>
      <c r="N16" s="65" t="e">
        <f>IF(AND('Mapa final'!#REF!="Alta",'Mapa final'!#REF!="Leve"),CONCATENATE("R1C",'Mapa final'!#REF!),"")</f>
        <v>#REF!</v>
      </c>
      <c r="O16" s="66" t="e">
        <f>IF(AND('Mapa final'!#REF!="Alta",'Mapa final'!#REF!="Leve"),CONCATENATE("R1C",'Mapa final'!#REF!),"")</f>
        <v>#REF!</v>
      </c>
      <c r="P16" s="64" t="str">
        <f ca="1">IF(AND('Mapa final'!$AA$9="Alta",'Mapa final'!$AC$9="Menor"),CONCATENATE("R1C",'Mapa final'!$Q$9),"")</f>
        <v/>
      </c>
      <c r="Q16" s="65" t="str">
        <f ca="1">IF(AND('Mapa final'!$AA$10="Alta",'Mapa final'!$AC$10="Menor"),CONCATENATE("R1C",'Mapa final'!$Q$10),"")</f>
        <v/>
      </c>
      <c r="R16" s="65" t="str">
        <f>IF(AND('Mapa final'!$AA$11="Alta",'Mapa final'!$AC$11="Menor"),CONCATENATE("R1C",'Mapa final'!$Q$11),"")</f>
        <v/>
      </c>
      <c r="S16" s="65" t="str">
        <f>IF(AND('Mapa final'!$AA$12="Alta",'Mapa final'!$AC$12="Menor"),CONCATENATE("R1C",'Mapa final'!$Q$12),"")</f>
        <v/>
      </c>
      <c r="T16" s="65" t="e">
        <f>IF(AND('Mapa final'!#REF!="Alta",'Mapa final'!#REF!="Menor"),CONCATENATE("R1C",'Mapa final'!#REF!),"")</f>
        <v>#REF!</v>
      </c>
      <c r="U16" s="66" t="e">
        <f>IF(AND('Mapa final'!#REF!="Alta",'Mapa final'!#REF!="Menor"),CONCATENATE("R1C",'Mapa final'!#REF!),"")</f>
        <v>#REF!</v>
      </c>
      <c r="V16" s="46" t="str">
        <f ca="1">IF(AND('Mapa final'!$AA$9="Alta",'Mapa final'!$AC$9="Moderado"),CONCATENATE("R1C",'Mapa final'!$Q$9),"")</f>
        <v/>
      </c>
      <c r="W16" s="47" t="str">
        <f ca="1">IF(AND('Mapa final'!$AA$10="Alta",'Mapa final'!$AC$10="Moderado"),CONCATENATE("R1C",'Mapa final'!$Q$10),"")</f>
        <v/>
      </c>
      <c r="X16" s="47" t="str">
        <f>IF(AND('Mapa final'!$AA$11="Alta",'Mapa final'!$AC$11="Moderado"),CONCATENATE("R1C",'Mapa final'!$Q$11),"")</f>
        <v/>
      </c>
      <c r="Y16" s="47" t="str">
        <f>IF(AND('Mapa final'!$AA$12="Alta",'Mapa final'!$AC$12="Moderado"),CONCATENATE("R1C",'Mapa final'!$Q$12),"")</f>
        <v/>
      </c>
      <c r="Z16" s="47" t="e">
        <f>IF(AND('Mapa final'!#REF!="Alta",'Mapa final'!#REF!="Moderado"),CONCATENATE("R1C",'Mapa final'!#REF!),"")</f>
        <v>#REF!</v>
      </c>
      <c r="AA16" s="48" t="e">
        <f>IF(AND('Mapa final'!#REF!="Alta",'Mapa final'!#REF!="Moderado"),CONCATENATE("R1C",'Mapa final'!#REF!),"")</f>
        <v>#REF!</v>
      </c>
      <c r="AB16" s="46" t="str">
        <f ca="1">IF(AND('Mapa final'!$AA$9="Alta",'Mapa final'!$AC$9="Mayor"),CONCATENATE("R1C",'Mapa final'!$Q$9),"")</f>
        <v/>
      </c>
      <c r="AC16" s="47" t="str">
        <f ca="1">IF(AND('Mapa final'!$AA$10="Alta",'Mapa final'!$AC$10="Mayor"),CONCATENATE("R1C",'Mapa final'!$Q$10),"")</f>
        <v/>
      </c>
      <c r="AD16" s="47" t="str">
        <f>IF(AND('Mapa final'!$AA$11="Alta",'Mapa final'!$AC$11="Mayor"),CONCATENATE("R1C",'Mapa final'!$Q$11),"")</f>
        <v/>
      </c>
      <c r="AE16" s="47" t="str">
        <f>IF(AND('Mapa final'!$AA$12="Alta",'Mapa final'!$AC$12="Mayor"),CONCATENATE("R1C",'Mapa final'!$Q$12),"")</f>
        <v/>
      </c>
      <c r="AF16" s="47" t="e">
        <f>IF(AND('Mapa final'!#REF!="Alta",'Mapa final'!#REF!="Mayor"),CONCATENATE("R1C",'Mapa final'!#REF!),"")</f>
        <v>#REF!</v>
      </c>
      <c r="AG16" s="48" t="e">
        <f>IF(AND('Mapa final'!#REF!="Alta",'Mapa final'!#REF!="Mayor"),CONCATENATE("R1C",'Mapa final'!#REF!),"")</f>
        <v>#REF!</v>
      </c>
      <c r="AH16" s="49" t="str">
        <f ca="1">IF(AND('Mapa final'!$AA$9="Alta",'Mapa final'!$AC$9="Catastrófico"),CONCATENATE("R1C",'Mapa final'!$Q$9),"")</f>
        <v/>
      </c>
      <c r="AI16" s="50" t="str">
        <f ca="1">IF(AND('Mapa final'!$AA$10="Alta",'Mapa final'!$AC$10="Catastrófico"),CONCATENATE("R1C",'Mapa final'!$Q$10),"")</f>
        <v/>
      </c>
      <c r="AJ16" s="50" t="str">
        <f>IF(AND('Mapa final'!$AA$11="Alta",'Mapa final'!$AC$11="Catastrófico"),CONCATENATE("R1C",'Mapa final'!$Q$11),"")</f>
        <v/>
      </c>
      <c r="AK16" s="50" t="str">
        <f>IF(AND('Mapa final'!$AA$12="Alta",'Mapa final'!$AC$12="Catastrófico"),CONCATENATE("R1C",'Mapa final'!$Q$12),"")</f>
        <v/>
      </c>
      <c r="AL16" s="50" t="e">
        <f>IF(AND('Mapa final'!#REF!="Alta",'Mapa final'!#REF!="Catastrófico"),CONCATENATE("R1C",'Mapa final'!#REF!),"")</f>
        <v>#REF!</v>
      </c>
      <c r="AM16" s="51" t="e">
        <f>IF(AND('Mapa final'!#REF!="Alta",'Mapa final'!#REF!="Catastrófico"),CONCATENATE("R1C",'Mapa final'!#REF!),"")</f>
        <v>#REF!</v>
      </c>
      <c r="AN16" s="83"/>
      <c r="AO16" s="470" t="s">
        <v>80</v>
      </c>
      <c r="AP16" s="471"/>
      <c r="AQ16" s="471"/>
      <c r="AR16" s="471"/>
      <c r="AS16" s="471"/>
      <c r="AT16" s="47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3">
      <c r="A17" s="83"/>
      <c r="B17" s="384"/>
      <c r="C17" s="384"/>
      <c r="D17" s="385"/>
      <c r="E17" s="481"/>
      <c r="F17" s="482"/>
      <c r="G17" s="482"/>
      <c r="H17" s="482"/>
      <c r="I17" s="482"/>
      <c r="J17" s="67" t="str">
        <f ca="1">IF(AND('Mapa final'!$AA$13="Alta",'Mapa final'!$AC$13="Leve"),CONCATENATE("R2C",'Mapa final'!$Q$13),"")</f>
        <v/>
      </c>
      <c r="K17" s="68" t="e">
        <f>IF(AND('Mapa final'!#REF!="Alta",'Mapa final'!#REF!="Leve"),CONCATENATE("R2C",'Mapa final'!#REF!),"")</f>
        <v>#REF!</v>
      </c>
      <c r="L17" s="68" t="str">
        <f>IF(AND('Mapa final'!$AA$14="Alta",'Mapa final'!$AC$14="Leve"),CONCATENATE("R2C",'Mapa final'!$Q$14),"")</f>
        <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 ca="1">IF(AND('Mapa final'!$AA$13="Alta",'Mapa final'!$AC$13="Menor"),CONCATENATE("R2C",'Mapa final'!$Q$13),"")</f>
        <v/>
      </c>
      <c r="Q17" s="68" t="e">
        <f>IF(AND('Mapa final'!#REF!="Alta",'Mapa final'!#REF!="Menor"),CONCATENATE("R2C",'Mapa final'!#REF!),"")</f>
        <v>#REF!</v>
      </c>
      <c r="R17" s="68" t="str">
        <f>IF(AND('Mapa final'!$AA$14="Alta",'Mapa final'!$AC$14="Menor"),CONCATENATE("R2C",'Mapa final'!$Q$14),"")</f>
        <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 ca="1">IF(AND('Mapa final'!$AA$13="Alta",'Mapa final'!$AC$13="Moderado"),CONCATENATE("R2C",'Mapa final'!$Q$13),"")</f>
        <v/>
      </c>
      <c r="W17" s="53" t="e">
        <f>IF(AND('Mapa final'!#REF!="Alta",'Mapa final'!#REF!="Moderado"),CONCATENATE("R2C",'Mapa final'!#REF!),"")</f>
        <v>#REF!</v>
      </c>
      <c r="X17" s="53" t="str">
        <f>IF(AND('Mapa final'!$AA$14="Alta",'Mapa final'!$AC$14="Moderado"),CONCATENATE("R2C",'Mapa final'!$Q$14),"")</f>
        <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 ca="1">IF(AND('Mapa final'!$AA$13="Alta",'Mapa final'!$AC$13="Mayor"),CONCATENATE("R2C",'Mapa final'!$Q$13),"")</f>
        <v/>
      </c>
      <c r="AC17" s="53" t="e">
        <f>IF(AND('Mapa final'!#REF!="Alta",'Mapa final'!#REF!="Mayor"),CONCATENATE("R2C",'Mapa final'!#REF!),"")</f>
        <v>#REF!</v>
      </c>
      <c r="AD17" s="53" t="str">
        <f>IF(AND('Mapa final'!$AA$14="Alta",'Mapa final'!$AC$14="Mayor"),CONCATENATE("R2C",'Mapa final'!$Q$14),"")</f>
        <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 ca="1">IF(AND('Mapa final'!$AA$13="Alta",'Mapa final'!$AC$13="Catastrófico"),CONCATENATE("R2C",'Mapa final'!$Q$13),"")</f>
        <v/>
      </c>
      <c r="AI17" s="56" t="e">
        <f>IF(AND('Mapa final'!#REF!="Alta",'Mapa final'!#REF!="Catastrófico"),CONCATENATE("R2C",'Mapa final'!#REF!),"")</f>
        <v>#REF!</v>
      </c>
      <c r="AJ17" s="56" t="str">
        <f>IF(AND('Mapa final'!$AA$14="Alta",'Mapa final'!$AC$14="Catastrófico"),CONCATENATE("R2C",'Mapa final'!$Q$14),"")</f>
        <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473"/>
      <c r="AP17" s="474"/>
      <c r="AQ17" s="474"/>
      <c r="AR17" s="474"/>
      <c r="AS17" s="474"/>
      <c r="AT17" s="47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3">
      <c r="A18" s="83"/>
      <c r="B18" s="384"/>
      <c r="C18" s="384"/>
      <c r="D18" s="385"/>
      <c r="E18" s="483"/>
      <c r="F18" s="482"/>
      <c r="G18" s="482"/>
      <c r="H18" s="482"/>
      <c r="I18" s="482"/>
      <c r="J18" s="67" t="str">
        <f>IF(AND('Mapa final'!$AA$17="Alta",'Mapa final'!$AC$17="Leve"),CONCATENATE("R3C",'Mapa final'!$Q$17),"")</f>
        <v/>
      </c>
      <c r="K18" s="68" t="str">
        <f>IF(AND('Mapa final'!$AA$18="Alta",'Mapa final'!$AC$18="Leve"),CONCATENATE("R3C",'Mapa final'!$Q$18),"")</f>
        <v/>
      </c>
      <c r="L18" s="68" t="str">
        <f>IF(AND('Mapa final'!$AA$19="Alta",'Mapa final'!$AC$19="Leve"),CONCATENATE("R3C",'Mapa final'!$Q$19),"")</f>
        <v/>
      </c>
      <c r="M18" s="68" t="str">
        <f>IF(AND('Mapa final'!$AA$20="Alta",'Mapa final'!$AC$20="Leve"),CONCATENATE("R3C",'Mapa final'!$Q$20),"")</f>
        <v/>
      </c>
      <c r="N18" s="68" t="str">
        <f>IF(AND('Mapa final'!$AA$21="Alta",'Mapa final'!$AC$21="Leve"),CONCATENATE("R3C",'Mapa final'!$Q$21),"")</f>
        <v/>
      </c>
      <c r="O18" s="69" t="str">
        <f>IF(AND('Mapa final'!$AA$22="Alta",'Mapa final'!$AC$22="Leve"),CONCATENATE("R3C",'Mapa final'!$Q$22),"")</f>
        <v/>
      </c>
      <c r="P18" s="67" t="str">
        <f>IF(AND('Mapa final'!$AA$17="Alta",'Mapa final'!$AC$17="Menor"),CONCATENATE("R3C",'Mapa final'!$Q$17),"")</f>
        <v/>
      </c>
      <c r="Q18" s="68" t="str">
        <f>IF(AND('Mapa final'!$AA$18="Alta",'Mapa final'!$AC$18="Menor"),CONCATENATE("R3C",'Mapa final'!$Q$18),"")</f>
        <v/>
      </c>
      <c r="R18" s="68" t="str">
        <f>IF(AND('Mapa final'!$AA$19="Alta",'Mapa final'!$AC$19="Menor"),CONCATENATE("R3C",'Mapa final'!$Q$19),"")</f>
        <v/>
      </c>
      <c r="S18" s="68" t="str">
        <f>IF(AND('Mapa final'!$AA$20="Alta",'Mapa final'!$AC$20="Menor"),CONCATENATE("R3C",'Mapa final'!$Q$20),"")</f>
        <v/>
      </c>
      <c r="T18" s="68" t="str">
        <f>IF(AND('Mapa final'!$AA$21="Alta",'Mapa final'!$AC$21="Menor"),CONCATENATE("R3C",'Mapa final'!$Q$21),"")</f>
        <v/>
      </c>
      <c r="U18" s="69" t="str">
        <f>IF(AND('Mapa final'!$AA$22="Alta",'Mapa final'!$AC$22="Menor"),CONCATENATE("R3C",'Mapa final'!$Q$22),"")</f>
        <v/>
      </c>
      <c r="V18" s="52" t="str">
        <f>IF(AND('Mapa final'!$AA$17="Alta",'Mapa final'!$AC$17="Moderado"),CONCATENATE("R3C",'Mapa final'!$Q$17),"")</f>
        <v/>
      </c>
      <c r="W18" s="53" t="str">
        <f>IF(AND('Mapa final'!$AA$18="Alta",'Mapa final'!$AC$18="Moderado"),CONCATENATE("R3C",'Mapa final'!$Q$18),"")</f>
        <v/>
      </c>
      <c r="X18" s="53" t="str">
        <f>IF(AND('Mapa final'!$AA$19="Alta",'Mapa final'!$AC$19="Moderado"),CONCATENATE("R3C",'Mapa final'!$Q$19),"")</f>
        <v/>
      </c>
      <c r="Y18" s="53" t="str">
        <f>IF(AND('Mapa final'!$AA$20="Alta",'Mapa final'!$AC$20="Moderado"),CONCATENATE("R3C",'Mapa final'!$Q$20),"")</f>
        <v/>
      </c>
      <c r="Z18" s="53" t="str">
        <f>IF(AND('Mapa final'!$AA$21="Alta",'Mapa final'!$AC$21="Moderado"),CONCATENATE("R3C",'Mapa final'!$Q$21),"")</f>
        <v/>
      </c>
      <c r="AA18" s="54" t="str">
        <f>IF(AND('Mapa final'!$AA$22="Alta",'Mapa final'!$AC$22="Moderado"),CONCATENATE("R3C",'Mapa final'!$Q$22),"")</f>
        <v/>
      </c>
      <c r="AB18" s="52" t="str">
        <f>IF(AND('Mapa final'!$AA$17="Alta",'Mapa final'!$AC$17="Mayor"),CONCATENATE("R3C",'Mapa final'!$Q$17),"")</f>
        <v/>
      </c>
      <c r="AC18" s="53" t="str">
        <f>IF(AND('Mapa final'!$AA$18="Alta",'Mapa final'!$AC$18="Mayor"),CONCATENATE("R3C",'Mapa final'!$Q$18),"")</f>
        <v/>
      </c>
      <c r="AD18" s="53" t="str">
        <f>IF(AND('Mapa final'!$AA$19="Alta",'Mapa final'!$AC$19="Mayor"),CONCATENATE("R3C",'Mapa final'!$Q$19),"")</f>
        <v/>
      </c>
      <c r="AE18" s="53" t="str">
        <f>IF(AND('Mapa final'!$AA$20="Alta",'Mapa final'!$AC$20="Mayor"),CONCATENATE("R3C",'Mapa final'!$Q$20),"")</f>
        <v/>
      </c>
      <c r="AF18" s="53" t="str">
        <f>IF(AND('Mapa final'!$AA$21="Alta",'Mapa final'!$AC$21="Mayor"),CONCATENATE("R3C",'Mapa final'!$Q$21),"")</f>
        <v/>
      </c>
      <c r="AG18" s="54" t="str">
        <f>IF(AND('Mapa final'!$AA$22="Alta",'Mapa final'!$AC$22="Mayor"),CONCATENATE("R3C",'Mapa final'!$Q$22),"")</f>
        <v/>
      </c>
      <c r="AH18" s="55" t="str">
        <f>IF(AND('Mapa final'!$AA$17="Alta",'Mapa final'!$AC$17="Catastrófico"),CONCATENATE("R3C",'Mapa final'!$Q$17),"")</f>
        <v/>
      </c>
      <c r="AI18" s="56" t="str">
        <f>IF(AND('Mapa final'!$AA$18="Alta",'Mapa final'!$AC$18="Catastrófico"),CONCATENATE("R3C",'Mapa final'!$Q$18),"")</f>
        <v/>
      </c>
      <c r="AJ18" s="56" t="str">
        <f>IF(AND('Mapa final'!$AA$19="Alta",'Mapa final'!$AC$19="Catastrófico"),CONCATENATE("R3C",'Mapa final'!$Q$19),"")</f>
        <v/>
      </c>
      <c r="AK18" s="56" t="str">
        <f>IF(AND('Mapa final'!$AA$20="Alta",'Mapa final'!$AC$20="Catastrófico"),CONCATENATE("R3C",'Mapa final'!$Q$20),"")</f>
        <v/>
      </c>
      <c r="AL18" s="56" t="str">
        <f>IF(AND('Mapa final'!$AA$21="Alta",'Mapa final'!$AC$21="Catastrófico"),CONCATENATE("R3C",'Mapa final'!$Q$21),"")</f>
        <v/>
      </c>
      <c r="AM18" s="57" t="str">
        <f>IF(AND('Mapa final'!$AA$22="Alta",'Mapa final'!$AC$22="Catastrófico"),CONCATENATE("R3C",'Mapa final'!$Q$22),"")</f>
        <v/>
      </c>
      <c r="AN18" s="83"/>
      <c r="AO18" s="473"/>
      <c r="AP18" s="474"/>
      <c r="AQ18" s="474"/>
      <c r="AR18" s="474"/>
      <c r="AS18" s="474"/>
      <c r="AT18" s="47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3">
      <c r="A19" s="83"/>
      <c r="B19" s="384"/>
      <c r="C19" s="384"/>
      <c r="D19" s="385"/>
      <c r="E19" s="483"/>
      <c r="F19" s="482"/>
      <c r="G19" s="482"/>
      <c r="H19" s="482"/>
      <c r="I19" s="482"/>
      <c r="J19" s="67" t="str">
        <f>IF(AND('Mapa final'!$AA$23="Alta",'Mapa final'!$AC$23="Leve"),CONCATENATE("R4C",'Mapa final'!$Q$23),"")</f>
        <v/>
      </c>
      <c r="K19" s="68" t="str">
        <f>IF(AND('Mapa final'!$AA$24="Alta",'Mapa final'!$AC$24="Leve"),CONCATENATE("R4C",'Mapa final'!$Q$24),"")</f>
        <v/>
      </c>
      <c r="L19" s="68" t="str">
        <f>IF(AND('Mapa final'!$AA$25="Alta",'Mapa final'!$AC$25="Leve"),CONCATENATE("R4C",'Mapa final'!$Q$25),"")</f>
        <v/>
      </c>
      <c r="M19" s="68" t="str">
        <f>IF(AND('Mapa final'!$AA$26="Alta",'Mapa final'!$AC$26="Leve"),CONCATENATE("R4C",'Mapa final'!$Q$26),"")</f>
        <v/>
      </c>
      <c r="N19" s="68" t="str">
        <f>IF(AND('Mapa final'!$AA$27="Alta",'Mapa final'!$AC$27="Leve"),CONCATENATE("R4C",'Mapa final'!$Q$27),"")</f>
        <v/>
      </c>
      <c r="O19" s="69" t="str">
        <f>IF(AND('Mapa final'!$AA$28="Alta",'Mapa final'!$AC$28="Leve"),CONCATENATE("R4C",'Mapa final'!$Q$28),"")</f>
        <v/>
      </c>
      <c r="P19" s="67" t="str">
        <f>IF(AND('Mapa final'!$AA$23="Alta",'Mapa final'!$AC$23="Menor"),CONCATENATE("R4C",'Mapa final'!$Q$23),"")</f>
        <v/>
      </c>
      <c r="Q19" s="68" t="str">
        <f>IF(AND('Mapa final'!$AA$24="Alta",'Mapa final'!$AC$24="Menor"),CONCATENATE("R4C",'Mapa final'!$Q$24),"")</f>
        <v/>
      </c>
      <c r="R19" s="68" t="str">
        <f>IF(AND('Mapa final'!$AA$25="Alta",'Mapa final'!$AC$25="Menor"),CONCATENATE("R4C",'Mapa final'!$Q$25),"")</f>
        <v/>
      </c>
      <c r="S19" s="68" t="str">
        <f>IF(AND('Mapa final'!$AA$26="Alta",'Mapa final'!$AC$26="Menor"),CONCATENATE("R4C",'Mapa final'!$Q$26),"")</f>
        <v/>
      </c>
      <c r="T19" s="68" t="str">
        <f>IF(AND('Mapa final'!$AA$27="Alta",'Mapa final'!$AC$27="Menor"),CONCATENATE("R4C",'Mapa final'!$Q$27),"")</f>
        <v/>
      </c>
      <c r="U19" s="69" t="str">
        <f>IF(AND('Mapa final'!$AA$28="Alta",'Mapa final'!$AC$28="Menor"),CONCATENATE("R4C",'Mapa final'!$Q$28),"")</f>
        <v/>
      </c>
      <c r="V19" s="52" t="str">
        <f>IF(AND('Mapa final'!$AA$23="Alta",'Mapa final'!$AC$23="Moderado"),CONCATENATE("R4C",'Mapa final'!$Q$23),"")</f>
        <v/>
      </c>
      <c r="W19" s="53" t="str">
        <f>IF(AND('Mapa final'!$AA$24="Alta",'Mapa final'!$AC$24="Moderado"),CONCATENATE("R4C",'Mapa final'!$Q$24),"")</f>
        <v/>
      </c>
      <c r="X19" s="53" t="str">
        <f>IF(AND('Mapa final'!$AA$25="Alta",'Mapa final'!$AC$25="Moderado"),CONCATENATE("R4C",'Mapa final'!$Q$25),"")</f>
        <v/>
      </c>
      <c r="Y19" s="53" t="str">
        <f>IF(AND('Mapa final'!$AA$26="Alta",'Mapa final'!$AC$26="Moderado"),CONCATENATE("R4C",'Mapa final'!$Q$26),"")</f>
        <v/>
      </c>
      <c r="Z19" s="53" t="str">
        <f>IF(AND('Mapa final'!$AA$27="Alta",'Mapa final'!$AC$27="Moderado"),CONCATENATE("R4C",'Mapa final'!$Q$27),"")</f>
        <v/>
      </c>
      <c r="AA19" s="54" t="str">
        <f>IF(AND('Mapa final'!$AA$28="Alta",'Mapa final'!$AC$28="Moderado"),CONCATENATE("R4C",'Mapa final'!$Q$28),"")</f>
        <v/>
      </c>
      <c r="AB19" s="52" t="str">
        <f>IF(AND('Mapa final'!$AA$23="Alta",'Mapa final'!$AC$23="Mayor"),CONCATENATE("R4C",'Mapa final'!$Q$23),"")</f>
        <v/>
      </c>
      <c r="AC19" s="53" t="str">
        <f>IF(AND('Mapa final'!$AA$24="Alta",'Mapa final'!$AC$24="Mayor"),CONCATENATE("R4C",'Mapa final'!$Q$24),"")</f>
        <v/>
      </c>
      <c r="AD19" s="53" t="str">
        <f>IF(AND('Mapa final'!$AA$25="Alta",'Mapa final'!$AC$25="Mayor"),CONCATENATE("R4C",'Mapa final'!$Q$25),"")</f>
        <v/>
      </c>
      <c r="AE19" s="53" t="str">
        <f>IF(AND('Mapa final'!$AA$26="Alta",'Mapa final'!$AC$26="Mayor"),CONCATENATE("R4C",'Mapa final'!$Q$26),"")</f>
        <v/>
      </c>
      <c r="AF19" s="53" t="str">
        <f>IF(AND('Mapa final'!$AA$27="Alta",'Mapa final'!$AC$27="Mayor"),CONCATENATE("R4C",'Mapa final'!$Q$27),"")</f>
        <v/>
      </c>
      <c r="AG19" s="54" t="str">
        <f>IF(AND('Mapa final'!$AA$28="Alta",'Mapa final'!$AC$28="Mayor"),CONCATENATE("R4C",'Mapa final'!$Q$28),"")</f>
        <v/>
      </c>
      <c r="AH19" s="55" t="str">
        <f>IF(AND('Mapa final'!$AA$23="Alta",'Mapa final'!$AC$23="Catastrófico"),CONCATENATE("R4C",'Mapa final'!$Q$23),"")</f>
        <v/>
      </c>
      <c r="AI19" s="56" t="str">
        <f>IF(AND('Mapa final'!$AA$24="Alta",'Mapa final'!$AC$24="Catastrófico"),CONCATENATE("R4C",'Mapa final'!$Q$24),"")</f>
        <v/>
      </c>
      <c r="AJ19" s="56" t="str">
        <f>IF(AND('Mapa final'!$AA$25="Alta",'Mapa final'!$AC$25="Catastrófico"),CONCATENATE("R4C",'Mapa final'!$Q$25),"")</f>
        <v/>
      </c>
      <c r="AK19" s="56" t="str">
        <f>IF(AND('Mapa final'!$AA$26="Alta",'Mapa final'!$AC$26="Catastrófico"),CONCATENATE("R4C",'Mapa final'!$Q$26),"")</f>
        <v/>
      </c>
      <c r="AL19" s="56" t="str">
        <f>IF(AND('Mapa final'!$AA$27="Alta",'Mapa final'!$AC$27="Catastrófico"),CONCATENATE("R4C",'Mapa final'!$Q$27),"")</f>
        <v/>
      </c>
      <c r="AM19" s="57" t="str">
        <f>IF(AND('Mapa final'!$AA$28="Alta",'Mapa final'!$AC$28="Catastrófico"),CONCATENATE("R4C",'Mapa final'!$Q$28),"")</f>
        <v/>
      </c>
      <c r="AN19" s="83"/>
      <c r="AO19" s="473"/>
      <c r="AP19" s="474"/>
      <c r="AQ19" s="474"/>
      <c r="AR19" s="474"/>
      <c r="AS19" s="474"/>
      <c r="AT19" s="47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3">
      <c r="A20" s="83"/>
      <c r="B20" s="384"/>
      <c r="C20" s="384"/>
      <c r="D20" s="385"/>
      <c r="E20" s="483"/>
      <c r="F20" s="482"/>
      <c r="G20" s="482"/>
      <c r="H20" s="482"/>
      <c r="I20" s="482"/>
      <c r="J20" s="67" t="str">
        <f>IF(AND('Mapa final'!$AA$29="Alta",'Mapa final'!$AC$29="Leve"),CONCATENATE("R5C",'Mapa final'!$Q$29),"")</f>
        <v/>
      </c>
      <c r="K20" s="68" t="str">
        <f>IF(AND('Mapa final'!$AA$30="Alta",'Mapa final'!$AC$30="Leve"),CONCATENATE("R5C",'Mapa final'!$Q$30),"")</f>
        <v/>
      </c>
      <c r="L20" s="68" t="str">
        <f>IF(AND('Mapa final'!$AA$31="Alta",'Mapa final'!$AC$31="Leve"),CONCATENATE("R5C",'Mapa final'!$Q$31),"")</f>
        <v/>
      </c>
      <c r="M20" s="68" t="str">
        <f>IF(AND('Mapa final'!$AA$32="Alta",'Mapa final'!$AC$32="Leve"),CONCATENATE("R5C",'Mapa final'!$Q$32),"")</f>
        <v/>
      </c>
      <c r="N20" s="68" t="str">
        <f>IF(AND('Mapa final'!$AA$33="Alta",'Mapa final'!$AC$33="Leve"),CONCATENATE("R5C",'Mapa final'!$Q$33),"")</f>
        <v/>
      </c>
      <c r="O20" s="69" t="str">
        <f>IF(AND('Mapa final'!$AA$34="Alta",'Mapa final'!$AC$34="Leve"),CONCATENATE("R5C",'Mapa final'!$Q$34),"")</f>
        <v/>
      </c>
      <c r="P20" s="67" t="str">
        <f>IF(AND('Mapa final'!$AA$29="Alta",'Mapa final'!$AC$29="Menor"),CONCATENATE("R5C",'Mapa final'!$Q$29),"")</f>
        <v/>
      </c>
      <c r="Q20" s="68" t="str">
        <f>IF(AND('Mapa final'!$AA$30="Alta",'Mapa final'!$AC$30="Menor"),CONCATENATE("R5C",'Mapa final'!$Q$30),"")</f>
        <v/>
      </c>
      <c r="R20" s="68" t="str">
        <f>IF(AND('Mapa final'!$AA$31="Alta",'Mapa final'!$AC$31="Menor"),CONCATENATE("R5C",'Mapa final'!$Q$31),"")</f>
        <v/>
      </c>
      <c r="S20" s="68" t="str">
        <f>IF(AND('Mapa final'!$AA$32="Alta",'Mapa final'!$AC$32="Menor"),CONCATENATE("R5C",'Mapa final'!$Q$32),"")</f>
        <v/>
      </c>
      <c r="T20" s="68" t="str">
        <f>IF(AND('Mapa final'!$AA$33="Alta",'Mapa final'!$AC$33="Menor"),CONCATENATE("R5C",'Mapa final'!$Q$33),"")</f>
        <v/>
      </c>
      <c r="U20" s="69" t="str">
        <f>IF(AND('Mapa final'!$AA$34="Alta",'Mapa final'!$AC$34="Menor"),CONCATENATE("R5C",'Mapa final'!$Q$34),"")</f>
        <v/>
      </c>
      <c r="V20" s="52" t="str">
        <f>IF(AND('Mapa final'!$AA$29="Alta",'Mapa final'!$AC$29="Moderado"),CONCATENATE("R5C",'Mapa final'!$Q$29),"")</f>
        <v/>
      </c>
      <c r="W20" s="53" t="str">
        <f>IF(AND('Mapa final'!$AA$30="Alta",'Mapa final'!$AC$30="Moderado"),CONCATENATE("R5C",'Mapa final'!$Q$30),"")</f>
        <v/>
      </c>
      <c r="X20" s="53" t="str">
        <f>IF(AND('Mapa final'!$AA$31="Alta",'Mapa final'!$AC$31="Moderado"),CONCATENATE("R5C",'Mapa final'!$Q$31),"")</f>
        <v/>
      </c>
      <c r="Y20" s="53" t="str">
        <f>IF(AND('Mapa final'!$AA$32="Alta",'Mapa final'!$AC$32="Moderado"),CONCATENATE("R5C",'Mapa final'!$Q$32),"")</f>
        <v/>
      </c>
      <c r="Z20" s="53" t="str">
        <f>IF(AND('Mapa final'!$AA$33="Alta",'Mapa final'!$AC$33="Moderado"),CONCATENATE("R5C",'Mapa final'!$Q$33),"")</f>
        <v/>
      </c>
      <c r="AA20" s="54" t="str">
        <f>IF(AND('Mapa final'!$AA$34="Alta",'Mapa final'!$AC$34="Moderado"),CONCATENATE("R5C",'Mapa final'!$Q$34),"")</f>
        <v/>
      </c>
      <c r="AB20" s="52" t="str">
        <f>IF(AND('Mapa final'!$AA$29="Alta",'Mapa final'!$AC$29="Mayor"),CONCATENATE("R5C",'Mapa final'!$Q$29),"")</f>
        <v/>
      </c>
      <c r="AC20" s="53" t="str">
        <f>IF(AND('Mapa final'!$AA$30="Alta",'Mapa final'!$AC$30="Mayor"),CONCATENATE("R5C",'Mapa final'!$Q$30),"")</f>
        <v/>
      </c>
      <c r="AD20" s="53" t="str">
        <f>IF(AND('Mapa final'!$AA$31="Alta",'Mapa final'!$AC$31="Mayor"),CONCATENATE("R5C",'Mapa final'!$Q$31),"")</f>
        <v/>
      </c>
      <c r="AE20" s="53" t="str">
        <f>IF(AND('Mapa final'!$AA$32="Alta",'Mapa final'!$AC$32="Mayor"),CONCATENATE("R5C",'Mapa final'!$Q$32),"")</f>
        <v/>
      </c>
      <c r="AF20" s="53" t="str">
        <f>IF(AND('Mapa final'!$AA$33="Alta",'Mapa final'!$AC$33="Mayor"),CONCATENATE("R5C",'Mapa final'!$Q$33),"")</f>
        <v/>
      </c>
      <c r="AG20" s="54" t="str">
        <f>IF(AND('Mapa final'!$AA$34="Alta",'Mapa final'!$AC$34="Mayor"),CONCATENATE("R5C",'Mapa final'!$Q$34),"")</f>
        <v/>
      </c>
      <c r="AH20" s="55" t="str">
        <f>IF(AND('Mapa final'!$AA$29="Alta",'Mapa final'!$AC$29="Catastrófico"),CONCATENATE("R5C",'Mapa final'!$Q$29),"")</f>
        <v/>
      </c>
      <c r="AI20" s="56" t="str">
        <f>IF(AND('Mapa final'!$AA$30="Alta",'Mapa final'!$AC$30="Catastrófico"),CONCATENATE("R5C",'Mapa final'!$Q$30),"")</f>
        <v/>
      </c>
      <c r="AJ20" s="56" t="str">
        <f>IF(AND('Mapa final'!$AA$31="Alta",'Mapa final'!$AC$31="Catastrófico"),CONCATENATE("R5C",'Mapa final'!$Q$31),"")</f>
        <v/>
      </c>
      <c r="AK20" s="56" t="str">
        <f>IF(AND('Mapa final'!$AA$32="Alta",'Mapa final'!$AC$32="Catastrófico"),CONCATENATE("R5C",'Mapa final'!$Q$32),"")</f>
        <v/>
      </c>
      <c r="AL20" s="56" t="str">
        <f>IF(AND('Mapa final'!$AA$33="Alta",'Mapa final'!$AC$33="Catastrófico"),CONCATENATE("R5C",'Mapa final'!$Q$33),"")</f>
        <v/>
      </c>
      <c r="AM20" s="57" t="str">
        <f>IF(AND('Mapa final'!$AA$34="Alta",'Mapa final'!$AC$34="Catastrófico"),CONCATENATE("R5C",'Mapa final'!$Q$34),"")</f>
        <v/>
      </c>
      <c r="AN20" s="83"/>
      <c r="AO20" s="473"/>
      <c r="AP20" s="474"/>
      <c r="AQ20" s="474"/>
      <c r="AR20" s="474"/>
      <c r="AS20" s="474"/>
      <c r="AT20" s="47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3">
      <c r="A21" s="83"/>
      <c r="B21" s="384"/>
      <c r="C21" s="384"/>
      <c r="D21" s="385"/>
      <c r="E21" s="483"/>
      <c r="F21" s="482"/>
      <c r="G21" s="482"/>
      <c r="H21" s="482"/>
      <c r="I21" s="482"/>
      <c r="J21" s="67" t="str">
        <f>IF(AND('Mapa final'!$AA$35="Alta",'Mapa final'!$AC$35="Leve"),CONCATENATE("R6C",'Mapa final'!$Q$35),"")</f>
        <v/>
      </c>
      <c r="K21" s="68" t="str">
        <f>IF(AND('Mapa final'!$AA$36="Alta",'Mapa final'!$AC$36="Leve"),CONCATENATE("R6C",'Mapa final'!$Q$36),"")</f>
        <v/>
      </c>
      <c r="L21" s="68" t="str">
        <f>IF(AND('Mapa final'!$AA$37="Alta",'Mapa final'!$AC$37="Leve"),CONCATENATE("R6C",'Mapa final'!$Q$37),"")</f>
        <v/>
      </c>
      <c r="M21" s="68" t="str">
        <f>IF(AND('Mapa final'!$AA$38="Alta",'Mapa final'!$AC$38="Leve"),CONCATENATE("R6C",'Mapa final'!$Q$38),"")</f>
        <v/>
      </c>
      <c r="N21" s="68" t="str">
        <f>IF(AND('Mapa final'!$AA$39="Alta",'Mapa final'!$AC$39="Leve"),CONCATENATE("R6C",'Mapa final'!$Q$39),"")</f>
        <v/>
      </c>
      <c r="O21" s="69" t="str">
        <f>IF(AND('Mapa final'!$AA$40="Alta",'Mapa final'!$AC$40="Leve"),CONCATENATE("R6C",'Mapa final'!$Q$40),"")</f>
        <v/>
      </c>
      <c r="P21" s="67" t="str">
        <f>IF(AND('Mapa final'!$AA$35="Alta",'Mapa final'!$AC$35="Menor"),CONCATENATE("R6C",'Mapa final'!$Q$35),"")</f>
        <v/>
      </c>
      <c r="Q21" s="68" t="str">
        <f>IF(AND('Mapa final'!$AA$36="Alta",'Mapa final'!$AC$36="Menor"),CONCATENATE("R6C",'Mapa final'!$Q$36),"")</f>
        <v/>
      </c>
      <c r="R21" s="68" t="str">
        <f>IF(AND('Mapa final'!$AA$37="Alta",'Mapa final'!$AC$37="Menor"),CONCATENATE("R6C",'Mapa final'!$Q$37),"")</f>
        <v/>
      </c>
      <c r="S21" s="68" t="str">
        <f>IF(AND('Mapa final'!$AA$38="Alta",'Mapa final'!$AC$38="Menor"),CONCATENATE("R6C",'Mapa final'!$Q$38),"")</f>
        <v/>
      </c>
      <c r="T21" s="68" t="str">
        <f>IF(AND('Mapa final'!$AA$39="Alta",'Mapa final'!$AC$39="Menor"),CONCATENATE("R6C",'Mapa final'!$Q$39),"")</f>
        <v/>
      </c>
      <c r="U21" s="69" t="str">
        <f>IF(AND('Mapa final'!$AA$40="Alta",'Mapa final'!$AC$40="Menor"),CONCATENATE("R6C",'Mapa final'!$Q$40),"")</f>
        <v/>
      </c>
      <c r="V21" s="52" t="str">
        <f>IF(AND('Mapa final'!$AA$35="Alta",'Mapa final'!$AC$35="Moderado"),CONCATENATE("R6C",'Mapa final'!$Q$35),"")</f>
        <v/>
      </c>
      <c r="W21" s="53" t="str">
        <f>IF(AND('Mapa final'!$AA$36="Alta",'Mapa final'!$AC$36="Moderado"),CONCATENATE("R6C",'Mapa final'!$Q$36),"")</f>
        <v/>
      </c>
      <c r="X21" s="53" t="str">
        <f>IF(AND('Mapa final'!$AA$37="Alta",'Mapa final'!$AC$37="Moderado"),CONCATENATE("R6C",'Mapa final'!$Q$37),"")</f>
        <v/>
      </c>
      <c r="Y21" s="53" t="str">
        <f>IF(AND('Mapa final'!$AA$38="Alta",'Mapa final'!$AC$38="Moderado"),CONCATENATE("R6C",'Mapa final'!$Q$38),"")</f>
        <v/>
      </c>
      <c r="Z21" s="53" t="str">
        <f>IF(AND('Mapa final'!$AA$39="Alta",'Mapa final'!$AC$39="Moderado"),CONCATENATE("R6C",'Mapa final'!$Q$39),"")</f>
        <v/>
      </c>
      <c r="AA21" s="54" t="str">
        <f>IF(AND('Mapa final'!$AA$40="Alta",'Mapa final'!$AC$40="Moderado"),CONCATENATE("R6C",'Mapa final'!$Q$40),"")</f>
        <v/>
      </c>
      <c r="AB21" s="52" t="str">
        <f>IF(AND('Mapa final'!$AA$35="Alta",'Mapa final'!$AC$35="Mayor"),CONCATENATE("R6C",'Mapa final'!$Q$35),"")</f>
        <v/>
      </c>
      <c r="AC21" s="53" t="str">
        <f>IF(AND('Mapa final'!$AA$36="Alta",'Mapa final'!$AC$36="Mayor"),CONCATENATE("R6C",'Mapa final'!$Q$36),"")</f>
        <v/>
      </c>
      <c r="AD21" s="53" t="str">
        <f>IF(AND('Mapa final'!$AA$37="Alta",'Mapa final'!$AC$37="Mayor"),CONCATENATE("R6C",'Mapa final'!$Q$37),"")</f>
        <v/>
      </c>
      <c r="AE21" s="53" t="str">
        <f>IF(AND('Mapa final'!$AA$38="Alta",'Mapa final'!$AC$38="Mayor"),CONCATENATE("R6C",'Mapa final'!$Q$38),"")</f>
        <v/>
      </c>
      <c r="AF21" s="53" t="str">
        <f>IF(AND('Mapa final'!$AA$39="Alta",'Mapa final'!$AC$39="Mayor"),CONCATENATE("R6C",'Mapa final'!$Q$39),"")</f>
        <v/>
      </c>
      <c r="AG21" s="54" t="str">
        <f>IF(AND('Mapa final'!$AA$40="Alta",'Mapa final'!$AC$40="Mayor"),CONCATENATE("R6C",'Mapa final'!$Q$40),"")</f>
        <v/>
      </c>
      <c r="AH21" s="55" t="str">
        <f>IF(AND('Mapa final'!$AA$35="Alta",'Mapa final'!$AC$35="Catastrófico"),CONCATENATE("R6C",'Mapa final'!$Q$35),"")</f>
        <v/>
      </c>
      <c r="AI21" s="56" t="str">
        <f>IF(AND('Mapa final'!$AA$36="Alta",'Mapa final'!$AC$36="Catastrófico"),CONCATENATE("R6C",'Mapa final'!$Q$36),"")</f>
        <v/>
      </c>
      <c r="AJ21" s="56" t="str">
        <f>IF(AND('Mapa final'!$AA$37="Alta",'Mapa final'!$AC$37="Catastrófico"),CONCATENATE("R6C",'Mapa final'!$Q$37),"")</f>
        <v/>
      </c>
      <c r="AK21" s="56" t="str">
        <f>IF(AND('Mapa final'!$AA$38="Alta",'Mapa final'!$AC$38="Catastrófico"),CONCATENATE("R6C",'Mapa final'!$Q$38),"")</f>
        <v/>
      </c>
      <c r="AL21" s="56" t="str">
        <f>IF(AND('Mapa final'!$AA$39="Alta",'Mapa final'!$AC$39="Catastrófico"),CONCATENATE("R6C",'Mapa final'!$Q$39),"")</f>
        <v/>
      </c>
      <c r="AM21" s="57" t="str">
        <f>IF(AND('Mapa final'!$AA$40="Alta",'Mapa final'!$AC$40="Catastrófico"),CONCATENATE("R6C",'Mapa final'!$Q$40),"")</f>
        <v/>
      </c>
      <c r="AN21" s="83"/>
      <c r="AO21" s="473"/>
      <c r="AP21" s="474"/>
      <c r="AQ21" s="474"/>
      <c r="AR21" s="474"/>
      <c r="AS21" s="474"/>
      <c r="AT21" s="47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3">
      <c r="A22" s="83"/>
      <c r="B22" s="384"/>
      <c r="C22" s="384"/>
      <c r="D22" s="385"/>
      <c r="E22" s="483"/>
      <c r="F22" s="482"/>
      <c r="G22" s="482"/>
      <c r="H22" s="482"/>
      <c r="I22" s="482"/>
      <c r="J22" s="67" t="str">
        <f>IF(AND('Mapa final'!$AA$41="Alta",'Mapa final'!$AC$41="Leve"),CONCATENATE("R7C",'Mapa final'!$Q$41),"")</f>
        <v/>
      </c>
      <c r="K22" s="68" t="str">
        <f>IF(AND('Mapa final'!$AA$42="Alta",'Mapa final'!$AC$42="Leve"),CONCATENATE("R7C",'Mapa final'!$Q$42),"")</f>
        <v/>
      </c>
      <c r="L22" s="68" t="str">
        <f>IF(AND('Mapa final'!$AA$43="Alta",'Mapa final'!$AC$43="Leve"),CONCATENATE("R7C",'Mapa final'!$Q$43),"")</f>
        <v/>
      </c>
      <c r="M22" s="68" t="str">
        <f>IF(AND('Mapa final'!$AA$44="Alta",'Mapa final'!$AC$44="Leve"),CONCATENATE("R7C",'Mapa final'!$Q$44),"")</f>
        <v/>
      </c>
      <c r="N22" s="68" t="str">
        <f>IF(AND('Mapa final'!$AA$45="Alta",'Mapa final'!$AC$45="Leve"),CONCATENATE("R7C",'Mapa final'!$Q$45),"")</f>
        <v/>
      </c>
      <c r="O22" s="69" t="str">
        <f>IF(AND('Mapa final'!$AA$46="Alta",'Mapa final'!$AC$46="Leve"),CONCATENATE("R7C",'Mapa final'!$Q$46),"")</f>
        <v/>
      </c>
      <c r="P22" s="67" t="str">
        <f>IF(AND('Mapa final'!$AA$41="Alta",'Mapa final'!$AC$41="Menor"),CONCATENATE("R7C",'Mapa final'!$Q$41),"")</f>
        <v/>
      </c>
      <c r="Q22" s="68" t="str">
        <f>IF(AND('Mapa final'!$AA$42="Alta",'Mapa final'!$AC$42="Menor"),CONCATENATE("R7C",'Mapa final'!$Q$42),"")</f>
        <v/>
      </c>
      <c r="R22" s="68" t="str">
        <f>IF(AND('Mapa final'!$AA$43="Alta",'Mapa final'!$AC$43="Menor"),CONCATENATE("R7C",'Mapa final'!$Q$43),"")</f>
        <v/>
      </c>
      <c r="S22" s="68" t="str">
        <f>IF(AND('Mapa final'!$AA$44="Alta",'Mapa final'!$AC$44="Menor"),CONCATENATE("R7C",'Mapa final'!$Q$44),"")</f>
        <v/>
      </c>
      <c r="T22" s="68" t="str">
        <f>IF(AND('Mapa final'!$AA$45="Alta",'Mapa final'!$AC$45="Menor"),CONCATENATE("R7C",'Mapa final'!$Q$45),"")</f>
        <v/>
      </c>
      <c r="U22" s="69" t="str">
        <f>IF(AND('Mapa final'!$AA$46="Alta",'Mapa final'!$AC$46="Menor"),CONCATENATE("R7C",'Mapa final'!$Q$46),"")</f>
        <v/>
      </c>
      <c r="V22" s="52" t="str">
        <f>IF(AND('Mapa final'!$AA$41="Alta",'Mapa final'!$AC$41="Moderado"),CONCATENATE("R7C",'Mapa final'!$Q$41),"")</f>
        <v/>
      </c>
      <c r="W22" s="53" t="str">
        <f>IF(AND('Mapa final'!$AA$42="Alta",'Mapa final'!$AC$42="Moderado"),CONCATENATE("R7C",'Mapa final'!$Q$42),"")</f>
        <v/>
      </c>
      <c r="X22" s="53" t="str">
        <f>IF(AND('Mapa final'!$AA$43="Alta",'Mapa final'!$AC$43="Moderado"),CONCATENATE("R7C",'Mapa final'!$Q$43),"")</f>
        <v/>
      </c>
      <c r="Y22" s="53" t="str">
        <f>IF(AND('Mapa final'!$AA$44="Alta",'Mapa final'!$AC$44="Moderado"),CONCATENATE("R7C",'Mapa final'!$Q$44),"")</f>
        <v/>
      </c>
      <c r="Z22" s="53" t="str">
        <f>IF(AND('Mapa final'!$AA$45="Alta",'Mapa final'!$AC$45="Moderado"),CONCATENATE("R7C",'Mapa final'!$Q$45),"")</f>
        <v/>
      </c>
      <c r="AA22" s="54" t="str">
        <f>IF(AND('Mapa final'!$AA$46="Alta",'Mapa final'!$AC$46="Moderado"),CONCATENATE("R7C",'Mapa final'!$Q$46),"")</f>
        <v/>
      </c>
      <c r="AB22" s="52" t="str">
        <f>IF(AND('Mapa final'!$AA$41="Alta",'Mapa final'!$AC$41="Mayor"),CONCATENATE("R7C",'Mapa final'!$Q$41),"")</f>
        <v/>
      </c>
      <c r="AC22" s="53" t="str">
        <f>IF(AND('Mapa final'!$AA$42="Alta",'Mapa final'!$AC$42="Mayor"),CONCATENATE("R7C",'Mapa final'!$Q$42),"")</f>
        <v/>
      </c>
      <c r="AD22" s="53" t="str">
        <f>IF(AND('Mapa final'!$AA$43="Alta",'Mapa final'!$AC$43="Mayor"),CONCATENATE("R7C",'Mapa final'!$Q$43),"")</f>
        <v/>
      </c>
      <c r="AE22" s="53" t="str">
        <f>IF(AND('Mapa final'!$AA$44="Alta",'Mapa final'!$AC$44="Mayor"),CONCATENATE("R7C",'Mapa final'!$Q$44),"")</f>
        <v/>
      </c>
      <c r="AF22" s="53" t="str">
        <f>IF(AND('Mapa final'!$AA$45="Alta",'Mapa final'!$AC$45="Mayor"),CONCATENATE("R7C",'Mapa final'!$Q$45),"")</f>
        <v/>
      </c>
      <c r="AG22" s="54" t="str">
        <f>IF(AND('Mapa final'!$AA$46="Alta",'Mapa final'!$AC$46="Mayor"),CONCATENATE("R7C",'Mapa final'!$Q$46),"")</f>
        <v/>
      </c>
      <c r="AH22" s="55" t="str">
        <f>IF(AND('Mapa final'!$AA$41="Alta",'Mapa final'!$AC$41="Catastrófico"),CONCATENATE("R7C",'Mapa final'!$Q$41),"")</f>
        <v/>
      </c>
      <c r="AI22" s="56" t="str">
        <f>IF(AND('Mapa final'!$AA$42="Alta",'Mapa final'!$AC$42="Catastrófico"),CONCATENATE("R7C",'Mapa final'!$Q$42),"")</f>
        <v/>
      </c>
      <c r="AJ22" s="56" t="str">
        <f>IF(AND('Mapa final'!$AA$43="Alta",'Mapa final'!$AC$43="Catastrófico"),CONCATENATE("R7C",'Mapa final'!$Q$43),"")</f>
        <v/>
      </c>
      <c r="AK22" s="56" t="str">
        <f>IF(AND('Mapa final'!$AA$44="Alta",'Mapa final'!$AC$44="Catastrófico"),CONCATENATE("R7C",'Mapa final'!$Q$44),"")</f>
        <v/>
      </c>
      <c r="AL22" s="56" t="str">
        <f>IF(AND('Mapa final'!$AA$45="Alta",'Mapa final'!$AC$45="Catastrófico"),CONCATENATE("R7C",'Mapa final'!$Q$45),"")</f>
        <v/>
      </c>
      <c r="AM22" s="57" t="str">
        <f>IF(AND('Mapa final'!$AA$46="Alta",'Mapa final'!$AC$46="Catastrófico"),CONCATENATE("R7C",'Mapa final'!$Q$46),"")</f>
        <v/>
      </c>
      <c r="AN22" s="83"/>
      <c r="AO22" s="473"/>
      <c r="AP22" s="474"/>
      <c r="AQ22" s="474"/>
      <c r="AR22" s="474"/>
      <c r="AS22" s="474"/>
      <c r="AT22" s="47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3">
      <c r="A23" s="83"/>
      <c r="B23" s="384"/>
      <c r="C23" s="384"/>
      <c r="D23" s="385"/>
      <c r="E23" s="483"/>
      <c r="F23" s="482"/>
      <c r="G23" s="482"/>
      <c r="H23" s="482"/>
      <c r="I23" s="482"/>
      <c r="J23" s="67" t="str">
        <f>IF(AND('Mapa final'!$AA$47="Alta",'Mapa final'!$AC$47="Leve"),CONCATENATE("R8C",'Mapa final'!$Q$47),"")</f>
        <v/>
      </c>
      <c r="K23" s="68" t="str">
        <f>IF(AND('Mapa final'!$AA$48="Alta",'Mapa final'!$AC$48="Leve"),CONCATENATE("R8C",'Mapa final'!$Q$48),"")</f>
        <v/>
      </c>
      <c r="L23" s="68" t="str">
        <f>IF(AND('Mapa final'!$AA$49="Alta",'Mapa final'!$AC$49="Leve"),CONCATENATE("R8C",'Mapa final'!$Q$49),"")</f>
        <v/>
      </c>
      <c r="M23" s="68" t="str">
        <f>IF(AND('Mapa final'!$AA$50="Alta",'Mapa final'!$AC$50="Leve"),CONCATENATE("R8C",'Mapa final'!$Q$50),"")</f>
        <v/>
      </c>
      <c r="N23" s="68" t="str">
        <f>IF(AND('Mapa final'!$AA$51="Alta",'Mapa final'!$AC$51="Leve"),CONCATENATE("R8C",'Mapa final'!$Q$51),"")</f>
        <v/>
      </c>
      <c r="O23" s="69" t="str">
        <f>IF(AND('Mapa final'!$AA$52="Alta",'Mapa final'!$AC$52="Leve"),CONCATENATE("R8C",'Mapa final'!$Q$52),"")</f>
        <v/>
      </c>
      <c r="P23" s="67" t="str">
        <f>IF(AND('Mapa final'!$AA$47="Alta",'Mapa final'!$AC$47="Menor"),CONCATENATE("R8C",'Mapa final'!$Q$47),"")</f>
        <v/>
      </c>
      <c r="Q23" s="68" t="str">
        <f>IF(AND('Mapa final'!$AA$48="Alta",'Mapa final'!$AC$48="Menor"),CONCATENATE("R8C",'Mapa final'!$Q$48),"")</f>
        <v/>
      </c>
      <c r="R23" s="68" t="str">
        <f>IF(AND('Mapa final'!$AA$49="Alta",'Mapa final'!$AC$49="Menor"),CONCATENATE("R8C",'Mapa final'!$Q$49),"")</f>
        <v/>
      </c>
      <c r="S23" s="68" t="str">
        <f>IF(AND('Mapa final'!$AA$50="Alta",'Mapa final'!$AC$50="Menor"),CONCATENATE("R8C",'Mapa final'!$Q$50),"")</f>
        <v/>
      </c>
      <c r="T23" s="68" t="str">
        <f>IF(AND('Mapa final'!$AA$51="Alta",'Mapa final'!$AC$51="Menor"),CONCATENATE("R8C",'Mapa final'!$Q$51),"")</f>
        <v/>
      </c>
      <c r="U23" s="69" t="str">
        <f>IF(AND('Mapa final'!$AA$52="Alta",'Mapa final'!$AC$52="Menor"),CONCATENATE("R8C",'Mapa final'!$Q$52),"")</f>
        <v/>
      </c>
      <c r="V23" s="52" t="str">
        <f>IF(AND('Mapa final'!$AA$47="Alta",'Mapa final'!$AC$47="Moderado"),CONCATENATE("R8C",'Mapa final'!$Q$47),"")</f>
        <v/>
      </c>
      <c r="W23" s="53" t="str">
        <f>IF(AND('Mapa final'!$AA$48="Alta",'Mapa final'!$AC$48="Moderado"),CONCATENATE("R8C",'Mapa final'!$Q$48),"")</f>
        <v/>
      </c>
      <c r="X23" s="53" t="str">
        <f>IF(AND('Mapa final'!$AA$49="Alta",'Mapa final'!$AC$49="Moderado"),CONCATENATE("R8C",'Mapa final'!$Q$49),"")</f>
        <v/>
      </c>
      <c r="Y23" s="53" t="str">
        <f>IF(AND('Mapa final'!$AA$50="Alta",'Mapa final'!$AC$50="Moderado"),CONCATENATE("R8C",'Mapa final'!$Q$50),"")</f>
        <v/>
      </c>
      <c r="Z23" s="53" t="str">
        <f>IF(AND('Mapa final'!$AA$51="Alta",'Mapa final'!$AC$51="Moderado"),CONCATENATE("R8C",'Mapa final'!$Q$51),"")</f>
        <v/>
      </c>
      <c r="AA23" s="54" t="str">
        <f>IF(AND('Mapa final'!$AA$52="Alta",'Mapa final'!$AC$52="Moderado"),CONCATENATE("R8C",'Mapa final'!$Q$52),"")</f>
        <v/>
      </c>
      <c r="AB23" s="52" t="str">
        <f>IF(AND('Mapa final'!$AA$47="Alta",'Mapa final'!$AC$47="Mayor"),CONCATENATE("R8C",'Mapa final'!$Q$47),"")</f>
        <v/>
      </c>
      <c r="AC23" s="53" t="str">
        <f>IF(AND('Mapa final'!$AA$48="Alta",'Mapa final'!$AC$48="Mayor"),CONCATENATE("R8C",'Mapa final'!$Q$48),"")</f>
        <v/>
      </c>
      <c r="AD23" s="53" t="str">
        <f>IF(AND('Mapa final'!$AA$49="Alta",'Mapa final'!$AC$49="Mayor"),CONCATENATE("R8C",'Mapa final'!$Q$49),"")</f>
        <v/>
      </c>
      <c r="AE23" s="53" t="str">
        <f>IF(AND('Mapa final'!$AA$50="Alta",'Mapa final'!$AC$50="Mayor"),CONCATENATE("R8C",'Mapa final'!$Q$50),"")</f>
        <v/>
      </c>
      <c r="AF23" s="53" t="str">
        <f>IF(AND('Mapa final'!$AA$51="Alta",'Mapa final'!$AC$51="Mayor"),CONCATENATE("R8C",'Mapa final'!$Q$51),"")</f>
        <v/>
      </c>
      <c r="AG23" s="54" t="str">
        <f>IF(AND('Mapa final'!$AA$52="Alta",'Mapa final'!$AC$52="Mayor"),CONCATENATE("R8C",'Mapa final'!$Q$52),"")</f>
        <v/>
      </c>
      <c r="AH23" s="55" t="str">
        <f>IF(AND('Mapa final'!$AA$47="Alta",'Mapa final'!$AC$47="Catastrófico"),CONCATENATE("R8C",'Mapa final'!$Q$47),"")</f>
        <v/>
      </c>
      <c r="AI23" s="56" t="str">
        <f>IF(AND('Mapa final'!$AA$48="Alta",'Mapa final'!$AC$48="Catastrófico"),CONCATENATE("R8C",'Mapa final'!$Q$48),"")</f>
        <v/>
      </c>
      <c r="AJ23" s="56" t="str">
        <f>IF(AND('Mapa final'!$AA$49="Alta",'Mapa final'!$AC$49="Catastrófico"),CONCATENATE("R8C",'Mapa final'!$Q$49),"")</f>
        <v/>
      </c>
      <c r="AK23" s="56" t="str">
        <f>IF(AND('Mapa final'!$AA$50="Alta",'Mapa final'!$AC$50="Catastrófico"),CONCATENATE("R8C",'Mapa final'!$Q$50),"")</f>
        <v/>
      </c>
      <c r="AL23" s="56" t="str">
        <f>IF(AND('Mapa final'!$AA$51="Alta",'Mapa final'!$AC$51="Catastrófico"),CONCATENATE("R8C",'Mapa final'!$Q$51),"")</f>
        <v/>
      </c>
      <c r="AM23" s="57" t="str">
        <f>IF(AND('Mapa final'!$AA$52="Alta",'Mapa final'!$AC$52="Catastrófico"),CONCATENATE("R8C",'Mapa final'!$Q$52),"")</f>
        <v/>
      </c>
      <c r="AN23" s="83"/>
      <c r="AO23" s="473"/>
      <c r="AP23" s="474"/>
      <c r="AQ23" s="474"/>
      <c r="AR23" s="474"/>
      <c r="AS23" s="474"/>
      <c r="AT23" s="47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3">
      <c r="A24" s="83"/>
      <c r="B24" s="384"/>
      <c r="C24" s="384"/>
      <c r="D24" s="385"/>
      <c r="E24" s="483"/>
      <c r="F24" s="482"/>
      <c r="G24" s="482"/>
      <c r="H24" s="482"/>
      <c r="I24" s="482"/>
      <c r="J24" s="67" t="str">
        <f>IF(AND('Mapa final'!$AA$53="Alta",'Mapa final'!$AC$53="Leve"),CONCATENATE("R9C",'Mapa final'!$Q$53),"")</f>
        <v/>
      </c>
      <c r="K24" s="68" t="str">
        <f>IF(AND('Mapa final'!$AA$54="Alta",'Mapa final'!$AC$54="Leve"),CONCATENATE("R9C",'Mapa final'!$Q$54),"")</f>
        <v/>
      </c>
      <c r="L24" s="68" t="str">
        <f>IF(AND('Mapa final'!$AA$55="Alta",'Mapa final'!$AC$55="Leve"),CONCATENATE("R9C",'Mapa final'!$Q$55),"")</f>
        <v/>
      </c>
      <c r="M24" s="68" t="str">
        <f>IF(AND('Mapa final'!$AA$56="Alta",'Mapa final'!$AC$56="Leve"),CONCATENATE("R9C",'Mapa final'!$Q$56),"")</f>
        <v/>
      </c>
      <c r="N24" s="68" t="str">
        <f>IF(AND('Mapa final'!$AA$57="Alta",'Mapa final'!$AC$57="Leve"),CONCATENATE("R9C",'Mapa final'!$Q$57),"")</f>
        <v/>
      </c>
      <c r="O24" s="69" t="str">
        <f>IF(AND('Mapa final'!$AA$58="Alta",'Mapa final'!$AC$58="Leve"),CONCATENATE("R9C",'Mapa final'!$Q$58),"")</f>
        <v/>
      </c>
      <c r="P24" s="67" t="str">
        <f>IF(AND('Mapa final'!$AA$53="Alta",'Mapa final'!$AC$53="Menor"),CONCATENATE("R9C",'Mapa final'!$Q$53),"")</f>
        <v/>
      </c>
      <c r="Q24" s="68" t="str">
        <f>IF(AND('Mapa final'!$AA$54="Alta",'Mapa final'!$AC$54="Menor"),CONCATENATE("R9C",'Mapa final'!$Q$54),"")</f>
        <v/>
      </c>
      <c r="R24" s="68" t="str">
        <f>IF(AND('Mapa final'!$AA$55="Alta",'Mapa final'!$AC$55="Menor"),CONCATENATE("R9C",'Mapa final'!$Q$55),"")</f>
        <v/>
      </c>
      <c r="S24" s="68" t="str">
        <f>IF(AND('Mapa final'!$AA$56="Alta",'Mapa final'!$AC$56="Menor"),CONCATENATE("R9C",'Mapa final'!$Q$56),"")</f>
        <v/>
      </c>
      <c r="T24" s="68" t="str">
        <f>IF(AND('Mapa final'!$AA$57="Alta",'Mapa final'!$AC$57="Menor"),CONCATENATE("R9C",'Mapa final'!$Q$57),"")</f>
        <v/>
      </c>
      <c r="U24" s="69" t="str">
        <f>IF(AND('Mapa final'!$AA$58="Alta",'Mapa final'!$AC$58="Menor"),CONCATENATE("R9C",'Mapa final'!$Q$58),"")</f>
        <v/>
      </c>
      <c r="V24" s="52" t="str">
        <f>IF(AND('Mapa final'!$AA$53="Alta",'Mapa final'!$AC$53="Moderado"),CONCATENATE("R9C",'Mapa final'!$Q$53),"")</f>
        <v/>
      </c>
      <c r="W24" s="53" t="str">
        <f>IF(AND('Mapa final'!$AA$54="Alta",'Mapa final'!$AC$54="Moderado"),CONCATENATE("R9C",'Mapa final'!$Q$54),"")</f>
        <v/>
      </c>
      <c r="X24" s="53" t="str">
        <f>IF(AND('Mapa final'!$AA$55="Alta",'Mapa final'!$AC$55="Moderado"),CONCATENATE("R9C",'Mapa final'!$Q$55),"")</f>
        <v/>
      </c>
      <c r="Y24" s="53" t="str">
        <f>IF(AND('Mapa final'!$AA$56="Alta",'Mapa final'!$AC$56="Moderado"),CONCATENATE("R9C",'Mapa final'!$Q$56),"")</f>
        <v/>
      </c>
      <c r="Z24" s="53" t="str">
        <f>IF(AND('Mapa final'!$AA$57="Alta",'Mapa final'!$AC$57="Moderado"),CONCATENATE("R9C",'Mapa final'!$Q$57),"")</f>
        <v/>
      </c>
      <c r="AA24" s="54" t="str">
        <f>IF(AND('Mapa final'!$AA$58="Alta",'Mapa final'!$AC$58="Moderado"),CONCATENATE("R9C",'Mapa final'!$Q$58),"")</f>
        <v/>
      </c>
      <c r="AB24" s="52" t="str">
        <f>IF(AND('Mapa final'!$AA$53="Alta",'Mapa final'!$AC$53="Mayor"),CONCATENATE("R9C",'Mapa final'!$Q$53),"")</f>
        <v/>
      </c>
      <c r="AC24" s="53" t="str">
        <f>IF(AND('Mapa final'!$AA$54="Alta",'Mapa final'!$AC$54="Mayor"),CONCATENATE("R9C",'Mapa final'!$Q$54),"")</f>
        <v/>
      </c>
      <c r="AD24" s="53" t="str">
        <f>IF(AND('Mapa final'!$AA$55="Alta",'Mapa final'!$AC$55="Mayor"),CONCATENATE("R9C",'Mapa final'!$Q$55),"")</f>
        <v/>
      </c>
      <c r="AE24" s="53" t="str">
        <f>IF(AND('Mapa final'!$AA$56="Alta",'Mapa final'!$AC$56="Mayor"),CONCATENATE("R9C",'Mapa final'!$Q$56),"")</f>
        <v/>
      </c>
      <c r="AF24" s="53" t="str">
        <f>IF(AND('Mapa final'!$AA$57="Alta",'Mapa final'!$AC$57="Mayor"),CONCATENATE("R9C",'Mapa final'!$Q$57),"")</f>
        <v/>
      </c>
      <c r="AG24" s="54" t="str">
        <f>IF(AND('Mapa final'!$AA$58="Alta",'Mapa final'!$AC$58="Mayor"),CONCATENATE("R9C",'Mapa final'!$Q$58),"")</f>
        <v/>
      </c>
      <c r="AH24" s="55" t="str">
        <f>IF(AND('Mapa final'!$AA$53="Alta",'Mapa final'!$AC$53="Catastrófico"),CONCATENATE("R9C",'Mapa final'!$Q$53),"")</f>
        <v/>
      </c>
      <c r="AI24" s="56" t="str">
        <f>IF(AND('Mapa final'!$AA$54="Alta",'Mapa final'!$AC$54="Catastrófico"),CONCATENATE("R9C",'Mapa final'!$Q$54),"")</f>
        <v/>
      </c>
      <c r="AJ24" s="56" t="str">
        <f>IF(AND('Mapa final'!$AA$55="Alta",'Mapa final'!$AC$55="Catastrófico"),CONCATENATE("R9C",'Mapa final'!$Q$55),"")</f>
        <v/>
      </c>
      <c r="AK24" s="56" t="str">
        <f>IF(AND('Mapa final'!$AA$56="Alta",'Mapa final'!$AC$56="Catastrófico"),CONCATENATE("R9C",'Mapa final'!$Q$56),"")</f>
        <v/>
      </c>
      <c r="AL24" s="56" t="str">
        <f>IF(AND('Mapa final'!$AA$57="Alta",'Mapa final'!$AC$57="Catastrófico"),CONCATENATE("R9C",'Mapa final'!$Q$57),"")</f>
        <v/>
      </c>
      <c r="AM24" s="57" t="str">
        <f>IF(AND('Mapa final'!$AA$58="Alta",'Mapa final'!$AC$58="Catastrófico"),CONCATENATE("R9C",'Mapa final'!$Q$58),"")</f>
        <v/>
      </c>
      <c r="AN24" s="83"/>
      <c r="AO24" s="473"/>
      <c r="AP24" s="474"/>
      <c r="AQ24" s="474"/>
      <c r="AR24" s="474"/>
      <c r="AS24" s="474"/>
      <c r="AT24" s="47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5">
      <c r="A25" s="83"/>
      <c r="B25" s="384"/>
      <c r="C25" s="384"/>
      <c r="D25" s="385"/>
      <c r="E25" s="484"/>
      <c r="F25" s="485"/>
      <c r="G25" s="485"/>
      <c r="H25" s="485"/>
      <c r="I25" s="485"/>
      <c r="J25" s="70" t="str">
        <f>IF(AND('Mapa final'!$AA$59="Alta",'Mapa final'!$AC$59="Leve"),CONCATENATE("R10C",'Mapa final'!$Q$59),"")</f>
        <v/>
      </c>
      <c r="K25" s="71" t="str">
        <f>IF(AND('Mapa final'!$AA$60="Alta",'Mapa final'!$AC$60="Leve"),CONCATENATE("R10C",'Mapa final'!$Q$60),"")</f>
        <v/>
      </c>
      <c r="L25" s="71" t="str">
        <f>IF(AND('Mapa final'!$AA$61="Alta",'Mapa final'!$AC$61="Leve"),CONCATENATE("R10C",'Mapa final'!$Q$61),"")</f>
        <v/>
      </c>
      <c r="M25" s="71" t="str">
        <f>IF(AND('Mapa final'!$AA$62="Alta",'Mapa final'!$AC$62="Leve"),CONCATENATE("R10C",'Mapa final'!$Q$62),"")</f>
        <v/>
      </c>
      <c r="N25" s="71" t="str">
        <f>IF(AND('Mapa final'!$AA$63="Alta",'Mapa final'!$AC$63="Leve"),CONCATENATE("R10C",'Mapa final'!$Q$63),"")</f>
        <v/>
      </c>
      <c r="O25" s="72" t="str">
        <f>IF(AND('Mapa final'!$AA$64="Alta",'Mapa final'!$AC$64="Leve"),CONCATENATE("R10C",'Mapa final'!$Q$64),"")</f>
        <v/>
      </c>
      <c r="P25" s="70" t="str">
        <f>IF(AND('Mapa final'!$AA$59="Alta",'Mapa final'!$AC$59="Menor"),CONCATENATE("R10C",'Mapa final'!$Q$59),"")</f>
        <v/>
      </c>
      <c r="Q25" s="71" t="str">
        <f>IF(AND('Mapa final'!$AA$60="Alta",'Mapa final'!$AC$60="Menor"),CONCATENATE("R10C",'Mapa final'!$Q$60),"")</f>
        <v/>
      </c>
      <c r="R25" s="71" t="str">
        <f>IF(AND('Mapa final'!$AA$61="Alta",'Mapa final'!$AC$61="Menor"),CONCATENATE("R10C",'Mapa final'!$Q$61),"")</f>
        <v/>
      </c>
      <c r="S25" s="71" t="str">
        <f>IF(AND('Mapa final'!$AA$62="Alta",'Mapa final'!$AC$62="Menor"),CONCATENATE("R10C",'Mapa final'!$Q$62),"")</f>
        <v/>
      </c>
      <c r="T25" s="71" t="str">
        <f>IF(AND('Mapa final'!$AA$63="Alta",'Mapa final'!$AC$63="Menor"),CONCATENATE("R10C",'Mapa final'!$Q$63),"")</f>
        <v/>
      </c>
      <c r="U25" s="72" t="str">
        <f>IF(AND('Mapa final'!$AA$64="Alta",'Mapa final'!$AC$64="Menor"),CONCATENATE("R10C",'Mapa final'!$Q$64),"")</f>
        <v/>
      </c>
      <c r="V25" s="58" t="str">
        <f>IF(AND('Mapa final'!$AA$59="Alta",'Mapa final'!$AC$59="Moderado"),CONCATENATE("R10C",'Mapa final'!$Q$59),"")</f>
        <v/>
      </c>
      <c r="W25" s="59" t="str">
        <f>IF(AND('Mapa final'!$AA$60="Alta",'Mapa final'!$AC$60="Moderado"),CONCATENATE("R10C",'Mapa final'!$Q$60),"")</f>
        <v/>
      </c>
      <c r="X25" s="59" t="str">
        <f>IF(AND('Mapa final'!$AA$61="Alta",'Mapa final'!$AC$61="Moderado"),CONCATENATE("R10C",'Mapa final'!$Q$61),"")</f>
        <v/>
      </c>
      <c r="Y25" s="59" t="str">
        <f>IF(AND('Mapa final'!$AA$62="Alta",'Mapa final'!$AC$62="Moderado"),CONCATENATE("R10C",'Mapa final'!$Q$62),"")</f>
        <v/>
      </c>
      <c r="Z25" s="59" t="str">
        <f>IF(AND('Mapa final'!$AA$63="Alta",'Mapa final'!$AC$63="Moderado"),CONCATENATE("R10C",'Mapa final'!$Q$63),"")</f>
        <v/>
      </c>
      <c r="AA25" s="60" t="str">
        <f>IF(AND('Mapa final'!$AA$64="Alta",'Mapa final'!$AC$64="Moderado"),CONCATENATE("R10C",'Mapa final'!$Q$64),"")</f>
        <v/>
      </c>
      <c r="AB25" s="58" t="str">
        <f>IF(AND('Mapa final'!$AA$59="Alta",'Mapa final'!$AC$59="Mayor"),CONCATENATE("R10C",'Mapa final'!$Q$59),"")</f>
        <v/>
      </c>
      <c r="AC25" s="59" t="str">
        <f>IF(AND('Mapa final'!$AA$60="Alta",'Mapa final'!$AC$60="Mayor"),CONCATENATE("R10C",'Mapa final'!$Q$60),"")</f>
        <v/>
      </c>
      <c r="AD25" s="59" t="str">
        <f>IF(AND('Mapa final'!$AA$61="Alta",'Mapa final'!$AC$61="Mayor"),CONCATENATE("R10C",'Mapa final'!$Q$61),"")</f>
        <v/>
      </c>
      <c r="AE25" s="59" t="str">
        <f>IF(AND('Mapa final'!$AA$62="Alta",'Mapa final'!$AC$62="Mayor"),CONCATENATE("R10C",'Mapa final'!$Q$62),"")</f>
        <v/>
      </c>
      <c r="AF25" s="59" t="str">
        <f>IF(AND('Mapa final'!$AA$63="Alta",'Mapa final'!$AC$63="Mayor"),CONCATENATE("R10C",'Mapa final'!$Q$63),"")</f>
        <v/>
      </c>
      <c r="AG25" s="60" t="str">
        <f>IF(AND('Mapa final'!$AA$64="Alta",'Mapa final'!$AC$64="Mayor"),CONCATENATE("R10C",'Mapa final'!$Q$64),"")</f>
        <v/>
      </c>
      <c r="AH25" s="61" t="str">
        <f>IF(AND('Mapa final'!$AA$59="Alta",'Mapa final'!$AC$59="Catastrófico"),CONCATENATE("R10C",'Mapa final'!$Q$59),"")</f>
        <v/>
      </c>
      <c r="AI25" s="62" t="str">
        <f>IF(AND('Mapa final'!$AA$60="Alta",'Mapa final'!$AC$60="Catastrófico"),CONCATENATE("R10C",'Mapa final'!$Q$60),"")</f>
        <v/>
      </c>
      <c r="AJ25" s="62" t="str">
        <f>IF(AND('Mapa final'!$AA$61="Alta",'Mapa final'!$AC$61="Catastrófico"),CONCATENATE("R10C",'Mapa final'!$Q$61),"")</f>
        <v/>
      </c>
      <c r="AK25" s="62" t="str">
        <f>IF(AND('Mapa final'!$AA$62="Alta",'Mapa final'!$AC$62="Catastrófico"),CONCATENATE("R10C",'Mapa final'!$Q$62),"")</f>
        <v/>
      </c>
      <c r="AL25" s="62" t="str">
        <f>IF(AND('Mapa final'!$AA$63="Alta",'Mapa final'!$AC$63="Catastrófico"),CONCATENATE("R10C",'Mapa final'!$Q$63),"")</f>
        <v/>
      </c>
      <c r="AM25" s="63" t="str">
        <f>IF(AND('Mapa final'!$AA$64="Alta",'Mapa final'!$AC$64="Catastrófico"),CONCATENATE("R10C",'Mapa final'!$Q$64),"")</f>
        <v/>
      </c>
      <c r="AN25" s="83"/>
      <c r="AO25" s="476"/>
      <c r="AP25" s="477"/>
      <c r="AQ25" s="477"/>
      <c r="AR25" s="477"/>
      <c r="AS25" s="477"/>
      <c r="AT25" s="47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3">
      <c r="A26" s="83"/>
      <c r="B26" s="384"/>
      <c r="C26" s="384"/>
      <c r="D26" s="385"/>
      <c r="E26" s="479" t="s">
        <v>117</v>
      </c>
      <c r="F26" s="480"/>
      <c r="G26" s="480"/>
      <c r="H26" s="480"/>
      <c r="I26" s="497"/>
      <c r="J26" s="64" t="str">
        <f ca="1">IF(AND('Mapa final'!$AA$9="Media",'Mapa final'!$AC$9="Leve"),CONCATENATE("R1C",'Mapa final'!$Q$9),"")</f>
        <v/>
      </c>
      <c r="K26" s="65" t="str">
        <f ca="1">IF(AND('Mapa final'!$AA$10="Media",'Mapa final'!$AC$10="Leve"),CONCATENATE("R1C",'Mapa final'!$Q$10),"")</f>
        <v/>
      </c>
      <c r="L26" s="65" t="str">
        <f>IF(AND('Mapa final'!$AA$11="Media",'Mapa final'!$AC$11="Leve"),CONCATENATE("R1C",'Mapa final'!$Q$11),"")</f>
        <v/>
      </c>
      <c r="M26" s="65" t="str">
        <f>IF(AND('Mapa final'!$AA$12="Media",'Mapa final'!$AC$12="Leve"),CONCATENATE("R1C",'Mapa final'!$Q$12),"")</f>
        <v/>
      </c>
      <c r="N26" s="65" t="e">
        <f>IF(AND('Mapa final'!#REF!="Media",'Mapa final'!#REF!="Leve"),CONCATENATE("R1C",'Mapa final'!#REF!),"")</f>
        <v>#REF!</v>
      </c>
      <c r="O26" s="66" t="e">
        <f>IF(AND('Mapa final'!#REF!="Media",'Mapa final'!#REF!="Leve"),CONCATENATE("R1C",'Mapa final'!#REF!),"")</f>
        <v>#REF!</v>
      </c>
      <c r="P26" s="64" t="str">
        <f ca="1">IF(AND('Mapa final'!$AA$9="Media",'Mapa final'!$AC$9="Menor"),CONCATENATE("R1C",'Mapa final'!$Q$9),"")</f>
        <v/>
      </c>
      <c r="Q26" s="65" t="str">
        <f ca="1">IF(AND('Mapa final'!$AA$10="Media",'Mapa final'!$AC$10="Menor"),CONCATENATE("R1C",'Mapa final'!$Q$10),"")</f>
        <v/>
      </c>
      <c r="R26" s="65" t="str">
        <f>IF(AND('Mapa final'!$AA$11="Media",'Mapa final'!$AC$11="Menor"),CONCATENATE("R1C",'Mapa final'!$Q$11),"")</f>
        <v/>
      </c>
      <c r="S26" s="65" t="str">
        <f>IF(AND('Mapa final'!$AA$12="Media",'Mapa final'!$AC$12="Menor"),CONCATENATE("R1C",'Mapa final'!$Q$12),"")</f>
        <v/>
      </c>
      <c r="T26" s="65" t="e">
        <f>IF(AND('Mapa final'!#REF!="Media",'Mapa final'!#REF!="Menor"),CONCATENATE("R1C",'Mapa final'!#REF!),"")</f>
        <v>#REF!</v>
      </c>
      <c r="U26" s="66" t="e">
        <f>IF(AND('Mapa final'!#REF!="Media",'Mapa final'!#REF!="Menor"),CONCATENATE("R1C",'Mapa final'!#REF!),"")</f>
        <v>#REF!</v>
      </c>
      <c r="V26" s="64" t="str">
        <f ca="1">IF(AND('Mapa final'!$AA$9="Media",'Mapa final'!$AC$9="Moderado"),CONCATENATE("R1C",'Mapa final'!$Q$9),"")</f>
        <v/>
      </c>
      <c r="W26" s="65" t="str">
        <f ca="1">IF(AND('Mapa final'!$AA$10="Media",'Mapa final'!$AC$10="Moderado"),CONCATENATE("R1C",'Mapa final'!$Q$10),"")</f>
        <v/>
      </c>
      <c r="X26" s="65" t="str">
        <f>IF(AND('Mapa final'!$AA$11="Media",'Mapa final'!$AC$11="Moderado"),CONCATENATE("R1C",'Mapa final'!$Q$11),"")</f>
        <v/>
      </c>
      <c r="Y26" s="65" t="str">
        <f>IF(AND('Mapa final'!$AA$12="Media",'Mapa final'!$AC$12="Moderado"),CONCATENATE("R1C",'Mapa final'!$Q$12),"")</f>
        <v/>
      </c>
      <c r="Z26" s="65" t="e">
        <f>IF(AND('Mapa final'!#REF!="Media",'Mapa final'!#REF!="Moderado"),CONCATENATE("R1C",'Mapa final'!#REF!),"")</f>
        <v>#REF!</v>
      </c>
      <c r="AA26" s="66" t="e">
        <f>IF(AND('Mapa final'!#REF!="Media",'Mapa final'!#REF!="Moderado"),CONCATENATE("R1C",'Mapa final'!#REF!),"")</f>
        <v>#REF!</v>
      </c>
      <c r="AB26" s="46" t="str">
        <f ca="1">IF(AND('Mapa final'!$AA$9="Media",'Mapa final'!$AC$9="Mayor"),CONCATENATE("R1C",'Mapa final'!$Q$9),"")</f>
        <v/>
      </c>
      <c r="AC26" s="47" t="str">
        <f ca="1">IF(AND('Mapa final'!$AA$10="Media",'Mapa final'!$AC$10="Mayor"),CONCATENATE("R1C",'Mapa final'!$Q$10),"")</f>
        <v/>
      </c>
      <c r="AD26" s="47" t="str">
        <f>IF(AND('Mapa final'!$AA$11="Media",'Mapa final'!$AC$11="Mayor"),CONCATENATE("R1C",'Mapa final'!$Q$11),"")</f>
        <v/>
      </c>
      <c r="AE26" s="47" t="str">
        <f>IF(AND('Mapa final'!$AA$12="Media",'Mapa final'!$AC$12="Mayor"),CONCATENATE("R1C",'Mapa final'!$Q$12),"")</f>
        <v/>
      </c>
      <c r="AF26" s="47" t="e">
        <f>IF(AND('Mapa final'!#REF!="Media",'Mapa final'!#REF!="Mayor"),CONCATENATE("R1C",'Mapa final'!#REF!),"")</f>
        <v>#REF!</v>
      </c>
      <c r="AG26" s="48" t="e">
        <f>IF(AND('Mapa final'!#REF!="Media",'Mapa final'!#REF!="Mayor"),CONCATENATE("R1C",'Mapa final'!#REF!),"")</f>
        <v>#REF!</v>
      </c>
      <c r="AH26" s="49" t="str">
        <f ca="1">IF(AND('Mapa final'!$AA$9="Media",'Mapa final'!$AC$9="Catastrófico"),CONCATENATE("R1C",'Mapa final'!$Q$9),"")</f>
        <v/>
      </c>
      <c r="AI26" s="50" t="str">
        <f ca="1">IF(AND('Mapa final'!$AA$10="Media",'Mapa final'!$AC$10="Catastrófico"),CONCATENATE("R1C",'Mapa final'!$Q$10),"")</f>
        <v/>
      </c>
      <c r="AJ26" s="50" t="str">
        <f>IF(AND('Mapa final'!$AA$11="Media",'Mapa final'!$AC$11="Catastrófico"),CONCATENATE("R1C",'Mapa final'!$Q$11),"")</f>
        <v/>
      </c>
      <c r="AK26" s="50" t="str">
        <f>IF(AND('Mapa final'!$AA$12="Media",'Mapa final'!$AC$12="Catastrófico"),CONCATENATE("R1C",'Mapa final'!$Q$12),"")</f>
        <v/>
      </c>
      <c r="AL26" s="50" t="e">
        <f>IF(AND('Mapa final'!#REF!="Media",'Mapa final'!#REF!="Catastrófico"),CONCATENATE("R1C",'Mapa final'!#REF!),"")</f>
        <v>#REF!</v>
      </c>
      <c r="AM26" s="51" t="e">
        <f>IF(AND('Mapa final'!#REF!="Media",'Mapa final'!#REF!="Catastrófico"),CONCATENATE("R1C",'Mapa final'!#REF!),"")</f>
        <v>#REF!</v>
      </c>
      <c r="AN26" s="83"/>
      <c r="AO26" s="509" t="s">
        <v>81</v>
      </c>
      <c r="AP26" s="510"/>
      <c r="AQ26" s="510"/>
      <c r="AR26" s="510"/>
      <c r="AS26" s="510"/>
      <c r="AT26" s="5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3">
      <c r="A27" s="83"/>
      <c r="B27" s="384"/>
      <c r="C27" s="384"/>
      <c r="D27" s="385"/>
      <c r="E27" s="481"/>
      <c r="F27" s="482"/>
      <c r="G27" s="482"/>
      <c r="H27" s="482"/>
      <c r="I27" s="498"/>
      <c r="J27" s="67" t="str">
        <f ca="1">IF(AND('Mapa final'!$AA$13="Media",'Mapa final'!$AC$13="Leve"),CONCATENATE("R2C",'Mapa final'!$Q$13),"")</f>
        <v/>
      </c>
      <c r="K27" s="68" t="e">
        <f>IF(AND('Mapa final'!#REF!="Media",'Mapa final'!#REF!="Leve"),CONCATENATE("R2C",'Mapa final'!#REF!),"")</f>
        <v>#REF!</v>
      </c>
      <c r="L27" s="68" t="str">
        <f>IF(AND('Mapa final'!$AA$14="Media",'Mapa final'!$AC$14="Leve"),CONCATENATE("R2C",'Mapa final'!$Q$14),"")</f>
        <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 ca="1">IF(AND('Mapa final'!$AA$13="Media",'Mapa final'!$AC$13="Menor"),CONCATENATE("R2C",'Mapa final'!$Q$13),"")</f>
        <v/>
      </c>
      <c r="Q27" s="68" t="e">
        <f>IF(AND('Mapa final'!#REF!="Media",'Mapa final'!#REF!="Menor"),CONCATENATE("R2C",'Mapa final'!#REF!),"")</f>
        <v>#REF!</v>
      </c>
      <c r="R27" s="68" t="str">
        <f>IF(AND('Mapa final'!$AA$14="Media",'Mapa final'!$AC$14="Menor"),CONCATENATE("R2C",'Mapa final'!$Q$14),"")</f>
        <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 ca="1">IF(AND('Mapa final'!$AA$13="Media",'Mapa final'!$AC$13="Moderado"),CONCATENATE("R2C",'Mapa final'!$Q$13),"")</f>
        <v/>
      </c>
      <c r="W27" s="68" t="e">
        <f>IF(AND('Mapa final'!#REF!="Media",'Mapa final'!#REF!="Moderado"),CONCATENATE("R2C",'Mapa final'!#REF!),"")</f>
        <v>#REF!</v>
      </c>
      <c r="X27" s="68" t="str">
        <f>IF(AND('Mapa final'!$AA$14="Media",'Mapa final'!$AC$14="Moderado"),CONCATENATE("R2C",'Mapa final'!$Q$14),"")</f>
        <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 ca="1">IF(AND('Mapa final'!$AA$13="Media",'Mapa final'!$AC$13="Mayor"),CONCATENATE("R2C",'Mapa final'!$Q$13),"")</f>
        <v/>
      </c>
      <c r="AC27" s="53" t="e">
        <f>IF(AND('Mapa final'!#REF!="Media",'Mapa final'!#REF!="Mayor"),CONCATENATE("R2C",'Mapa final'!#REF!),"")</f>
        <v>#REF!</v>
      </c>
      <c r="AD27" s="53" t="str">
        <f>IF(AND('Mapa final'!$AA$14="Media",'Mapa final'!$AC$14="Mayor"),CONCATENATE("R2C",'Mapa final'!$Q$14),"")</f>
        <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 ca="1">IF(AND('Mapa final'!$AA$13="Media",'Mapa final'!$AC$13="Catastrófico"),CONCATENATE("R2C",'Mapa final'!$Q$13),"")</f>
        <v/>
      </c>
      <c r="AI27" s="56" t="e">
        <f>IF(AND('Mapa final'!#REF!="Media",'Mapa final'!#REF!="Catastrófico"),CONCATENATE("R2C",'Mapa final'!#REF!),"")</f>
        <v>#REF!</v>
      </c>
      <c r="AJ27" s="56" t="str">
        <f>IF(AND('Mapa final'!$AA$14="Media",'Mapa final'!$AC$14="Catastrófico"),CONCATENATE("R2C",'Mapa final'!$Q$14),"")</f>
        <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512"/>
      <c r="AP27" s="513"/>
      <c r="AQ27" s="513"/>
      <c r="AR27" s="513"/>
      <c r="AS27" s="513"/>
      <c r="AT27" s="51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3">
      <c r="A28" s="83"/>
      <c r="B28" s="384"/>
      <c r="C28" s="384"/>
      <c r="D28" s="385"/>
      <c r="E28" s="483"/>
      <c r="F28" s="482"/>
      <c r="G28" s="482"/>
      <c r="H28" s="482"/>
      <c r="I28" s="498"/>
      <c r="J28" s="67" t="str">
        <f>IF(AND('Mapa final'!$AA$17="Media",'Mapa final'!$AC$17="Leve"),CONCATENATE("R3C",'Mapa final'!$Q$17),"")</f>
        <v/>
      </c>
      <c r="K28" s="68" t="str">
        <f>IF(AND('Mapa final'!$AA$18="Media",'Mapa final'!$AC$18="Leve"),CONCATENATE("R3C",'Mapa final'!$Q$18),"")</f>
        <v/>
      </c>
      <c r="L28" s="68" t="str">
        <f>IF(AND('Mapa final'!$AA$19="Media",'Mapa final'!$AC$19="Leve"),CONCATENATE("R3C",'Mapa final'!$Q$19),"")</f>
        <v/>
      </c>
      <c r="M28" s="68" t="str">
        <f>IF(AND('Mapa final'!$AA$20="Media",'Mapa final'!$AC$20="Leve"),CONCATENATE("R3C",'Mapa final'!$Q$20),"")</f>
        <v/>
      </c>
      <c r="N28" s="68" t="str">
        <f>IF(AND('Mapa final'!$AA$21="Media",'Mapa final'!$AC$21="Leve"),CONCATENATE("R3C",'Mapa final'!$Q$21),"")</f>
        <v/>
      </c>
      <c r="O28" s="69" t="str">
        <f>IF(AND('Mapa final'!$AA$22="Media",'Mapa final'!$AC$22="Leve"),CONCATENATE("R3C",'Mapa final'!$Q$22),"")</f>
        <v/>
      </c>
      <c r="P28" s="67" t="str">
        <f>IF(AND('Mapa final'!$AA$17="Media",'Mapa final'!$AC$17="Menor"),CONCATENATE("R3C",'Mapa final'!$Q$17),"")</f>
        <v/>
      </c>
      <c r="Q28" s="68" t="str">
        <f>IF(AND('Mapa final'!$AA$18="Media",'Mapa final'!$AC$18="Menor"),CONCATENATE("R3C",'Mapa final'!$Q$18),"")</f>
        <v/>
      </c>
      <c r="R28" s="68" t="str">
        <f>IF(AND('Mapa final'!$AA$19="Media",'Mapa final'!$AC$19="Menor"),CONCATENATE("R3C",'Mapa final'!$Q$19),"")</f>
        <v/>
      </c>
      <c r="S28" s="68" t="str">
        <f>IF(AND('Mapa final'!$AA$20="Media",'Mapa final'!$AC$20="Menor"),CONCATENATE("R3C",'Mapa final'!$Q$20),"")</f>
        <v/>
      </c>
      <c r="T28" s="68" t="str">
        <f>IF(AND('Mapa final'!$AA$21="Media",'Mapa final'!$AC$21="Menor"),CONCATENATE("R3C",'Mapa final'!$Q$21),"")</f>
        <v/>
      </c>
      <c r="U28" s="69" t="str">
        <f>IF(AND('Mapa final'!$AA$22="Media",'Mapa final'!$AC$22="Menor"),CONCATENATE("R3C",'Mapa final'!$Q$22),"")</f>
        <v/>
      </c>
      <c r="V28" s="67" t="str">
        <f>IF(AND('Mapa final'!$AA$17="Media",'Mapa final'!$AC$17="Moderado"),CONCATENATE("R3C",'Mapa final'!$Q$17),"")</f>
        <v/>
      </c>
      <c r="W28" s="68" t="str">
        <f>IF(AND('Mapa final'!$AA$18="Media",'Mapa final'!$AC$18="Moderado"),CONCATENATE("R3C",'Mapa final'!$Q$18),"")</f>
        <v/>
      </c>
      <c r="X28" s="68" t="str">
        <f>IF(AND('Mapa final'!$AA$19="Media",'Mapa final'!$AC$19="Moderado"),CONCATENATE("R3C",'Mapa final'!$Q$19),"")</f>
        <v/>
      </c>
      <c r="Y28" s="68" t="str">
        <f>IF(AND('Mapa final'!$AA$20="Media",'Mapa final'!$AC$20="Moderado"),CONCATENATE("R3C",'Mapa final'!$Q$20),"")</f>
        <v/>
      </c>
      <c r="Z28" s="68" t="str">
        <f>IF(AND('Mapa final'!$AA$21="Media",'Mapa final'!$AC$21="Moderado"),CONCATENATE("R3C",'Mapa final'!$Q$21),"")</f>
        <v/>
      </c>
      <c r="AA28" s="69" t="str">
        <f>IF(AND('Mapa final'!$AA$22="Media",'Mapa final'!$AC$22="Moderado"),CONCATENATE("R3C",'Mapa final'!$Q$22),"")</f>
        <v/>
      </c>
      <c r="AB28" s="52" t="str">
        <f>IF(AND('Mapa final'!$AA$17="Media",'Mapa final'!$AC$17="Mayor"),CONCATENATE("R3C",'Mapa final'!$Q$17),"")</f>
        <v/>
      </c>
      <c r="AC28" s="53" t="str">
        <f>IF(AND('Mapa final'!$AA$18="Media",'Mapa final'!$AC$18="Mayor"),CONCATENATE("R3C",'Mapa final'!$Q$18),"")</f>
        <v/>
      </c>
      <c r="AD28" s="53" t="str">
        <f>IF(AND('Mapa final'!$AA$19="Media",'Mapa final'!$AC$19="Mayor"),CONCATENATE("R3C",'Mapa final'!$Q$19),"")</f>
        <v/>
      </c>
      <c r="AE28" s="53" t="str">
        <f>IF(AND('Mapa final'!$AA$20="Media",'Mapa final'!$AC$20="Mayor"),CONCATENATE("R3C",'Mapa final'!$Q$20),"")</f>
        <v/>
      </c>
      <c r="AF28" s="53" t="str">
        <f>IF(AND('Mapa final'!$AA$21="Media",'Mapa final'!$AC$21="Mayor"),CONCATENATE("R3C",'Mapa final'!$Q$21),"")</f>
        <v/>
      </c>
      <c r="AG28" s="54" t="str">
        <f>IF(AND('Mapa final'!$AA$22="Media",'Mapa final'!$AC$22="Mayor"),CONCATENATE("R3C",'Mapa final'!$Q$22),"")</f>
        <v/>
      </c>
      <c r="AH28" s="55" t="str">
        <f>IF(AND('Mapa final'!$AA$17="Media",'Mapa final'!$AC$17="Catastrófico"),CONCATENATE("R3C",'Mapa final'!$Q$17),"")</f>
        <v/>
      </c>
      <c r="AI28" s="56" t="str">
        <f>IF(AND('Mapa final'!$AA$18="Media",'Mapa final'!$AC$18="Catastrófico"),CONCATENATE("R3C",'Mapa final'!$Q$18),"")</f>
        <v/>
      </c>
      <c r="AJ28" s="56" t="str">
        <f>IF(AND('Mapa final'!$AA$19="Media",'Mapa final'!$AC$19="Catastrófico"),CONCATENATE("R3C",'Mapa final'!$Q$19),"")</f>
        <v/>
      </c>
      <c r="AK28" s="56" t="str">
        <f>IF(AND('Mapa final'!$AA$20="Media",'Mapa final'!$AC$20="Catastrófico"),CONCATENATE("R3C",'Mapa final'!$Q$20),"")</f>
        <v/>
      </c>
      <c r="AL28" s="56" t="str">
        <f>IF(AND('Mapa final'!$AA$21="Media",'Mapa final'!$AC$21="Catastrófico"),CONCATENATE("R3C",'Mapa final'!$Q$21),"")</f>
        <v/>
      </c>
      <c r="AM28" s="57" t="str">
        <f>IF(AND('Mapa final'!$AA$22="Media",'Mapa final'!$AC$22="Catastrófico"),CONCATENATE("R3C",'Mapa final'!$Q$22),"")</f>
        <v/>
      </c>
      <c r="AN28" s="83"/>
      <c r="AO28" s="512"/>
      <c r="AP28" s="513"/>
      <c r="AQ28" s="513"/>
      <c r="AR28" s="513"/>
      <c r="AS28" s="513"/>
      <c r="AT28" s="51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3">
      <c r="A29" s="83"/>
      <c r="B29" s="384"/>
      <c r="C29" s="384"/>
      <c r="D29" s="385"/>
      <c r="E29" s="483"/>
      <c r="F29" s="482"/>
      <c r="G29" s="482"/>
      <c r="H29" s="482"/>
      <c r="I29" s="498"/>
      <c r="J29" s="67" t="str">
        <f>IF(AND('Mapa final'!$AA$23="Media",'Mapa final'!$AC$23="Leve"),CONCATENATE("R4C",'Mapa final'!$Q$23),"")</f>
        <v/>
      </c>
      <c r="K29" s="68" t="str">
        <f>IF(AND('Mapa final'!$AA$24="Media",'Mapa final'!$AC$24="Leve"),CONCATENATE("R4C",'Mapa final'!$Q$24),"")</f>
        <v/>
      </c>
      <c r="L29" s="68" t="str">
        <f>IF(AND('Mapa final'!$AA$25="Media",'Mapa final'!$AC$25="Leve"),CONCATENATE("R4C",'Mapa final'!$Q$25),"")</f>
        <v/>
      </c>
      <c r="M29" s="68" t="str">
        <f>IF(AND('Mapa final'!$AA$26="Media",'Mapa final'!$AC$26="Leve"),CONCATENATE("R4C",'Mapa final'!$Q$26),"")</f>
        <v/>
      </c>
      <c r="N29" s="68" t="str">
        <f>IF(AND('Mapa final'!$AA$27="Media",'Mapa final'!$AC$27="Leve"),CONCATENATE("R4C",'Mapa final'!$Q$27),"")</f>
        <v/>
      </c>
      <c r="O29" s="69" t="str">
        <f>IF(AND('Mapa final'!$AA$28="Media",'Mapa final'!$AC$28="Leve"),CONCATENATE("R4C",'Mapa final'!$Q$28),"")</f>
        <v/>
      </c>
      <c r="P29" s="67" t="str">
        <f>IF(AND('Mapa final'!$AA$23="Media",'Mapa final'!$AC$23="Menor"),CONCATENATE("R4C",'Mapa final'!$Q$23),"")</f>
        <v/>
      </c>
      <c r="Q29" s="68" t="str">
        <f>IF(AND('Mapa final'!$AA$24="Media",'Mapa final'!$AC$24="Menor"),CONCATENATE("R4C",'Mapa final'!$Q$24),"")</f>
        <v/>
      </c>
      <c r="R29" s="68" t="str">
        <f>IF(AND('Mapa final'!$AA$25="Media",'Mapa final'!$AC$25="Menor"),CONCATENATE("R4C",'Mapa final'!$Q$25),"")</f>
        <v/>
      </c>
      <c r="S29" s="68" t="str">
        <f>IF(AND('Mapa final'!$AA$26="Media",'Mapa final'!$AC$26="Menor"),CONCATENATE("R4C",'Mapa final'!$Q$26),"")</f>
        <v/>
      </c>
      <c r="T29" s="68" t="str">
        <f>IF(AND('Mapa final'!$AA$27="Media",'Mapa final'!$AC$27="Menor"),CONCATENATE("R4C",'Mapa final'!$Q$27),"")</f>
        <v/>
      </c>
      <c r="U29" s="69" t="str">
        <f>IF(AND('Mapa final'!$AA$28="Media",'Mapa final'!$AC$28="Menor"),CONCATENATE("R4C",'Mapa final'!$Q$28),"")</f>
        <v/>
      </c>
      <c r="V29" s="67" t="str">
        <f>IF(AND('Mapa final'!$AA$23="Media",'Mapa final'!$AC$23="Moderado"),CONCATENATE("R4C",'Mapa final'!$Q$23),"")</f>
        <v/>
      </c>
      <c r="W29" s="68" t="str">
        <f>IF(AND('Mapa final'!$AA$24="Media",'Mapa final'!$AC$24="Moderado"),CONCATENATE("R4C",'Mapa final'!$Q$24),"")</f>
        <v/>
      </c>
      <c r="X29" s="68" t="str">
        <f>IF(AND('Mapa final'!$AA$25="Media",'Mapa final'!$AC$25="Moderado"),CONCATENATE("R4C",'Mapa final'!$Q$25),"")</f>
        <v/>
      </c>
      <c r="Y29" s="68" t="str">
        <f>IF(AND('Mapa final'!$AA$26="Media",'Mapa final'!$AC$26="Moderado"),CONCATENATE("R4C",'Mapa final'!$Q$26),"")</f>
        <v/>
      </c>
      <c r="Z29" s="68" t="str">
        <f>IF(AND('Mapa final'!$AA$27="Media",'Mapa final'!$AC$27="Moderado"),CONCATENATE("R4C",'Mapa final'!$Q$27),"")</f>
        <v/>
      </c>
      <c r="AA29" s="69" t="str">
        <f>IF(AND('Mapa final'!$AA$28="Media",'Mapa final'!$AC$28="Moderado"),CONCATENATE("R4C",'Mapa final'!$Q$28),"")</f>
        <v/>
      </c>
      <c r="AB29" s="52" t="str">
        <f>IF(AND('Mapa final'!$AA$23="Media",'Mapa final'!$AC$23="Mayor"),CONCATENATE("R4C",'Mapa final'!$Q$23),"")</f>
        <v/>
      </c>
      <c r="AC29" s="53" t="str">
        <f>IF(AND('Mapa final'!$AA$24="Media",'Mapa final'!$AC$24="Mayor"),CONCATENATE("R4C",'Mapa final'!$Q$24),"")</f>
        <v/>
      </c>
      <c r="AD29" s="53" t="str">
        <f>IF(AND('Mapa final'!$AA$25="Media",'Mapa final'!$AC$25="Mayor"),CONCATENATE("R4C",'Mapa final'!$Q$25),"")</f>
        <v/>
      </c>
      <c r="AE29" s="53" t="str">
        <f>IF(AND('Mapa final'!$AA$26="Media",'Mapa final'!$AC$26="Mayor"),CONCATENATE("R4C",'Mapa final'!$Q$26),"")</f>
        <v/>
      </c>
      <c r="AF29" s="53" t="str">
        <f>IF(AND('Mapa final'!$AA$27="Media",'Mapa final'!$AC$27="Mayor"),CONCATENATE("R4C",'Mapa final'!$Q$27),"")</f>
        <v/>
      </c>
      <c r="AG29" s="54" t="str">
        <f>IF(AND('Mapa final'!$AA$28="Media",'Mapa final'!$AC$28="Mayor"),CONCATENATE("R4C",'Mapa final'!$Q$28),"")</f>
        <v/>
      </c>
      <c r="AH29" s="55" t="str">
        <f>IF(AND('Mapa final'!$AA$23="Media",'Mapa final'!$AC$23="Catastrófico"),CONCATENATE("R4C",'Mapa final'!$Q$23),"")</f>
        <v/>
      </c>
      <c r="AI29" s="56" t="str">
        <f>IF(AND('Mapa final'!$AA$24="Media",'Mapa final'!$AC$24="Catastrófico"),CONCATENATE("R4C",'Mapa final'!$Q$24),"")</f>
        <v/>
      </c>
      <c r="AJ29" s="56" t="str">
        <f>IF(AND('Mapa final'!$AA$25="Media",'Mapa final'!$AC$25="Catastrófico"),CONCATENATE("R4C",'Mapa final'!$Q$25),"")</f>
        <v/>
      </c>
      <c r="AK29" s="56" t="str">
        <f>IF(AND('Mapa final'!$AA$26="Media",'Mapa final'!$AC$26="Catastrófico"),CONCATENATE("R4C",'Mapa final'!$Q$26),"")</f>
        <v/>
      </c>
      <c r="AL29" s="56" t="str">
        <f>IF(AND('Mapa final'!$AA$27="Media",'Mapa final'!$AC$27="Catastrófico"),CONCATENATE("R4C",'Mapa final'!$Q$27),"")</f>
        <v/>
      </c>
      <c r="AM29" s="57" t="str">
        <f>IF(AND('Mapa final'!$AA$28="Media",'Mapa final'!$AC$28="Catastrófico"),CONCATENATE("R4C",'Mapa final'!$Q$28),"")</f>
        <v/>
      </c>
      <c r="AN29" s="83"/>
      <c r="AO29" s="512"/>
      <c r="AP29" s="513"/>
      <c r="AQ29" s="513"/>
      <c r="AR29" s="513"/>
      <c r="AS29" s="513"/>
      <c r="AT29" s="5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3">
      <c r="A30" s="83"/>
      <c r="B30" s="384"/>
      <c r="C30" s="384"/>
      <c r="D30" s="385"/>
      <c r="E30" s="483"/>
      <c r="F30" s="482"/>
      <c r="G30" s="482"/>
      <c r="H30" s="482"/>
      <c r="I30" s="498"/>
      <c r="J30" s="67" t="str">
        <f>IF(AND('Mapa final'!$AA$29="Media",'Mapa final'!$AC$29="Leve"),CONCATENATE("R5C",'Mapa final'!$Q$29),"")</f>
        <v/>
      </c>
      <c r="K30" s="68" t="str">
        <f>IF(AND('Mapa final'!$AA$30="Media",'Mapa final'!$AC$30="Leve"),CONCATENATE("R5C",'Mapa final'!$Q$30),"")</f>
        <v/>
      </c>
      <c r="L30" s="68" t="str">
        <f>IF(AND('Mapa final'!$AA$31="Media",'Mapa final'!$AC$31="Leve"),CONCATENATE("R5C",'Mapa final'!$Q$31),"")</f>
        <v/>
      </c>
      <c r="M30" s="68" t="str">
        <f>IF(AND('Mapa final'!$AA$32="Media",'Mapa final'!$AC$32="Leve"),CONCATENATE("R5C",'Mapa final'!$Q$32),"")</f>
        <v/>
      </c>
      <c r="N30" s="68" t="str">
        <f>IF(AND('Mapa final'!$AA$33="Media",'Mapa final'!$AC$33="Leve"),CONCATENATE("R5C",'Mapa final'!$Q$33),"")</f>
        <v/>
      </c>
      <c r="O30" s="69" t="str">
        <f>IF(AND('Mapa final'!$AA$34="Media",'Mapa final'!$AC$34="Leve"),CONCATENATE("R5C",'Mapa final'!$Q$34),"")</f>
        <v/>
      </c>
      <c r="P30" s="67" t="str">
        <f>IF(AND('Mapa final'!$AA$29="Media",'Mapa final'!$AC$29="Menor"),CONCATENATE("R5C",'Mapa final'!$Q$29),"")</f>
        <v/>
      </c>
      <c r="Q30" s="68" t="str">
        <f>IF(AND('Mapa final'!$AA$30="Media",'Mapa final'!$AC$30="Menor"),CONCATENATE("R5C",'Mapa final'!$Q$30),"")</f>
        <v/>
      </c>
      <c r="R30" s="68" t="str">
        <f>IF(AND('Mapa final'!$AA$31="Media",'Mapa final'!$AC$31="Menor"),CONCATENATE("R5C",'Mapa final'!$Q$31),"")</f>
        <v/>
      </c>
      <c r="S30" s="68" t="str">
        <f>IF(AND('Mapa final'!$AA$32="Media",'Mapa final'!$AC$32="Menor"),CONCATENATE("R5C",'Mapa final'!$Q$32),"")</f>
        <v/>
      </c>
      <c r="T30" s="68" t="str">
        <f>IF(AND('Mapa final'!$AA$33="Media",'Mapa final'!$AC$33="Menor"),CONCATENATE("R5C",'Mapa final'!$Q$33),"")</f>
        <v/>
      </c>
      <c r="U30" s="69" t="str">
        <f>IF(AND('Mapa final'!$AA$34="Media",'Mapa final'!$AC$34="Menor"),CONCATENATE("R5C",'Mapa final'!$Q$34),"")</f>
        <v/>
      </c>
      <c r="V30" s="67" t="str">
        <f>IF(AND('Mapa final'!$AA$29="Media",'Mapa final'!$AC$29="Moderado"),CONCATENATE("R5C",'Mapa final'!$Q$29),"")</f>
        <v/>
      </c>
      <c r="W30" s="68" t="str">
        <f>IF(AND('Mapa final'!$AA$30="Media",'Mapa final'!$AC$30="Moderado"),CONCATENATE("R5C",'Mapa final'!$Q$30),"")</f>
        <v/>
      </c>
      <c r="X30" s="68" t="str">
        <f>IF(AND('Mapa final'!$AA$31="Media",'Mapa final'!$AC$31="Moderado"),CONCATENATE("R5C",'Mapa final'!$Q$31),"")</f>
        <v/>
      </c>
      <c r="Y30" s="68" t="str">
        <f>IF(AND('Mapa final'!$AA$32="Media",'Mapa final'!$AC$32="Moderado"),CONCATENATE("R5C",'Mapa final'!$Q$32),"")</f>
        <v/>
      </c>
      <c r="Z30" s="68" t="str">
        <f>IF(AND('Mapa final'!$AA$33="Media",'Mapa final'!$AC$33="Moderado"),CONCATENATE("R5C",'Mapa final'!$Q$33),"")</f>
        <v/>
      </c>
      <c r="AA30" s="69" t="str">
        <f>IF(AND('Mapa final'!$AA$34="Media",'Mapa final'!$AC$34="Moderado"),CONCATENATE("R5C",'Mapa final'!$Q$34),"")</f>
        <v/>
      </c>
      <c r="AB30" s="52" t="str">
        <f>IF(AND('Mapa final'!$AA$29="Media",'Mapa final'!$AC$29="Mayor"),CONCATENATE("R5C",'Mapa final'!$Q$29),"")</f>
        <v/>
      </c>
      <c r="AC30" s="53" t="str">
        <f>IF(AND('Mapa final'!$AA$30="Media",'Mapa final'!$AC$30="Mayor"),CONCATENATE("R5C",'Mapa final'!$Q$30),"")</f>
        <v/>
      </c>
      <c r="AD30" s="53" t="str">
        <f>IF(AND('Mapa final'!$AA$31="Media",'Mapa final'!$AC$31="Mayor"),CONCATENATE("R5C",'Mapa final'!$Q$31),"")</f>
        <v/>
      </c>
      <c r="AE30" s="53" t="str">
        <f>IF(AND('Mapa final'!$AA$32="Media",'Mapa final'!$AC$32="Mayor"),CONCATENATE("R5C",'Mapa final'!$Q$32),"")</f>
        <v/>
      </c>
      <c r="AF30" s="53" t="str">
        <f>IF(AND('Mapa final'!$AA$33="Media",'Mapa final'!$AC$33="Mayor"),CONCATENATE("R5C",'Mapa final'!$Q$33),"")</f>
        <v/>
      </c>
      <c r="AG30" s="54" t="str">
        <f>IF(AND('Mapa final'!$AA$34="Media",'Mapa final'!$AC$34="Mayor"),CONCATENATE("R5C",'Mapa final'!$Q$34),"")</f>
        <v/>
      </c>
      <c r="AH30" s="55" t="str">
        <f>IF(AND('Mapa final'!$AA$29="Media",'Mapa final'!$AC$29="Catastrófico"),CONCATENATE("R5C",'Mapa final'!$Q$29),"")</f>
        <v/>
      </c>
      <c r="AI30" s="56" t="str">
        <f>IF(AND('Mapa final'!$AA$30="Media",'Mapa final'!$AC$30="Catastrófico"),CONCATENATE("R5C",'Mapa final'!$Q$30),"")</f>
        <v/>
      </c>
      <c r="AJ30" s="56" t="str">
        <f>IF(AND('Mapa final'!$AA$31="Media",'Mapa final'!$AC$31="Catastrófico"),CONCATENATE("R5C",'Mapa final'!$Q$31),"")</f>
        <v/>
      </c>
      <c r="AK30" s="56" t="str">
        <f>IF(AND('Mapa final'!$AA$32="Media",'Mapa final'!$AC$32="Catastrófico"),CONCATENATE("R5C",'Mapa final'!$Q$32),"")</f>
        <v/>
      </c>
      <c r="AL30" s="56" t="str">
        <f>IF(AND('Mapa final'!$AA$33="Media",'Mapa final'!$AC$33="Catastrófico"),CONCATENATE("R5C",'Mapa final'!$Q$33),"")</f>
        <v/>
      </c>
      <c r="AM30" s="57" t="str">
        <f>IF(AND('Mapa final'!$AA$34="Media",'Mapa final'!$AC$34="Catastrófico"),CONCATENATE("R5C",'Mapa final'!$Q$34),"")</f>
        <v/>
      </c>
      <c r="AN30" s="83"/>
      <c r="AO30" s="512"/>
      <c r="AP30" s="513"/>
      <c r="AQ30" s="513"/>
      <c r="AR30" s="513"/>
      <c r="AS30" s="513"/>
      <c r="AT30" s="51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3">
      <c r="A31" s="83"/>
      <c r="B31" s="384"/>
      <c r="C31" s="384"/>
      <c r="D31" s="385"/>
      <c r="E31" s="483"/>
      <c r="F31" s="482"/>
      <c r="G31" s="482"/>
      <c r="H31" s="482"/>
      <c r="I31" s="498"/>
      <c r="J31" s="67" t="str">
        <f>IF(AND('Mapa final'!$AA$35="Media",'Mapa final'!$AC$35="Leve"),CONCATENATE("R6C",'Mapa final'!$Q$35),"")</f>
        <v/>
      </c>
      <c r="K31" s="68" t="str">
        <f>IF(AND('Mapa final'!$AA$36="Media",'Mapa final'!$AC$36="Leve"),CONCATENATE("R6C",'Mapa final'!$Q$36),"")</f>
        <v/>
      </c>
      <c r="L31" s="68" t="str">
        <f>IF(AND('Mapa final'!$AA$37="Media",'Mapa final'!$AC$37="Leve"),CONCATENATE("R6C",'Mapa final'!$Q$37),"")</f>
        <v/>
      </c>
      <c r="M31" s="68" t="str">
        <f>IF(AND('Mapa final'!$AA$38="Media",'Mapa final'!$AC$38="Leve"),CONCATENATE("R6C",'Mapa final'!$Q$38),"")</f>
        <v/>
      </c>
      <c r="N31" s="68" t="str">
        <f>IF(AND('Mapa final'!$AA$39="Media",'Mapa final'!$AC$39="Leve"),CONCATENATE("R6C",'Mapa final'!$Q$39),"")</f>
        <v/>
      </c>
      <c r="O31" s="69" t="str">
        <f>IF(AND('Mapa final'!$AA$40="Media",'Mapa final'!$AC$40="Leve"),CONCATENATE("R6C",'Mapa final'!$Q$40),"")</f>
        <v/>
      </c>
      <c r="P31" s="67" t="str">
        <f>IF(AND('Mapa final'!$AA$35="Media",'Mapa final'!$AC$35="Menor"),CONCATENATE("R6C",'Mapa final'!$Q$35),"")</f>
        <v/>
      </c>
      <c r="Q31" s="68" t="str">
        <f>IF(AND('Mapa final'!$AA$36="Media",'Mapa final'!$AC$36="Menor"),CONCATENATE("R6C",'Mapa final'!$Q$36),"")</f>
        <v/>
      </c>
      <c r="R31" s="68" t="str">
        <f>IF(AND('Mapa final'!$AA$37="Media",'Mapa final'!$AC$37="Menor"),CONCATENATE("R6C",'Mapa final'!$Q$37),"")</f>
        <v/>
      </c>
      <c r="S31" s="68" t="str">
        <f>IF(AND('Mapa final'!$AA$38="Media",'Mapa final'!$AC$38="Menor"),CONCATENATE("R6C",'Mapa final'!$Q$38),"")</f>
        <v/>
      </c>
      <c r="T31" s="68" t="str">
        <f>IF(AND('Mapa final'!$AA$39="Media",'Mapa final'!$AC$39="Menor"),CONCATENATE("R6C",'Mapa final'!$Q$39),"")</f>
        <v/>
      </c>
      <c r="U31" s="69" t="str">
        <f>IF(AND('Mapa final'!$AA$40="Media",'Mapa final'!$AC$40="Menor"),CONCATENATE("R6C",'Mapa final'!$Q$40),"")</f>
        <v/>
      </c>
      <c r="V31" s="67" t="str">
        <f>IF(AND('Mapa final'!$AA$35="Media",'Mapa final'!$AC$35="Moderado"),CONCATENATE("R6C",'Mapa final'!$Q$35),"")</f>
        <v/>
      </c>
      <c r="W31" s="68" t="str">
        <f>IF(AND('Mapa final'!$AA$36="Media",'Mapa final'!$AC$36="Moderado"),CONCATENATE("R6C",'Mapa final'!$Q$36),"")</f>
        <v/>
      </c>
      <c r="X31" s="68" t="str">
        <f>IF(AND('Mapa final'!$AA$37="Media",'Mapa final'!$AC$37="Moderado"),CONCATENATE("R6C",'Mapa final'!$Q$37),"")</f>
        <v/>
      </c>
      <c r="Y31" s="68" t="str">
        <f>IF(AND('Mapa final'!$AA$38="Media",'Mapa final'!$AC$38="Moderado"),CONCATENATE("R6C",'Mapa final'!$Q$38),"")</f>
        <v/>
      </c>
      <c r="Z31" s="68" t="str">
        <f>IF(AND('Mapa final'!$AA$39="Media",'Mapa final'!$AC$39="Moderado"),CONCATENATE("R6C",'Mapa final'!$Q$39),"")</f>
        <v/>
      </c>
      <c r="AA31" s="69" t="str">
        <f>IF(AND('Mapa final'!$AA$40="Media",'Mapa final'!$AC$40="Moderado"),CONCATENATE("R6C",'Mapa final'!$Q$40),"")</f>
        <v/>
      </c>
      <c r="AB31" s="52" t="str">
        <f>IF(AND('Mapa final'!$AA$35="Media",'Mapa final'!$AC$35="Mayor"),CONCATENATE("R6C",'Mapa final'!$Q$35),"")</f>
        <v/>
      </c>
      <c r="AC31" s="53" t="str">
        <f>IF(AND('Mapa final'!$AA$36="Media",'Mapa final'!$AC$36="Mayor"),CONCATENATE("R6C",'Mapa final'!$Q$36),"")</f>
        <v/>
      </c>
      <c r="AD31" s="53" t="str">
        <f>IF(AND('Mapa final'!$AA$37="Media",'Mapa final'!$AC$37="Mayor"),CONCATENATE("R6C",'Mapa final'!$Q$37),"")</f>
        <v/>
      </c>
      <c r="AE31" s="53" t="str">
        <f>IF(AND('Mapa final'!$AA$38="Media",'Mapa final'!$AC$38="Mayor"),CONCATENATE("R6C",'Mapa final'!$Q$38),"")</f>
        <v/>
      </c>
      <c r="AF31" s="53" t="str">
        <f>IF(AND('Mapa final'!$AA$39="Media",'Mapa final'!$AC$39="Mayor"),CONCATENATE("R6C",'Mapa final'!$Q$39),"")</f>
        <v/>
      </c>
      <c r="AG31" s="54" t="str">
        <f>IF(AND('Mapa final'!$AA$40="Media",'Mapa final'!$AC$40="Mayor"),CONCATENATE("R6C",'Mapa final'!$Q$40),"")</f>
        <v/>
      </c>
      <c r="AH31" s="55" t="str">
        <f>IF(AND('Mapa final'!$AA$35="Media",'Mapa final'!$AC$35="Catastrófico"),CONCATENATE("R6C",'Mapa final'!$Q$35),"")</f>
        <v/>
      </c>
      <c r="AI31" s="56" t="str">
        <f>IF(AND('Mapa final'!$AA$36="Media",'Mapa final'!$AC$36="Catastrófico"),CONCATENATE("R6C",'Mapa final'!$Q$36),"")</f>
        <v/>
      </c>
      <c r="AJ31" s="56" t="str">
        <f>IF(AND('Mapa final'!$AA$37="Media",'Mapa final'!$AC$37="Catastrófico"),CONCATENATE("R6C",'Mapa final'!$Q$37),"")</f>
        <v/>
      </c>
      <c r="AK31" s="56" t="str">
        <f>IF(AND('Mapa final'!$AA$38="Media",'Mapa final'!$AC$38="Catastrófico"),CONCATENATE("R6C",'Mapa final'!$Q$38),"")</f>
        <v/>
      </c>
      <c r="AL31" s="56" t="str">
        <f>IF(AND('Mapa final'!$AA$39="Media",'Mapa final'!$AC$39="Catastrófico"),CONCATENATE("R6C",'Mapa final'!$Q$39),"")</f>
        <v/>
      </c>
      <c r="AM31" s="57" t="str">
        <f>IF(AND('Mapa final'!$AA$40="Media",'Mapa final'!$AC$40="Catastrófico"),CONCATENATE("R6C",'Mapa final'!$Q$40),"")</f>
        <v/>
      </c>
      <c r="AN31" s="83"/>
      <c r="AO31" s="512"/>
      <c r="AP31" s="513"/>
      <c r="AQ31" s="513"/>
      <c r="AR31" s="513"/>
      <c r="AS31" s="513"/>
      <c r="AT31" s="51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3">
      <c r="A32" s="83"/>
      <c r="B32" s="384"/>
      <c r="C32" s="384"/>
      <c r="D32" s="385"/>
      <c r="E32" s="483"/>
      <c r="F32" s="482"/>
      <c r="G32" s="482"/>
      <c r="H32" s="482"/>
      <c r="I32" s="498"/>
      <c r="J32" s="67" t="str">
        <f>IF(AND('Mapa final'!$AA$41="Media",'Mapa final'!$AC$41="Leve"),CONCATENATE("R7C",'Mapa final'!$Q$41),"")</f>
        <v/>
      </c>
      <c r="K32" s="68" t="str">
        <f>IF(AND('Mapa final'!$AA$42="Media",'Mapa final'!$AC$42="Leve"),CONCATENATE("R7C",'Mapa final'!$Q$42),"")</f>
        <v/>
      </c>
      <c r="L32" s="68" t="str">
        <f>IF(AND('Mapa final'!$AA$43="Media",'Mapa final'!$AC$43="Leve"),CONCATENATE("R7C",'Mapa final'!$Q$43),"")</f>
        <v/>
      </c>
      <c r="M32" s="68" t="str">
        <f>IF(AND('Mapa final'!$AA$44="Media",'Mapa final'!$AC$44="Leve"),CONCATENATE("R7C",'Mapa final'!$Q$44),"")</f>
        <v/>
      </c>
      <c r="N32" s="68" t="str">
        <f>IF(AND('Mapa final'!$AA$45="Media",'Mapa final'!$AC$45="Leve"),CONCATENATE("R7C",'Mapa final'!$Q$45),"")</f>
        <v/>
      </c>
      <c r="O32" s="69" t="str">
        <f>IF(AND('Mapa final'!$AA$46="Media",'Mapa final'!$AC$46="Leve"),CONCATENATE("R7C",'Mapa final'!$Q$46),"")</f>
        <v/>
      </c>
      <c r="P32" s="67" t="str">
        <f>IF(AND('Mapa final'!$AA$41="Media",'Mapa final'!$AC$41="Menor"),CONCATENATE("R7C",'Mapa final'!$Q$41),"")</f>
        <v/>
      </c>
      <c r="Q32" s="68" t="str">
        <f>IF(AND('Mapa final'!$AA$42="Media",'Mapa final'!$AC$42="Menor"),CONCATENATE("R7C",'Mapa final'!$Q$42),"")</f>
        <v/>
      </c>
      <c r="R32" s="68" t="str">
        <f>IF(AND('Mapa final'!$AA$43="Media",'Mapa final'!$AC$43="Menor"),CONCATENATE("R7C",'Mapa final'!$Q$43),"")</f>
        <v/>
      </c>
      <c r="S32" s="68" t="str">
        <f>IF(AND('Mapa final'!$AA$44="Media",'Mapa final'!$AC$44="Menor"),CONCATENATE("R7C",'Mapa final'!$Q$44),"")</f>
        <v/>
      </c>
      <c r="T32" s="68" t="str">
        <f>IF(AND('Mapa final'!$AA$45="Media",'Mapa final'!$AC$45="Menor"),CONCATENATE("R7C",'Mapa final'!$Q$45),"")</f>
        <v/>
      </c>
      <c r="U32" s="69" t="str">
        <f>IF(AND('Mapa final'!$AA$46="Media",'Mapa final'!$AC$46="Menor"),CONCATENATE("R7C",'Mapa final'!$Q$46),"")</f>
        <v/>
      </c>
      <c r="V32" s="67" t="str">
        <f>IF(AND('Mapa final'!$AA$41="Media",'Mapa final'!$AC$41="Moderado"),CONCATENATE("R7C",'Mapa final'!$Q$41),"")</f>
        <v/>
      </c>
      <c r="W32" s="68" t="str">
        <f>IF(AND('Mapa final'!$AA$42="Media",'Mapa final'!$AC$42="Moderado"),CONCATENATE("R7C",'Mapa final'!$Q$42),"")</f>
        <v/>
      </c>
      <c r="X32" s="68" t="str">
        <f>IF(AND('Mapa final'!$AA$43="Media",'Mapa final'!$AC$43="Moderado"),CONCATENATE("R7C",'Mapa final'!$Q$43),"")</f>
        <v/>
      </c>
      <c r="Y32" s="68" t="str">
        <f>IF(AND('Mapa final'!$AA$44="Media",'Mapa final'!$AC$44="Moderado"),CONCATENATE("R7C",'Mapa final'!$Q$44),"")</f>
        <v/>
      </c>
      <c r="Z32" s="68" t="str">
        <f>IF(AND('Mapa final'!$AA$45="Media",'Mapa final'!$AC$45="Moderado"),CONCATENATE("R7C",'Mapa final'!$Q$45),"")</f>
        <v/>
      </c>
      <c r="AA32" s="69" t="str">
        <f>IF(AND('Mapa final'!$AA$46="Media",'Mapa final'!$AC$46="Moderado"),CONCATENATE("R7C",'Mapa final'!$Q$46),"")</f>
        <v/>
      </c>
      <c r="AB32" s="52" t="str">
        <f>IF(AND('Mapa final'!$AA$41="Media",'Mapa final'!$AC$41="Mayor"),CONCATENATE("R7C",'Mapa final'!$Q$41),"")</f>
        <v/>
      </c>
      <c r="AC32" s="53" t="str">
        <f>IF(AND('Mapa final'!$AA$42="Media",'Mapa final'!$AC$42="Mayor"),CONCATENATE("R7C",'Mapa final'!$Q$42),"")</f>
        <v/>
      </c>
      <c r="AD32" s="53" t="str">
        <f>IF(AND('Mapa final'!$AA$43="Media",'Mapa final'!$AC$43="Mayor"),CONCATENATE("R7C",'Mapa final'!$Q$43),"")</f>
        <v/>
      </c>
      <c r="AE32" s="53" t="str">
        <f>IF(AND('Mapa final'!$AA$44="Media",'Mapa final'!$AC$44="Mayor"),CONCATENATE("R7C",'Mapa final'!$Q$44),"")</f>
        <v/>
      </c>
      <c r="AF32" s="53" t="str">
        <f>IF(AND('Mapa final'!$AA$45="Media",'Mapa final'!$AC$45="Mayor"),CONCATENATE("R7C",'Mapa final'!$Q$45),"")</f>
        <v/>
      </c>
      <c r="AG32" s="54" t="str">
        <f>IF(AND('Mapa final'!$AA$46="Media",'Mapa final'!$AC$46="Mayor"),CONCATENATE("R7C",'Mapa final'!$Q$46),"")</f>
        <v/>
      </c>
      <c r="AH32" s="55" t="str">
        <f>IF(AND('Mapa final'!$AA$41="Media",'Mapa final'!$AC$41="Catastrófico"),CONCATENATE("R7C",'Mapa final'!$Q$41),"")</f>
        <v/>
      </c>
      <c r="AI32" s="56" t="str">
        <f>IF(AND('Mapa final'!$AA$42="Media",'Mapa final'!$AC$42="Catastrófico"),CONCATENATE("R7C",'Mapa final'!$Q$42),"")</f>
        <v/>
      </c>
      <c r="AJ32" s="56" t="str">
        <f>IF(AND('Mapa final'!$AA$43="Media",'Mapa final'!$AC$43="Catastrófico"),CONCATENATE("R7C",'Mapa final'!$Q$43),"")</f>
        <v/>
      </c>
      <c r="AK32" s="56" t="str">
        <f>IF(AND('Mapa final'!$AA$44="Media",'Mapa final'!$AC$44="Catastrófico"),CONCATENATE("R7C",'Mapa final'!$Q$44),"")</f>
        <v/>
      </c>
      <c r="AL32" s="56" t="str">
        <f>IF(AND('Mapa final'!$AA$45="Media",'Mapa final'!$AC$45="Catastrófico"),CONCATENATE("R7C",'Mapa final'!$Q$45),"")</f>
        <v/>
      </c>
      <c r="AM32" s="57" t="str">
        <f>IF(AND('Mapa final'!$AA$46="Media",'Mapa final'!$AC$46="Catastrófico"),CONCATENATE("R7C",'Mapa final'!$Q$46),"")</f>
        <v/>
      </c>
      <c r="AN32" s="83"/>
      <c r="AO32" s="512"/>
      <c r="AP32" s="513"/>
      <c r="AQ32" s="513"/>
      <c r="AR32" s="513"/>
      <c r="AS32" s="513"/>
      <c r="AT32" s="51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3">
      <c r="A33" s="83"/>
      <c r="B33" s="384"/>
      <c r="C33" s="384"/>
      <c r="D33" s="385"/>
      <c r="E33" s="483"/>
      <c r="F33" s="482"/>
      <c r="G33" s="482"/>
      <c r="H33" s="482"/>
      <c r="I33" s="498"/>
      <c r="J33" s="67" t="str">
        <f>IF(AND('Mapa final'!$AA$47="Media",'Mapa final'!$AC$47="Leve"),CONCATENATE("R8C",'Mapa final'!$Q$47),"")</f>
        <v/>
      </c>
      <c r="K33" s="68" t="str">
        <f>IF(AND('Mapa final'!$AA$48="Media",'Mapa final'!$AC$48="Leve"),CONCATENATE("R8C",'Mapa final'!$Q$48),"")</f>
        <v/>
      </c>
      <c r="L33" s="68" t="str">
        <f>IF(AND('Mapa final'!$AA$49="Media",'Mapa final'!$AC$49="Leve"),CONCATENATE("R8C",'Mapa final'!$Q$49),"")</f>
        <v/>
      </c>
      <c r="M33" s="68" t="str">
        <f>IF(AND('Mapa final'!$AA$50="Media",'Mapa final'!$AC$50="Leve"),CONCATENATE("R8C",'Mapa final'!$Q$50),"")</f>
        <v/>
      </c>
      <c r="N33" s="68" t="str">
        <f>IF(AND('Mapa final'!$AA$51="Media",'Mapa final'!$AC$51="Leve"),CONCATENATE("R8C",'Mapa final'!$Q$51),"")</f>
        <v/>
      </c>
      <c r="O33" s="69" t="str">
        <f>IF(AND('Mapa final'!$AA$52="Media",'Mapa final'!$AC$52="Leve"),CONCATENATE("R8C",'Mapa final'!$Q$52),"")</f>
        <v/>
      </c>
      <c r="P33" s="67" t="str">
        <f>IF(AND('Mapa final'!$AA$47="Media",'Mapa final'!$AC$47="Menor"),CONCATENATE("R8C",'Mapa final'!$Q$47),"")</f>
        <v/>
      </c>
      <c r="Q33" s="68" t="str">
        <f>IF(AND('Mapa final'!$AA$48="Media",'Mapa final'!$AC$48="Menor"),CONCATENATE("R8C",'Mapa final'!$Q$48),"")</f>
        <v/>
      </c>
      <c r="R33" s="68" t="str">
        <f>IF(AND('Mapa final'!$AA$49="Media",'Mapa final'!$AC$49="Menor"),CONCATENATE("R8C",'Mapa final'!$Q$49),"")</f>
        <v/>
      </c>
      <c r="S33" s="68" t="str">
        <f>IF(AND('Mapa final'!$AA$50="Media",'Mapa final'!$AC$50="Menor"),CONCATENATE("R8C",'Mapa final'!$Q$50),"")</f>
        <v/>
      </c>
      <c r="T33" s="68" t="str">
        <f>IF(AND('Mapa final'!$AA$51="Media",'Mapa final'!$AC$51="Menor"),CONCATENATE("R8C",'Mapa final'!$Q$51),"")</f>
        <v/>
      </c>
      <c r="U33" s="69" t="str">
        <f>IF(AND('Mapa final'!$AA$52="Media",'Mapa final'!$AC$52="Menor"),CONCATENATE("R8C",'Mapa final'!$Q$52),"")</f>
        <v/>
      </c>
      <c r="V33" s="67" t="str">
        <f>IF(AND('Mapa final'!$AA$47="Media",'Mapa final'!$AC$47="Moderado"),CONCATENATE("R8C",'Mapa final'!$Q$47),"")</f>
        <v/>
      </c>
      <c r="W33" s="68" t="str">
        <f>IF(AND('Mapa final'!$AA$48="Media",'Mapa final'!$AC$48="Moderado"),CONCATENATE("R8C",'Mapa final'!$Q$48),"")</f>
        <v/>
      </c>
      <c r="X33" s="68" t="str">
        <f>IF(AND('Mapa final'!$AA$49="Media",'Mapa final'!$AC$49="Moderado"),CONCATENATE("R8C",'Mapa final'!$Q$49),"")</f>
        <v/>
      </c>
      <c r="Y33" s="68" t="str">
        <f>IF(AND('Mapa final'!$AA$50="Media",'Mapa final'!$AC$50="Moderado"),CONCATENATE("R8C",'Mapa final'!$Q$50),"")</f>
        <v/>
      </c>
      <c r="Z33" s="68" t="str">
        <f>IF(AND('Mapa final'!$AA$51="Media",'Mapa final'!$AC$51="Moderado"),CONCATENATE("R8C",'Mapa final'!$Q$51),"")</f>
        <v/>
      </c>
      <c r="AA33" s="69" t="str">
        <f>IF(AND('Mapa final'!$AA$52="Media",'Mapa final'!$AC$52="Moderado"),CONCATENATE("R8C",'Mapa final'!$Q$52),"")</f>
        <v/>
      </c>
      <c r="AB33" s="52" t="str">
        <f>IF(AND('Mapa final'!$AA$47="Media",'Mapa final'!$AC$47="Mayor"),CONCATENATE("R8C",'Mapa final'!$Q$47),"")</f>
        <v/>
      </c>
      <c r="AC33" s="53" t="str">
        <f>IF(AND('Mapa final'!$AA$48="Media",'Mapa final'!$AC$48="Mayor"),CONCATENATE("R8C",'Mapa final'!$Q$48),"")</f>
        <v/>
      </c>
      <c r="AD33" s="53" t="str">
        <f>IF(AND('Mapa final'!$AA$49="Media",'Mapa final'!$AC$49="Mayor"),CONCATENATE("R8C",'Mapa final'!$Q$49),"")</f>
        <v/>
      </c>
      <c r="AE33" s="53" t="str">
        <f>IF(AND('Mapa final'!$AA$50="Media",'Mapa final'!$AC$50="Mayor"),CONCATENATE("R8C",'Mapa final'!$Q$50),"")</f>
        <v/>
      </c>
      <c r="AF33" s="53" t="str">
        <f>IF(AND('Mapa final'!$AA$51="Media",'Mapa final'!$AC$51="Mayor"),CONCATENATE("R8C",'Mapa final'!$Q$51),"")</f>
        <v/>
      </c>
      <c r="AG33" s="54" t="str">
        <f>IF(AND('Mapa final'!$AA$52="Media",'Mapa final'!$AC$52="Mayor"),CONCATENATE("R8C",'Mapa final'!$Q$52),"")</f>
        <v/>
      </c>
      <c r="AH33" s="55" t="str">
        <f>IF(AND('Mapa final'!$AA$47="Media",'Mapa final'!$AC$47="Catastrófico"),CONCATENATE("R8C",'Mapa final'!$Q$47),"")</f>
        <v/>
      </c>
      <c r="AI33" s="56" t="str">
        <f>IF(AND('Mapa final'!$AA$48="Media",'Mapa final'!$AC$48="Catastrófico"),CONCATENATE("R8C",'Mapa final'!$Q$48),"")</f>
        <v/>
      </c>
      <c r="AJ33" s="56" t="str">
        <f>IF(AND('Mapa final'!$AA$49="Media",'Mapa final'!$AC$49="Catastrófico"),CONCATENATE("R8C",'Mapa final'!$Q$49),"")</f>
        <v/>
      </c>
      <c r="AK33" s="56" t="str">
        <f>IF(AND('Mapa final'!$AA$50="Media",'Mapa final'!$AC$50="Catastrófico"),CONCATENATE("R8C",'Mapa final'!$Q$50),"")</f>
        <v/>
      </c>
      <c r="AL33" s="56" t="str">
        <f>IF(AND('Mapa final'!$AA$51="Media",'Mapa final'!$AC$51="Catastrófico"),CONCATENATE("R8C",'Mapa final'!$Q$51),"")</f>
        <v/>
      </c>
      <c r="AM33" s="57" t="str">
        <f>IF(AND('Mapa final'!$AA$52="Media",'Mapa final'!$AC$52="Catastrófico"),CONCATENATE("R8C",'Mapa final'!$Q$52),"")</f>
        <v/>
      </c>
      <c r="AN33" s="83"/>
      <c r="AO33" s="512"/>
      <c r="AP33" s="513"/>
      <c r="AQ33" s="513"/>
      <c r="AR33" s="513"/>
      <c r="AS33" s="513"/>
      <c r="AT33" s="51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3">
      <c r="A34" s="83"/>
      <c r="B34" s="384"/>
      <c r="C34" s="384"/>
      <c r="D34" s="385"/>
      <c r="E34" s="483"/>
      <c r="F34" s="482"/>
      <c r="G34" s="482"/>
      <c r="H34" s="482"/>
      <c r="I34" s="498"/>
      <c r="J34" s="67" t="str">
        <f>IF(AND('Mapa final'!$AA$53="Media",'Mapa final'!$AC$53="Leve"),CONCATENATE("R9C",'Mapa final'!$Q$53),"")</f>
        <v/>
      </c>
      <c r="K34" s="68" t="str">
        <f>IF(AND('Mapa final'!$AA$54="Media",'Mapa final'!$AC$54="Leve"),CONCATENATE("R9C",'Mapa final'!$Q$54),"")</f>
        <v/>
      </c>
      <c r="L34" s="68" t="str">
        <f>IF(AND('Mapa final'!$AA$55="Media",'Mapa final'!$AC$55="Leve"),CONCATENATE("R9C",'Mapa final'!$Q$55),"")</f>
        <v/>
      </c>
      <c r="M34" s="68" t="str">
        <f>IF(AND('Mapa final'!$AA$56="Media",'Mapa final'!$AC$56="Leve"),CONCATENATE("R9C",'Mapa final'!$Q$56),"")</f>
        <v/>
      </c>
      <c r="N34" s="68" t="str">
        <f>IF(AND('Mapa final'!$AA$57="Media",'Mapa final'!$AC$57="Leve"),CONCATENATE("R9C",'Mapa final'!$Q$57),"")</f>
        <v/>
      </c>
      <c r="O34" s="69" t="str">
        <f>IF(AND('Mapa final'!$AA$58="Media",'Mapa final'!$AC$58="Leve"),CONCATENATE("R9C",'Mapa final'!$Q$58),"")</f>
        <v/>
      </c>
      <c r="P34" s="67" t="str">
        <f>IF(AND('Mapa final'!$AA$53="Media",'Mapa final'!$AC$53="Menor"),CONCATENATE("R9C",'Mapa final'!$Q$53),"")</f>
        <v/>
      </c>
      <c r="Q34" s="68" t="str">
        <f>IF(AND('Mapa final'!$AA$54="Media",'Mapa final'!$AC$54="Menor"),CONCATENATE("R9C",'Mapa final'!$Q$54),"")</f>
        <v/>
      </c>
      <c r="R34" s="68" t="str">
        <f>IF(AND('Mapa final'!$AA$55="Media",'Mapa final'!$AC$55="Menor"),CONCATENATE("R9C",'Mapa final'!$Q$55),"")</f>
        <v/>
      </c>
      <c r="S34" s="68" t="str">
        <f>IF(AND('Mapa final'!$AA$56="Media",'Mapa final'!$AC$56="Menor"),CONCATENATE("R9C",'Mapa final'!$Q$56),"")</f>
        <v/>
      </c>
      <c r="T34" s="68" t="str">
        <f>IF(AND('Mapa final'!$AA$57="Media",'Mapa final'!$AC$57="Menor"),CONCATENATE("R9C",'Mapa final'!$Q$57),"")</f>
        <v/>
      </c>
      <c r="U34" s="69" t="str">
        <f>IF(AND('Mapa final'!$AA$58="Media",'Mapa final'!$AC$58="Menor"),CONCATENATE("R9C",'Mapa final'!$Q$58),"")</f>
        <v/>
      </c>
      <c r="V34" s="67" t="str">
        <f>IF(AND('Mapa final'!$AA$53="Media",'Mapa final'!$AC$53="Moderado"),CONCATENATE("R9C",'Mapa final'!$Q$53),"")</f>
        <v/>
      </c>
      <c r="W34" s="68" t="str">
        <f>IF(AND('Mapa final'!$AA$54="Media",'Mapa final'!$AC$54="Moderado"),CONCATENATE("R9C",'Mapa final'!$Q$54),"")</f>
        <v/>
      </c>
      <c r="X34" s="68" t="str">
        <f>IF(AND('Mapa final'!$AA$55="Media",'Mapa final'!$AC$55="Moderado"),CONCATENATE("R9C",'Mapa final'!$Q$55),"")</f>
        <v/>
      </c>
      <c r="Y34" s="68" t="str">
        <f>IF(AND('Mapa final'!$AA$56="Media",'Mapa final'!$AC$56="Moderado"),CONCATENATE("R9C",'Mapa final'!$Q$56),"")</f>
        <v/>
      </c>
      <c r="Z34" s="68" t="str">
        <f>IF(AND('Mapa final'!$AA$57="Media",'Mapa final'!$AC$57="Moderado"),CONCATENATE("R9C",'Mapa final'!$Q$57),"")</f>
        <v/>
      </c>
      <c r="AA34" s="69" t="str">
        <f>IF(AND('Mapa final'!$AA$58="Media",'Mapa final'!$AC$58="Moderado"),CONCATENATE("R9C",'Mapa final'!$Q$58),"")</f>
        <v/>
      </c>
      <c r="AB34" s="52" t="str">
        <f>IF(AND('Mapa final'!$AA$53="Media",'Mapa final'!$AC$53="Mayor"),CONCATENATE("R9C",'Mapa final'!$Q$53),"")</f>
        <v/>
      </c>
      <c r="AC34" s="53" t="str">
        <f>IF(AND('Mapa final'!$AA$54="Media",'Mapa final'!$AC$54="Mayor"),CONCATENATE("R9C",'Mapa final'!$Q$54),"")</f>
        <v/>
      </c>
      <c r="AD34" s="53" t="str">
        <f>IF(AND('Mapa final'!$AA$55="Media",'Mapa final'!$AC$55="Mayor"),CONCATENATE("R9C",'Mapa final'!$Q$55),"")</f>
        <v/>
      </c>
      <c r="AE34" s="53" t="str">
        <f>IF(AND('Mapa final'!$AA$56="Media",'Mapa final'!$AC$56="Mayor"),CONCATENATE("R9C",'Mapa final'!$Q$56),"")</f>
        <v/>
      </c>
      <c r="AF34" s="53" t="str">
        <f>IF(AND('Mapa final'!$AA$57="Media",'Mapa final'!$AC$57="Mayor"),CONCATENATE("R9C",'Mapa final'!$Q$57),"")</f>
        <v/>
      </c>
      <c r="AG34" s="54" t="str">
        <f>IF(AND('Mapa final'!$AA$58="Media",'Mapa final'!$AC$58="Mayor"),CONCATENATE("R9C",'Mapa final'!$Q$58),"")</f>
        <v/>
      </c>
      <c r="AH34" s="55" t="str">
        <f>IF(AND('Mapa final'!$AA$53="Media",'Mapa final'!$AC$53="Catastrófico"),CONCATENATE("R9C",'Mapa final'!$Q$53),"")</f>
        <v/>
      </c>
      <c r="AI34" s="56" t="str">
        <f>IF(AND('Mapa final'!$AA$54="Media",'Mapa final'!$AC$54="Catastrófico"),CONCATENATE("R9C",'Mapa final'!$Q$54),"")</f>
        <v/>
      </c>
      <c r="AJ34" s="56" t="str">
        <f>IF(AND('Mapa final'!$AA$55="Media",'Mapa final'!$AC$55="Catastrófico"),CONCATENATE("R9C",'Mapa final'!$Q$55),"")</f>
        <v/>
      </c>
      <c r="AK34" s="56" t="str">
        <f>IF(AND('Mapa final'!$AA$56="Media",'Mapa final'!$AC$56="Catastrófico"),CONCATENATE("R9C",'Mapa final'!$Q$56),"")</f>
        <v/>
      </c>
      <c r="AL34" s="56" t="str">
        <f>IF(AND('Mapa final'!$AA$57="Media",'Mapa final'!$AC$57="Catastrófico"),CONCATENATE("R9C",'Mapa final'!$Q$57),"")</f>
        <v/>
      </c>
      <c r="AM34" s="57" t="str">
        <f>IF(AND('Mapa final'!$AA$58="Media",'Mapa final'!$AC$58="Catastrófico"),CONCATENATE("R9C",'Mapa final'!$Q$58),"")</f>
        <v/>
      </c>
      <c r="AN34" s="83"/>
      <c r="AO34" s="512"/>
      <c r="AP34" s="513"/>
      <c r="AQ34" s="513"/>
      <c r="AR34" s="513"/>
      <c r="AS34" s="513"/>
      <c r="AT34" s="51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5">
      <c r="A35" s="83"/>
      <c r="B35" s="384"/>
      <c r="C35" s="384"/>
      <c r="D35" s="385"/>
      <c r="E35" s="484"/>
      <c r="F35" s="485"/>
      <c r="G35" s="485"/>
      <c r="H35" s="485"/>
      <c r="I35" s="499"/>
      <c r="J35" s="67" t="str">
        <f>IF(AND('Mapa final'!$AA$59="Media",'Mapa final'!$AC$59="Leve"),CONCATENATE("R10C",'Mapa final'!$Q$59),"")</f>
        <v/>
      </c>
      <c r="K35" s="68" t="str">
        <f>IF(AND('Mapa final'!$AA$60="Media",'Mapa final'!$AC$60="Leve"),CONCATENATE("R10C",'Mapa final'!$Q$60),"")</f>
        <v/>
      </c>
      <c r="L35" s="68" t="str">
        <f>IF(AND('Mapa final'!$AA$61="Media",'Mapa final'!$AC$61="Leve"),CONCATENATE("R10C",'Mapa final'!$Q$61),"")</f>
        <v/>
      </c>
      <c r="M35" s="68" t="str">
        <f>IF(AND('Mapa final'!$AA$62="Media",'Mapa final'!$AC$62="Leve"),CONCATENATE("R10C",'Mapa final'!$Q$62),"")</f>
        <v/>
      </c>
      <c r="N35" s="68" t="str">
        <f>IF(AND('Mapa final'!$AA$63="Media",'Mapa final'!$AC$63="Leve"),CONCATENATE("R10C",'Mapa final'!$Q$63),"")</f>
        <v/>
      </c>
      <c r="O35" s="69" t="str">
        <f>IF(AND('Mapa final'!$AA$64="Media",'Mapa final'!$AC$64="Leve"),CONCATENATE("R10C",'Mapa final'!$Q$64),"")</f>
        <v/>
      </c>
      <c r="P35" s="67" t="str">
        <f>IF(AND('Mapa final'!$AA$59="Media",'Mapa final'!$AC$59="Menor"),CONCATENATE("R10C",'Mapa final'!$Q$59),"")</f>
        <v/>
      </c>
      <c r="Q35" s="68" t="str">
        <f>IF(AND('Mapa final'!$AA$60="Media",'Mapa final'!$AC$60="Menor"),CONCATENATE("R10C",'Mapa final'!$Q$60),"")</f>
        <v/>
      </c>
      <c r="R35" s="68" t="str">
        <f>IF(AND('Mapa final'!$AA$61="Media",'Mapa final'!$AC$61="Menor"),CONCATENATE("R10C",'Mapa final'!$Q$61),"")</f>
        <v/>
      </c>
      <c r="S35" s="68" t="str">
        <f>IF(AND('Mapa final'!$AA$62="Media",'Mapa final'!$AC$62="Menor"),CONCATENATE("R10C",'Mapa final'!$Q$62),"")</f>
        <v/>
      </c>
      <c r="T35" s="68" t="str">
        <f>IF(AND('Mapa final'!$AA$63="Media",'Mapa final'!$AC$63="Menor"),CONCATENATE("R10C",'Mapa final'!$Q$63),"")</f>
        <v/>
      </c>
      <c r="U35" s="69" t="str">
        <f>IF(AND('Mapa final'!$AA$64="Media",'Mapa final'!$AC$64="Menor"),CONCATENATE("R10C",'Mapa final'!$Q$64),"")</f>
        <v/>
      </c>
      <c r="V35" s="67" t="str">
        <f>IF(AND('Mapa final'!$AA$59="Media",'Mapa final'!$AC$59="Moderado"),CONCATENATE("R10C",'Mapa final'!$Q$59),"")</f>
        <v/>
      </c>
      <c r="W35" s="68" t="str">
        <f>IF(AND('Mapa final'!$AA$60="Media",'Mapa final'!$AC$60="Moderado"),CONCATENATE("R10C",'Mapa final'!$Q$60),"")</f>
        <v/>
      </c>
      <c r="X35" s="68" t="str">
        <f>IF(AND('Mapa final'!$AA$61="Media",'Mapa final'!$AC$61="Moderado"),CONCATENATE("R10C",'Mapa final'!$Q$61),"")</f>
        <v/>
      </c>
      <c r="Y35" s="68" t="str">
        <f>IF(AND('Mapa final'!$AA$62="Media",'Mapa final'!$AC$62="Moderado"),CONCATENATE("R10C",'Mapa final'!$Q$62),"")</f>
        <v/>
      </c>
      <c r="Z35" s="68" t="str">
        <f>IF(AND('Mapa final'!$AA$63="Media",'Mapa final'!$AC$63="Moderado"),CONCATENATE("R10C",'Mapa final'!$Q$63),"")</f>
        <v/>
      </c>
      <c r="AA35" s="69" t="str">
        <f>IF(AND('Mapa final'!$AA$64="Media",'Mapa final'!$AC$64="Moderado"),CONCATENATE("R10C",'Mapa final'!$Q$64),"")</f>
        <v/>
      </c>
      <c r="AB35" s="58" t="str">
        <f>IF(AND('Mapa final'!$AA$59="Media",'Mapa final'!$AC$59="Mayor"),CONCATENATE("R10C",'Mapa final'!$Q$59),"")</f>
        <v/>
      </c>
      <c r="AC35" s="59" t="str">
        <f>IF(AND('Mapa final'!$AA$60="Media",'Mapa final'!$AC$60="Mayor"),CONCATENATE("R10C",'Mapa final'!$Q$60),"")</f>
        <v/>
      </c>
      <c r="AD35" s="59" t="str">
        <f>IF(AND('Mapa final'!$AA$61="Media",'Mapa final'!$AC$61="Mayor"),CONCATENATE("R10C",'Mapa final'!$Q$61),"")</f>
        <v/>
      </c>
      <c r="AE35" s="59" t="str">
        <f>IF(AND('Mapa final'!$AA$62="Media",'Mapa final'!$AC$62="Mayor"),CONCATENATE("R10C",'Mapa final'!$Q$62),"")</f>
        <v/>
      </c>
      <c r="AF35" s="59" t="str">
        <f>IF(AND('Mapa final'!$AA$63="Media",'Mapa final'!$AC$63="Mayor"),CONCATENATE("R10C",'Mapa final'!$Q$63),"")</f>
        <v/>
      </c>
      <c r="AG35" s="60" t="str">
        <f>IF(AND('Mapa final'!$AA$64="Media",'Mapa final'!$AC$64="Mayor"),CONCATENATE("R10C",'Mapa final'!$Q$64),"")</f>
        <v/>
      </c>
      <c r="AH35" s="61" t="str">
        <f>IF(AND('Mapa final'!$AA$59="Media",'Mapa final'!$AC$59="Catastrófico"),CONCATENATE("R10C",'Mapa final'!$Q$59),"")</f>
        <v/>
      </c>
      <c r="AI35" s="62" t="str">
        <f>IF(AND('Mapa final'!$AA$60="Media",'Mapa final'!$AC$60="Catastrófico"),CONCATENATE("R10C",'Mapa final'!$Q$60),"")</f>
        <v/>
      </c>
      <c r="AJ35" s="62" t="str">
        <f>IF(AND('Mapa final'!$AA$61="Media",'Mapa final'!$AC$61="Catastrófico"),CONCATENATE("R10C",'Mapa final'!$Q$61),"")</f>
        <v/>
      </c>
      <c r="AK35" s="62" t="str">
        <f>IF(AND('Mapa final'!$AA$62="Media",'Mapa final'!$AC$62="Catastrófico"),CONCATENATE("R10C",'Mapa final'!$Q$62),"")</f>
        <v/>
      </c>
      <c r="AL35" s="62" t="str">
        <f>IF(AND('Mapa final'!$AA$63="Media",'Mapa final'!$AC$63="Catastrófico"),CONCATENATE("R10C",'Mapa final'!$Q$63),"")</f>
        <v/>
      </c>
      <c r="AM35" s="63" t="str">
        <f>IF(AND('Mapa final'!$AA$64="Media",'Mapa final'!$AC$64="Catastrófico"),CONCATENATE("R10C",'Mapa final'!$Q$64),"")</f>
        <v/>
      </c>
      <c r="AN35" s="83"/>
      <c r="AO35" s="515"/>
      <c r="AP35" s="516"/>
      <c r="AQ35" s="516"/>
      <c r="AR35" s="516"/>
      <c r="AS35" s="516"/>
      <c r="AT35" s="51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3">
      <c r="A36" s="83"/>
      <c r="B36" s="384"/>
      <c r="C36" s="384"/>
      <c r="D36" s="385"/>
      <c r="E36" s="479" t="s">
        <v>114</v>
      </c>
      <c r="F36" s="480"/>
      <c r="G36" s="480"/>
      <c r="H36" s="480"/>
      <c r="I36" s="480"/>
      <c r="J36" s="73" t="str">
        <f ca="1">IF(AND('Mapa final'!$AA$9="Baja",'Mapa final'!$AC$9="Leve"),CONCATENATE("R1C",'Mapa final'!$Q$9),"")</f>
        <v/>
      </c>
      <c r="K36" s="74" t="str">
        <f ca="1">IF(AND('Mapa final'!$AA$10="Baja",'Mapa final'!$AC$10="Leve"),CONCATENATE("R1C",'Mapa final'!$Q$10),"")</f>
        <v/>
      </c>
      <c r="L36" s="74" t="str">
        <f>IF(AND('Mapa final'!$AA$11="Baja",'Mapa final'!$AC$11="Leve"),CONCATENATE("R1C",'Mapa final'!$Q$11),"")</f>
        <v/>
      </c>
      <c r="M36" s="74" t="str">
        <f>IF(AND('Mapa final'!$AA$12="Baja",'Mapa final'!$AC$12="Leve"),CONCATENATE("R1C",'Mapa final'!$Q$12),"")</f>
        <v/>
      </c>
      <c r="N36" s="74" t="e">
        <f>IF(AND('Mapa final'!#REF!="Baja",'Mapa final'!#REF!="Leve"),CONCATENATE("R1C",'Mapa final'!#REF!),"")</f>
        <v>#REF!</v>
      </c>
      <c r="O36" s="75" t="e">
        <f>IF(AND('Mapa final'!#REF!="Baja",'Mapa final'!#REF!="Leve"),CONCATENATE("R1C",'Mapa final'!#REF!),"")</f>
        <v>#REF!</v>
      </c>
      <c r="P36" s="64" t="str">
        <f ca="1">IF(AND('Mapa final'!$AA$9="Baja",'Mapa final'!$AC$9="Menor"),CONCATENATE("R1C",'Mapa final'!$Q$9),"")</f>
        <v/>
      </c>
      <c r="Q36" s="65" t="str">
        <f ca="1">IF(AND('Mapa final'!$AA$10="Baja",'Mapa final'!$AC$10="Menor"),CONCATENATE("R1C",'Mapa final'!$Q$10),"")</f>
        <v/>
      </c>
      <c r="R36" s="65" t="str">
        <f>IF(AND('Mapa final'!$AA$11="Baja",'Mapa final'!$AC$11="Menor"),CONCATENATE("R1C",'Mapa final'!$Q$11),"")</f>
        <v/>
      </c>
      <c r="S36" s="65" t="str">
        <f>IF(AND('Mapa final'!$AA$12="Baja",'Mapa final'!$AC$12="Menor"),CONCATENATE("R1C",'Mapa final'!$Q$12),"")</f>
        <v/>
      </c>
      <c r="T36" s="65" t="e">
        <f>IF(AND('Mapa final'!#REF!="Baja",'Mapa final'!#REF!="Menor"),CONCATENATE("R1C",'Mapa final'!#REF!),"")</f>
        <v>#REF!</v>
      </c>
      <c r="U36" s="66" t="e">
        <f>IF(AND('Mapa final'!#REF!="Baja",'Mapa final'!#REF!="Menor"),CONCATENATE("R1C",'Mapa final'!#REF!),"")</f>
        <v>#REF!</v>
      </c>
      <c r="V36" s="64" t="str">
        <f ca="1">IF(AND('Mapa final'!$AA$9="Baja",'Mapa final'!$AC$9="Moderado"),CONCATENATE("R1C",'Mapa final'!$Q$9),"")</f>
        <v>R1C1</v>
      </c>
      <c r="W36" s="65" t="str">
        <f ca="1">IF(AND('Mapa final'!$AA$10="Baja",'Mapa final'!$AC$10="Moderado"),CONCATENATE("R1C",'Mapa final'!$Q$10),"")</f>
        <v/>
      </c>
      <c r="X36" s="65" t="str">
        <f>IF(AND('Mapa final'!$AA$11="Baja",'Mapa final'!$AC$11="Moderado"),CONCATENATE("R1C",'Mapa final'!$Q$11),"")</f>
        <v/>
      </c>
      <c r="Y36" s="65" t="str">
        <f>IF(AND('Mapa final'!$AA$12="Baja",'Mapa final'!$AC$12="Moderado"),CONCATENATE("R1C",'Mapa final'!$Q$12),"")</f>
        <v/>
      </c>
      <c r="Z36" s="65" t="e">
        <f>IF(AND('Mapa final'!#REF!="Baja",'Mapa final'!#REF!="Moderado"),CONCATENATE("R1C",'Mapa final'!#REF!),"")</f>
        <v>#REF!</v>
      </c>
      <c r="AA36" s="66" t="e">
        <f>IF(AND('Mapa final'!#REF!="Baja",'Mapa final'!#REF!="Moderado"),CONCATENATE("R1C",'Mapa final'!#REF!),"")</f>
        <v>#REF!</v>
      </c>
      <c r="AB36" s="46" t="str">
        <f ca="1">IF(AND('Mapa final'!$AA$9="Baja",'Mapa final'!$AC$9="Mayor"),CONCATENATE("R1C",'Mapa final'!$Q$9),"")</f>
        <v/>
      </c>
      <c r="AC36" s="47" t="str">
        <f ca="1">IF(AND('Mapa final'!$AA$10="Baja",'Mapa final'!$AC$10="Mayor"),CONCATENATE("R1C",'Mapa final'!$Q$10),"")</f>
        <v/>
      </c>
      <c r="AD36" s="47" t="str">
        <f>IF(AND('Mapa final'!$AA$11="Baja",'Mapa final'!$AC$11="Mayor"),CONCATENATE("R1C",'Mapa final'!$Q$11),"")</f>
        <v/>
      </c>
      <c r="AE36" s="47" t="str">
        <f>IF(AND('Mapa final'!$AA$12="Baja",'Mapa final'!$AC$12="Mayor"),CONCATENATE("R1C",'Mapa final'!$Q$12),"")</f>
        <v/>
      </c>
      <c r="AF36" s="47" t="e">
        <f>IF(AND('Mapa final'!#REF!="Baja",'Mapa final'!#REF!="Mayor"),CONCATENATE("R1C",'Mapa final'!#REF!),"")</f>
        <v>#REF!</v>
      </c>
      <c r="AG36" s="48" t="e">
        <f>IF(AND('Mapa final'!#REF!="Baja",'Mapa final'!#REF!="Mayor"),CONCATENATE("R1C",'Mapa final'!#REF!),"")</f>
        <v>#REF!</v>
      </c>
      <c r="AH36" s="49" t="str">
        <f ca="1">IF(AND('Mapa final'!$AA$9="Baja",'Mapa final'!$AC$9="Catastrófico"),CONCATENATE("R1C",'Mapa final'!$Q$9),"")</f>
        <v/>
      </c>
      <c r="AI36" s="50" t="str">
        <f ca="1">IF(AND('Mapa final'!$AA$10="Baja",'Mapa final'!$AC$10="Catastrófico"),CONCATENATE("R1C",'Mapa final'!$Q$10),"")</f>
        <v/>
      </c>
      <c r="AJ36" s="50" t="str">
        <f>IF(AND('Mapa final'!$AA$11="Baja",'Mapa final'!$AC$11="Catastrófico"),CONCATENATE("R1C",'Mapa final'!$Q$11),"")</f>
        <v/>
      </c>
      <c r="AK36" s="50" t="str">
        <f>IF(AND('Mapa final'!$AA$12="Baja",'Mapa final'!$AC$12="Catastrófico"),CONCATENATE("R1C",'Mapa final'!$Q$12),"")</f>
        <v/>
      </c>
      <c r="AL36" s="50" t="e">
        <f>IF(AND('Mapa final'!#REF!="Baja",'Mapa final'!#REF!="Catastrófico"),CONCATENATE("R1C",'Mapa final'!#REF!),"")</f>
        <v>#REF!</v>
      </c>
      <c r="AM36" s="51" t="e">
        <f>IF(AND('Mapa final'!#REF!="Baja",'Mapa final'!#REF!="Catastrófico"),CONCATENATE("R1C",'Mapa final'!#REF!),"")</f>
        <v>#REF!</v>
      </c>
      <c r="AN36" s="83"/>
      <c r="AO36" s="500" t="s">
        <v>82</v>
      </c>
      <c r="AP36" s="501"/>
      <c r="AQ36" s="501"/>
      <c r="AR36" s="501"/>
      <c r="AS36" s="501"/>
      <c r="AT36" s="50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3">
      <c r="A37" s="83"/>
      <c r="B37" s="384"/>
      <c r="C37" s="384"/>
      <c r="D37" s="385"/>
      <c r="E37" s="481"/>
      <c r="F37" s="482"/>
      <c r="G37" s="482"/>
      <c r="H37" s="482"/>
      <c r="I37" s="482"/>
      <c r="J37" s="76" t="str">
        <f ca="1">IF(AND('Mapa final'!$AA$13="Baja",'Mapa final'!$AC$13="Leve"),CONCATENATE("R2C",'Mapa final'!$Q$13),"")</f>
        <v/>
      </c>
      <c r="K37" s="77" t="e">
        <f>IF(AND('Mapa final'!#REF!="Baja",'Mapa final'!#REF!="Leve"),CONCATENATE("R2C",'Mapa final'!#REF!),"")</f>
        <v>#REF!</v>
      </c>
      <c r="L37" s="77" t="str">
        <f>IF(AND('Mapa final'!$AA$14="Baja",'Mapa final'!$AC$14="Leve"),CONCATENATE("R2C",'Mapa final'!$Q$14),"")</f>
        <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 ca="1">IF(AND('Mapa final'!$AA$13="Baja",'Mapa final'!$AC$13="Menor"),CONCATENATE("R2C",'Mapa final'!$Q$13),"")</f>
        <v/>
      </c>
      <c r="Q37" s="68" t="e">
        <f>IF(AND('Mapa final'!#REF!="Baja",'Mapa final'!#REF!="Menor"),CONCATENATE("R2C",'Mapa final'!#REF!),"")</f>
        <v>#REF!</v>
      </c>
      <c r="R37" s="68" t="str">
        <f>IF(AND('Mapa final'!$AA$14="Baja",'Mapa final'!$AC$14="Menor"),CONCATENATE("R2C",'Mapa final'!$Q$14),"")</f>
        <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 ca="1">IF(AND('Mapa final'!$AA$13="Baja",'Mapa final'!$AC$13="Moderado"),CONCATENATE("R2C",'Mapa final'!$Q$13),"")</f>
        <v>R2C1</v>
      </c>
      <c r="W37" s="68" t="e">
        <f>IF(AND('Mapa final'!#REF!="Baja",'Mapa final'!#REF!="Moderado"),CONCATENATE("R2C",'Mapa final'!#REF!),"")</f>
        <v>#REF!</v>
      </c>
      <c r="X37" s="68" t="str">
        <f>IF(AND('Mapa final'!$AA$14="Baja",'Mapa final'!$AC$14="Moderado"),CONCATENATE("R2C",'Mapa final'!$Q$14),"")</f>
        <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 ca="1">IF(AND('Mapa final'!$AA$13="Baja",'Mapa final'!$AC$13="Mayor"),CONCATENATE("R2C",'Mapa final'!$Q$13),"")</f>
        <v/>
      </c>
      <c r="AC37" s="53" t="e">
        <f>IF(AND('Mapa final'!#REF!="Baja",'Mapa final'!#REF!="Mayor"),CONCATENATE("R2C",'Mapa final'!#REF!),"")</f>
        <v>#REF!</v>
      </c>
      <c r="AD37" s="53" t="str">
        <f>IF(AND('Mapa final'!$AA$14="Baja",'Mapa final'!$AC$14="Mayor"),CONCATENATE("R2C",'Mapa final'!$Q$14),"")</f>
        <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 ca="1">IF(AND('Mapa final'!$AA$13="Baja",'Mapa final'!$AC$13="Catastrófico"),CONCATENATE("R2C",'Mapa final'!$Q$13),"")</f>
        <v/>
      </c>
      <c r="AI37" s="56" t="e">
        <f>IF(AND('Mapa final'!#REF!="Baja",'Mapa final'!#REF!="Catastrófico"),CONCATENATE("R2C",'Mapa final'!#REF!),"")</f>
        <v>#REF!</v>
      </c>
      <c r="AJ37" s="56" t="str">
        <f>IF(AND('Mapa final'!$AA$14="Baja",'Mapa final'!$AC$14="Catastrófico"),CONCATENATE("R2C",'Mapa final'!$Q$14),"")</f>
        <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503"/>
      <c r="AP37" s="504"/>
      <c r="AQ37" s="504"/>
      <c r="AR37" s="504"/>
      <c r="AS37" s="504"/>
      <c r="AT37" s="50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3">
      <c r="A38" s="83"/>
      <c r="B38" s="384"/>
      <c r="C38" s="384"/>
      <c r="D38" s="385"/>
      <c r="E38" s="483"/>
      <c r="F38" s="482"/>
      <c r="G38" s="482"/>
      <c r="H38" s="482"/>
      <c r="I38" s="482"/>
      <c r="J38" s="76" t="str">
        <f>IF(AND('Mapa final'!$AA$17="Baja",'Mapa final'!$AC$17="Leve"),CONCATENATE("R3C",'Mapa final'!$Q$17),"")</f>
        <v/>
      </c>
      <c r="K38" s="77" t="str">
        <f>IF(AND('Mapa final'!$AA$18="Baja",'Mapa final'!$AC$18="Leve"),CONCATENATE("R3C",'Mapa final'!$Q$18),"")</f>
        <v/>
      </c>
      <c r="L38" s="77" t="str">
        <f>IF(AND('Mapa final'!$AA$19="Baja",'Mapa final'!$AC$19="Leve"),CONCATENATE("R3C",'Mapa final'!$Q$19),"")</f>
        <v/>
      </c>
      <c r="M38" s="77" t="str">
        <f>IF(AND('Mapa final'!$AA$20="Baja",'Mapa final'!$AC$20="Leve"),CONCATENATE("R3C",'Mapa final'!$Q$20),"")</f>
        <v/>
      </c>
      <c r="N38" s="77" t="str">
        <f>IF(AND('Mapa final'!$AA$21="Baja",'Mapa final'!$AC$21="Leve"),CONCATENATE("R3C",'Mapa final'!$Q$21),"")</f>
        <v/>
      </c>
      <c r="O38" s="78" t="str">
        <f>IF(AND('Mapa final'!$AA$22="Baja",'Mapa final'!$AC$22="Leve"),CONCATENATE("R3C",'Mapa final'!$Q$22),"")</f>
        <v/>
      </c>
      <c r="P38" s="67" t="str">
        <f>IF(AND('Mapa final'!$AA$17="Baja",'Mapa final'!$AC$17="Menor"),CONCATENATE("R3C",'Mapa final'!$Q$17),"")</f>
        <v/>
      </c>
      <c r="Q38" s="68" t="str">
        <f>IF(AND('Mapa final'!$AA$18="Baja",'Mapa final'!$AC$18="Menor"),CONCATENATE("R3C",'Mapa final'!$Q$18),"")</f>
        <v/>
      </c>
      <c r="R38" s="68" t="str">
        <f>IF(AND('Mapa final'!$AA$19="Baja",'Mapa final'!$AC$19="Menor"),CONCATENATE("R3C",'Mapa final'!$Q$19),"")</f>
        <v/>
      </c>
      <c r="S38" s="68" t="str">
        <f>IF(AND('Mapa final'!$AA$20="Baja",'Mapa final'!$AC$20="Menor"),CONCATENATE("R3C",'Mapa final'!$Q$20),"")</f>
        <v/>
      </c>
      <c r="T38" s="68" t="str">
        <f>IF(AND('Mapa final'!$AA$21="Baja",'Mapa final'!$AC$21="Menor"),CONCATENATE("R3C",'Mapa final'!$Q$21),"")</f>
        <v/>
      </c>
      <c r="U38" s="69" t="str">
        <f>IF(AND('Mapa final'!$AA$22="Baja",'Mapa final'!$AC$22="Menor"),CONCATENATE("R3C",'Mapa final'!$Q$22),"")</f>
        <v/>
      </c>
      <c r="V38" s="67" t="str">
        <f>IF(AND('Mapa final'!$AA$17="Baja",'Mapa final'!$AC$17="Moderado"),CONCATENATE("R3C",'Mapa final'!$Q$17),"")</f>
        <v/>
      </c>
      <c r="W38" s="68" t="str">
        <f>IF(AND('Mapa final'!$AA$18="Baja",'Mapa final'!$AC$18="Moderado"),CONCATENATE("R3C",'Mapa final'!$Q$18),"")</f>
        <v/>
      </c>
      <c r="X38" s="68" t="str">
        <f>IF(AND('Mapa final'!$AA$19="Baja",'Mapa final'!$AC$19="Moderado"),CONCATENATE("R3C",'Mapa final'!$Q$19),"")</f>
        <v/>
      </c>
      <c r="Y38" s="68" t="str">
        <f>IF(AND('Mapa final'!$AA$20="Baja",'Mapa final'!$AC$20="Moderado"),CONCATENATE("R3C",'Mapa final'!$Q$20),"")</f>
        <v/>
      </c>
      <c r="Z38" s="68" t="str">
        <f>IF(AND('Mapa final'!$AA$21="Baja",'Mapa final'!$AC$21="Moderado"),CONCATENATE("R3C",'Mapa final'!$Q$21),"")</f>
        <v/>
      </c>
      <c r="AA38" s="69" t="str">
        <f>IF(AND('Mapa final'!$AA$22="Baja",'Mapa final'!$AC$22="Moderado"),CONCATENATE("R3C",'Mapa final'!$Q$22),"")</f>
        <v/>
      </c>
      <c r="AB38" s="52" t="str">
        <f>IF(AND('Mapa final'!$AA$17="Baja",'Mapa final'!$AC$17="Mayor"),CONCATENATE("R3C",'Mapa final'!$Q$17),"")</f>
        <v/>
      </c>
      <c r="AC38" s="53" t="str">
        <f>IF(AND('Mapa final'!$AA$18="Baja",'Mapa final'!$AC$18="Mayor"),CONCATENATE("R3C",'Mapa final'!$Q$18),"")</f>
        <v/>
      </c>
      <c r="AD38" s="53" t="str">
        <f>IF(AND('Mapa final'!$AA$19="Baja",'Mapa final'!$AC$19="Mayor"),CONCATENATE("R3C",'Mapa final'!$Q$19),"")</f>
        <v/>
      </c>
      <c r="AE38" s="53" t="str">
        <f>IF(AND('Mapa final'!$AA$20="Baja",'Mapa final'!$AC$20="Mayor"),CONCATENATE("R3C",'Mapa final'!$Q$20),"")</f>
        <v/>
      </c>
      <c r="AF38" s="53" t="str">
        <f>IF(AND('Mapa final'!$AA$21="Baja",'Mapa final'!$AC$21="Mayor"),CONCATENATE("R3C",'Mapa final'!$Q$21),"")</f>
        <v/>
      </c>
      <c r="AG38" s="54" t="str">
        <f>IF(AND('Mapa final'!$AA$22="Baja",'Mapa final'!$AC$22="Mayor"),CONCATENATE("R3C",'Mapa final'!$Q$22),"")</f>
        <v/>
      </c>
      <c r="AH38" s="55" t="str">
        <f>IF(AND('Mapa final'!$AA$17="Baja",'Mapa final'!$AC$17="Catastrófico"),CONCATENATE("R3C",'Mapa final'!$Q$17),"")</f>
        <v/>
      </c>
      <c r="AI38" s="56" t="str">
        <f>IF(AND('Mapa final'!$AA$18="Baja",'Mapa final'!$AC$18="Catastrófico"),CONCATENATE("R3C",'Mapa final'!$Q$18),"")</f>
        <v/>
      </c>
      <c r="AJ38" s="56" t="str">
        <f>IF(AND('Mapa final'!$AA$19="Baja",'Mapa final'!$AC$19="Catastrófico"),CONCATENATE("R3C",'Mapa final'!$Q$19),"")</f>
        <v/>
      </c>
      <c r="AK38" s="56" t="str">
        <f>IF(AND('Mapa final'!$AA$20="Baja",'Mapa final'!$AC$20="Catastrófico"),CONCATENATE("R3C",'Mapa final'!$Q$20),"")</f>
        <v/>
      </c>
      <c r="AL38" s="56" t="str">
        <f>IF(AND('Mapa final'!$AA$21="Baja",'Mapa final'!$AC$21="Catastrófico"),CONCATENATE("R3C",'Mapa final'!$Q$21),"")</f>
        <v/>
      </c>
      <c r="AM38" s="57" t="str">
        <f>IF(AND('Mapa final'!$AA$22="Baja",'Mapa final'!$AC$22="Catastrófico"),CONCATENATE("R3C",'Mapa final'!$Q$22),"")</f>
        <v/>
      </c>
      <c r="AN38" s="83"/>
      <c r="AO38" s="503"/>
      <c r="AP38" s="504"/>
      <c r="AQ38" s="504"/>
      <c r="AR38" s="504"/>
      <c r="AS38" s="504"/>
      <c r="AT38" s="505"/>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3">
      <c r="A39" s="83"/>
      <c r="B39" s="384"/>
      <c r="C39" s="384"/>
      <c r="D39" s="385"/>
      <c r="E39" s="483"/>
      <c r="F39" s="482"/>
      <c r="G39" s="482"/>
      <c r="H39" s="482"/>
      <c r="I39" s="482"/>
      <c r="J39" s="76" t="str">
        <f>IF(AND('Mapa final'!$AA$23="Baja",'Mapa final'!$AC$23="Leve"),CONCATENATE("R4C",'Mapa final'!$Q$23),"")</f>
        <v/>
      </c>
      <c r="K39" s="77" t="str">
        <f>IF(AND('Mapa final'!$AA$24="Baja",'Mapa final'!$AC$24="Leve"),CONCATENATE("R4C",'Mapa final'!$Q$24),"")</f>
        <v/>
      </c>
      <c r="L39" s="77" t="str">
        <f>IF(AND('Mapa final'!$AA$25="Baja",'Mapa final'!$AC$25="Leve"),CONCATENATE("R4C",'Mapa final'!$Q$25),"")</f>
        <v/>
      </c>
      <c r="M39" s="77" t="str">
        <f>IF(AND('Mapa final'!$AA$26="Baja",'Mapa final'!$AC$26="Leve"),CONCATENATE("R4C",'Mapa final'!$Q$26),"")</f>
        <v/>
      </c>
      <c r="N39" s="77" t="str">
        <f>IF(AND('Mapa final'!$AA$27="Baja",'Mapa final'!$AC$27="Leve"),CONCATENATE("R4C",'Mapa final'!$Q$27),"")</f>
        <v/>
      </c>
      <c r="O39" s="78" t="str">
        <f>IF(AND('Mapa final'!$AA$28="Baja",'Mapa final'!$AC$28="Leve"),CONCATENATE("R4C",'Mapa final'!$Q$28),"")</f>
        <v/>
      </c>
      <c r="P39" s="67" t="str">
        <f>IF(AND('Mapa final'!$AA$23="Baja",'Mapa final'!$AC$23="Menor"),CONCATENATE("R4C",'Mapa final'!$Q$23),"")</f>
        <v/>
      </c>
      <c r="Q39" s="68" t="str">
        <f>IF(AND('Mapa final'!$AA$24="Baja",'Mapa final'!$AC$24="Menor"),CONCATENATE("R4C",'Mapa final'!$Q$24),"")</f>
        <v/>
      </c>
      <c r="R39" s="68" t="str">
        <f>IF(AND('Mapa final'!$AA$25="Baja",'Mapa final'!$AC$25="Menor"),CONCATENATE("R4C",'Mapa final'!$Q$25),"")</f>
        <v/>
      </c>
      <c r="S39" s="68" t="str">
        <f>IF(AND('Mapa final'!$AA$26="Baja",'Mapa final'!$AC$26="Menor"),CONCATENATE("R4C",'Mapa final'!$Q$26),"")</f>
        <v/>
      </c>
      <c r="T39" s="68" t="str">
        <f>IF(AND('Mapa final'!$AA$27="Baja",'Mapa final'!$AC$27="Menor"),CONCATENATE("R4C",'Mapa final'!$Q$27),"")</f>
        <v/>
      </c>
      <c r="U39" s="69" t="str">
        <f>IF(AND('Mapa final'!$AA$28="Baja",'Mapa final'!$AC$28="Menor"),CONCATENATE("R4C",'Mapa final'!$Q$28),"")</f>
        <v/>
      </c>
      <c r="V39" s="67" t="str">
        <f>IF(AND('Mapa final'!$AA$23="Baja",'Mapa final'!$AC$23="Moderado"),CONCATENATE("R4C",'Mapa final'!$Q$23),"")</f>
        <v/>
      </c>
      <c r="W39" s="68" t="str">
        <f>IF(AND('Mapa final'!$AA$24="Baja",'Mapa final'!$AC$24="Moderado"),CONCATENATE("R4C",'Mapa final'!$Q$24),"")</f>
        <v/>
      </c>
      <c r="X39" s="68" t="str">
        <f>IF(AND('Mapa final'!$AA$25="Baja",'Mapa final'!$AC$25="Moderado"),CONCATENATE("R4C",'Mapa final'!$Q$25),"")</f>
        <v/>
      </c>
      <c r="Y39" s="68" t="str">
        <f>IF(AND('Mapa final'!$AA$26="Baja",'Mapa final'!$AC$26="Moderado"),CONCATENATE("R4C",'Mapa final'!$Q$26),"")</f>
        <v/>
      </c>
      <c r="Z39" s="68" t="str">
        <f>IF(AND('Mapa final'!$AA$27="Baja",'Mapa final'!$AC$27="Moderado"),CONCATENATE("R4C",'Mapa final'!$Q$27),"")</f>
        <v/>
      </c>
      <c r="AA39" s="69" t="str">
        <f>IF(AND('Mapa final'!$AA$28="Baja",'Mapa final'!$AC$28="Moderado"),CONCATENATE("R4C",'Mapa final'!$Q$28),"")</f>
        <v/>
      </c>
      <c r="AB39" s="52" t="str">
        <f>IF(AND('Mapa final'!$AA$23="Baja",'Mapa final'!$AC$23="Mayor"),CONCATENATE("R4C",'Mapa final'!$Q$23),"")</f>
        <v/>
      </c>
      <c r="AC39" s="53" t="str">
        <f>IF(AND('Mapa final'!$AA$24="Baja",'Mapa final'!$AC$24="Mayor"),CONCATENATE("R4C",'Mapa final'!$Q$24),"")</f>
        <v/>
      </c>
      <c r="AD39" s="53" t="str">
        <f>IF(AND('Mapa final'!$AA$25="Baja",'Mapa final'!$AC$25="Mayor"),CONCATENATE("R4C",'Mapa final'!$Q$25),"")</f>
        <v/>
      </c>
      <c r="AE39" s="53" t="str">
        <f>IF(AND('Mapa final'!$AA$26="Baja",'Mapa final'!$AC$26="Mayor"),CONCATENATE("R4C",'Mapa final'!$Q$26),"")</f>
        <v/>
      </c>
      <c r="AF39" s="53" t="str">
        <f>IF(AND('Mapa final'!$AA$27="Baja",'Mapa final'!$AC$27="Mayor"),CONCATENATE("R4C",'Mapa final'!$Q$27),"")</f>
        <v/>
      </c>
      <c r="AG39" s="54" t="str">
        <f>IF(AND('Mapa final'!$AA$28="Baja",'Mapa final'!$AC$28="Mayor"),CONCATENATE("R4C",'Mapa final'!$Q$28),"")</f>
        <v/>
      </c>
      <c r="AH39" s="55" t="str">
        <f>IF(AND('Mapa final'!$AA$23="Baja",'Mapa final'!$AC$23="Catastrófico"),CONCATENATE("R4C",'Mapa final'!$Q$23),"")</f>
        <v/>
      </c>
      <c r="AI39" s="56" t="str">
        <f>IF(AND('Mapa final'!$AA$24="Baja",'Mapa final'!$AC$24="Catastrófico"),CONCATENATE("R4C",'Mapa final'!$Q$24),"")</f>
        <v/>
      </c>
      <c r="AJ39" s="56" t="str">
        <f>IF(AND('Mapa final'!$AA$25="Baja",'Mapa final'!$AC$25="Catastrófico"),CONCATENATE("R4C",'Mapa final'!$Q$25),"")</f>
        <v/>
      </c>
      <c r="AK39" s="56" t="str">
        <f>IF(AND('Mapa final'!$AA$26="Baja",'Mapa final'!$AC$26="Catastrófico"),CONCATENATE("R4C",'Mapa final'!$Q$26),"")</f>
        <v/>
      </c>
      <c r="AL39" s="56" t="str">
        <f>IF(AND('Mapa final'!$AA$27="Baja",'Mapa final'!$AC$27="Catastrófico"),CONCATENATE("R4C",'Mapa final'!$Q$27),"")</f>
        <v/>
      </c>
      <c r="AM39" s="57" t="str">
        <f>IF(AND('Mapa final'!$AA$28="Baja",'Mapa final'!$AC$28="Catastrófico"),CONCATENATE("R4C",'Mapa final'!$Q$28),"")</f>
        <v/>
      </c>
      <c r="AN39" s="83"/>
      <c r="AO39" s="503"/>
      <c r="AP39" s="504"/>
      <c r="AQ39" s="504"/>
      <c r="AR39" s="504"/>
      <c r="AS39" s="504"/>
      <c r="AT39" s="505"/>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3">
      <c r="A40" s="83"/>
      <c r="B40" s="384"/>
      <c r="C40" s="384"/>
      <c r="D40" s="385"/>
      <c r="E40" s="483"/>
      <c r="F40" s="482"/>
      <c r="G40" s="482"/>
      <c r="H40" s="482"/>
      <c r="I40" s="482"/>
      <c r="J40" s="76" t="str">
        <f>IF(AND('Mapa final'!$AA$29="Baja",'Mapa final'!$AC$29="Leve"),CONCATENATE("R5C",'Mapa final'!$Q$29),"")</f>
        <v/>
      </c>
      <c r="K40" s="77" t="str">
        <f>IF(AND('Mapa final'!$AA$30="Baja",'Mapa final'!$AC$30="Leve"),CONCATENATE("R5C",'Mapa final'!$Q$30),"")</f>
        <v/>
      </c>
      <c r="L40" s="77" t="str">
        <f>IF(AND('Mapa final'!$AA$31="Baja",'Mapa final'!$AC$31="Leve"),CONCATENATE("R5C",'Mapa final'!$Q$31),"")</f>
        <v/>
      </c>
      <c r="M40" s="77" t="str">
        <f>IF(AND('Mapa final'!$AA$32="Baja",'Mapa final'!$AC$32="Leve"),CONCATENATE("R5C",'Mapa final'!$Q$32),"")</f>
        <v/>
      </c>
      <c r="N40" s="77" t="str">
        <f>IF(AND('Mapa final'!$AA$33="Baja",'Mapa final'!$AC$33="Leve"),CONCATENATE("R5C",'Mapa final'!$Q$33),"")</f>
        <v/>
      </c>
      <c r="O40" s="78" t="str">
        <f>IF(AND('Mapa final'!$AA$34="Baja",'Mapa final'!$AC$34="Leve"),CONCATENATE("R5C",'Mapa final'!$Q$34),"")</f>
        <v/>
      </c>
      <c r="P40" s="67" t="str">
        <f>IF(AND('Mapa final'!$AA$29="Baja",'Mapa final'!$AC$29="Menor"),CONCATENATE("R5C",'Mapa final'!$Q$29),"")</f>
        <v/>
      </c>
      <c r="Q40" s="68" t="str">
        <f>IF(AND('Mapa final'!$AA$30="Baja",'Mapa final'!$AC$30="Menor"),CONCATENATE("R5C",'Mapa final'!$Q$30),"")</f>
        <v/>
      </c>
      <c r="R40" s="68" t="str">
        <f>IF(AND('Mapa final'!$AA$31="Baja",'Mapa final'!$AC$31="Menor"),CONCATENATE("R5C",'Mapa final'!$Q$31),"")</f>
        <v/>
      </c>
      <c r="S40" s="68" t="str">
        <f>IF(AND('Mapa final'!$AA$32="Baja",'Mapa final'!$AC$32="Menor"),CONCATENATE("R5C",'Mapa final'!$Q$32),"")</f>
        <v/>
      </c>
      <c r="T40" s="68" t="str">
        <f>IF(AND('Mapa final'!$AA$33="Baja",'Mapa final'!$AC$33="Menor"),CONCATENATE("R5C",'Mapa final'!$Q$33),"")</f>
        <v/>
      </c>
      <c r="U40" s="69" t="str">
        <f>IF(AND('Mapa final'!$AA$34="Baja",'Mapa final'!$AC$34="Menor"),CONCATENATE("R5C",'Mapa final'!$Q$34),"")</f>
        <v/>
      </c>
      <c r="V40" s="67" t="str">
        <f>IF(AND('Mapa final'!$AA$29="Baja",'Mapa final'!$AC$29="Moderado"),CONCATENATE("R5C",'Mapa final'!$Q$29),"")</f>
        <v/>
      </c>
      <c r="W40" s="68" t="str">
        <f>IF(AND('Mapa final'!$AA$30="Baja",'Mapa final'!$AC$30="Moderado"),CONCATENATE("R5C",'Mapa final'!$Q$30),"")</f>
        <v/>
      </c>
      <c r="X40" s="68" t="str">
        <f>IF(AND('Mapa final'!$AA$31="Baja",'Mapa final'!$AC$31="Moderado"),CONCATENATE("R5C",'Mapa final'!$Q$31),"")</f>
        <v/>
      </c>
      <c r="Y40" s="68" t="str">
        <f>IF(AND('Mapa final'!$AA$32="Baja",'Mapa final'!$AC$32="Moderado"),CONCATENATE("R5C",'Mapa final'!$Q$32),"")</f>
        <v/>
      </c>
      <c r="Z40" s="68" t="str">
        <f>IF(AND('Mapa final'!$AA$33="Baja",'Mapa final'!$AC$33="Moderado"),CONCATENATE("R5C",'Mapa final'!$Q$33),"")</f>
        <v/>
      </c>
      <c r="AA40" s="69" t="str">
        <f>IF(AND('Mapa final'!$AA$34="Baja",'Mapa final'!$AC$34="Moderado"),CONCATENATE("R5C",'Mapa final'!$Q$34),"")</f>
        <v/>
      </c>
      <c r="AB40" s="52" t="str">
        <f>IF(AND('Mapa final'!$AA$29="Baja",'Mapa final'!$AC$29="Mayor"),CONCATENATE("R5C",'Mapa final'!$Q$29),"")</f>
        <v/>
      </c>
      <c r="AC40" s="53" t="str">
        <f>IF(AND('Mapa final'!$AA$30="Baja",'Mapa final'!$AC$30="Mayor"),CONCATENATE("R5C",'Mapa final'!$Q$30),"")</f>
        <v/>
      </c>
      <c r="AD40" s="53" t="str">
        <f>IF(AND('Mapa final'!$AA$31="Baja",'Mapa final'!$AC$31="Mayor"),CONCATENATE("R5C",'Mapa final'!$Q$31),"")</f>
        <v/>
      </c>
      <c r="AE40" s="53" t="str">
        <f>IF(AND('Mapa final'!$AA$32="Baja",'Mapa final'!$AC$32="Mayor"),CONCATENATE("R5C",'Mapa final'!$Q$32),"")</f>
        <v/>
      </c>
      <c r="AF40" s="53" t="str">
        <f>IF(AND('Mapa final'!$AA$33="Baja",'Mapa final'!$AC$33="Mayor"),CONCATENATE("R5C",'Mapa final'!$Q$33),"")</f>
        <v/>
      </c>
      <c r="AG40" s="54" t="str">
        <f>IF(AND('Mapa final'!$AA$34="Baja",'Mapa final'!$AC$34="Mayor"),CONCATENATE("R5C",'Mapa final'!$Q$34),"")</f>
        <v/>
      </c>
      <c r="AH40" s="55" t="str">
        <f>IF(AND('Mapa final'!$AA$29="Baja",'Mapa final'!$AC$29="Catastrófico"),CONCATENATE("R5C",'Mapa final'!$Q$29),"")</f>
        <v/>
      </c>
      <c r="AI40" s="56" t="str">
        <f>IF(AND('Mapa final'!$AA$30="Baja",'Mapa final'!$AC$30="Catastrófico"),CONCATENATE("R5C",'Mapa final'!$Q$30),"")</f>
        <v/>
      </c>
      <c r="AJ40" s="56" t="str">
        <f>IF(AND('Mapa final'!$AA$31="Baja",'Mapa final'!$AC$31="Catastrófico"),CONCATENATE("R5C",'Mapa final'!$Q$31),"")</f>
        <v/>
      </c>
      <c r="AK40" s="56" t="str">
        <f>IF(AND('Mapa final'!$AA$32="Baja",'Mapa final'!$AC$32="Catastrófico"),CONCATENATE("R5C",'Mapa final'!$Q$32),"")</f>
        <v/>
      </c>
      <c r="AL40" s="56" t="str">
        <f>IF(AND('Mapa final'!$AA$33="Baja",'Mapa final'!$AC$33="Catastrófico"),CONCATENATE("R5C",'Mapa final'!$Q$33),"")</f>
        <v/>
      </c>
      <c r="AM40" s="57" t="str">
        <f>IF(AND('Mapa final'!$AA$34="Baja",'Mapa final'!$AC$34="Catastrófico"),CONCATENATE("R5C",'Mapa final'!$Q$34),"")</f>
        <v/>
      </c>
      <c r="AN40" s="83"/>
      <c r="AO40" s="503"/>
      <c r="AP40" s="504"/>
      <c r="AQ40" s="504"/>
      <c r="AR40" s="504"/>
      <c r="AS40" s="504"/>
      <c r="AT40" s="505"/>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3">
      <c r="A41" s="83"/>
      <c r="B41" s="384"/>
      <c r="C41" s="384"/>
      <c r="D41" s="385"/>
      <c r="E41" s="483"/>
      <c r="F41" s="482"/>
      <c r="G41" s="482"/>
      <c r="H41" s="482"/>
      <c r="I41" s="482"/>
      <c r="J41" s="76" t="str">
        <f>IF(AND('Mapa final'!$AA$35="Baja",'Mapa final'!$AC$35="Leve"),CONCATENATE("R6C",'Mapa final'!$Q$35),"")</f>
        <v/>
      </c>
      <c r="K41" s="77" t="str">
        <f>IF(AND('Mapa final'!$AA$36="Baja",'Mapa final'!$AC$36="Leve"),CONCATENATE("R6C",'Mapa final'!$Q$36),"")</f>
        <v/>
      </c>
      <c r="L41" s="77" t="str">
        <f>IF(AND('Mapa final'!$AA$37="Baja",'Mapa final'!$AC$37="Leve"),CONCATENATE("R6C",'Mapa final'!$Q$37),"")</f>
        <v/>
      </c>
      <c r="M41" s="77" t="str">
        <f>IF(AND('Mapa final'!$AA$38="Baja",'Mapa final'!$AC$38="Leve"),CONCATENATE("R6C",'Mapa final'!$Q$38),"")</f>
        <v/>
      </c>
      <c r="N41" s="77" t="str">
        <f>IF(AND('Mapa final'!$AA$39="Baja",'Mapa final'!$AC$39="Leve"),CONCATENATE("R6C",'Mapa final'!$Q$39),"")</f>
        <v/>
      </c>
      <c r="O41" s="78" t="str">
        <f>IF(AND('Mapa final'!$AA$40="Baja",'Mapa final'!$AC$40="Leve"),CONCATENATE("R6C",'Mapa final'!$Q$40),"")</f>
        <v/>
      </c>
      <c r="P41" s="67" t="str">
        <f>IF(AND('Mapa final'!$AA$35="Baja",'Mapa final'!$AC$35="Menor"),CONCATENATE("R6C",'Mapa final'!$Q$35),"")</f>
        <v/>
      </c>
      <c r="Q41" s="68" t="str">
        <f>IF(AND('Mapa final'!$AA$36="Baja",'Mapa final'!$AC$36="Menor"),CONCATENATE("R6C",'Mapa final'!$Q$36),"")</f>
        <v/>
      </c>
      <c r="R41" s="68" t="str">
        <f>IF(AND('Mapa final'!$AA$37="Baja",'Mapa final'!$AC$37="Menor"),CONCATENATE("R6C",'Mapa final'!$Q$37),"")</f>
        <v/>
      </c>
      <c r="S41" s="68" t="str">
        <f>IF(AND('Mapa final'!$AA$38="Baja",'Mapa final'!$AC$38="Menor"),CONCATENATE("R6C",'Mapa final'!$Q$38),"")</f>
        <v/>
      </c>
      <c r="T41" s="68" t="str">
        <f>IF(AND('Mapa final'!$AA$39="Baja",'Mapa final'!$AC$39="Menor"),CONCATENATE("R6C",'Mapa final'!$Q$39),"")</f>
        <v/>
      </c>
      <c r="U41" s="69" t="str">
        <f>IF(AND('Mapa final'!$AA$40="Baja",'Mapa final'!$AC$40="Menor"),CONCATENATE("R6C",'Mapa final'!$Q$40),"")</f>
        <v/>
      </c>
      <c r="V41" s="67" t="str">
        <f>IF(AND('Mapa final'!$AA$35="Baja",'Mapa final'!$AC$35="Moderado"),CONCATENATE("R6C",'Mapa final'!$Q$35),"")</f>
        <v/>
      </c>
      <c r="W41" s="68" t="str">
        <f>IF(AND('Mapa final'!$AA$36="Baja",'Mapa final'!$AC$36="Moderado"),CONCATENATE("R6C",'Mapa final'!$Q$36),"")</f>
        <v/>
      </c>
      <c r="X41" s="68" t="str">
        <f>IF(AND('Mapa final'!$AA$37="Baja",'Mapa final'!$AC$37="Moderado"),CONCATENATE("R6C",'Mapa final'!$Q$37),"")</f>
        <v/>
      </c>
      <c r="Y41" s="68" t="str">
        <f>IF(AND('Mapa final'!$AA$38="Baja",'Mapa final'!$AC$38="Moderado"),CONCATENATE("R6C",'Mapa final'!$Q$38),"")</f>
        <v/>
      </c>
      <c r="Z41" s="68" t="str">
        <f>IF(AND('Mapa final'!$AA$39="Baja",'Mapa final'!$AC$39="Moderado"),CONCATENATE("R6C",'Mapa final'!$Q$39),"")</f>
        <v/>
      </c>
      <c r="AA41" s="69" t="str">
        <f>IF(AND('Mapa final'!$AA$40="Baja",'Mapa final'!$AC$40="Moderado"),CONCATENATE("R6C",'Mapa final'!$Q$40),"")</f>
        <v/>
      </c>
      <c r="AB41" s="52" t="str">
        <f>IF(AND('Mapa final'!$AA$35="Baja",'Mapa final'!$AC$35="Mayor"),CONCATENATE("R6C",'Mapa final'!$Q$35),"")</f>
        <v/>
      </c>
      <c r="AC41" s="53" t="str">
        <f>IF(AND('Mapa final'!$AA$36="Baja",'Mapa final'!$AC$36="Mayor"),CONCATENATE("R6C",'Mapa final'!$Q$36),"")</f>
        <v/>
      </c>
      <c r="AD41" s="53" t="str">
        <f>IF(AND('Mapa final'!$AA$37="Baja",'Mapa final'!$AC$37="Mayor"),CONCATENATE("R6C",'Mapa final'!$Q$37),"")</f>
        <v/>
      </c>
      <c r="AE41" s="53" t="str">
        <f>IF(AND('Mapa final'!$AA$38="Baja",'Mapa final'!$AC$38="Mayor"),CONCATENATE("R6C",'Mapa final'!$Q$38),"")</f>
        <v/>
      </c>
      <c r="AF41" s="53" t="str">
        <f>IF(AND('Mapa final'!$AA$39="Baja",'Mapa final'!$AC$39="Mayor"),CONCATENATE("R6C",'Mapa final'!$Q$39),"")</f>
        <v/>
      </c>
      <c r="AG41" s="54" t="str">
        <f>IF(AND('Mapa final'!$AA$40="Baja",'Mapa final'!$AC$40="Mayor"),CONCATENATE("R6C",'Mapa final'!$Q$40),"")</f>
        <v/>
      </c>
      <c r="AH41" s="55" t="str">
        <f>IF(AND('Mapa final'!$AA$35="Baja",'Mapa final'!$AC$35="Catastrófico"),CONCATENATE("R6C",'Mapa final'!$Q$35),"")</f>
        <v/>
      </c>
      <c r="AI41" s="56" t="str">
        <f>IF(AND('Mapa final'!$AA$36="Baja",'Mapa final'!$AC$36="Catastrófico"),CONCATENATE("R6C",'Mapa final'!$Q$36),"")</f>
        <v/>
      </c>
      <c r="AJ41" s="56" t="str">
        <f>IF(AND('Mapa final'!$AA$37="Baja",'Mapa final'!$AC$37="Catastrófico"),CONCATENATE("R6C",'Mapa final'!$Q$37),"")</f>
        <v/>
      </c>
      <c r="AK41" s="56" t="str">
        <f>IF(AND('Mapa final'!$AA$38="Baja",'Mapa final'!$AC$38="Catastrófico"),CONCATENATE("R6C",'Mapa final'!$Q$38),"")</f>
        <v/>
      </c>
      <c r="AL41" s="56" t="str">
        <f>IF(AND('Mapa final'!$AA$39="Baja",'Mapa final'!$AC$39="Catastrófico"),CONCATENATE("R6C",'Mapa final'!$Q$39),"")</f>
        <v/>
      </c>
      <c r="AM41" s="57" t="str">
        <f>IF(AND('Mapa final'!$AA$40="Baja",'Mapa final'!$AC$40="Catastrófico"),CONCATENATE("R6C",'Mapa final'!$Q$40),"")</f>
        <v/>
      </c>
      <c r="AN41" s="83"/>
      <c r="AO41" s="503"/>
      <c r="AP41" s="504"/>
      <c r="AQ41" s="504"/>
      <c r="AR41" s="504"/>
      <c r="AS41" s="504"/>
      <c r="AT41" s="505"/>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3">
      <c r="A42" s="83"/>
      <c r="B42" s="384"/>
      <c r="C42" s="384"/>
      <c r="D42" s="385"/>
      <c r="E42" s="483"/>
      <c r="F42" s="482"/>
      <c r="G42" s="482"/>
      <c r="H42" s="482"/>
      <c r="I42" s="482"/>
      <c r="J42" s="76" t="str">
        <f>IF(AND('Mapa final'!$AA$41="Baja",'Mapa final'!$AC$41="Leve"),CONCATENATE("R7C",'Mapa final'!$Q$41),"")</f>
        <v/>
      </c>
      <c r="K42" s="77" t="str">
        <f>IF(AND('Mapa final'!$AA$42="Baja",'Mapa final'!$AC$42="Leve"),CONCATENATE("R7C",'Mapa final'!$Q$42),"")</f>
        <v/>
      </c>
      <c r="L42" s="77" t="str">
        <f>IF(AND('Mapa final'!$AA$43="Baja",'Mapa final'!$AC$43="Leve"),CONCATENATE("R7C",'Mapa final'!$Q$43),"")</f>
        <v/>
      </c>
      <c r="M42" s="77" t="str">
        <f>IF(AND('Mapa final'!$AA$44="Baja",'Mapa final'!$AC$44="Leve"),CONCATENATE("R7C",'Mapa final'!$Q$44),"")</f>
        <v/>
      </c>
      <c r="N42" s="77" t="str">
        <f>IF(AND('Mapa final'!$AA$45="Baja",'Mapa final'!$AC$45="Leve"),CONCATENATE("R7C",'Mapa final'!$Q$45),"")</f>
        <v/>
      </c>
      <c r="O42" s="78" t="str">
        <f>IF(AND('Mapa final'!$AA$46="Baja",'Mapa final'!$AC$46="Leve"),CONCATENATE("R7C",'Mapa final'!$Q$46),"")</f>
        <v/>
      </c>
      <c r="P42" s="67" t="str">
        <f>IF(AND('Mapa final'!$AA$41="Baja",'Mapa final'!$AC$41="Menor"),CONCATENATE("R7C",'Mapa final'!$Q$41),"")</f>
        <v/>
      </c>
      <c r="Q42" s="68" t="str">
        <f>IF(AND('Mapa final'!$AA$42="Baja",'Mapa final'!$AC$42="Menor"),CONCATENATE("R7C",'Mapa final'!$Q$42),"")</f>
        <v/>
      </c>
      <c r="R42" s="68" t="str">
        <f>IF(AND('Mapa final'!$AA$43="Baja",'Mapa final'!$AC$43="Menor"),CONCATENATE("R7C",'Mapa final'!$Q$43),"")</f>
        <v/>
      </c>
      <c r="S42" s="68" t="str">
        <f>IF(AND('Mapa final'!$AA$44="Baja",'Mapa final'!$AC$44="Menor"),CONCATENATE("R7C",'Mapa final'!$Q$44),"")</f>
        <v/>
      </c>
      <c r="T42" s="68" t="str">
        <f>IF(AND('Mapa final'!$AA$45="Baja",'Mapa final'!$AC$45="Menor"),CONCATENATE("R7C",'Mapa final'!$Q$45),"")</f>
        <v/>
      </c>
      <c r="U42" s="69" t="str">
        <f>IF(AND('Mapa final'!$AA$46="Baja",'Mapa final'!$AC$46="Menor"),CONCATENATE("R7C",'Mapa final'!$Q$46),"")</f>
        <v/>
      </c>
      <c r="V42" s="67" t="str">
        <f>IF(AND('Mapa final'!$AA$41="Baja",'Mapa final'!$AC$41="Moderado"),CONCATENATE("R7C",'Mapa final'!$Q$41),"")</f>
        <v/>
      </c>
      <c r="W42" s="68" t="str">
        <f>IF(AND('Mapa final'!$AA$42="Baja",'Mapa final'!$AC$42="Moderado"),CONCATENATE("R7C",'Mapa final'!$Q$42),"")</f>
        <v/>
      </c>
      <c r="X42" s="68" t="str">
        <f>IF(AND('Mapa final'!$AA$43="Baja",'Mapa final'!$AC$43="Moderado"),CONCATENATE("R7C",'Mapa final'!$Q$43),"")</f>
        <v/>
      </c>
      <c r="Y42" s="68" t="str">
        <f>IF(AND('Mapa final'!$AA$44="Baja",'Mapa final'!$AC$44="Moderado"),CONCATENATE("R7C",'Mapa final'!$Q$44),"")</f>
        <v/>
      </c>
      <c r="Z42" s="68" t="str">
        <f>IF(AND('Mapa final'!$AA$45="Baja",'Mapa final'!$AC$45="Moderado"),CONCATENATE("R7C",'Mapa final'!$Q$45),"")</f>
        <v/>
      </c>
      <c r="AA42" s="69" t="str">
        <f>IF(AND('Mapa final'!$AA$46="Baja",'Mapa final'!$AC$46="Moderado"),CONCATENATE("R7C",'Mapa final'!$Q$46),"")</f>
        <v/>
      </c>
      <c r="AB42" s="52" t="str">
        <f>IF(AND('Mapa final'!$AA$41="Baja",'Mapa final'!$AC$41="Mayor"),CONCATENATE("R7C",'Mapa final'!$Q$41),"")</f>
        <v/>
      </c>
      <c r="AC42" s="53" t="str">
        <f>IF(AND('Mapa final'!$AA$42="Baja",'Mapa final'!$AC$42="Mayor"),CONCATENATE("R7C",'Mapa final'!$Q$42),"")</f>
        <v/>
      </c>
      <c r="AD42" s="53" t="str">
        <f>IF(AND('Mapa final'!$AA$43="Baja",'Mapa final'!$AC$43="Mayor"),CONCATENATE("R7C",'Mapa final'!$Q$43),"")</f>
        <v/>
      </c>
      <c r="AE42" s="53" t="str">
        <f>IF(AND('Mapa final'!$AA$44="Baja",'Mapa final'!$AC$44="Mayor"),CONCATENATE("R7C",'Mapa final'!$Q$44),"")</f>
        <v/>
      </c>
      <c r="AF42" s="53" t="str">
        <f>IF(AND('Mapa final'!$AA$45="Baja",'Mapa final'!$AC$45="Mayor"),CONCATENATE("R7C",'Mapa final'!$Q$45),"")</f>
        <v/>
      </c>
      <c r="AG42" s="54" t="str">
        <f>IF(AND('Mapa final'!$AA$46="Baja",'Mapa final'!$AC$46="Mayor"),CONCATENATE("R7C",'Mapa final'!$Q$46),"")</f>
        <v/>
      </c>
      <c r="AH42" s="55" t="str">
        <f>IF(AND('Mapa final'!$AA$41="Baja",'Mapa final'!$AC$41="Catastrófico"),CONCATENATE("R7C",'Mapa final'!$Q$41),"")</f>
        <v/>
      </c>
      <c r="AI42" s="56" t="str">
        <f>IF(AND('Mapa final'!$AA$42="Baja",'Mapa final'!$AC$42="Catastrófico"),CONCATENATE("R7C",'Mapa final'!$Q$42),"")</f>
        <v/>
      </c>
      <c r="AJ42" s="56" t="str">
        <f>IF(AND('Mapa final'!$AA$43="Baja",'Mapa final'!$AC$43="Catastrófico"),CONCATENATE("R7C",'Mapa final'!$Q$43),"")</f>
        <v/>
      </c>
      <c r="AK42" s="56" t="str">
        <f>IF(AND('Mapa final'!$AA$44="Baja",'Mapa final'!$AC$44="Catastrófico"),CONCATENATE("R7C",'Mapa final'!$Q$44),"")</f>
        <v/>
      </c>
      <c r="AL42" s="56" t="str">
        <f>IF(AND('Mapa final'!$AA$45="Baja",'Mapa final'!$AC$45="Catastrófico"),CONCATENATE("R7C",'Mapa final'!$Q$45),"")</f>
        <v/>
      </c>
      <c r="AM42" s="57" t="str">
        <f>IF(AND('Mapa final'!$AA$46="Baja",'Mapa final'!$AC$46="Catastrófico"),CONCATENATE("R7C",'Mapa final'!$Q$46),"")</f>
        <v/>
      </c>
      <c r="AN42" s="83"/>
      <c r="AO42" s="503"/>
      <c r="AP42" s="504"/>
      <c r="AQ42" s="504"/>
      <c r="AR42" s="504"/>
      <c r="AS42" s="504"/>
      <c r="AT42" s="505"/>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3">
      <c r="A43" s="83"/>
      <c r="B43" s="384"/>
      <c r="C43" s="384"/>
      <c r="D43" s="385"/>
      <c r="E43" s="483"/>
      <c r="F43" s="482"/>
      <c r="G43" s="482"/>
      <c r="H43" s="482"/>
      <c r="I43" s="482"/>
      <c r="J43" s="76" t="str">
        <f>IF(AND('Mapa final'!$AA$47="Baja",'Mapa final'!$AC$47="Leve"),CONCATENATE("R8C",'Mapa final'!$Q$47),"")</f>
        <v/>
      </c>
      <c r="K43" s="77" t="str">
        <f>IF(AND('Mapa final'!$AA$48="Baja",'Mapa final'!$AC$48="Leve"),CONCATENATE("R8C",'Mapa final'!$Q$48),"")</f>
        <v/>
      </c>
      <c r="L43" s="77" t="str">
        <f>IF(AND('Mapa final'!$AA$49="Baja",'Mapa final'!$AC$49="Leve"),CONCATENATE("R8C",'Mapa final'!$Q$49),"")</f>
        <v/>
      </c>
      <c r="M43" s="77" t="str">
        <f>IF(AND('Mapa final'!$AA$50="Baja",'Mapa final'!$AC$50="Leve"),CONCATENATE("R8C",'Mapa final'!$Q$50),"")</f>
        <v/>
      </c>
      <c r="N43" s="77" t="str">
        <f>IF(AND('Mapa final'!$AA$51="Baja",'Mapa final'!$AC$51="Leve"),CONCATENATE("R8C",'Mapa final'!$Q$51),"")</f>
        <v/>
      </c>
      <c r="O43" s="78" t="str">
        <f>IF(AND('Mapa final'!$AA$52="Baja",'Mapa final'!$AC$52="Leve"),CONCATENATE("R8C",'Mapa final'!$Q$52),"")</f>
        <v/>
      </c>
      <c r="P43" s="67" t="str">
        <f>IF(AND('Mapa final'!$AA$47="Baja",'Mapa final'!$AC$47="Menor"),CONCATENATE("R8C",'Mapa final'!$Q$47),"")</f>
        <v/>
      </c>
      <c r="Q43" s="68" t="str">
        <f>IF(AND('Mapa final'!$AA$48="Baja",'Mapa final'!$AC$48="Menor"),CONCATENATE("R8C",'Mapa final'!$Q$48),"")</f>
        <v/>
      </c>
      <c r="R43" s="68" t="str">
        <f>IF(AND('Mapa final'!$AA$49="Baja",'Mapa final'!$AC$49="Menor"),CONCATENATE("R8C",'Mapa final'!$Q$49),"")</f>
        <v/>
      </c>
      <c r="S43" s="68" t="str">
        <f>IF(AND('Mapa final'!$AA$50="Baja",'Mapa final'!$AC$50="Menor"),CONCATENATE("R8C",'Mapa final'!$Q$50),"")</f>
        <v/>
      </c>
      <c r="T43" s="68" t="str">
        <f>IF(AND('Mapa final'!$AA$51="Baja",'Mapa final'!$AC$51="Menor"),CONCATENATE("R8C",'Mapa final'!$Q$51),"")</f>
        <v/>
      </c>
      <c r="U43" s="69" t="str">
        <f>IF(AND('Mapa final'!$AA$52="Baja",'Mapa final'!$AC$52="Menor"),CONCATENATE("R8C",'Mapa final'!$Q$52),"")</f>
        <v/>
      </c>
      <c r="V43" s="67" t="str">
        <f>IF(AND('Mapa final'!$AA$47="Baja",'Mapa final'!$AC$47="Moderado"),CONCATENATE("R8C",'Mapa final'!$Q$47),"")</f>
        <v/>
      </c>
      <c r="W43" s="68" t="str">
        <f>IF(AND('Mapa final'!$AA$48="Baja",'Mapa final'!$AC$48="Moderado"),CONCATENATE("R8C",'Mapa final'!$Q$48),"")</f>
        <v/>
      </c>
      <c r="X43" s="68" t="str">
        <f>IF(AND('Mapa final'!$AA$49="Baja",'Mapa final'!$AC$49="Moderado"),CONCATENATE("R8C",'Mapa final'!$Q$49),"")</f>
        <v/>
      </c>
      <c r="Y43" s="68" t="str">
        <f>IF(AND('Mapa final'!$AA$50="Baja",'Mapa final'!$AC$50="Moderado"),CONCATENATE("R8C",'Mapa final'!$Q$50),"")</f>
        <v/>
      </c>
      <c r="Z43" s="68" t="str">
        <f>IF(AND('Mapa final'!$AA$51="Baja",'Mapa final'!$AC$51="Moderado"),CONCATENATE("R8C",'Mapa final'!$Q$51),"")</f>
        <v/>
      </c>
      <c r="AA43" s="69" t="str">
        <f>IF(AND('Mapa final'!$AA$52="Baja",'Mapa final'!$AC$52="Moderado"),CONCATENATE("R8C",'Mapa final'!$Q$52),"")</f>
        <v/>
      </c>
      <c r="AB43" s="52" t="str">
        <f>IF(AND('Mapa final'!$AA$47="Baja",'Mapa final'!$AC$47="Mayor"),CONCATENATE("R8C",'Mapa final'!$Q$47),"")</f>
        <v/>
      </c>
      <c r="AC43" s="53" t="str">
        <f>IF(AND('Mapa final'!$AA$48="Baja",'Mapa final'!$AC$48="Mayor"),CONCATENATE("R8C",'Mapa final'!$Q$48),"")</f>
        <v/>
      </c>
      <c r="AD43" s="53" t="str">
        <f>IF(AND('Mapa final'!$AA$49="Baja",'Mapa final'!$AC$49="Mayor"),CONCATENATE("R8C",'Mapa final'!$Q$49),"")</f>
        <v/>
      </c>
      <c r="AE43" s="53" t="str">
        <f>IF(AND('Mapa final'!$AA$50="Baja",'Mapa final'!$AC$50="Mayor"),CONCATENATE("R8C",'Mapa final'!$Q$50),"")</f>
        <v/>
      </c>
      <c r="AF43" s="53" t="str">
        <f>IF(AND('Mapa final'!$AA$51="Baja",'Mapa final'!$AC$51="Mayor"),CONCATENATE("R8C",'Mapa final'!$Q$51),"")</f>
        <v/>
      </c>
      <c r="AG43" s="54" t="str">
        <f>IF(AND('Mapa final'!$AA$52="Baja",'Mapa final'!$AC$52="Mayor"),CONCATENATE("R8C",'Mapa final'!$Q$52),"")</f>
        <v/>
      </c>
      <c r="AH43" s="55" t="str">
        <f>IF(AND('Mapa final'!$AA$47="Baja",'Mapa final'!$AC$47="Catastrófico"),CONCATENATE("R8C",'Mapa final'!$Q$47),"")</f>
        <v/>
      </c>
      <c r="AI43" s="56" t="str">
        <f>IF(AND('Mapa final'!$AA$48="Baja",'Mapa final'!$AC$48="Catastrófico"),CONCATENATE("R8C",'Mapa final'!$Q$48),"")</f>
        <v/>
      </c>
      <c r="AJ43" s="56" t="str">
        <f>IF(AND('Mapa final'!$AA$49="Baja",'Mapa final'!$AC$49="Catastrófico"),CONCATENATE("R8C",'Mapa final'!$Q$49),"")</f>
        <v/>
      </c>
      <c r="AK43" s="56" t="str">
        <f>IF(AND('Mapa final'!$AA$50="Baja",'Mapa final'!$AC$50="Catastrófico"),CONCATENATE("R8C",'Mapa final'!$Q$50),"")</f>
        <v/>
      </c>
      <c r="AL43" s="56" t="str">
        <f>IF(AND('Mapa final'!$AA$51="Baja",'Mapa final'!$AC$51="Catastrófico"),CONCATENATE("R8C",'Mapa final'!$Q$51),"")</f>
        <v/>
      </c>
      <c r="AM43" s="57" t="str">
        <f>IF(AND('Mapa final'!$AA$52="Baja",'Mapa final'!$AC$52="Catastrófico"),CONCATENATE("R8C",'Mapa final'!$Q$52),"")</f>
        <v/>
      </c>
      <c r="AN43" s="83"/>
      <c r="AO43" s="503"/>
      <c r="AP43" s="504"/>
      <c r="AQ43" s="504"/>
      <c r="AR43" s="504"/>
      <c r="AS43" s="504"/>
      <c r="AT43" s="505"/>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3">
      <c r="A44" s="83"/>
      <c r="B44" s="384"/>
      <c r="C44" s="384"/>
      <c r="D44" s="385"/>
      <c r="E44" s="483"/>
      <c r="F44" s="482"/>
      <c r="G44" s="482"/>
      <c r="H44" s="482"/>
      <c r="I44" s="482"/>
      <c r="J44" s="76" t="str">
        <f>IF(AND('Mapa final'!$AA$53="Baja",'Mapa final'!$AC$53="Leve"),CONCATENATE("R9C",'Mapa final'!$Q$53),"")</f>
        <v/>
      </c>
      <c r="K44" s="77" t="str">
        <f>IF(AND('Mapa final'!$AA$54="Baja",'Mapa final'!$AC$54="Leve"),CONCATENATE("R9C",'Mapa final'!$Q$54),"")</f>
        <v/>
      </c>
      <c r="L44" s="77" t="str">
        <f>IF(AND('Mapa final'!$AA$55="Baja",'Mapa final'!$AC$55="Leve"),CONCATENATE("R9C",'Mapa final'!$Q$55),"")</f>
        <v/>
      </c>
      <c r="M44" s="77" t="str">
        <f>IF(AND('Mapa final'!$AA$56="Baja",'Mapa final'!$AC$56="Leve"),CONCATENATE("R9C",'Mapa final'!$Q$56),"")</f>
        <v/>
      </c>
      <c r="N44" s="77" t="str">
        <f>IF(AND('Mapa final'!$AA$57="Baja",'Mapa final'!$AC$57="Leve"),CONCATENATE("R9C",'Mapa final'!$Q$57),"")</f>
        <v/>
      </c>
      <c r="O44" s="78" t="str">
        <f>IF(AND('Mapa final'!$AA$58="Baja",'Mapa final'!$AC$58="Leve"),CONCATENATE("R9C",'Mapa final'!$Q$58),"")</f>
        <v/>
      </c>
      <c r="P44" s="67" t="str">
        <f>IF(AND('Mapa final'!$AA$53="Baja",'Mapa final'!$AC$53="Menor"),CONCATENATE("R9C",'Mapa final'!$Q$53),"")</f>
        <v/>
      </c>
      <c r="Q44" s="68" t="str">
        <f>IF(AND('Mapa final'!$AA$54="Baja",'Mapa final'!$AC$54="Menor"),CONCATENATE("R9C",'Mapa final'!$Q$54),"")</f>
        <v/>
      </c>
      <c r="R44" s="68" t="str">
        <f>IF(AND('Mapa final'!$AA$55="Baja",'Mapa final'!$AC$55="Menor"),CONCATENATE("R9C",'Mapa final'!$Q$55),"")</f>
        <v/>
      </c>
      <c r="S44" s="68" t="str">
        <f>IF(AND('Mapa final'!$AA$56="Baja",'Mapa final'!$AC$56="Menor"),CONCATENATE("R9C",'Mapa final'!$Q$56),"")</f>
        <v/>
      </c>
      <c r="T44" s="68" t="str">
        <f>IF(AND('Mapa final'!$AA$57="Baja",'Mapa final'!$AC$57="Menor"),CONCATENATE("R9C",'Mapa final'!$Q$57),"")</f>
        <v/>
      </c>
      <c r="U44" s="69" t="str">
        <f>IF(AND('Mapa final'!$AA$58="Baja",'Mapa final'!$AC$58="Menor"),CONCATENATE("R9C",'Mapa final'!$Q$58),"")</f>
        <v/>
      </c>
      <c r="V44" s="67" t="str">
        <f>IF(AND('Mapa final'!$AA$53="Baja",'Mapa final'!$AC$53="Moderado"),CONCATENATE("R9C",'Mapa final'!$Q$53),"")</f>
        <v/>
      </c>
      <c r="W44" s="68" t="str">
        <f>IF(AND('Mapa final'!$AA$54="Baja",'Mapa final'!$AC$54="Moderado"),CONCATENATE("R9C",'Mapa final'!$Q$54),"")</f>
        <v/>
      </c>
      <c r="X44" s="68" t="str">
        <f>IF(AND('Mapa final'!$AA$55="Baja",'Mapa final'!$AC$55="Moderado"),CONCATENATE("R9C",'Mapa final'!$Q$55),"")</f>
        <v/>
      </c>
      <c r="Y44" s="68" t="str">
        <f>IF(AND('Mapa final'!$AA$56="Baja",'Mapa final'!$AC$56="Moderado"),CONCATENATE("R9C",'Mapa final'!$Q$56),"")</f>
        <v/>
      </c>
      <c r="Z44" s="68" t="str">
        <f>IF(AND('Mapa final'!$AA$57="Baja",'Mapa final'!$AC$57="Moderado"),CONCATENATE("R9C",'Mapa final'!$Q$57),"")</f>
        <v/>
      </c>
      <c r="AA44" s="69" t="str">
        <f>IF(AND('Mapa final'!$AA$58="Baja",'Mapa final'!$AC$58="Moderado"),CONCATENATE("R9C",'Mapa final'!$Q$58),"")</f>
        <v/>
      </c>
      <c r="AB44" s="52" t="str">
        <f>IF(AND('Mapa final'!$AA$53="Baja",'Mapa final'!$AC$53="Mayor"),CONCATENATE("R9C",'Mapa final'!$Q$53),"")</f>
        <v/>
      </c>
      <c r="AC44" s="53" t="str">
        <f>IF(AND('Mapa final'!$AA$54="Baja",'Mapa final'!$AC$54="Mayor"),CONCATENATE("R9C",'Mapa final'!$Q$54),"")</f>
        <v/>
      </c>
      <c r="AD44" s="53" t="str">
        <f>IF(AND('Mapa final'!$AA$55="Baja",'Mapa final'!$AC$55="Mayor"),CONCATENATE("R9C",'Mapa final'!$Q$55),"")</f>
        <v/>
      </c>
      <c r="AE44" s="53" t="str">
        <f>IF(AND('Mapa final'!$AA$56="Baja",'Mapa final'!$AC$56="Mayor"),CONCATENATE("R9C",'Mapa final'!$Q$56),"")</f>
        <v/>
      </c>
      <c r="AF44" s="53" t="str">
        <f>IF(AND('Mapa final'!$AA$57="Baja",'Mapa final'!$AC$57="Mayor"),CONCATENATE("R9C",'Mapa final'!$Q$57),"")</f>
        <v/>
      </c>
      <c r="AG44" s="54" t="str">
        <f>IF(AND('Mapa final'!$AA$58="Baja",'Mapa final'!$AC$58="Mayor"),CONCATENATE("R9C",'Mapa final'!$Q$58),"")</f>
        <v/>
      </c>
      <c r="AH44" s="55" t="str">
        <f>IF(AND('Mapa final'!$AA$53="Baja",'Mapa final'!$AC$53="Catastrófico"),CONCATENATE("R9C",'Mapa final'!$Q$53),"")</f>
        <v/>
      </c>
      <c r="AI44" s="56" t="str">
        <f>IF(AND('Mapa final'!$AA$54="Baja",'Mapa final'!$AC$54="Catastrófico"),CONCATENATE("R9C",'Mapa final'!$Q$54),"")</f>
        <v/>
      </c>
      <c r="AJ44" s="56" t="str">
        <f>IF(AND('Mapa final'!$AA$55="Baja",'Mapa final'!$AC$55="Catastrófico"),CONCATENATE("R9C",'Mapa final'!$Q$55),"")</f>
        <v/>
      </c>
      <c r="AK44" s="56" t="str">
        <f>IF(AND('Mapa final'!$AA$56="Baja",'Mapa final'!$AC$56="Catastrófico"),CONCATENATE("R9C",'Mapa final'!$Q$56),"")</f>
        <v/>
      </c>
      <c r="AL44" s="56" t="str">
        <f>IF(AND('Mapa final'!$AA$57="Baja",'Mapa final'!$AC$57="Catastrófico"),CONCATENATE("R9C",'Mapa final'!$Q$57),"")</f>
        <v/>
      </c>
      <c r="AM44" s="57" t="str">
        <f>IF(AND('Mapa final'!$AA$58="Baja",'Mapa final'!$AC$58="Catastrófico"),CONCATENATE("R9C",'Mapa final'!$Q$58),"")</f>
        <v/>
      </c>
      <c r="AN44" s="83"/>
      <c r="AO44" s="503"/>
      <c r="AP44" s="504"/>
      <c r="AQ44" s="504"/>
      <c r="AR44" s="504"/>
      <c r="AS44" s="504"/>
      <c r="AT44" s="505"/>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5">
      <c r="A45" s="83"/>
      <c r="B45" s="384"/>
      <c r="C45" s="384"/>
      <c r="D45" s="385"/>
      <c r="E45" s="484"/>
      <c r="F45" s="485"/>
      <c r="G45" s="485"/>
      <c r="H45" s="485"/>
      <c r="I45" s="485"/>
      <c r="J45" s="79" t="str">
        <f>IF(AND('Mapa final'!$AA$59="Baja",'Mapa final'!$AC$59="Leve"),CONCATENATE("R10C",'Mapa final'!$Q$59),"")</f>
        <v/>
      </c>
      <c r="K45" s="80" t="str">
        <f>IF(AND('Mapa final'!$AA$60="Baja",'Mapa final'!$AC$60="Leve"),CONCATENATE("R10C",'Mapa final'!$Q$60),"")</f>
        <v/>
      </c>
      <c r="L45" s="80" t="str">
        <f>IF(AND('Mapa final'!$AA$61="Baja",'Mapa final'!$AC$61="Leve"),CONCATENATE("R10C",'Mapa final'!$Q$61),"")</f>
        <v/>
      </c>
      <c r="M45" s="80" t="str">
        <f>IF(AND('Mapa final'!$AA$62="Baja",'Mapa final'!$AC$62="Leve"),CONCATENATE("R10C",'Mapa final'!$Q$62),"")</f>
        <v/>
      </c>
      <c r="N45" s="80" t="str">
        <f>IF(AND('Mapa final'!$AA$63="Baja",'Mapa final'!$AC$63="Leve"),CONCATENATE("R10C",'Mapa final'!$Q$63),"")</f>
        <v/>
      </c>
      <c r="O45" s="81" t="str">
        <f>IF(AND('Mapa final'!$AA$64="Baja",'Mapa final'!$AC$64="Leve"),CONCATENATE("R10C",'Mapa final'!$Q$64),"")</f>
        <v/>
      </c>
      <c r="P45" s="67" t="str">
        <f>IF(AND('Mapa final'!$AA$59="Baja",'Mapa final'!$AC$59="Menor"),CONCATENATE("R10C",'Mapa final'!$Q$59),"")</f>
        <v/>
      </c>
      <c r="Q45" s="68" t="str">
        <f>IF(AND('Mapa final'!$AA$60="Baja",'Mapa final'!$AC$60="Menor"),CONCATENATE("R10C",'Mapa final'!$Q$60),"")</f>
        <v/>
      </c>
      <c r="R45" s="68" t="str">
        <f>IF(AND('Mapa final'!$AA$61="Baja",'Mapa final'!$AC$61="Menor"),CONCATENATE("R10C",'Mapa final'!$Q$61),"")</f>
        <v/>
      </c>
      <c r="S45" s="68" t="str">
        <f>IF(AND('Mapa final'!$AA$62="Baja",'Mapa final'!$AC$62="Menor"),CONCATENATE("R10C",'Mapa final'!$Q$62),"")</f>
        <v/>
      </c>
      <c r="T45" s="68" t="str">
        <f>IF(AND('Mapa final'!$AA$63="Baja",'Mapa final'!$AC$63="Menor"),CONCATENATE("R10C",'Mapa final'!$Q$63),"")</f>
        <v/>
      </c>
      <c r="U45" s="69" t="str">
        <f>IF(AND('Mapa final'!$AA$64="Baja",'Mapa final'!$AC$64="Menor"),CONCATENATE("R10C",'Mapa final'!$Q$64),"")</f>
        <v/>
      </c>
      <c r="V45" s="70" t="str">
        <f>IF(AND('Mapa final'!$AA$59="Baja",'Mapa final'!$AC$59="Moderado"),CONCATENATE("R10C",'Mapa final'!$Q$59),"")</f>
        <v/>
      </c>
      <c r="W45" s="71" t="str">
        <f>IF(AND('Mapa final'!$AA$60="Baja",'Mapa final'!$AC$60="Moderado"),CONCATENATE("R10C",'Mapa final'!$Q$60),"")</f>
        <v/>
      </c>
      <c r="X45" s="71" t="str">
        <f>IF(AND('Mapa final'!$AA$61="Baja",'Mapa final'!$AC$61="Moderado"),CONCATENATE("R10C",'Mapa final'!$Q$61),"")</f>
        <v/>
      </c>
      <c r="Y45" s="71" t="str">
        <f>IF(AND('Mapa final'!$AA$62="Baja",'Mapa final'!$AC$62="Moderado"),CONCATENATE("R10C",'Mapa final'!$Q$62),"")</f>
        <v/>
      </c>
      <c r="Z45" s="71" t="str">
        <f>IF(AND('Mapa final'!$AA$63="Baja",'Mapa final'!$AC$63="Moderado"),CONCATENATE("R10C",'Mapa final'!$Q$63),"")</f>
        <v/>
      </c>
      <c r="AA45" s="72" t="str">
        <f>IF(AND('Mapa final'!$AA$64="Baja",'Mapa final'!$AC$64="Moderado"),CONCATENATE("R10C",'Mapa final'!$Q$64),"")</f>
        <v/>
      </c>
      <c r="AB45" s="58" t="str">
        <f>IF(AND('Mapa final'!$AA$59="Baja",'Mapa final'!$AC$59="Mayor"),CONCATENATE("R10C",'Mapa final'!$Q$59),"")</f>
        <v/>
      </c>
      <c r="AC45" s="59" t="str">
        <f>IF(AND('Mapa final'!$AA$60="Baja",'Mapa final'!$AC$60="Mayor"),CONCATENATE("R10C",'Mapa final'!$Q$60),"")</f>
        <v/>
      </c>
      <c r="AD45" s="59" t="str">
        <f>IF(AND('Mapa final'!$AA$61="Baja",'Mapa final'!$AC$61="Mayor"),CONCATENATE("R10C",'Mapa final'!$Q$61),"")</f>
        <v/>
      </c>
      <c r="AE45" s="59" t="str">
        <f>IF(AND('Mapa final'!$AA$62="Baja",'Mapa final'!$AC$62="Mayor"),CONCATENATE("R10C",'Mapa final'!$Q$62),"")</f>
        <v/>
      </c>
      <c r="AF45" s="59" t="str">
        <f>IF(AND('Mapa final'!$AA$63="Baja",'Mapa final'!$AC$63="Mayor"),CONCATENATE("R10C",'Mapa final'!$Q$63),"")</f>
        <v/>
      </c>
      <c r="AG45" s="60" t="str">
        <f>IF(AND('Mapa final'!$AA$64="Baja",'Mapa final'!$AC$64="Mayor"),CONCATENATE("R10C",'Mapa final'!$Q$64),"")</f>
        <v/>
      </c>
      <c r="AH45" s="61" t="str">
        <f>IF(AND('Mapa final'!$AA$59="Baja",'Mapa final'!$AC$59="Catastrófico"),CONCATENATE("R10C",'Mapa final'!$Q$59),"")</f>
        <v/>
      </c>
      <c r="AI45" s="62" t="str">
        <f>IF(AND('Mapa final'!$AA$60="Baja",'Mapa final'!$AC$60="Catastrófico"),CONCATENATE("R10C",'Mapa final'!$Q$60),"")</f>
        <v/>
      </c>
      <c r="AJ45" s="62" t="str">
        <f>IF(AND('Mapa final'!$AA$61="Baja",'Mapa final'!$AC$61="Catastrófico"),CONCATENATE("R10C",'Mapa final'!$Q$61),"")</f>
        <v/>
      </c>
      <c r="AK45" s="62" t="str">
        <f>IF(AND('Mapa final'!$AA$62="Baja",'Mapa final'!$AC$62="Catastrófico"),CONCATENATE("R10C",'Mapa final'!$Q$62),"")</f>
        <v/>
      </c>
      <c r="AL45" s="62" t="str">
        <f>IF(AND('Mapa final'!$AA$63="Baja",'Mapa final'!$AC$63="Catastrófico"),CONCATENATE("R10C",'Mapa final'!$Q$63),"")</f>
        <v/>
      </c>
      <c r="AM45" s="63" t="str">
        <f>IF(AND('Mapa final'!$AA$64="Baja",'Mapa final'!$AC$64="Catastrófico"),CONCATENATE("R10C",'Mapa final'!$Q$64),"")</f>
        <v/>
      </c>
      <c r="AN45" s="83"/>
      <c r="AO45" s="506"/>
      <c r="AP45" s="507"/>
      <c r="AQ45" s="507"/>
      <c r="AR45" s="507"/>
      <c r="AS45" s="507"/>
      <c r="AT45" s="508"/>
    </row>
    <row r="46" spans="1:80" ht="46.5" customHeight="1" x14ac:dyDescent="0.45">
      <c r="A46" s="83"/>
      <c r="B46" s="384"/>
      <c r="C46" s="384"/>
      <c r="D46" s="385"/>
      <c r="E46" s="479" t="s">
        <v>113</v>
      </c>
      <c r="F46" s="480"/>
      <c r="G46" s="480"/>
      <c r="H46" s="480"/>
      <c r="I46" s="497"/>
      <c r="J46" s="73" t="str">
        <f ca="1">IF(AND('Mapa final'!$AA$9="Muy Baja",'Mapa final'!$AC$9="Leve"),CONCATENATE("R1C",'Mapa final'!$Q$9),"")</f>
        <v/>
      </c>
      <c r="K46" s="74" t="str">
        <f ca="1">IF(AND('Mapa final'!$AA$10="Muy Baja",'Mapa final'!$AC$10="Leve"),CONCATENATE("R1C",'Mapa final'!$Q$10),"")</f>
        <v/>
      </c>
      <c r="L46" s="74" t="str">
        <f>IF(AND('Mapa final'!$AA$11="Muy Baja",'Mapa final'!$AC$11="Leve"),CONCATENATE("R1C",'Mapa final'!$Q$11),"")</f>
        <v/>
      </c>
      <c r="M46" s="74" t="str">
        <f>IF(AND('Mapa final'!$AA$12="Muy Baja",'Mapa final'!$AC$12="Leve"),CONCATENATE("R1C",'Mapa final'!$Q$12),"")</f>
        <v/>
      </c>
      <c r="N46" s="74" t="e">
        <f>IF(AND('Mapa final'!#REF!="Muy Baja",'Mapa final'!#REF!="Leve"),CONCATENATE("R1C",'Mapa final'!#REF!),"")</f>
        <v>#REF!</v>
      </c>
      <c r="O46" s="75" t="e">
        <f>IF(AND('Mapa final'!#REF!="Muy Baja",'Mapa final'!#REF!="Leve"),CONCATENATE("R1C",'Mapa final'!#REF!),"")</f>
        <v>#REF!</v>
      </c>
      <c r="P46" s="73" t="str">
        <f ca="1">IF(AND('Mapa final'!$AA$9="Muy Baja",'Mapa final'!$AC$9="Menor"),CONCATENATE("R1C",'Mapa final'!$Q$9),"")</f>
        <v/>
      </c>
      <c r="Q46" s="74" t="str">
        <f ca="1">IF(AND('Mapa final'!$AA$10="Muy Baja",'Mapa final'!$AC$10="Menor"),CONCATENATE("R1C",'Mapa final'!$Q$10),"")</f>
        <v/>
      </c>
      <c r="R46" s="74" t="str">
        <f>IF(AND('Mapa final'!$AA$11="Muy Baja",'Mapa final'!$AC$11="Menor"),CONCATENATE("R1C",'Mapa final'!$Q$11),"")</f>
        <v/>
      </c>
      <c r="S46" s="74" t="str">
        <f>IF(AND('Mapa final'!$AA$12="Muy Baja",'Mapa final'!$AC$12="Menor"),CONCATENATE("R1C",'Mapa final'!$Q$12),"")</f>
        <v/>
      </c>
      <c r="T46" s="74" t="e">
        <f>IF(AND('Mapa final'!#REF!="Muy Baja",'Mapa final'!#REF!="Menor"),CONCATENATE("R1C",'Mapa final'!#REF!),"")</f>
        <v>#REF!</v>
      </c>
      <c r="U46" s="75" t="e">
        <f>IF(AND('Mapa final'!#REF!="Muy Baja",'Mapa final'!#REF!="Menor"),CONCATENATE("R1C",'Mapa final'!#REF!),"")</f>
        <v>#REF!</v>
      </c>
      <c r="V46" s="64" t="str">
        <f ca="1">IF(AND('Mapa final'!$AA$9="Muy Baja",'Mapa final'!$AC$9="Moderado"),CONCATENATE("R1C",'Mapa final'!$Q$9),"")</f>
        <v/>
      </c>
      <c r="W46" s="82" t="str">
        <f ca="1">IF(AND('Mapa final'!$AA$10="Muy Baja",'Mapa final'!$AC$10="Moderado"),CONCATENATE("R1C",'Mapa final'!$Q$10),"")</f>
        <v>R1C2</v>
      </c>
      <c r="X46" s="65" t="str">
        <f>IF(AND('Mapa final'!$AA$11="Muy Baja",'Mapa final'!$AC$11="Moderado"),CONCATENATE("R1C",'Mapa final'!$Q$11),"")</f>
        <v/>
      </c>
      <c r="Y46" s="65" t="str">
        <f>IF(AND('Mapa final'!$AA$12="Muy Baja",'Mapa final'!$AC$12="Moderado"),CONCATENATE("R1C",'Mapa final'!$Q$12),"")</f>
        <v/>
      </c>
      <c r="Z46" s="65" t="e">
        <f>IF(AND('Mapa final'!#REF!="Muy Baja",'Mapa final'!#REF!="Moderado"),CONCATENATE("R1C",'Mapa final'!#REF!),"")</f>
        <v>#REF!</v>
      </c>
      <c r="AA46" s="66" t="e">
        <f>IF(AND('Mapa final'!#REF!="Muy Baja",'Mapa final'!#REF!="Moderado"),CONCATENATE("R1C",'Mapa final'!#REF!),"")</f>
        <v>#REF!</v>
      </c>
      <c r="AB46" s="46" t="str">
        <f ca="1">IF(AND('Mapa final'!$AA$9="Muy Baja",'Mapa final'!$AC$9="Mayor"),CONCATENATE("R1C",'Mapa final'!$Q$9),"")</f>
        <v/>
      </c>
      <c r="AC46" s="47" t="str">
        <f ca="1">IF(AND('Mapa final'!$AA$10="Muy Baja",'Mapa final'!$AC$10="Mayor"),CONCATENATE("R1C",'Mapa final'!$Q$10),"")</f>
        <v/>
      </c>
      <c r="AD46" s="47" t="str">
        <f>IF(AND('Mapa final'!$AA$11="Muy Baja",'Mapa final'!$AC$11="Mayor"),CONCATENATE("R1C",'Mapa final'!$Q$11),"")</f>
        <v/>
      </c>
      <c r="AE46" s="47" t="str">
        <f>IF(AND('Mapa final'!$AA$12="Muy Baja",'Mapa final'!$AC$12="Mayor"),CONCATENATE("R1C",'Mapa final'!$Q$12),"")</f>
        <v/>
      </c>
      <c r="AF46" s="47" t="e">
        <f>IF(AND('Mapa final'!#REF!="Muy Baja",'Mapa final'!#REF!="Mayor"),CONCATENATE("R1C",'Mapa final'!#REF!),"")</f>
        <v>#REF!</v>
      </c>
      <c r="AG46" s="48" t="e">
        <f>IF(AND('Mapa final'!#REF!="Muy Baja",'Mapa final'!#REF!="Mayor"),CONCATENATE("R1C",'Mapa final'!#REF!),"")</f>
        <v>#REF!</v>
      </c>
      <c r="AH46" s="49" t="str">
        <f ca="1">IF(AND('Mapa final'!$AA$9="Muy Baja",'Mapa final'!$AC$9="Catastrófico"),CONCATENATE("R1C",'Mapa final'!$Q$9),"")</f>
        <v/>
      </c>
      <c r="AI46" s="50" t="str">
        <f ca="1">IF(AND('Mapa final'!$AA$10="Muy Baja",'Mapa final'!$AC$10="Catastrófico"),CONCATENATE("R1C",'Mapa final'!$Q$10),"")</f>
        <v/>
      </c>
      <c r="AJ46" s="50" t="str">
        <f>IF(AND('Mapa final'!$AA$11="Muy Baja",'Mapa final'!$AC$11="Catastrófico"),CONCATENATE("R1C",'Mapa final'!$Q$11),"")</f>
        <v/>
      </c>
      <c r="AK46" s="50" t="str">
        <f>IF(AND('Mapa final'!$AA$12="Muy Baja",'Mapa final'!$AC$12="Catastrófico"),CONCATENATE("R1C",'Mapa final'!$Q$12),"")</f>
        <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3">
      <c r="A47" s="83"/>
      <c r="B47" s="384"/>
      <c r="C47" s="384"/>
      <c r="D47" s="385"/>
      <c r="E47" s="481"/>
      <c r="F47" s="482"/>
      <c r="G47" s="482"/>
      <c r="H47" s="482"/>
      <c r="I47" s="498"/>
      <c r="J47" s="76" t="str">
        <f ca="1">IF(AND('Mapa final'!$AA$13="Muy Baja",'Mapa final'!$AC$13="Leve"),CONCATENATE("R2C",'Mapa final'!$Q$13),"")</f>
        <v/>
      </c>
      <c r="K47" s="77" t="e">
        <f>IF(AND('Mapa final'!#REF!="Muy Baja",'Mapa final'!#REF!="Leve"),CONCATENATE("R2C",'Mapa final'!#REF!),"")</f>
        <v>#REF!</v>
      </c>
      <c r="L47" s="77" t="str">
        <f>IF(AND('Mapa final'!$AA$14="Muy Baja",'Mapa final'!$AC$14="Leve"),CONCATENATE("R2C",'Mapa final'!$Q$14),"")</f>
        <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 ca="1">IF(AND('Mapa final'!$AA$13="Muy Baja",'Mapa final'!$AC$13="Menor"),CONCATENATE("R2C",'Mapa final'!$Q$13),"")</f>
        <v/>
      </c>
      <c r="Q47" s="77" t="e">
        <f>IF(AND('Mapa final'!#REF!="Muy Baja",'Mapa final'!#REF!="Menor"),CONCATENATE("R2C",'Mapa final'!#REF!),"")</f>
        <v>#REF!</v>
      </c>
      <c r="R47" s="77" t="str">
        <f>IF(AND('Mapa final'!$AA$14="Muy Baja",'Mapa final'!$AC$14="Menor"),CONCATENATE("R2C",'Mapa final'!$Q$14),"")</f>
        <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 ca="1">IF(AND('Mapa final'!$AA$13="Muy Baja",'Mapa final'!$AC$13="Moderado"),CONCATENATE("R2C",'Mapa final'!$Q$13),"")</f>
        <v/>
      </c>
      <c r="W47" s="68" t="e">
        <f>IF(AND('Mapa final'!#REF!="Muy Baja",'Mapa final'!#REF!="Moderado"),CONCATENATE("R2C",'Mapa final'!#REF!),"")</f>
        <v>#REF!</v>
      </c>
      <c r="X47" s="68" t="str">
        <f>IF(AND('Mapa final'!$AA$14="Muy Baja",'Mapa final'!$AC$14="Moderado"),CONCATENATE("R2C",'Mapa final'!$Q$14),"")</f>
        <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 ca="1">IF(AND('Mapa final'!$AA$13="Muy Baja",'Mapa final'!$AC$13="Mayor"),CONCATENATE("R2C",'Mapa final'!$Q$13),"")</f>
        <v/>
      </c>
      <c r="AC47" s="53" t="e">
        <f>IF(AND('Mapa final'!#REF!="Muy Baja",'Mapa final'!#REF!="Mayor"),CONCATENATE("R2C",'Mapa final'!#REF!),"")</f>
        <v>#REF!</v>
      </c>
      <c r="AD47" s="53" t="str">
        <f>IF(AND('Mapa final'!$AA$14="Muy Baja",'Mapa final'!$AC$14="Mayor"),CONCATENATE("R2C",'Mapa final'!$Q$14),"")</f>
        <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 ca="1">IF(AND('Mapa final'!$AA$13="Muy Baja",'Mapa final'!$AC$13="Catastrófico"),CONCATENATE("R2C",'Mapa final'!$Q$13),"")</f>
        <v/>
      </c>
      <c r="AI47" s="56" t="e">
        <f>IF(AND('Mapa final'!#REF!="Muy Baja",'Mapa final'!#REF!="Catastrófico"),CONCATENATE("R2C",'Mapa final'!#REF!),"")</f>
        <v>#REF!</v>
      </c>
      <c r="AJ47" s="56" t="str">
        <f>IF(AND('Mapa final'!$AA$14="Muy Baja",'Mapa final'!$AC$14="Catastrófico"),CONCATENATE("R2C",'Mapa final'!$Q$14),"")</f>
        <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3">
      <c r="A48" s="83"/>
      <c r="B48" s="384"/>
      <c r="C48" s="384"/>
      <c r="D48" s="385"/>
      <c r="E48" s="481"/>
      <c r="F48" s="482"/>
      <c r="G48" s="482"/>
      <c r="H48" s="482"/>
      <c r="I48" s="498"/>
      <c r="J48" s="76" t="str">
        <f>IF(AND('Mapa final'!$AA$17="Muy Baja",'Mapa final'!$AC$17="Leve"),CONCATENATE("R3C",'Mapa final'!$Q$17),"")</f>
        <v/>
      </c>
      <c r="K48" s="77" t="str">
        <f>IF(AND('Mapa final'!$AA$18="Muy Baja",'Mapa final'!$AC$18="Leve"),CONCATENATE("R3C",'Mapa final'!$Q$18),"")</f>
        <v/>
      </c>
      <c r="L48" s="77" t="str">
        <f>IF(AND('Mapa final'!$AA$19="Muy Baja",'Mapa final'!$AC$19="Leve"),CONCATENATE("R3C",'Mapa final'!$Q$19),"")</f>
        <v/>
      </c>
      <c r="M48" s="77" t="str">
        <f>IF(AND('Mapa final'!$AA$20="Muy Baja",'Mapa final'!$AC$20="Leve"),CONCATENATE("R3C",'Mapa final'!$Q$20),"")</f>
        <v/>
      </c>
      <c r="N48" s="77" t="str">
        <f>IF(AND('Mapa final'!$AA$21="Muy Baja",'Mapa final'!$AC$21="Leve"),CONCATENATE("R3C",'Mapa final'!$Q$21),"")</f>
        <v/>
      </c>
      <c r="O48" s="78" t="str">
        <f>IF(AND('Mapa final'!$AA$22="Muy Baja",'Mapa final'!$AC$22="Leve"),CONCATENATE("R3C",'Mapa final'!$Q$22),"")</f>
        <v/>
      </c>
      <c r="P48" s="76" t="str">
        <f>IF(AND('Mapa final'!$AA$17="Muy Baja",'Mapa final'!$AC$17="Menor"),CONCATENATE("R3C",'Mapa final'!$Q$17),"")</f>
        <v/>
      </c>
      <c r="Q48" s="77" t="str">
        <f>IF(AND('Mapa final'!$AA$18="Muy Baja",'Mapa final'!$AC$18="Menor"),CONCATENATE("R3C",'Mapa final'!$Q$18),"")</f>
        <v/>
      </c>
      <c r="R48" s="77" t="str">
        <f>IF(AND('Mapa final'!$AA$19="Muy Baja",'Mapa final'!$AC$19="Menor"),CONCATENATE("R3C",'Mapa final'!$Q$19),"")</f>
        <v/>
      </c>
      <c r="S48" s="77" t="str">
        <f>IF(AND('Mapa final'!$AA$20="Muy Baja",'Mapa final'!$AC$20="Menor"),CONCATENATE("R3C",'Mapa final'!$Q$20),"")</f>
        <v/>
      </c>
      <c r="T48" s="77" t="str">
        <f>IF(AND('Mapa final'!$AA$21="Muy Baja",'Mapa final'!$AC$21="Menor"),CONCATENATE("R3C",'Mapa final'!$Q$21),"")</f>
        <v/>
      </c>
      <c r="U48" s="78" t="str">
        <f>IF(AND('Mapa final'!$AA$22="Muy Baja",'Mapa final'!$AC$22="Menor"),CONCATENATE("R3C",'Mapa final'!$Q$22),"")</f>
        <v/>
      </c>
      <c r="V48" s="67" t="str">
        <f>IF(AND('Mapa final'!$AA$17="Muy Baja",'Mapa final'!$AC$17="Moderado"),CONCATENATE("R3C",'Mapa final'!$Q$17),"")</f>
        <v/>
      </c>
      <c r="W48" s="68" t="str">
        <f>IF(AND('Mapa final'!$AA$18="Muy Baja",'Mapa final'!$AC$18="Moderado"),CONCATENATE("R3C",'Mapa final'!$Q$18),"")</f>
        <v/>
      </c>
      <c r="X48" s="68" t="str">
        <f>IF(AND('Mapa final'!$AA$19="Muy Baja",'Mapa final'!$AC$19="Moderado"),CONCATENATE("R3C",'Mapa final'!$Q$19),"")</f>
        <v/>
      </c>
      <c r="Y48" s="68" t="str">
        <f>IF(AND('Mapa final'!$AA$20="Muy Baja",'Mapa final'!$AC$20="Moderado"),CONCATENATE("R3C",'Mapa final'!$Q$20),"")</f>
        <v/>
      </c>
      <c r="Z48" s="68" t="str">
        <f>IF(AND('Mapa final'!$AA$21="Muy Baja",'Mapa final'!$AC$21="Moderado"),CONCATENATE("R3C",'Mapa final'!$Q$21),"")</f>
        <v/>
      </c>
      <c r="AA48" s="69" t="str">
        <f>IF(AND('Mapa final'!$AA$22="Muy Baja",'Mapa final'!$AC$22="Moderado"),CONCATENATE("R3C",'Mapa final'!$Q$22),"")</f>
        <v/>
      </c>
      <c r="AB48" s="52" t="str">
        <f>IF(AND('Mapa final'!$AA$17="Muy Baja",'Mapa final'!$AC$17="Mayor"),CONCATENATE("R3C",'Mapa final'!$Q$17),"")</f>
        <v/>
      </c>
      <c r="AC48" s="53" t="str">
        <f>IF(AND('Mapa final'!$AA$18="Muy Baja",'Mapa final'!$AC$18="Mayor"),CONCATENATE("R3C",'Mapa final'!$Q$18),"")</f>
        <v/>
      </c>
      <c r="AD48" s="53" t="str">
        <f>IF(AND('Mapa final'!$AA$19="Muy Baja",'Mapa final'!$AC$19="Mayor"),CONCATENATE("R3C",'Mapa final'!$Q$19),"")</f>
        <v/>
      </c>
      <c r="AE48" s="53" t="str">
        <f>IF(AND('Mapa final'!$AA$20="Muy Baja",'Mapa final'!$AC$20="Mayor"),CONCATENATE("R3C",'Mapa final'!$Q$20),"")</f>
        <v/>
      </c>
      <c r="AF48" s="53" t="str">
        <f>IF(AND('Mapa final'!$AA$21="Muy Baja",'Mapa final'!$AC$21="Mayor"),CONCATENATE("R3C",'Mapa final'!$Q$21),"")</f>
        <v/>
      </c>
      <c r="AG48" s="54" t="str">
        <f>IF(AND('Mapa final'!$AA$22="Muy Baja",'Mapa final'!$AC$22="Mayor"),CONCATENATE("R3C",'Mapa final'!$Q$22),"")</f>
        <v/>
      </c>
      <c r="AH48" s="55" t="str">
        <f>IF(AND('Mapa final'!$AA$17="Muy Baja",'Mapa final'!$AC$17="Catastrófico"),CONCATENATE("R3C",'Mapa final'!$Q$17),"")</f>
        <v/>
      </c>
      <c r="AI48" s="56" t="str">
        <f>IF(AND('Mapa final'!$AA$18="Muy Baja",'Mapa final'!$AC$18="Catastrófico"),CONCATENATE("R3C",'Mapa final'!$Q$18),"")</f>
        <v/>
      </c>
      <c r="AJ48" s="56" t="str">
        <f>IF(AND('Mapa final'!$AA$19="Muy Baja",'Mapa final'!$AC$19="Catastrófico"),CONCATENATE("R3C",'Mapa final'!$Q$19),"")</f>
        <v/>
      </c>
      <c r="AK48" s="56" t="str">
        <f>IF(AND('Mapa final'!$AA$20="Muy Baja",'Mapa final'!$AC$20="Catastrófico"),CONCATENATE("R3C",'Mapa final'!$Q$20),"")</f>
        <v/>
      </c>
      <c r="AL48" s="56" t="str">
        <f>IF(AND('Mapa final'!$AA$21="Muy Baja",'Mapa final'!$AC$21="Catastrófico"),CONCATENATE("R3C",'Mapa final'!$Q$21),"")</f>
        <v/>
      </c>
      <c r="AM48" s="57" t="str">
        <f>IF(AND('Mapa final'!$AA$22="Muy Baja",'Mapa final'!$AC$22="Catastrófico"),CONCATENATE("R3C",'Mapa final'!$Q$22),"")</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3">
      <c r="A49" s="83"/>
      <c r="B49" s="384"/>
      <c r="C49" s="384"/>
      <c r="D49" s="385"/>
      <c r="E49" s="483"/>
      <c r="F49" s="482"/>
      <c r="G49" s="482"/>
      <c r="H49" s="482"/>
      <c r="I49" s="498"/>
      <c r="J49" s="76" t="str">
        <f>IF(AND('Mapa final'!$AA$23="Muy Baja",'Mapa final'!$AC$23="Leve"),CONCATENATE("R4C",'Mapa final'!$Q$23),"")</f>
        <v/>
      </c>
      <c r="K49" s="77" t="str">
        <f>IF(AND('Mapa final'!$AA$24="Muy Baja",'Mapa final'!$AC$24="Leve"),CONCATENATE("R4C",'Mapa final'!$Q$24),"")</f>
        <v/>
      </c>
      <c r="L49" s="77" t="str">
        <f>IF(AND('Mapa final'!$AA$25="Muy Baja",'Mapa final'!$AC$25="Leve"),CONCATENATE("R4C",'Mapa final'!$Q$25),"")</f>
        <v/>
      </c>
      <c r="M49" s="77" t="str">
        <f>IF(AND('Mapa final'!$AA$26="Muy Baja",'Mapa final'!$AC$26="Leve"),CONCATENATE("R4C",'Mapa final'!$Q$26),"")</f>
        <v/>
      </c>
      <c r="N49" s="77" t="str">
        <f>IF(AND('Mapa final'!$AA$27="Muy Baja",'Mapa final'!$AC$27="Leve"),CONCATENATE("R4C",'Mapa final'!$Q$27),"")</f>
        <v/>
      </c>
      <c r="O49" s="78" t="str">
        <f>IF(AND('Mapa final'!$AA$28="Muy Baja",'Mapa final'!$AC$28="Leve"),CONCATENATE("R4C",'Mapa final'!$Q$28),"")</f>
        <v/>
      </c>
      <c r="P49" s="76" t="str">
        <f>IF(AND('Mapa final'!$AA$23="Muy Baja",'Mapa final'!$AC$23="Menor"),CONCATENATE("R4C",'Mapa final'!$Q$23),"")</f>
        <v/>
      </c>
      <c r="Q49" s="77" t="str">
        <f>IF(AND('Mapa final'!$AA$24="Muy Baja",'Mapa final'!$AC$24="Menor"),CONCATENATE("R4C",'Mapa final'!$Q$24),"")</f>
        <v/>
      </c>
      <c r="R49" s="77" t="str">
        <f>IF(AND('Mapa final'!$AA$25="Muy Baja",'Mapa final'!$AC$25="Menor"),CONCATENATE("R4C",'Mapa final'!$Q$25),"")</f>
        <v/>
      </c>
      <c r="S49" s="77" t="str">
        <f>IF(AND('Mapa final'!$AA$26="Muy Baja",'Mapa final'!$AC$26="Menor"),CONCATENATE("R4C",'Mapa final'!$Q$26),"")</f>
        <v/>
      </c>
      <c r="T49" s="77" t="str">
        <f>IF(AND('Mapa final'!$AA$27="Muy Baja",'Mapa final'!$AC$27="Menor"),CONCATENATE("R4C",'Mapa final'!$Q$27),"")</f>
        <v/>
      </c>
      <c r="U49" s="78" t="str">
        <f>IF(AND('Mapa final'!$AA$28="Muy Baja",'Mapa final'!$AC$28="Menor"),CONCATENATE("R4C",'Mapa final'!$Q$28),"")</f>
        <v/>
      </c>
      <c r="V49" s="67" t="str">
        <f>IF(AND('Mapa final'!$AA$23="Muy Baja",'Mapa final'!$AC$23="Moderado"),CONCATENATE("R4C",'Mapa final'!$Q$23),"")</f>
        <v/>
      </c>
      <c r="W49" s="68" t="str">
        <f>IF(AND('Mapa final'!$AA$24="Muy Baja",'Mapa final'!$AC$24="Moderado"),CONCATENATE("R4C",'Mapa final'!$Q$24),"")</f>
        <v/>
      </c>
      <c r="X49" s="68" t="str">
        <f>IF(AND('Mapa final'!$AA$25="Muy Baja",'Mapa final'!$AC$25="Moderado"),CONCATENATE("R4C",'Mapa final'!$Q$25),"")</f>
        <v/>
      </c>
      <c r="Y49" s="68" t="str">
        <f>IF(AND('Mapa final'!$AA$26="Muy Baja",'Mapa final'!$AC$26="Moderado"),CONCATENATE("R4C",'Mapa final'!$Q$26),"")</f>
        <v/>
      </c>
      <c r="Z49" s="68" t="str">
        <f>IF(AND('Mapa final'!$AA$27="Muy Baja",'Mapa final'!$AC$27="Moderado"),CONCATENATE("R4C",'Mapa final'!$Q$27),"")</f>
        <v/>
      </c>
      <c r="AA49" s="69" t="str">
        <f>IF(AND('Mapa final'!$AA$28="Muy Baja",'Mapa final'!$AC$28="Moderado"),CONCATENATE("R4C",'Mapa final'!$Q$28),"")</f>
        <v/>
      </c>
      <c r="AB49" s="52" t="str">
        <f>IF(AND('Mapa final'!$AA$23="Muy Baja",'Mapa final'!$AC$23="Mayor"),CONCATENATE("R4C",'Mapa final'!$Q$23),"")</f>
        <v/>
      </c>
      <c r="AC49" s="53" t="str">
        <f>IF(AND('Mapa final'!$AA$24="Muy Baja",'Mapa final'!$AC$24="Mayor"),CONCATENATE("R4C",'Mapa final'!$Q$24),"")</f>
        <v/>
      </c>
      <c r="AD49" s="53" t="str">
        <f>IF(AND('Mapa final'!$AA$25="Muy Baja",'Mapa final'!$AC$25="Mayor"),CONCATENATE("R4C",'Mapa final'!$Q$25),"")</f>
        <v/>
      </c>
      <c r="AE49" s="53" t="str">
        <f>IF(AND('Mapa final'!$AA$26="Muy Baja",'Mapa final'!$AC$26="Mayor"),CONCATENATE("R4C",'Mapa final'!$Q$26),"")</f>
        <v/>
      </c>
      <c r="AF49" s="53" t="str">
        <f>IF(AND('Mapa final'!$AA$27="Muy Baja",'Mapa final'!$AC$27="Mayor"),CONCATENATE("R4C",'Mapa final'!$Q$27),"")</f>
        <v/>
      </c>
      <c r="AG49" s="54" t="str">
        <f>IF(AND('Mapa final'!$AA$28="Muy Baja",'Mapa final'!$AC$28="Mayor"),CONCATENATE("R4C",'Mapa final'!$Q$28),"")</f>
        <v/>
      </c>
      <c r="AH49" s="55" t="str">
        <f>IF(AND('Mapa final'!$AA$23="Muy Baja",'Mapa final'!$AC$23="Catastrófico"),CONCATENATE("R4C",'Mapa final'!$Q$23),"")</f>
        <v/>
      </c>
      <c r="AI49" s="56" t="str">
        <f>IF(AND('Mapa final'!$AA$24="Muy Baja",'Mapa final'!$AC$24="Catastrófico"),CONCATENATE("R4C",'Mapa final'!$Q$24),"")</f>
        <v/>
      </c>
      <c r="AJ49" s="56" t="str">
        <f>IF(AND('Mapa final'!$AA$25="Muy Baja",'Mapa final'!$AC$25="Catastrófico"),CONCATENATE("R4C",'Mapa final'!$Q$25),"")</f>
        <v/>
      </c>
      <c r="AK49" s="56" t="str">
        <f>IF(AND('Mapa final'!$AA$26="Muy Baja",'Mapa final'!$AC$26="Catastrófico"),CONCATENATE("R4C",'Mapa final'!$Q$26),"")</f>
        <v/>
      </c>
      <c r="AL49" s="56" t="str">
        <f>IF(AND('Mapa final'!$AA$27="Muy Baja",'Mapa final'!$AC$27="Catastrófico"),CONCATENATE("R4C",'Mapa final'!$Q$27),"")</f>
        <v/>
      </c>
      <c r="AM49" s="57" t="str">
        <f>IF(AND('Mapa final'!$AA$28="Muy Baja",'Mapa final'!$AC$28="Catastrófico"),CONCATENATE("R4C",'Mapa final'!$Q$28),"")</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3">
      <c r="A50" s="83"/>
      <c r="B50" s="384"/>
      <c r="C50" s="384"/>
      <c r="D50" s="385"/>
      <c r="E50" s="483"/>
      <c r="F50" s="482"/>
      <c r="G50" s="482"/>
      <c r="H50" s="482"/>
      <c r="I50" s="498"/>
      <c r="J50" s="76" t="str">
        <f>IF(AND('Mapa final'!$AA$29="Muy Baja",'Mapa final'!$AC$29="Leve"),CONCATENATE("R5C",'Mapa final'!$Q$29),"")</f>
        <v/>
      </c>
      <c r="K50" s="77" t="str">
        <f>IF(AND('Mapa final'!$AA$30="Muy Baja",'Mapa final'!$AC$30="Leve"),CONCATENATE("R5C",'Mapa final'!$Q$30),"")</f>
        <v/>
      </c>
      <c r="L50" s="77" t="str">
        <f>IF(AND('Mapa final'!$AA$31="Muy Baja",'Mapa final'!$AC$31="Leve"),CONCATENATE("R5C",'Mapa final'!$Q$31),"")</f>
        <v/>
      </c>
      <c r="M50" s="77" t="str">
        <f>IF(AND('Mapa final'!$AA$32="Muy Baja",'Mapa final'!$AC$32="Leve"),CONCATENATE("R5C",'Mapa final'!$Q$32),"")</f>
        <v/>
      </c>
      <c r="N50" s="77" t="str">
        <f>IF(AND('Mapa final'!$AA$33="Muy Baja",'Mapa final'!$AC$33="Leve"),CONCATENATE("R5C",'Mapa final'!$Q$33),"")</f>
        <v/>
      </c>
      <c r="O50" s="78" t="str">
        <f>IF(AND('Mapa final'!$AA$34="Muy Baja",'Mapa final'!$AC$34="Leve"),CONCATENATE("R5C",'Mapa final'!$Q$34),"")</f>
        <v/>
      </c>
      <c r="P50" s="76" t="str">
        <f>IF(AND('Mapa final'!$AA$29="Muy Baja",'Mapa final'!$AC$29="Menor"),CONCATENATE("R5C",'Mapa final'!$Q$29),"")</f>
        <v/>
      </c>
      <c r="Q50" s="77" t="str">
        <f>IF(AND('Mapa final'!$AA$30="Muy Baja",'Mapa final'!$AC$30="Menor"),CONCATENATE("R5C",'Mapa final'!$Q$30),"")</f>
        <v/>
      </c>
      <c r="R50" s="77" t="str">
        <f>IF(AND('Mapa final'!$AA$31="Muy Baja",'Mapa final'!$AC$31="Menor"),CONCATENATE("R5C",'Mapa final'!$Q$31),"")</f>
        <v/>
      </c>
      <c r="S50" s="77" t="str">
        <f>IF(AND('Mapa final'!$AA$32="Muy Baja",'Mapa final'!$AC$32="Menor"),CONCATENATE("R5C",'Mapa final'!$Q$32),"")</f>
        <v/>
      </c>
      <c r="T50" s="77" t="str">
        <f>IF(AND('Mapa final'!$AA$33="Muy Baja",'Mapa final'!$AC$33="Menor"),CONCATENATE("R5C",'Mapa final'!$Q$33),"")</f>
        <v/>
      </c>
      <c r="U50" s="78" t="str">
        <f>IF(AND('Mapa final'!$AA$34="Muy Baja",'Mapa final'!$AC$34="Menor"),CONCATENATE("R5C",'Mapa final'!$Q$34),"")</f>
        <v/>
      </c>
      <c r="V50" s="67" t="str">
        <f>IF(AND('Mapa final'!$AA$29="Muy Baja",'Mapa final'!$AC$29="Moderado"),CONCATENATE("R5C",'Mapa final'!$Q$29),"")</f>
        <v/>
      </c>
      <c r="W50" s="68" t="str">
        <f>IF(AND('Mapa final'!$AA$30="Muy Baja",'Mapa final'!$AC$30="Moderado"),CONCATENATE("R5C",'Mapa final'!$Q$30),"")</f>
        <v/>
      </c>
      <c r="X50" s="68" t="str">
        <f>IF(AND('Mapa final'!$AA$31="Muy Baja",'Mapa final'!$AC$31="Moderado"),CONCATENATE("R5C",'Mapa final'!$Q$31),"")</f>
        <v/>
      </c>
      <c r="Y50" s="68" t="str">
        <f>IF(AND('Mapa final'!$AA$32="Muy Baja",'Mapa final'!$AC$32="Moderado"),CONCATENATE("R5C",'Mapa final'!$Q$32),"")</f>
        <v/>
      </c>
      <c r="Z50" s="68" t="str">
        <f>IF(AND('Mapa final'!$AA$33="Muy Baja",'Mapa final'!$AC$33="Moderado"),CONCATENATE("R5C",'Mapa final'!$Q$33),"")</f>
        <v/>
      </c>
      <c r="AA50" s="69" t="str">
        <f>IF(AND('Mapa final'!$AA$34="Muy Baja",'Mapa final'!$AC$34="Moderado"),CONCATENATE("R5C",'Mapa final'!$Q$34),"")</f>
        <v/>
      </c>
      <c r="AB50" s="52" t="str">
        <f>IF(AND('Mapa final'!$AA$29="Muy Baja",'Mapa final'!$AC$29="Mayor"),CONCATENATE("R5C",'Mapa final'!$Q$29),"")</f>
        <v/>
      </c>
      <c r="AC50" s="53" t="str">
        <f>IF(AND('Mapa final'!$AA$30="Muy Baja",'Mapa final'!$AC$30="Mayor"),CONCATENATE("R5C",'Mapa final'!$Q$30),"")</f>
        <v/>
      </c>
      <c r="AD50" s="53" t="str">
        <f>IF(AND('Mapa final'!$AA$31="Muy Baja",'Mapa final'!$AC$31="Mayor"),CONCATENATE("R5C",'Mapa final'!$Q$31),"")</f>
        <v/>
      </c>
      <c r="AE50" s="53" t="str">
        <f>IF(AND('Mapa final'!$AA$32="Muy Baja",'Mapa final'!$AC$32="Mayor"),CONCATENATE("R5C",'Mapa final'!$Q$32),"")</f>
        <v/>
      </c>
      <c r="AF50" s="53" t="str">
        <f>IF(AND('Mapa final'!$AA$33="Muy Baja",'Mapa final'!$AC$33="Mayor"),CONCATENATE("R5C",'Mapa final'!$Q$33),"")</f>
        <v/>
      </c>
      <c r="AG50" s="54" t="str">
        <f>IF(AND('Mapa final'!$AA$34="Muy Baja",'Mapa final'!$AC$34="Mayor"),CONCATENATE("R5C",'Mapa final'!$Q$34),"")</f>
        <v/>
      </c>
      <c r="AH50" s="55" t="str">
        <f>IF(AND('Mapa final'!$AA$29="Muy Baja",'Mapa final'!$AC$29="Catastrófico"),CONCATENATE("R5C",'Mapa final'!$Q$29),"")</f>
        <v/>
      </c>
      <c r="AI50" s="56" t="str">
        <f>IF(AND('Mapa final'!$AA$30="Muy Baja",'Mapa final'!$AC$30="Catastrófico"),CONCATENATE("R5C",'Mapa final'!$Q$30),"")</f>
        <v/>
      </c>
      <c r="AJ50" s="56" t="str">
        <f>IF(AND('Mapa final'!$AA$31="Muy Baja",'Mapa final'!$AC$31="Catastrófico"),CONCATENATE("R5C",'Mapa final'!$Q$31),"")</f>
        <v/>
      </c>
      <c r="AK50" s="56" t="str">
        <f>IF(AND('Mapa final'!$AA$32="Muy Baja",'Mapa final'!$AC$32="Catastrófico"),CONCATENATE("R5C",'Mapa final'!$Q$32),"")</f>
        <v/>
      </c>
      <c r="AL50" s="56" t="str">
        <f>IF(AND('Mapa final'!$AA$33="Muy Baja",'Mapa final'!$AC$33="Catastrófico"),CONCATENATE("R5C",'Mapa final'!$Q$33),"")</f>
        <v/>
      </c>
      <c r="AM50" s="57" t="str">
        <f>IF(AND('Mapa final'!$AA$34="Muy Baja",'Mapa final'!$AC$34="Catastrófico"),CONCATENATE("R5C",'Mapa final'!$Q$34),"")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3">
      <c r="A51" s="83"/>
      <c r="B51" s="384"/>
      <c r="C51" s="384"/>
      <c r="D51" s="385"/>
      <c r="E51" s="483"/>
      <c r="F51" s="482"/>
      <c r="G51" s="482"/>
      <c r="H51" s="482"/>
      <c r="I51" s="498"/>
      <c r="J51" s="76" t="str">
        <f>IF(AND('Mapa final'!$AA$35="Muy Baja",'Mapa final'!$AC$35="Leve"),CONCATENATE("R6C",'Mapa final'!$Q$35),"")</f>
        <v/>
      </c>
      <c r="K51" s="77" t="str">
        <f>IF(AND('Mapa final'!$AA$36="Muy Baja",'Mapa final'!$AC$36="Leve"),CONCATENATE("R6C",'Mapa final'!$Q$36),"")</f>
        <v/>
      </c>
      <c r="L51" s="77" t="str">
        <f>IF(AND('Mapa final'!$AA$37="Muy Baja",'Mapa final'!$AC$37="Leve"),CONCATENATE("R6C",'Mapa final'!$Q$37),"")</f>
        <v/>
      </c>
      <c r="M51" s="77" t="str">
        <f>IF(AND('Mapa final'!$AA$38="Muy Baja",'Mapa final'!$AC$38="Leve"),CONCATENATE("R6C",'Mapa final'!$Q$38),"")</f>
        <v/>
      </c>
      <c r="N51" s="77" t="str">
        <f>IF(AND('Mapa final'!$AA$39="Muy Baja",'Mapa final'!$AC$39="Leve"),CONCATENATE("R6C",'Mapa final'!$Q$39),"")</f>
        <v/>
      </c>
      <c r="O51" s="78" t="str">
        <f>IF(AND('Mapa final'!$AA$40="Muy Baja",'Mapa final'!$AC$40="Leve"),CONCATENATE("R6C",'Mapa final'!$Q$40),"")</f>
        <v/>
      </c>
      <c r="P51" s="76" t="str">
        <f>IF(AND('Mapa final'!$AA$35="Muy Baja",'Mapa final'!$AC$35="Menor"),CONCATENATE("R6C",'Mapa final'!$Q$35),"")</f>
        <v/>
      </c>
      <c r="Q51" s="77" t="str">
        <f>IF(AND('Mapa final'!$AA$36="Muy Baja",'Mapa final'!$AC$36="Menor"),CONCATENATE("R6C",'Mapa final'!$Q$36),"")</f>
        <v/>
      </c>
      <c r="R51" s="77" t="str">
        <f>IF(AND('Mapa final'!$AA$37="Muy Baja",'Mapa final'!$AC$37="Menor"),CONCATENATE("R6C",'Mapa final'!$Q$37),"")</f>
        <v/>
      </c>
      <c r="S51" s="77" t="str">
        <f>IF(AND('Mapa final'!$AA$38="Muy Baja",'Mapa final'!$AC$38="Menor"),CONCATENATE("R6C",'Mapa final'!$Q$38),"")</f>
        <v/>
      </c>
      <c r="T51" s="77" t="str">
        <f>IF(AND('Mapa final'!$AA$39="Muy Baja",'Mapa final'!$AC$39="Menor"),CONCATENATE("R6C",'Mapa final'!$Q$39),"")</f>
        <v/>
      </c>
      <c r="U51" s="78" t="str">
        <f>IF(AND('Mapa final'!$AA$40="Muy Baja",'Mapa final'!$AC$40="Menor"),CONCATENATE("R6C",'Mapa final'!$Q$40),"")</f>
        <v/>
      </c>
      <c r="V51" s="67" t="str">
        <f>IF(AND('Mapa final'!$AA$35="Muy Baja",'Mapa final'!$AC$35="Moderado"),CONCATENATE("R6C",'Mapa final'!$Q$35),"")</f>
        <v/>
      </c>
      <c r="W51" s="68" t="str">
        <f>IF(AND('Mapa final'!$AA$36="Muy Baja",'Mapa final'!$AC$36="Moderado"),CONCATENATE("R6C",'Mapa final'!$Q$36),"")</f>
        <v/>
      </c>
      <c r="X51" s="68" t="str">
        <f>IF(AND('Mapa final'!$AA$37="Muy Baja",'Mapa final'!$AC$37="Moderado"),CONCATENATE("R6C",'Mapa final'!$Q$37),"")</f>
        <v/>
      </c>
      <c r="Y51" s="68" t="str">
        <f>IF(AND('Mapa final'!$AA$38="Muy Baja",'Mapa final'!$AC$38="Moderado"),CONCATENATE("R6C",'Mapa final'!$Q$38),"")</f>
        <v/>
      </c>
      <c r="Z51" s="68" t="str">
        <f>IF(AND('Mapa final'!$AA$39="Muy Baja",'Mapa final'!$AC$39="Moderado"),CONCATENATE("R6C",'Mapa final'!$Q$39),"")</f>
        <v/>
      </c>
      <c r="AA51" s="69" t="str">
        <f>IF(AND('Mapa final'!$AA$40="Muy Baja",'Mapa final'!$AC$40="Moderado"),CONCATENATE("R6C",'Mapa final'!$Q$40),"")</f>
        <v/>
      </c>
      <c r="AB51" s="52" t="str">
        <f>IF(AND('Mapa final'!$AA$35="Muy Baja",'Mapa final'!$AC$35="Mayor"),CONCATENATE("R6C",'Mapa final'!$Q$35),"")</f>
        <v/>
      </c>
      <c r="AC51" s="53" t="str">
        <f>IF(AND('Mapa final'!$AA$36="Muy Baja",'Mapa final'!$AC$36="Mayor"),CONCATENATE("R6C",'Mapa final'!$Q$36),"")</f>
        <v/>
      </c>
      <c r="AD51" s="53" t="str">
        <f>IF(AND('Mapa final'!$AA$37="Muy Baja",'Mapa final'!$AC$37="Mayor"),CONCATENATE("R6C",'Mapa final'!$Q$37),"")</f>
        <v/>
      </c>
      <c r="AE51" s="53" t="str">
        <f>IF(AND('Mapa final'!$AA$38="Muy Baja",'Mapa final'!$AC$38="Mayor"),CONCATENATE("R6C",'Mapa final'!$Q$38),"")</f>
        <v/>
      </c>
      <c r="AF51" s="53" t="str">
        <f>IF(AND('Mapa final'!$AA$39="Muy Baja",'Mapa final'!$AC$39="Mayor"),CONCATENATE("R6C",'Mapa final'!$Q$39),"")</f>
        <v/>
      </c>
      <c r="AG51" s="54" t="str">
        <f>IF(AND('Mapa final'!$AA$40="Muy Baja",'Mapa final'!$AC$40="Mayor"),CONCATENATE("R6C",'Mapa final'!$Q$40),"")</f>
        <v/>
      </c>
      <c r="AH51" s="55" t="str">
        <f>IF(AND('Mapa final'!$AA$35="Muy Baja",'Mapa final'!$AC$35="Catastrófico"),CONCATENATE("R6C",'Mapa final'!$Q$35),"")</f>
        <v/>
      </c>
      <c r="AI51" s="56" t="str">
        <f>IF(AND('Mapa final'!$AA$36="Muy Baja",'Mapa final'!$AC$36="Catastrófico"),CONCATENATE("R6C",'Mapa final'!$Q$36),"")</f>
        <v/>
      </c>
      <c r="AJ51" s="56" t="str">
        <f>IF(AND('Mapa final'!$AA$37="Muy Baja",'Mapa final'!$AC$37="Catastrófico"),CONCATENATE("R6C",'Mapa final'!$Q$37),"")</f>
        <v/>
      </c>
      <c r="AK51" s="56" t="str">
        <f>IF(AND('Mapa final'!$AA$38="Muy Baja",'Mapa final'!$AC$38="Catastrófico"),CONCATENATE("R6C",'Mapa final'!$Q$38),"")</f>
        <v/>
      </c>
      <c r="AL51" s="56" t="str">
        <f>IF(AND('Mapa final'!$AA$39="Muy Baja",'Mapa final'!$AC$39="Catastrófico"),CONCATENATE("R6C",'Mapa final'!$Q$39),"")</f>
        <v/>
      </c>
      <c r="AM51" s="57" t="str">
        <f>IF(AND('Mapa final'!$AA$40="Muy Baja",'Mapa final'!$AC$40="Catastrófico"),CONCATENATE("R6C",'Mapa final'!$Q$40),"")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3">
      <c r="A52" s="83"/>
      <c r="B52" s="384"/>
      <c r="C52" s="384"/>
      <c r="D52" s="385"/>
      <c r="E52" s="483"/>
      <c r="F52" s="482"/>
      <c r="G52" s="482"/>
      <c r="H52" s="482"/>
      <c r="I52" s="498"/>
      <c r="J52" s="76" t="str">
        <f>IF(AND('Mapa final'!$AA$41="Muy Baja",'Mapa final'!$AC$41="Leve"),CONCATENATE("R7C",'Mapa final'!$Q$41),"")</f>
        <v/>
      </c>
      <c r="K52" s="77" t="str">
        <f>IF(AND('Mapa final'!$AA$42="Muy Baja",'Mapa final'!$AC$42="Leve"),CONCATENATE("R7C",'Mapa final'!$Q$42),"")</f>
        <v/>
      </c>
      <c r="L52" s="77" t="str">
        <f>IF(AND('Mapa final'!$AA$43="Muy Baja",'Mapa final'!$AC$43="Leve"),CONCATENATE("R7C",'Mapa final'!$Q$43),"")</f>
        <v/>
      </c>
      <c r="M52" s="77" t="str">
        <f>IF(AND('Mapa final'!$AA$44="Muy Baja",'Mapa final'!$AC$44="Leve"),CONCATENATE("R7C",'Mapa final'!$Q$44),"")</f>
        <v/>
      </c>
      <c r="N52" s="77" t="str">
        <f>IF(AND('Mapa final'!$AA$45="Muy Baja",'Mapa final'!$AC$45="Leve"),CONCATENATE("R7C",'Mapa final'!$Q$45),"")</f>
        <v/>
      </c>
      <c r="O52" s="78" t="str">
        <f>IF(AND('Mapa final'!$AA$46="Muy Baja",'Mapa final'!$AC$46="Leve"),CONCATENATE("R7C",'Mapa final'!$Q$46),"")</f>
        <v/>
      </c>
      <c r="P52" s="76" t="str">
        <f>IF(AND('Mapa final'!$AA$41="Muy Baja",'Mapa final'!$AC$41="Menor"),CONCATENATE("R7C",'Mapa final'!$Q$41),"")</f>
        <v/>
      </c>
      <c r="Q52" s="77" t="str">
        <f>IF(AND('Mapa final'!$AA$42="Muy Baja",'Mapa final'!$AC$42="Menor"),CONCATENATE("R7C",'Mapa final'!$Q$42),"")</f>
        <v/>
      </c>
      <c r="R52" s="77" t="str">
        <f>IF(AND('Mapa final'!$AA$43="Muy Baja",'Mapa final'!$AC$43="Menor"),CONCATENATE("R7C",'Mapa final'!$Q$43),"")</f>
        <v/>
      </c>
      <c r="S52" s="77" t="str">
        <f>IF(AND('Mapa final'!$AA$44="Muy Baja",'Mapa final'!$AC$44="Menor"),CONCATENATE("R7C",'Mapa final'!$Q$44),"")</f>
        <v/>
      </c>
      <c r="T52" s="77" t="str">
        <f>IF(AND('Mapa final'!$AA$45="Muy Baja",'Mapa final'!$AC$45="Menor"),CONCATENATE("R7C",'Mapa final'!$Q$45),"")</f>
        <v/>
      </c>
      <c r="U52" s="78" t="str">
        <f>IF(AND('Mapa final'!$AA$46="Muy Baja",'Mapa final'!$AC$46="Menor"),CONCATENATE("R7C",'Mapa final'!$Q$46),"")</f>
        <v/>
      </c>
      <c r="V52" s="67" t="str">
        <f>IF(AND('Mapa final'!$AA$41="Muy Baja",'Mapa final'!$AC$41="Moderado"),CONCATENATE("R7C",'Mapa final'!$Q$41),"")</f>
        <v/>
      </c>
      <c r="W52" s="68" t="str">
        <f>IF(AND('Mapa final'!$AA$42="Muy Baja",'Mapa final'!$AC$42="Moderado"),CONCATENATE("R7C",'Mapa final'!$Q$42),"")</f>
        <v/>
      </c>
      <c r="X52" s="68" t="str">
        <f>IF(AND('Mapa final'!$AA$43="Muy Baja",'Mapa final'!$AC$43="Moderado"),CONCATENATE("R7C",'Mapa final'!$Q$43),"")</f>
        <v/>
      </c>
      <c r="Y52" s="68" t="str">
        <f>IF(AND('Mapa final'!$AA$44="Muy Baja",'Mapa final'!$AC$44="Moderado"),CONCATENATE("R7C",'Mapa final'!$Q$44),"")</f>
        <v/>
      </c>
      <c r="Z52" s="68" t="str">
        <f>IF(AND('Mapa final'!$AA$45="Muy Baja",'Mapa final'!$AC$45="Moderado"),CONCATENATE("R7C",'Mapa final'!$Q$45),"")</f>
        <v/>
      </c>
      <c r="AA52" s="69" t="str">
        <f>IF(AND('Mapa final'!$AA$46="Muy Baja",'Mapa final'!$AC$46="Moderado"),CONCATENATE("R7C",'Mapa final'!$Q$46),"")</f>
        <v/>
      </c>
      <c r="AB52" s="52" t="str">
        <f>IF(AND('Mapa final'!$AA$41="Muy Baja",'Mapa final'!$AC$41="Mayor"),CONCATENATE("R7C",'Mapa final'!$Q$41),"")</f>
        <v/>
      </c>
      <c r="AC52" s="53" t="str">
        <f>IF(AND('Mapa final'!$AA$42="Muy Baja",'Mapa final'!$AC$42="Mayor"),CONCATENATE("R7C",'Mapa final'!$Q$42),"")</f>
        <v/>
      </c>
      <c r="AD52" s="53" t="str">
        <f>IF(AND('Mapa final'!$AA$43="Muy Baja",'Mapa final'!$AC$43="Mayor"),CONCATENATE("R7C",'Mapa final'!$Q$43),"")</f>
        <v/>
      </c>
      <c r="AE52" s="53" t="str">
        <f>IF(AND('Mapa final'!$AA$44="Muy Baja",'Mapa final'!$AC$44="Mayor"),CONCATENATE("R7C",'Mapa final'!$Q$44),"")</f>
        <v/>
      </c>
      <c r="AF52" s="53" t="str">
        <f>IF(AND('Mapa final'!$AA$45="Muy Baja",'Mapa final'!$AC$45="Mayor"),CONCATENATE("R7C",'Mapa final'!$Q$45),"")</f>
        <v/>
      </c>
      <c r="AG52" s="54" t="str">
        <f>IF(AND('Mapa final'!$AA$46="Muy Baja",'Mapa final'!$AC$46="Mayor"),CONCATENATE("R7C",'Mapa final'!$Q$46),"")</f>
        <v/>
      </c>
      <c r="AH52" s="55" t="str">
        <f>IF(AND('Mapa final'!$AA$41="Muy Baja",'Mapa final'!$AC$41="Catastrófico"),CONCATENATE("R7C",'Mapa final'!$Q$41),"")</f>
        <v/>
      </c>
      <c r="AI52" s="56" t="str">
        <f>IF(AND('Mapa final'!$AA$42="Muy Baja",'Mapa final'!$AC$42="Catastrófico"),CONCATENATE("R7C",'Mapa final'!$Q$42),"")</f>
        <v/>
      </c>
      <c r="AJ52" s="56" t="str">
        <f>IF(AND('Mapa final'!$AA$43="Muy Baja",'Mapa final'!$AC$43="Catastrófico"),CONCATENATE("R7C",'Mapa final'!$Q$43),"")</f>
        <v/>
      </c>
      <c r="AK52" s="56" t="str">
        <f>IF(AND('Mapa final'!$AA$44="Muy Baja",'Mapa final'!$AC$44="Catastrófico"),CONCATENATE("R7C",'Mapa final'!$Q$44),"")</f>
        <v/>
      </c>
      <c r="AL52" s="56" t="str">
        <f>IF(AND('Mapa final'!$AA$45="Muy Baja",'Mapa final'!$AC$45="Catastrófico"),CONCATENATE("R7C",'Mapa final'!$Q$45),"")</f>
        <v/>
      </c>
      <c r="AM52" s="57" t="str">
        <f>IF(AND('Mapa final'!$AA$46="Muy Baja",'Mapa final'!$AC$46="Catastrófico"),CONCATENATE("R7C",'Mapa final'!$Q$46),"")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
      <c r="A53" s="83"/>
      <c r="B53" s="384"/>
      <c r="C53" s="384"/>
      <c r="D53" s="385"/>
      <c r="E53" s="483"/>
      <c r="F53" s="482"/>
      <c r="G53" s="482"/>
      <c r="H53" s="482"/>
      <c r="I53" s="498"/>
      <c r="J53" s="76" t="str">
        <f>IF(AND('Mapa final'!$AA$47="Muy Baja",'Mapa final'!$AC$47="Leve"),CONCATENATE("R8C",'Mapa final'!$Q$47),"")</f>
        <v/>
      </c>
      <c r="K53" s="77" t="str">
        <f>IF(AND('Mapa final'!$AA$48="Muy Baja",'Mapa final'!$AC$48="Leve"),CONCATENATE("R8C",'Mapa final'!$Q$48),"")</f>
        <v/>
      </c>
      <c r="L53" s="77" t="str">
        <f>IF(AND('Mapa final'!$AA$49="Muy Baja",'Mapa final'!$AC$49="Leve"),CONCATENATE("R8C",'Mapa final'!$Q$49),"")</f>
        <v/>
      </c>
      <c r="M53" s="77" t="str">
        <f>IF(AND('Mapa final'!$AA$50="Muy Baja",'Mapa final'!$AC$50="Leve"),CONCATENATE("R8C",'Mapa final'!$Q$50),"")</f>
        <v/>
      </c>
      <c r="N53" s="77" t="str">
        <f>IF(AND('Mapa final'!$AA$51="Muy Baja",'Mapa final'!$AC$51="Leve"),CONCATENATE("R8C",'Mapa final'!$Q$51),"")</f>
        <v/>
      </c>
      <c r="O53" s="78" t="str">
        <f>IF(AND('Mapa final'!$AA$52="Muy Baja",'Mapa final'!$AC$52="Leve"),CONCATENATE("R8C",'Mapa final'!$Q$52),"")</f>
        <v/>
      </c>
      <c r="P53" s="76" t="str">
        <f>IF(AND('Mapa final'!$AA$47="Muy Baja",'Mapa final'!$AC$47="Menor"),CONCATENATE("R8C",'Mapa final'!$Q$47),"")</f>
        <v/>
      </c>
      <c r="Q53" s="77" t="str">
        <f>IF(AND('Mapa final'!$AA$48="Muy Baja",'Mapa final'!$AC$48="Menor"),CONCATENATE("R8C",'Mapa final'!$Q$48),"")</f>
        <v/>
      </c>
      <c r="R53" s="77" t="str">
        <f>IF(AND('Mapa final'!$AA$49="Muy Baja",'Mapa final'!$AC$49="Menor"),CONCATENATE("R8C",'Mapa final'!$Q$49),"")</f>
        <v/>
      </c>
      <c r="S53" s="77" t="str">
        <f>IF(AND('Mapa final'!$AA$50="Muy Baja",'Mapa final'!$AC$50="Menor"),CONCATENATE("R8C",'Mapa final'!$Q$50),"")</f>
        <v/>
      </c>
      <c r="T53" s="77" t="str">
        <f>IF(AND('Mapa final'!$AA$51="Muy Baja",'Mapa final'!$AC$51="Menor"),CONCATENATE("R8C",'Mapa final'!$Q$51),"")</f>
        <v/>
      </c>
      <c r="U53" s="78" t="str">
        <f>IF(AND('Mapa final'!$AA$52="Muy Baja",'Mapa final'!$AC$52="Menor"),CONCATENATE("R8C",'Mapa final'!$Q$52),"")</f>
        <v/>
      </c>
      <c r="V53" s="67" t="str">
        <f>IF(AND('Mapa final'!$AA$47="Muy Baja",'Mapa final'!$AC$47="Moderado"),CONCATENATE("R8C",'Mapa final'!$Q$47),"")</f>
        <v/>
      </c>
      <c r="W53" s="68" t="str">
        <f>IF(AND('Mapa final'!$AA$48="Muy Baja",'Mapa final'!$AC$48="Moderado"),CONCATENATE("R8C",'Mapa final'!$Q$48),"")</f>
        <v/>
      </c>
      <c r="X53" s="68" t="str">
        <f>IF(AND('Mapa final'!$AA$49="Muy Baja",'Mapa final'!$AC$49="Moderado"),CONCATENATE("R8C",'Mapa final'!$Q$49),"")</f>
        <v/>
      </c>
      <c r="Y53" s="68" t="str">
        <f>IF(AND('Mapa final'!$AA$50="Muy Baja",'Mapa final'!$AC$50="Moderado"),CONCATENATE("R8C",'Mapa final'!$Q$50),"")</f>
        <v/>
      </c>
      <c r="Z53" s="68" t="str">
        <f>IF(AND('Mapa final'!$AA$51="Muy Baja",'Mapa final'!$AC$51="Moderado"),CONCATENATE("R8C",'Mapa final'!$Q$51),"")</f>
        <v/>
      </c>
      <c r="AA53" s="69" t="str">
        <f>IF(AND('Mapa final'!$AA$52="Muy Baja",'Mapa final'!$AC$52="Moderado"),CONCATENATE("R8C",'Mapa final'!$Q$52),"")</f>
        <v/>
      </c>
      <c r="AB53" s="52" t="str">
        <f>IF(AND('Mapa final'!$AA$47="Muy Baja",'Mapa final'!$AC$47="Mayor"),CONCATENATE("R8C",'Mapa final'!$Q$47),"")</f>
        <v/>
      </c>
      <c r="AC53" s="53" t="str">
        <f>IF(AND('Mapa final'!$AA$48="Muy Baja",'Mapa final'!$AC$48="Mayor"),CONCATENATE("R8C",'Mapa final'!$Q$48),"")</f>
        <v/>
      </c>
      <c r="AD53" s="53" t="str">
        <f>IF(AND('Mapa final'!$AA$49="Muy Baja",'Mapa final'!$AC$49="Mayor"),CONCATENATE("R8C",'Mapa final'!$Q$49),"")</f>
        <v/>
      </c>
      <c r="AE53" s="53" t="str">
        <f>IF(AND('Mapa final'!$AA$50="Muy Baja",'Mapa final'!$AC$50="Mayor"),CONCATENATE("R8C",'Mapa final'!$Q$50),"")</f>
        <v/>
      </c>
      <c r="AF53" s="53" t="str">
        <f>IF(AND('Mapa final'!$AA$51="Muy Baja",'Mapa final'!$AC$51="Mayor"),CONCATENATE("R8C",'Mapa final'!$Q$51),"")</f>
        <v/>
      </c>
      <c r="AG53" s="54" t="str">
        <f>IF(AND('Mapa final'!$AA$52="Muy Baja",'Mapa final'!$AC$52="Mayor"),CONCATENATE("R8C",'Mapa final'!$Q$52),"")</f>
        <v/>
      </c>
      <c r="AH53" s="55" t="str">
        <f>IF(AND('Mapa final'!$AA$47="Muy Baja",'Mapa final'!$AC$47="Catastrófico"),CONCATENATE("R8C",'Mapa final'!$Q$47),"")</f>
        <v/>
      </c>
      <c r="AI53" s="56" t="str">
        <f>IF(AND('Mapa final'!$AA$48="Muy Baja",'Mapa final'!$AC$48="Catastrófico"),CONCATENATE("R8C",'Mapa final'!$Q$48),"")</f>
        <v/>
      </c>
      <c r="AJ53" s="56" t="str">
        <f>IF(AND('Mapa final'!$AA$49="Muy Baja",'Mapa final'!$AC$49="Catastrófico"),CONCATENATE("R8C",'Mapa final'!$Q$49),"")</f>
        <v/>
      </c>
      <c r="AK53" s="56" t="str">
        <f>IF(AND('Mapa final'!$AA$50="Muy Baja",'Mapa final'!$AC$50="Catastrófico"),CONCATENATE("R8C",'Mapa final'!$Q$50),"")</f>
        <v/>
      </c>
      <c r="AL53" s="56" t="str">
        <f>IF(AND('Mapa final'!$AA$51="Muy Baja",'Mapa final'!$AC$51="Catastrófico"),CONCATENATE("R8C",'Mapa final'!$Q$51),"")</f>
        <v/>
      </c>
      <c r="AM53" s="57" t="str">
        <f>IF(AND('Mapa final'!$AA$52="Muy Baja",'Mapa final'!$AC$52="Catastrófico"),CONCATENATE("R8C",'Mapa final'!$Q$52),"")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
      <c r="A54" s="83"/>
      <c r="B54" s="384"/>
      <c r="C54" s="384"/>
      <c r="D54" s="385"/>
      <c r="E54" s="483"/>
      <c r="F54" s="482"/>
      <c r="G54" s="482"/>
      <c r="H54" s="482"/>
      <c r="I54" s="498"/>
      <c r="J54" s="76" t="str">
        <f>IF(AND('Mapa final'!$AA$53="Muy Baja",'Mapa final'!$AC$53="Leve"),CONCATENATE("R9C",'Mapa final'!$Q$53),"")</f>
        <v/>
      </c>
      <c r="K54" s="77" t="str">
        <f>IF(AND('Mapa final'!$AA$54="Muy Baja",'Mapa final'!$AC$54="Leve"),CONCATENATE("R9C",'Mapa final'!$Q$54),"")</f>
        <v/>
      </c>
      <c r="L54" s="77" t="str">
        <f>IF(AND('Mapa final'!$AA$55="Muy Baja",'Mapa final'!$AC$55="Leve"),CONCATENATE("R9C",'Mapa final'!$Q$55),"")</f>
        <v/>
      </c>
      <c r="M54" s="77" t="str">
        <f>IF(AND('Mapa final'!$AA$56="Muy Baja",'Mapa final'!$AC$56="Leve"),CONCATENATE("R9C",'Mapa final'!$Q$56),"")</f>
        <v/>
      </c>
      <c r="N54" s="77" t="str">
        <f>IF(AND('Mapa final'!$AA$57="Muy Baja",'Mapa final'!$AC$57="Leve"),CONCATENATE("R9C",'Mapa final'!$Q$57),"")</f>
        <v/>
      </c>
      <c r="O54" s="78" t="str">
        <f>IF(AND('Mapa final'!$AA$58="Muy Baja",'Mapa final'!$AC$58="Leve"),CONCATENATE("R9C",'Mapa final'!$Q$58),"")</f>
        <v/>
      </c>
      <c r="P54" s="76" t="str">
        <f>IF(AND('Mapa final'!$AA$53="Muy Baja",'Mapa final'!$AC$53="Menor"),CONCATENATE("R9C",'Mapa final'!$Q$53),"")</f>
        <v/>
      </c>
      <c r="Q54" s="77" t="str">
        <f>IF(AND('Mapa final'!$AA$54="Muy Baja",'Mapa final'!$AC$54="Menor"),CONCATENATE("R9C",'Mapa final'!$Q$54),"")</f>
        <v/>
      </c>
      <c r="R54" s="77" t="str">
        <f>IF(AND('Mapa final'!$AA$55="Muy Baja",'Mapa final'!$AC$55="Menor"),CONCATENATE("R9C",'Mapa final'!$Q$55),"")</f>
        <v/>
      </c>
      <c r="S54" s="77" t="str">
        <f>IF(AND('Mapa final'!$AA$56="Muy Baja",'Mapa final'!$AC$56="Menor"),CONCATENATE("R9C",'Mapa final'!$Q$56),"")</f>
        <v/>
      </c>
      <c r="T54" s="77" t="str">
        <f>IF(AND('Mapa final'!$AA$57="Muy Baja",'Mapa final'!$AC$57="Menor"),CONCATENATE("R9C",'Mapa final'!$Q$57),"")</f>
        <v/>
      </c>
      <c r="U54" s="78" t="str">
        <f>IF(AND('Mapa final'!$AA$58="Muy Baja",'Mapa final'!$AC$58="Menor"),CONCATENATE("R9C",'Mapa final'!$Q$58),"")</f>
        <v/>
      </c>
      <c r="V54" s="67" t="str">
        <f>IF(AND('Mapa final'!$AA$53="Muy Baja",'Mapa final'!$AC$53="Moderado"),CONCATENATE("R9C",'Mapa final'!$Q$53),"")</f>
        <v/>
      </c>
      <c r="W54" s="68" t="str">
        <f>IF(AND('Mapa final'!$AA$54="Muy Baja",'Mapa final'!$AC$54="Moderado"),CONCATENATE("R9C",'Mapa final'!$Q$54),"")</f>
        <v/>
      </c>
      <c r="X54" s="68" t="str">
        <f>IF(AND('Mapa final'!$AA$55="Muy Baja",'Mapa final'!$AC$55="Moderado"),CONCATENATE("R9C",'Mapa final'!$Q$55),"")</f>
        <v/>
      </c>
      <c r="Y54" s="68" t="str">
        <f>IF(AND('Mapa final'!$AA$56="Muy Baja",'Mapa final'!$AC$56="Moderado"),CONCATENATE("R9C",'Mapa final'!$Q$56),"")</f>
        <v/>
      </c>
      <c r="Z54" s="68" t="str">
        <f>IF(AND('Mapa final'!$AA$57="Muy Baja",'Mapa final'!$AC$57="Moderado"),CONCATENATE("R9C",'Mapa final'!$Q$57),"")</f>
        <v/>
      </c>
      <c r="AA54" s="69" t="str">
        <f>IF(AND('Mapa final'!$AA$58="Muy Baja",'Mapa final'!$AC$58="Moderado"),CONCATENATE("R9C",'Mapa final'!$Q$58),"")</f>
        <v/>
      </c>
      <c r="AB54" s="52" t="str">
        <f>IF(AND('Mapa final'!$AA$53="Muy Baja",'Mapa final'!$AC$53="Mayor"),CONCATENATE("R9C",'Mapa final'!$Q$53),"")</f>
        <v/>
      </c>
      <c r="AC54" s="53" t="str">
        <f>IF(AND('Mapa final'!$AA$54="Muy Baja",'Mapa final'!$AC$54="Mayor"),CONCATENATE("R9C",'Mapa final'!$Q$54),"")</f>
        <v/>
      </c>
      <c r="AD54" s="53" t="str">
        <f>IF(AND('Mapa final'!$AA$55="Muy Baja",'Mapa final'!$AC$55="Mayor"),CONCATENATE("R9C",'Mapa final'!$Q$55),"")</f>
        <v/>
      </c>
      <c r="AE54" s="53" t="str">
        <f>IF(AND('Mapa final'!$AA$56="Muy Baja",'Mapa final'!$AC$56="Mayor"),CONCATENATE("R9C",'Mapa final'!$Q$56),"")</f>
        <v/>
      </c>
      <c r="AF54" s="53" t="str">
        <f>IF(AND('Mapa final'!$AA$57="Muy Baja",'Mapa final'!$AC$57="Mayor"),CONCATENATE("R9C",'Mapa final'!$Q$57),"")</f>
        <v/>
      </c>
      <c r="AG54" s="54" t="str">
        <f>IF(AND('Mapa final'!$AA$58="Muy Baja",'Mapa final'!$AC$58="Mayor"),CONCATENATE("R9C",'Mapa final'!$Q$58),"")</f>
        <v/>
      </c>
      <c r="AH54" s="55" t="str">
        <f>IF(AND('Mapa final'!$AA$53="Muy Baja",'Mapa final'!$AC$53="Catastrófico"),CONCATENATE("R9C",'Mapa final'!$Q$53),"")</f>
        <v/>
      </c>
      <c r="AI54" s="56" t="str">
        <f>IF(AND('Mapa final'!$AA$54="Muy Baja",'Mapa final'!$AC$54="Catastrófico"),CONCATENATE("R9C",'Mapa final'!$Q$54),"")</f>
        <v/>
      </c>
      <c r="AJ54" s="56" t="str">
        <f>IF(AND('Mapa final'!$AA$55="Muy Baja",'Mapa final'!$AC$55="Catastrófico"),CONCATENATE("R9C",'Mapa final'!$Q$55),"")</f>
        <v/>
      </c>
      <c r="AK54" s="56" t="str">
        <f>IF(AND('Mapa final'!$AA$56="Muy Baja",'Mapa final'!$AC$56="Catastrófico"),CONCATENATE("R9C",'Mapa final'!$Q$56),"")</f>
        <v/>
      </c>
      <c r="AL54" s="56" t="str">
        <f>IF(AND('Mapa final'!$AA$57="Muy Baja",'Mapa final'!$AC$57="Catastrófico"),CONCATENATE("R9C",'Mapa final'!$Q$57),"")</f>
        <v/>
      </c>
      <c r="AM54" s="57" t="str">
        <f>IF(AND('Mapa final'!$AA$58="Muy Baja",'Mapa final'!$AC$58="Catastrófico"),CONCATENATE("R9C",'Mapa final'!$Q$58),"")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5">
      <c r="A55" s="83"/>
      <c r="B55" s="384"/>
      <c r="C55" s="384"/>
      <c r="D55" s="385"/>
      <c r="E55" s="484"/>
      <c r="F55" s="485"/>
      <c r="G55" s="485"/>
      <c r="H55" s="485"/>
      <c r="I55" s="499"/>
      <c r="J55" s="79" t="str">
        <f>IF(AND('Mapa final'!$AA$59="Muy Baja",'Mapa final'!$AC$59="Leve"),CONCATENATE("R10C",'Mapa final'!$Q$59),"")</f>
        <v/>
      </c>
      <c r="K55" s="80" t="str">
        <f>IF(AND('Mapa final'!$AA$60="Muy Baja",'Mapa final'!$AC$60="Leve"),CONCATENATE("R10C",'Mapa final'!$Q$60),"")</f>
        <v/>
      </c>
      <c r="L55" s="80" t="str">
        <f>IF(AND('Mapa final'!$AA$61="Muy Baja",'Mapa final'!$AC$61="Leve"),CONCATENATE("R10C",'Mapa final'!$Q$61),"")</f>
        <v/>
      </c>
      <c r="M55" s="80" t="str">
        <f>IF(AND('Mapa final'!$AA$62="Muy Baja",'Mapa final'!$AC$62="Leve"),CONCATENATE("R10C",'Mapa final'!$Q$62),"")</f>
        <v/>
      </c>
      <c r="N55" s="80" t="str">
        <f>IF(AND('Mapa final'!$AA$63="Muy Baja",'Mapa final'!$AC$63="Leve"),CONCATENATE("R10C",'Mapa final'!$Q$63),"")</f>
        <v/>
      </c>
      <c r="O55" s="81" t="str">
        <f>IF(AND('Mapa final'!$AA$64="Muy Baja",'Mapa final'!$AC$64="Leve"),CONCATENATE("R10C",'Mapa final'!$Q$64),"")</f>
        <v/>
      </c>
      <c r="P55" s="79" t="str">
        <f>IF(AND('Mapa final'!$AA$59="Muy Baja",'Mapa final'!$AC$59="Menor"),CONCATENATE("R10C",'Mapa final'!$Q$59),"")</f>
        <v/>
      </c>
      <c r="Q55" s="80" t="str">
        <f>IF(AND('Mapa final'!$AA$60="Muy Baja",'Mapa final'!$AC$60="Menor"),CONCATENATE("R10C",'Mapa final'!$Q$60),"")</f>
        <v/>
      </c>
      <c r="R55" s="80" t="str">
        <f>IF(AND('Mapa final'!$AA$61="Muy Baja",'Mapa final'!$AC$61="Menor"),CONCATENATE("R10C",'Mapa final'!$Q$61),"")</f>
        <v/>
      </c>
      <c r="S55" s="80" t="str">
        <f>IF(AND('Mapa final'!$AA$62="Muy Baja",'Mapa final'!$AC$62="Menor"),CONCATENATE("R10C",'Mapa final'!$Q$62),"")</f>
        <v/>
      </c>
      <c r="T55" s="80" t="str">
        <f>IF(AND('Mapa final'!$AA$63="Muy Baja",'Mapa final'!$AC$63="Menor"),CONCATENATE("R10C",'Mapa final'!$Q$63),"")</f>
        <v/>
      </c>
      <c r="U55" s="81" t="str">
        <f>IF(AND('Mapa final'!$AA$64="Muy Baja",'Mapa final'!$AC$64="Menor"),CONCATENATE("R10C",'Mapa final'!$Q$64),"")</f>
        <v/>
      </c>
      <c r="V55" s="70" t="str">
        <f>IF(AND('Mapa final'!$AA$59="Muy Baja",'Mapa final'!$AC$59="Moderado"),CONCATENATE("R10C",'Mapa final'!$Q$59),"")</f>
        <v/>
      </c>
      <c r="W55" s="71" t="str">
        <f>IF(AND('Mapa final'!$AA$60="Muy Baja",'Mapa final'!$AC$60="Moderado"),CONCATENATE("R10C",'Mapa final'!$Q$60),"")</f>
        <v/>
      </c>
      <c r="X55" s="71" t="str">
        <f>IF(AND('Mapa final'!$AA$61="Muy Baja",'Mapa final'!$AC$61="Moderado"),CONCATENATE("R10C",'Mapa final'!$Q$61),"")</f>
        <v/>
      </c>
      <c r="Y55" s="71" t="str">
        <f>IF(AND('Mapa final'!$AA$62="Muy Baja",'Mapa final'!$AC$62="Moderado"),CONCATENATE("R10C",'Mapa final'!$Q$62),"")</f>
        <v/>
      </c>
      <c r="Z55" s="71" t="str">
        <f>IF(AND('Mapa final'!$AA$63="Muy Baja",'Mapa final'!$AC$63="Moderado"),CONCATENATE("R10C",'Mapa final'!$Q$63),"")</f>
        <v/>
      </c>
      <c r="AA55" s="72" t="str">
        <f>IF(AND('Mapa final'!$AA$64="Muy Baja",'Mapa final'!$AC$64="Moderado"),CONCATENATE("R10C",'Mapa final'!$Q$64),"")</f>
        <v/>
      </c>
      <c r="AB55" s="58" t="str">
        <f>IF(AND('Mapa final'!$AA$59="Muy Baja",'Mapa final'!$AC$59="Mayor"),CONCATENATE("R10C",'Mapa final'!$Q$59),"")</f>
        <v/>
      </c>
      <c r="AC55" s="59" t="str">
        <f>IF(AND('Mapa final'!$AA$60="Muy Baja",'Mapa final'!$AC$60="Mayor"),CONCATENATE("R10C",'Mapa final'!$Q$60),"")</f>
        <v/>
      </c>
      <c r="AD55" s="59" t="str">
        <f>IF(AND('Mapa final'!$AA$61="Muy Baja",'Mapa final'!$AC$61="Mayor"),CONCATENATE("R10C",'Mapa final'!$Q$61),"")</f>
        <v/>
      </c>
      <c r="AE55" s="59" t="str">
        <f>IF(AND('Mapa final'!$AA$62="Muy Baja",'Mapa final'!$AC$62="Mayor"),CONCATENATE("R10C",'Mapa final'!$Q$62),"")</f>
        <v/>
      </c>
      <c r="AF55" s="59" t="str">
        <f>IF(AND('Mapa final'!$AA$63="Muy Baja",'Mapa final'!$AC$63="Mayor"),CONCATENATE("R10C",'Mapa final'!$Q$63),"")</f>
        <v/>
      </c>
      <c r="AG55" s="60" t="str">
        <f>IF(AND('Mapa final'!$AA$64="Muy Baja",'Mapa final'!$AC$64="Mayor"),CONCATENATE("R10C",'Mapa final'!$Q$64),"")</f>
        <v/>
      </c>
      <c r="AH55" s="61" t="str">
        <f>IF(AND('Mapa final'!$AA$59="Muy Baja",'Mapa final'!$AC$59="Catastrófico"),CONCATENATE("R10C",'Mapa final'!$Q$59),"")</f>
        <v/>
      </c>
      <c r="AI55" s="62" t="str">
        <f>IF(AND('Mapa final'!$AA$60="Muy Baja",'Mapa final'!$AC$60="Catastrófico"),CONCATENATE("R10C",'Mapa final'!$Q$60),"")</f>
        <v/>
      </c>
      <c r="AJ55" s="62" t="str">
        <f>IF(AND('Mapa final'!$AA$61="Muy Baja",'Mapa final'!$AC$61="Catastrófico"),CONCATENATE("R10C",'Mapa final'!$Q$61),"")</f>
        <v/>
      </c>
      <c r="AK55" s="62" t="str">
        <f>IF(AND('Mapa final'!$AA$62="Muy Baja",'Mapa final'!$AC$62="Catastrófico"),CONCATENATE("R10C",'Mapa final'!$Q$62),"")</f>
        <v/>
      </c>
      <c r="AL55" s="62" t="str">
        <f>IF(AND('Mapa final'!$AA$63="Muy Baja",'Mapa final'!$AC$63="Catastrófico"),CONCATENATE("R10C",'Mapa final'!$Q$63),"")</f>
        <v/>
      </c>
      <c r="AM55" s="63" t="str">
        <f>IF(AND('Mapa final'!$AA$64="Muy Baja",'Mapa final'!$AC$64="Catastrófico"),CONCATENATE("R10C",'Mapa final'!$Q$64),"")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
      <c r="A56" s="83"/>
      <c r="B56" s="83"/>
      <c r="C56" s="83"/>
      <c r="D56" s="83"/>
      <c r="E56" s="83"/>
      <c r="F56" s="83"/>
      <c r="G56" s="83"/>
      <c r="H56" s="83"/>
      <c r="I56" s="83"/>
      <c r="J56" s="479" t="s">
        <v>112</v>
      </c>
      <c r="K56" s="480"/>
      <c r="L56" s="480"/>
      <c r="M56" s="480"/>
      <c r="N56" s="480"/>
      <c r="O56" s="497"/>
      <c r="P56" s="479" t="s">
        <v>111</v>
      </c>
      <c r="Q56" s="480"/>
      <c r="R56" s="480"/>
      <c r="S56" s="480"/>
      <c r="T56" s="480"/>
      <c r="U56" s="497"/>
      <c r="V56" s="479" t="s">
        <v>110</v>
      </c>
      <c r="W56" s="480"/>
      <c r="X56" s="480"/>
      <c r="Y56" s="480"/>
      <c r="Z56" s="480"/>
      <c r="AA56" s="497"/>
      <c r="AB56" s="479" t="s">
        <v>109</v>
      </c>
      <c r="AC56" s="518"/>
      <c r="AD56" s="480"/>
      <c r="AE56" s="480"/>
      <c r="AF56" s="480"/>
      <c r="AG56" s="497"/>
      <c r="AH56" s="479" t="s">
        <v>108</v>
      </c>
      <c r="AI56" s="480"/>
      <c r="AJ56" s="480"/>
      <c r="AK56" s="480"/>
      <c r="AL56" s="480"/>
      <c r="AM56" s="49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
      <c r="A57" s="83"/>
      <c r="B57" s="83"/>
      <c r="C57" s="83"/>
      <c r="D57" s="83"/>
      <c r="E57" s="83"/>
      <c r="F57" s="83"/>
      <c r="G57" s="83"/>
      <c r="H57" s="83"/>
      <c r="I57" s="83"/>
      <c r="J57" s="483"/>
      <c r="K57" s="482"/>
      <c r="L57" s="482"/>
      <c r="M57" s="482"/>
      <c r="N57" s="482"/>
      <c r="O57" s="498"/>
      <c r="P57" s="483"/>
      <c r="Q57" s="482"/>
      <c r="R57" s="482"/>
      <c r="S57" s="482"/>
      <c r="T57" s="482"/>
      <c r="U57" s="498"/>
      <c r="V57" s="483"/>
      <c r="W57" s="482"/>
      <c r="X57" s="482"/>
      <c r="Y57" s="482"/>
      <c r="Z57" s="482"/>
      <c r="AA57" s="498"/>
      <c r="AB57" s="483"/>
      <c r="AC57" s="482"/>
      <c r="AD57" s="482"/>
      <c r="AE57" s="482"/>
      <c r="AF57" s="482"/>
      <c r="AG57" s="498"/>
      <c r="AH57" s="483"/>
      <c r="AI57" s="482"/>
      <c r="AJ57" s="482"/>
      <c r="AK57" s="482"/>
      <c r="AL57" s="482"/>
      <c r="AM57" s="49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
      <c r="A58" s="83"/>
      <c r="B58" s="83"/>
      <c r="C58" s="83"/>
      <c r="D58" s="83"/>
      <c r="E58" s="83"/>
      <c r="F58" s="83"/>
      <c r="G58" s="83"/>
      <c r="H58" s="83"/>
      <c r="I58" s="83"/>
      <c r="J58" s="483"/>
      <c r="K58" s="482"/>
      <c r="L58" s="482"/>
      <c r="M58" s="482"/>
      <c r="N58" s="482"/>
      <c r="O58" s="498"/>
      <c r="P58" s="483"/>
      <c r="Q58" s="482"/>
      <c r="R58" s="482"/>
      <c r="S58" s="482"/>
      <c r="T58" s="482"/>
      <c r="U58" s="498"/>
      <c r="V58" s="483"/>
      <c r="W58" s="482"/>
      <c r="X58" s="482"/>
      <c r="Y58" s="482"/>
      <c r="Z58" s="482"/>
      <c r="AA58" s="498"/>
      <c r="AB58" s="483"/>
      <c r="AC58" s="482"/>
      <c r="AD58" s="482"/>
      <c r="AE58" s="482"/>
      <c r="AF58" s="482"/>
      <c r="AG58" s="498"/>
      <c r="AH58" s="483"/>
      <c r="AI58" s="482"/>
      <c r="AJ58" s="482"/>
      <c r="AK58" s="482"/>
      <c r="AL58" s="482"/>
      <c r="AM58" s="49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
      <c r="A59" s="83"/>
      <c r="B59" s="83"/>
      <c r="C59" s="83"/>
      <c r="D59" s="83"/>
      <c r="E59" s="83"/>
      <c r="F59" s="83"/>
      <c r="G59" s="83"/>
      <c r="H59" s="83"/>
      <c r="I59" s="83"/>
      <c r="J59" s="483"/>
      <c r="K59" s="482"/>
      <c r="L59" s="482"/>
      <c r="M59" s="482"/>
      <c r="N59" s="482"/>
      <c r="O59" s="498"/>
      <c r="P59" s="483"/>
      <c r="Q59" s="482"/>
      <c r="R59" s="482"/>
      <c r="S59" s="482"/>
      <c r="T59" s="482"/>
      <c r="U59" s="498"/>
      <c r="V59" s="483"/>
      <c r="W59" s="482"/>
      <c r="X59" s="482"/>
      <c r="Y59" s="482"/>
      <c r="Z59" s="482"/>
      <c r="AA59" s="498"/>
      <c r="AB59" s="483"/>
      <c r="AC59" s="482"/>
      <c r="AD59" s="482"/>
      <c r="AE59" s="482"/>
      <c r="AF59" s="482"/>
      <c r="AG59" s="498"/>
      <c r="AH59" s="483"/>
      <c r="AI59" s="482"/>
      <c r="AJ59" s="482"/>
      <c r="AK59" s="482"/>
      <c r="AL59" s="482"/>
      <c r="AM59" s="49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
      <c r="A60" s="83"/>
      <c r="B60" s="83"/>
      <c r="C60" s="83"/>
      <c r="D60" s="83"/>
      <c r="E60" s="83"/>
      <c r="F60" s="83"/>
      <c r="G60" s="83"/>
      <c r="H60" s="83"/>
      <c r="I60" s="83"/>
      <c r="J60" s="483"/>
      <c r="K60" s="482"/>
      <c r="L60" s="482"/>
      <c r="M60" s="482"/>
      <c r="N60" s="482"/>
      <c r="O60" s="498"/>
      <c r="P60" s="483"/>
      <c r="Q60" s="482"/>
      <c r="R60" s="482"/>
      <c r="S60" s="482"/>
      <c r="T60" s="482"/>
      <c r="U60" s="498"/>
      <c r="V60" s="483"/>
      <c r="W60" s="482"/>
      <c r="X60" s="482"/>
      <c r="Y60" s="482"/>
      <c r="Z60" s="482"/>
      <c r="AA60" s="498"/>
      <c r="AB60" s="483"/>
      <c r="AC60" s="482"/>
      <c r="AD60" s="482"/>
      <c r="AE60" s="482"/>
      <c r="AF60" s="482"/>
      <c r="AG60" s="498"/>
      <c r="AH60" s="483"/>
      <c r="AI60" s="482"/>
      <c r="AJ60" s="482"/>
      <c r="AK60" s="482"/>
      <c r="AL60" s="482"/>
      <c r="AM60" s="49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 thickBot="1" x14ac:dyDescent="0.35">
      <c r="A61" s="83"/>
      <c r="B61" s="83"/>
      <c r="C61" s="83"/>
      <c r="D61" s="83"/>
      <c r="E61" s="83"/>
      <c r="F61" s="83"/>
      <c r="G61" s="83"/>
      <c r="H61" s="83"/>
      <c r="I61" s="83"/>
      <c r="J61" s="484"/>
      <c r="K61" s="485"/>
      <c r="L61" s="485"/>
      <c r="M61" s="485"/>
      <c r="N61" s="485"/>
      <c r="O61" s="499"/>
      <c r="P61" s="484"/>
      <c r="Q61" s="485"/>
      <c r="R61" s="485"/>
      <c r="S61" s="485"/>
      <c r="T61" s="485"/>
      <c r="U61" s="499"/>
      <c r="V61" s="484"/>
      <c r="W61" s="485"/>
      <c r="X61" s="485"/>
      <c r="Y61" s="485"/>
      <c r="Z61" s="485"/>
      <c r="AA61" s="499"/>
      <c r="AB61" s="484"/>
      <c r="AC61" s="485"/>
      <c r="AD61" s="485"/>
      <c r="AE61" s="485"/>
      <c r="AF61" s="485"/>
      <c r="AG61" s="499"/>
      <c r="AH61" s="484"/>
      <c r="AI61" s="485"/>
      <c r="AJ61" s="485"/>
      <c r="AK61" s="485"/>
      <c r="AL61" s="485"/>
      <c r="AM61" s="499"/>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3">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3">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3">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3">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3">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3">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3">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3">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3">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3">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3">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3">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3">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3">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3">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3">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3">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3">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3">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3">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3">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3">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3">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3">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3">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3">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3">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3">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3">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3">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3">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3">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3">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3">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3">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3">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3">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3">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3">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3">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3">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3">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3">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3">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3">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3">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3">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3">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3">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3">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3">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3">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3">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3">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3">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3">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3">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3">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3">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3">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3">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3">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3">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3">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3">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3">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3">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3">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3">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3">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3">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3">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3">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3">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3">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3">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3">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3">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3">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3">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3">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3">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3">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3">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3">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3">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3">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3">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3">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3">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3">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3">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3">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3">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3">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3">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3">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3">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3">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3">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3">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3">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3">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3">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3">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3">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3">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3">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3">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3">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3">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3">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3">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3">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3">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3">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3">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3">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3">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3">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3">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3">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3">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3">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3">
      <c r="A245" s="83"/>
    </row>
    <row r="246" spans="1:60" x14ac:dyDescent="0.3">
      <c r="A246" s="83"/>
    </row>
    <row r="247" spans="1:60" x14ac:dyDescent="0.3">
      <c r="A247" s="83"/>
    </row>
    <row r="248" spans="1:60" x14ac:dyDescent="0.3">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80" zoomScaleNormal="80" workbookViewId="0">
      <selection activeCell="C5" sqref="C5"/>
    </sheetView>
  </sheetViews>
  <sheetFormatPr baseColWidth="10" defaultRowHeight="14.4" x14ac:dyDescent="0.3"/>
  <cols>
    <col min="2" max="2" width="24.109375" customWidth="1"/>
    <col min="3" max="3" width="70.109375" customWidth="1"/>
    <col min="4" max="4" width="29.88671875" customWidth="1"/>
  </cols>
  <sheetData>
    <row r="1" spans="1:37" ht="23.4" x14ac:dyDescent="0.3">
      <c r="A1" s="83"/>
      <c r="B1" s="519" t="s">
        <v>55</v>
      </c>
      <c r="C1" s="519"/>
      <c r="D1" s="51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3">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2" x14ac:dyDescent="0.3">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0.4" x14ac:dyDescent="0.3">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0.4" x14ac:dyDescent="0.3">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0.4" x14ac:dyDescent="0.3">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5.599999999999994" x14ac:dyDescent="0.3">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0.4" x14ac:dyDescent="0.3">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3">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x14ac:dyDescent="0.3">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3">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3">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3">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3">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3">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3">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3">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3">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3">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3">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3">
      <c r="A35" s="83"/>
    </row>
    <row r="36" spans="1:31" x14ac:dyDescent="0.3">
      <c r="A36" s="83"/>
    </row>
    <row r="37" spans="1:31" x14ac:dyDescent="0.3">
      <c r="A37" s="83"/>
    </row>
    <row r="38" spans="1:31" x14ac:dyDescent="0.3">
      <c r="A38" s="83"/>
    </row>
    <row r="39" spans="1:31" x14ac:dyDescent="0.3">
      <c r="A39" s="83"/>
    </row>
    <row r="40" spans="1:31" x14ac:dyDescent="0.3">
      <c r="A40" s="83"/>
    </row>
    <row r="41" spans="1:31" x14ac:dyDescent="0.3">
      <c r="A41" s="83"/>
    </row>
    <row r="42" spans="1:31" x14ac:dyDescent="0.3">
      <c r="A42" s="83"/>
    </row>
    <row r="43" spans="1:31" x14ac:dyDescent="0.3">
      <c r="A43" s="83"/>
    </row>
    <row r="44" spans="1:31" x14ac:dyDescent="0.3">
      <c r="A44" s="83"/>
    </row>
    <row r="45" spans="1:31" x14ac:dyDescent="0.3">
      <c r="A45" s="83"/>
    </row>
    <row r="46" spans="1:31" x14ac:dyDescent="0.3">
      <c r="A46" s="83"/>
    </row>
    <row r="47" spans="1:31" x14ac:dyDescent="0.3">
      <c r="A47" s="83"/>
    </row>
    <row r="48" spans="1:31" x14ac:dyDescent="0.3">
      <c r="A48" s="83"/>
    </row>
    <row r="49" spans="1:1" x14ac:dyDescent="0.3">
      <c r="A49" s="83"/>
    </row>
    <row r="50" spans="1:1" x14ac:dyDescent="0.3">
      <c r="A50" s="83"/>
    </row>
    <row r="51" spans="1:1" x14ac:dyDescent="0.3">
      <c r="A51" s="83"/>
    </row>
    <row r="52" spans="1:1" x14ac:dyDescent="0.3">
      <c r="A52" s="83"/>
    </row>
    <row r="53" spans="1:1" x14ac:dyDescent="0.3">
      <c r="A53" s="83"/>
    </row>
    <row r="54" spans="1:1" x14ac:dyDescent="0.3">
      <c r="A54" s="83"/>
    </row>
    <row r="55" spans="1:1" x14ac:dyDescent="0.3">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5" sqref="D5"/>
    </sheetView>
  </sheetViews>
  <sheetFormatPr baseColWidth="10" defaultColWidth="14.33203125" defaultRowHeight="13.8" x14ac:dyDescent="0.3"/>
  <cols>
    <col min="1" max="2" width="14.33203125" style="88"/>
    <col min="3" max="3" width="17" style="88" customWidth="1"/>
    <col min="4" max="4" width="14.33203125" style="88"/>
    <col min="5" max="5" width="46" style="88" customWidth="1"/>
    <col min="6" max="16384" width="14.33203125" style="88"/>
  </cols>
  <sheetData>
    <row r="1" spans="2:6" ht="24" customHeight="1" thickBot="1" x14ac:dyDescent="0.35">
      <c r="B1" s="520" t="s">
        <v>78</v>
      </c>
      <c r="C1" s="521"/>
      <c r="D1" s="521"/>
      <c r="E1" s="521"/>
      <c r="F1" s="522"/>
    </row>
    <row r="2" spans="2:6" ht="16.2" thickBot="1" x14ac:dyDescent="0.35">
      <c r="B2" s="89"/>
      <c r="C2" s="89"/>
      <c r="D2" s="89"/>
      <c r="E2" s="89"/>
      <c r="F2" s="89"/>
    </row>
    <row r="3" spans="2:6" ht="16.2" thickBot="1" x14ac:dyDescent="0.35">
      <c r="B3" s="524" t="s">
        <v>64</v>
      </c>
      <c r="C3" s="525"/>
      <c r="D3" s="525"/>
      <c r="E3" s="101" t="s">
        <v>65</v>
      </c>
      <c r="F3" s="102" t="s">
        <v>66</v>
      </c>
    </row>
    <row r="4" spans="2:6" ht="31.2" x14ac:dyDescent="0.3">
      <c r="B4" s="526" t="s">
        <v>67</v>
      </c>
      <c r="C4" s="528" t="s">
        <v>13</v>
      </c>
      <c r="D4" s="90" t="s">
        <v>14</v>
      </c>
      <c r="E4" s="91" t="s">
        <v>68</v>
      </c>
      <c r="F4" s="92">
        <v>0.25</v>
      </c>
    </row>
    <row r="5" spans="2:6" ht="46.8" x14ac:dyDescent="0.3">
      <c r="B5" s="527"/>
      <c r="C5" s="529"/>
      <c r="D5" s="93" t="s">
        <v>15</v>
      </c>
      <c r="E5" s="94" t="s">
        <v>69</v>
      </c>
      <c r="F5" s="95">
        <v>0.15</v>
      </c>
    </row>
    <row r="6" spans="2:6" ht="46.8" x14ac:dyDescent="0.3">
      <c r="B6" s="527"/>
      <c r="C6" s="529"/>
      <c r="D6" s="93" t="s">
        <v>16</v>
      </c>
      <c r="E6" s="94" t="s">
        <v>70</v>
      </c>
      <c r="F6" s="95">
        <v>0.1</v>
      </c>
    </row>
    <row r="7" spans="2:6" ht="62.4" x14ac:dyDescent="0.3">
      <c r="B7" s="527"/>
      <c r="C7" s="529" t="s">
        <v>17</v>
      </c>
      <c r="D7" s="93" t="s">
        <v>10</v>
      </c>
      <c r="E7" s="94" t="s">
        <v>71</v>
      </c>
      <c r="F7" s="95">
        <v>0.25</v>
      </c>
    </row>
    <row r="8" spans="2:6" ht="31.2" x14ac:dyDescent="0.3">
      <c r="B8" s="527"/>
      <c r="C8" s="529"/>
      <c r="D8" s="93" t="s">
        <v>9</v>
      </c>
      <c r="E8" s="94" t="s">
        <v>72</v>
      </c>
      <c r="F8" s="95">
        <v>0.15</v>
      </c>
    </row>
    <row r="9" spans="2:6" ht="46.8" x14ac:dyDescent="0.3">
      <c r="B9" s="527" t="s">
        <v>162</v>
      </c>
      <c r="C9" s="529" t="s">
        <v>18</v>
      </c>
      <c r="D9" s="93" t="s">
        <v>19</v>
      </c>
      <c r="E9" s="94" t="s">
        <v>73</v>
      </c>
      <c r="F9" s="96" t="s">
        <v>74</v>
      </c>
    </row>
    <row r="10" spans="2:6" ht="46.8" x14ac:dyDescent="0.3">
      <c r="B10" s="527"/>
      <c r="C10" s="529"/>
      <c r="D10" s="93" t="s">
        <v>20</v>
      </c>
      <c r="E10" s="94" t="s">
        <v>75</v>
      </c>
      <c r="F10" s="96" t="s">
        <v>74</v>
      </c>
    </row>
    <row r="11" spans="2:6" ht="46.8" x14ac:dyDescent="0.3">
      <c r="B11" s="527"/>
      <c r="C11" s="529" t="s">
        <v>21</v>
      </c>
      <c r="D11" s="93" t="s">
        <v>22</v>
      </c>
      <c r="E11" s="94" t="s">
        <v>76</v>
      </c>
      <c r="F11" s="96" t="s">
        <v>74</v>
      </c>
    </row>
    <row r="12" spans="2:6" ht="46.8" x14ac:dyDescent="0.3">
      <c r="B12" s="527"/>
      <c r="C12" s="529"/>
      <c r="D12" s="93" t="s">
        <v>23</v>
      </c>
      <c r="E12" s="94" t="s">
        <v>77</v>
      </c>
      <c r="F12" s="96" t="s">
        <v>74</v>
      </c>
    </row>
    <row r="13" spans="2:6" ht="31.2" x14ac:dyDescent="0.3">
      <c r="B13" s="527"/>
      <c r="C13" s="529" t="s">
        <v>24</v>
      </c>
      <c r="D13" s="93" t="s">
        <v>119</v>
      </c>
      <c r="E13" s="94" t="s">
        <v>122</v>
      </c>
      <c r="F13" s="96" t="s">
        <v>74</v>
      </c>
    </row>
    <row r="14" spans="2:6" ht="16.2" thickBot="1" x14ac:dyDescent="0.35">
      <c r="B14" s="530"/>
      <c r="C14" s="531"/>
      <c r="D14" s="97" t="s">
        <v>120</v>
      </c>
      <c r="E14" s="98" t="s">
        <v>121</v>
      </c>
      <c r="F14" s="99" t="s">
        <v>74</v>
      </c>
    </row>
    <row r="15" spans="2:6" ht="49.5" customHeight="1" x14ac:dyDescent="0.3">
      <c r="B15" s="523" t="s">
        <v>159</v>
      </c>
      <c r="C15" s="523"/>
      <c r="D15" s="523"/>
      <c r="E15" s="523"/>
      <c r="F15" s="523"/>
    </row>
    <row r="16" spans="2:6" ht="27" customHeight="1" x14ac:dyDescent="0.3">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4.4" x14ac:dyDescent="0.3"/>
  <sheetData>
    <row r="2" spans="2:5" x14ac:dyDescent="0.3">
      <c r="B2" t="s">
        <v>31</v>
      </c>
      <c r="E2" t="s">
        <v>133</v>
      </c>
    </row>
    <row r="3" spans="2:5" x14ac:dyDescent="0.3">
      <c r="B3" t="s">
        <v>32</v>
      </c>
      <c r="E3" t="s">
        <v>132</v>
      </c>
    </row>
    <row r="4" spans="2:5" x14ac:dyDescent="0.3">
      <c r="B4" t="s">
        <v>137</v>
      </c>
      <c r="E4" t="s">
        <v>134</v>
      </c>
    </row>
    <row r="5" spans="2:5" x14ac:dyDescent="0.3">
      <c r="B5" t="s">
        <v>136</v>
      </c>
    </row>
    <row r="8" spans="2:5" x14ac:dyDescent="0.3">
      <c r="B8" t="s">
        <v>86</v>
      </c>
    </row>
    <row r="9" spans="2:5" x14ac:dyDescent="0.3">
      <c r="B9" t="s">
        <v>40</v>
      </c>
    </row>
    <row r="10" spans="2:5" x14ac:dyDescent="0.3">
      <c r="B10" t="s">
        <v>41</v>
      </c>
    </row>
    <row r="13" spans="2:5" x14ac:dyDescent="0.3">
      <c r="B13" t="s">
        <v>129</v>
      </c>
    </row>
    <row r="14" spans="2:5" x14ac:dyDescent="0.3">
      <c r="B14" t="s">
        <v>123</v>
      </c>
    </row>
    <row r="15" spans="2:5" x14ac:dyDescent="0.3">
      <c r="B15" t="s">
        <v>126</v>
      </c>
    </row>
    <row r="16" spans="2:5" x14ac:dyDescent="0.3">
      <c r="B16" t="s">
        <v>124</v>
      </c>
    </row>
    <row r="17" spans="2:2" x14ac:dyDescent="0.3">
      <c r="B17" t="s">
        <v>125</v>
      </c>
    </row>
    <row r="18" spans="2:2" x14ac:dyDescent="0.3">
      <c r="B18" t="s">
        <v>127</v>
      </c>
    </row>
    <row r="19" spans="2:2" x14ac:dyDescent="0.3">
      <c r="B19" t="s">
        <v>128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Tabla Impacto</vt:lpstr>
      <vt:lpstr>Mapa final</vt:lpstr>
      <vt:lpstr>Hoja2</vt:lpstr>
      <vt:lpstr>Matriz Calor Inherente</vt:lpstr>
      <vt:lpstr>Matriz Calor Residual</vt:lpstr>
      <vt:lpstr>Tabla probabilidad</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2020-05-13T01:12:22Z</cp:lastPrinted>
  <dcterms:created xsi:type="dcterms:W3CDTF">2020-03-24T23:12:47Z</dcterms:created>
  <dcterms:modified xsi:type="dcterms:W3CDTF">2023-07-19T15:38:25Z</dcterms:modified>
</cp:coreProperties>
</file>