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hidePivotFieldList="1" defaultThemeVersion="124226"/>
  <mc:AlternateContent xmlns:mc="http://schemas.openxmlformats.org/markup-compatibility/2006">
    <mc:Choice Requires="x15">
      <x15ac:absPath xmlns:x15ac="http://schemas.microsoft.com/office/spreadsheetml/2010/11/ac" url="C:\Users\Maria Paula\Desktop\2023 Alcaldia\Mapa de riesgos de Gestion 2023\Para publicar julio\"/>
    </mc:Choice>
  </mc:AlternateContent>
  <xr:revisionPtr revIDLastSave="0" documentId="8_{BFC64072-408F-44C3-A529-597E00F83D8A}" xr6:coauthVersionLast="47" xr6:coauthVersionMax="47" xr10:uidLastSave="{00000000-0000-0000-0000-000000000000}"/>
  <bookViews>
    <workbookView xWindow="-108" yWindow="-108" windowWidth="23256" windowHeight="12456" firstSheet="3" activeTab="1" xr2:uid="{00000000-000D-0000-FFFF-FFFF00000000}"/>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externalReferences>
    <externalReference r:id="rId10"/>
    <externalReference r:id="rId11"/>
  </externalReferences>
  <calcPr calcId="181029"/>
  <pivotCaches>
    <pivotCache cacheId="17" r:id="rId12"/>
  </pivotCaches>
</workbook>
</file>

<file path=xl/calcChain.xml><?xml version="1.0" encoding="utf-8"?>
<calcChain xmlns="http://schemas.openxmlformats.org/spreadsheetml/2006/main">
  <c r="J18" i="1" l="1"/>
  <c r="K18" i="1" s="1"/>
  <c r="J24" i="1"/>
  <c r="J30" i="1"/>
  <c r="K30" i="1" s="1"/>
  <c r="J36" i="1"/>
  <c r="K36" i="1" s="1"/>
  <c r="J42" i="1"/>
  <c r="K42" i="1" s="1"/>
  <c r="J48" i="1"/>
  <c r="K48" i="1" s="1"/>
  <c r="J54" i="1"/>
  <c r="K54" i="1" s="1"/>
  <c r="J60" i="1"/>
  <c r="K60" i="1" s="1"/>
  <c r="V29" i="1"/>
  <c r="S29" i="1"/>
  <c r="V28" i="1"/>
  <c r="S28" i="1"/>
  <c r="AD29" i="1" s="1"/>
  <c r="AC29" i="1" s="1"/>
  <c r="V27" i="1"/>
  <c r="S27" i="1"/>
  <c r="V26" i="1"/>
  <c r="S26" i="1"/>
  <c r="V25" i="1"/>
  <c r="S25" i="1"/>
  <c r="V24" i="1"/>
  <c r="S24" i="1"/>
  <c r="AD25" i="1" s="1"/>
  <c r="AC25" i="1" s="1"/>
  <c r="V23" i="1"/>
  <c r="S23" i="1"/>
  <c r="V22" i="1"/>
  <c r="S22" i="1"/>
  <c r="V21" i="1"/>
  <c r="S21" i="1"/>
  <c r="V20" i="1"/>
  <c r="S20" i="1"/>
  <c r="AD21" i="1" s="1"/>
  <c r="AC21" i="1" s="1"/>
  <c r="V19" i="1"/>
  <c r="S19" i="1"/>
  <c r="V18" i="1"/>
  <c r="S18" i="1"/>
  <c r="V17" i="1"/>
  <c r="V16" i="1"/>
  <c r="V15" i="1"/>
  <c r="V14" i="1"/>
  <c r="V12" i="1"/>
  <c r="V13" i="1"/>
  <c r="V11" i="1"/>
  <c r="M35" i="1"/>
  <c r="M52" i="1"/>
  <c r="M26" i="1"/>
  <c r="M25" i="1"/>
  <c r="M53" i="1"/>
  <c r="M43" i="1"/>
  <c r="M49" i="1"/>
  <c r="M27" i="1"/>
  <c r="M44" i="1"/>
  <c r="M61" i="1"/>
  <c r="M28" i="1"/>
  <c r="M45" i="1"/>
  <c r="M62" i="1"/>
  <c r="M29" i="1"/>
  <c r="M46" i="1"/>
  <c r="M63" i="1"/>
  <c r="M64" i="1"/>
  <c r="M38" i="1"/>
  <c r="M55" i="1"/>
  <c r="M56" i="1"/>
  <c r="M19" i="1"/>
  <c r="M47" i="1"/>
  <c r="M33" i="1"/>
  <c r="M34" i="1"/>
  <c r="M51" i="1"/>
  <c r="M20" i="1"/>
  <c r="M37" i="1"/>
  <c r="M65" i="1"/>
  <c r="M21" i="1"/>
  <c r="M22" i="1"/>
  <c r="M39" i="1"/>
  <c r="M50" i="1"/>
  <c r="M23" i="1"/>
  <c r="M40" i="1"/>
  <c r="M57" i="1"/>
  <c r="M41" i="1"/>
  <c r="M58" i="1"/>
  <c r="M59" i="1"/>
  <c r="M32" i="1"/>
  <c r="M31" i="1"/>
  <c r="AD20" i="1" l="1"/>
  <c r="AC20" i="1" s="1"/>
  <c r="AD28" i="1"/>
  <c r="AC28" i="1" s="1"/>
  <c r="AD19" i="1"/>
  <c r="AC19" i="1" s="1"/>
  <c r="Z23" i="1"/>
  <c r="AA23" i="1" s="1"/>
  <c r="AD27" i="1"/>
  <c r="AC27" i="1" s="1"/>
  <c r="AD22" i="1"/>
  <c r="AC22" i="1" s="1"/>
  <c r="Z26" i="1"/>
  <c r="AB26" i="1" s="1"/>
  <c r="K24" i="1"/>
  <c r="Z24" i="1"/>
  <c r="Z28" i="1"/>
  <c r="AD24" i="1"/>
  <c r="AC24" i="1" s="1"/>
  <c r="AD26" i="1"/>
  <c r="AC26" i="1" s="1"/>
  <c r="Z25" i="1"/>
  <c r="Z27" i="1"/>
  <c r="Z29" i="1"/>
  <c r="Z20" i="1"/>
  <c r="Z18" i="1"/>
  <c r="Z22" i="1"/>
  <c r="AD18" i="1"/>
  <c r="AC18" i="1" s="1"/>
  <c r="Z21" i="1"/>
  <c r="Z19" i="1"/>
  <c r="AD23" i="1"/>
  <c r="AC23" i="1" s="1"/>
  <c r="AB23" i="1" l="1"/>
  <c r="AA26" i="1"/>
  <c r="AE26" i="1" s="1"/>
  <c r="AB28" i="1"/>
  <c r="AA28" i="1"/>
  <c r="AE28" i="1" s="1"/>
  <c r="AB27" i="1"/>
  <c r="AA27" i="1"/>
  <c r="AE27" i="1" s="1"/>
  <c r="AB24" i="1"/>
  <c r="AA24" i="1"/>
  <c r="AE24" i="1" s="1"/>
  <c r="AA29" i="1"/>
  <c r="AE29" i="1" s="1"/>
  <c r="AB29" i="1"/>
  <c r="AB25" i="1"/>
  <c r="AA25" i="1"/>
  <c r="AE25" i="1" s="1"/>
  <c r="AB19" i="1"/>
  <c r="AA19" i="1"/>
  <c r="AE19" i="1" s="1"/>
  <c r="AB18" i="1"/>
  <c r="AA18" i="1"/>
  <c r="AE18" i="1" s="1"/>
  <c r="AE23" i="1"/>
  <c r="AB21" i="1"/>
  <c r="AA21" i="1"/>
  <c r="AE21" i="1" s="1"/>
  <c r="AB22" i="1"/>
  <c r="AA22" i="1"/>
  <c r="AE22" i="1" s="1"/>
  <c r="AB20" i="1"/>
  <c r="AA20" i="1"/>
  <c r="AE20" i="1" s="1"/>
  <c r="S11" i="1" l="1"/>
  <c r="F217" i="13"/>
  <c r="S12" i="1"/>
  <c r="S13" i="1"/>
  <c r="Z12" i="1" l="1"/>
  <c r="AD12" i="1" l="1"/>
  <c r="AC12" i="1" s="1"/>
  <c r="AA12" i="1"/>
  <c r="AB12" i="1"/>
  <c r="Z13" i="1" s="1"/>
  <c r="AD13" i="1"/>
  <c r="AE12" i="1" l="1"/>
  <c r="AC13" i="1"/>
  <c r="AA13" i="1"/>
  <c r="AB13" i="1"/>
  <c r="AE13" i="1" l="1"/>
  <c r="V10" i="1"/>
  <c r="S10" i="1"/>
  <c r="Z11" i="1" l="1"/>
  <c r="AD11" i="1"/>
  <c r="AC11" i="1" s="1"/>
  <c r="J10" i="1"/>
  <c r="K10" i="1" s="1"/>
  <c r="M17" i="1"/>
  <c r="M15" i="1"/>
  <c r="M16" i="1"/>
  <c r="AA11" i="1" l="1"/>
  <c r="AE11" i="1" s="1"/>
  <c r="AB11" i="1"/>
  <c r="F221" i="13"/>
  <c r="F211" i="13"/>
  <c r="F212" i="13"/>
  <c r="F213" i="13"/>
  <c r="F214" i="13"/>
  <c r="F215" i="13"/>
  <c r="F216" i="13"/>
  <c r="F218" i="13"/>
  <c r="F219" i="13"/>
  <c r="F220" i="13"/>
  <c r="F210" i="13"/>
  <c r="B221" i="13" a="1"/>
  <c r="M13" i="1"/>
  <c r="M11" i="1"/>
  <c r="M12" i="1"/>
  <c r="B221" i="13" l="1"/>
  <c r="S48"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V65" i="1" l="1"/>
  <c r="S65" i="1"/>
  <c r="V64" i="1"/>
  <c r="S64" i="1"/>
  <c r="V63" i="1"/>
  <c r="S63" i="1"/>
  <c r="V62" i="1"/>
  <c r="S62" i="1"/>
  <c r="V61" i="1"/>
  <c r="S61" i="1"/>
  <c r="V60" i="1"/>
  <c r="S60" i="1"/>
  <c r="V59" i="1"/>
  <c r="S59" i="1"/>
  <c r="V58" i="1"/>
  <c r="S58" i="1"/>
  <c r="V57" i="1"/>
  <c r="S57" i="1"/>
  <c r="V56" i="1"/>
  <c r="S56" i="1"/>
  <c r="V55" i="1"/>
  <c r="S55" i="1"/>
  <c r="V54" i="1"/>
  <c r="S54" i="1"/>
  <c r="V53" i="1"/>
  <c r="S53" i="1"/>
  <c r="V52" i="1"/>
  <c r="S52" i="1"/>
  <c r="V51" i="1"/>
  <c r="S51" i="1"/>
  <c r="V50" i="1"/>
  <c r="S50" i="1"/>
  <c r="V49" i="1"/>
  <c r="S49" i="1"/>
  <c r="AD49" i="1" s="1"/>
  <c r="V48" i="1"/>
  <c r="J14" i="1"/>
  <c r="S17" i="1"/>
  <c r="S16" i="1"/>
  <c r="AD17" i="1" l="1"/>
  <c r="AC17" i="1" s="1"/>
  <c r="Z17" i="1"/>
  <c r="AD61" i="1"/>
  <c r="AD55" i="1"/>
  <c r="K14" i="1"/>
  <c r="Z14" i="1" s="1"/>
  <c r="Z60" i="1"/>
  <c r="Z54" i="1"/>
  <c r="Z48" i="1"/>
  <c r="AB14" i="1" l="1"/>
  <c r="Z15" i="1" s="1"/>
  <c r="AA15" i="1" s="1"/>
  <c r="AA14" i="1"/>
  <c r="AB17" i="1"/>
  <c r="AA17" i="1"/>
  <c r="AE17" i="1" s="1"/>
  <c r="AA60" i="1"/>
  <c r="AB60" i="1"/>
  <c r="Z61" i="1" s="1"/>
  <c r="AA61" i="1" s="1"/>
  <c r="AA54" i="1"/>
  <c r="AB54" i="1"/>
  <c r="Z55" i="1" s="1"/>
  <c r="AB55" i="1" s="1"/>
  <c r="Z56" i="1" s="1"/>
  <c r="AA48" i="1"/>
  <c r="AB48" i="1"/>
  <c r="Z49" i="1" s="1"/>
  <c r="AB49" i="1" s="1"/>
  <c r="Z50" i="1" s="1"/>
  <c r="AB15" i="1" l="1"/>
  <c r="Z16" i="1" s="1"/>
  <c r="AA55" i="1"/>
  <c r="AA49" i="1"/>
  <c r="AB56" i="1"/>
  <c r="Z57" i="1" s="1"/>
  <c r="AA56" i="1"/>
  <c r="AB50" i="1"/>
  <c r="Z51" i="1" s="1"/>
  <c r="AA50" i="1"/>
  <c r="AB61" i="1"/>
  <c r="Z62" i="1" s="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A16" i="1" l="1"/>
  <c r="AB16" i="1"/>
  <c r="AA57" i="1"/>
  <c r="AB57" i="1"/>
  <c r="AA51" i="1"/>
  <c r="AB51" i="1"/>
  <c r="Z52" i="1" s="1"/>
  <c r="AA62" i="1"/>
  <c r="AB62" i="1"/>
  <c r="Z63" i="1" s="1"/>
  <c r="AA52" i="1" l="1"/>
  <c r="AB52" i="1"/>
  <c r="Z53" i="1" s="1"/>
  <c r="Z58" i="1"/>
  <c r="Z59" i="1"/>
  <c r="AB63" i="1"/>
  <c r="AA63" i="1"/>
  <c r="AA59" i="1" l="1"/>
  <c r="AB59" i="1"/>
  <c r="AA58" i="1"/>
  <c r="AB58" i="1"/>
  <c r="AA53" i="1"/>
  <c r="AB53" i="1"/>
  <c r="Z64" i="1"/>
  <c r="Z65" i="1"/>
  <c r="Z10" i="1"/>
  <c r="AA10" i="1" s="1"/>
  <c r="AA65" i="1" l="1"/>
  <c r="AB65" i="1"/>
  <c r="AA64" i="1"/>
  <c r="AB64" i="1"/>
  <c r="AB10" i="1" l="1"/>
  <c r="AD60" i="1" l="1"/>
  <c r="AC60" i="1" l="1"/>
  <c r="AD62" i="1"/>
  <c r="AD54" i="1"/>
  <c r="AD48" i="1"/>
  <c r="AC48" i="1" s="1"/>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V25" i="19"/>
  <c r="AH25" i="19"/>
  <c r="P45" i="19"/>
  <c r="AH45" i="19"/>
  <c r="AH15" i="19"/>
  <c r="AB55" i="19"/>
  <c r="J45" i="19"/>
  <c r="AH35" i="19"/>
  <c r="V45" i="19"/>
  <c r="AH55" i="19"/>
  <c r="V15" i="19"/>
  <c r="J25" i="19"/>
  <c r="V35" i="19"/>
  <c r="AE60" i="1"/>
  <c r="P25" i="19"/>
  <c r="V55" i="19"/>
  <c r="J15" i="19"/>
  <c r="AB15" i="19"/>
  <c r="J35" i="19"/>
  <c r="AB35" i="19"/>
  <c r="J55" i="19"/>
  <c r="AB25" i="19"/>
  <c r="P35" i="19"/>
  <c r="P55" i="19"/>
  <c r="AB45" i="19"/>
  <c r="P15" i="19"/>
  <c r="AE48"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54" i="1"/>
  <c r="AC61"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C62" i="1"/>
  <c r="AD63" i="1"/>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AC49" i="1"/>
  <c r="AD50" i="1"/>
  <c r="AC55" i="1"/>
  <c r="AD56" i="1"/>
  <c r="AC63" i="1" l="1"/>
  <c r="AD64" i="1"/>
  <c r="K35" i="19"/>
  <c r="AC25" i="19"/>
  <c r="K45" i="19"/>
  <c r="AI45" i="19"/>
  <c r="W45" i="19"/>
  <c r="Q35" i="19"/>
  <c r="K55" i="19"/>
  <c r="AC15" i="19"/>
  <c r="Q15" i="19"/>
  <c r="AC35" i="19"/>
  <c r="AI35" i="19"/>
  <c r="Q55" i="19"/>
  <c r="AI25" i="19"/>
  <c r="AE61"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E55"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AE62"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E54"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AC50" i="1"/>
  <c r="AD51" i="1"/>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C56" i="1"/>
  <c r="AD57" i="1"/>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AE49" i="1"/>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C51" i="1"/>
  <c r="AD52" i="1"/>
  <c r="AC64" i="1"/>
  <c r="AD65" i="1"/>
  <c r="AC65" i="1" s="1"/>
  <c r="AJ43" i="19"/>
  <c r="AD33" i="19"/>
  <c r="X33" i="19"/>
  <c r="X13" i="19"/>
  <c r="AD43" i="19"/>
  <c r="L43" i="19"/>
  <c r="AE50" i="1"/>
  <c r="X23" i="19"/>
  <c r="R33" i="19"/>
  <c r="R43" i="19"/>
  <c r="AD53" i="19"/>
  <c r="AJ13" i="19"/>
  <c r="R23" i="19"/>
  <c r="R13" i="19"/>
  <c r="AJ53" i="19"/>
  <c r="L33" i="19"/>
  <c r="L23" i="19"/>
  <c r="X43" i="19"/>
  <c r="X53" i="19"/>
  <c r="AD13" i="19"/>
  <c r="L53" i="19"/>
  <c r="L13" i="19"/>
  <c r="AD23" i="19"/>
  <c r="AJ33" i="19"/>
  <c r="AJ23" i="19"/>
  <c r="R53" i="19"/>
  <c r="M55" i="19"/>
  <c r="AK15" i="19"/>
  <c r="AE25" i="19"/>
  <c r="AE63"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C57" i="1"/>
  <c r="AD58" i="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AE56" i="1"/>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57" i="1"/>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E65" i="1"/>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E64"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C52" i="1"/>
  <c r="AD53" i="1"/>
  <c r="AC53" i="1" s="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C58" i="1"/>
  <c r="AD59" i="1"/>
  <c r="AC59" i="1" s="1"/>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E51" i="1"/>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E59" i="1"/>
  <c r="AA14" i="19"/>
  <c r="O54" i="19"/>
  <c r="U44" i="19"/>
  <c r="U43" i="19"/>
  <c r="U13" i="19"/>
  <c r="AM53" i="19"/>
  <c r="AA53" i="19"/>
  <c r="AA43" i="19"/>
  <c r="O53" i="19"/>
  <c r="O23" i="19"/>
  <c r="O13" i="19"/>
  <c r="AG43" i="19"/>
  <c r="U33" i="19"/>
  <c r="U23" i="19"/>
  <c r="AM13" i="19"/>
  <c r="AM23" i="19"/>
  <c r="AG13" i="19"/>
  <c r="AA23" i="19"/>
  <c r="AG33" i="19"/>
  <c r="AA33" i="19"/>
  <c r="AM33" i="19"/>
  <c r="AA13" i="19"/>
  <c r="AE53"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E58" i="1"/>
  <c r="AF53" i="19"/>
  <c r="T43" i="19"/>
  <c r="Z53" i="19"/>
  <c r="N43" i="19"/>
  <c r="T23" i="19"/>
  <c r="AF43" i="19"/>
  <c r="Z13" i="19"/>
  <c r="Z43" i="19"/>
  <c r="AF23" i="19"/>
  <c r="AL13" i="19"/>
  <c r="Z23" i="19"/>
  <c r="AL43" i="19"/>
  <c r="AF13" i="19"/>
  <c r="AL23" i="19"/>
  <c r="N13" i="19"/>
  <c r="T33" i="19"/>
  <c r="AL53" i="19"/>
  <c r="N23" i="19"/>
  <c r="N53" i="19"/>
  <c r="AF33" i="19"/>
  <c r="N33" i="19"/>
  <c r="AE52" i="1"/>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M18" i="1" l="1"/>
  <c r="N18" i="1" s="1"/>
  <c r="M10" i="1"/>
  <c r="N10" i="1" s="1"/>
  <c r="M42" i="1"/>
  <c r="N42" i="1" s="1"/>
  <c r="M14" i="1"/>
  <c r="N14" i="1" s="1"/>
  <c r="M60" i="1"/>
  <c r="N60" i="1" s="1"/>
  <c r="M48" i="1"/>
  <c r="N48" i="1" s="1"/>
  <c r="M24" i="1"/>
  <c r="N24" i="1" s="1"/>
  <c r="M54" i="1"/>
  <c r="N54" i="1" s="1"/>
  <c r="M30" i="1"/>
  <c r="N30" i="1" s="1"/>
  <c r="M36" i="1"/>
  <c r="N36" i="1" s="1"/>
  <c r="O54" i="1" l="1"/>
  <c r="P54" i="1"/>
  <c r="Z42" i="18"/>
  <c r="T18" i="18"/>
  <c r="N18" i="18"/>
  <c r="T26" i="18"/>
  <c r="N34" i="18"/>
  <c r="T34" i="18"/>
  <c r="N42" i="18"/>
  <c r="Z18" i="18"/>
  <c r="N10" i="18"/>
  <c r="AF26" i="18"/>
  <c r="Z10" i="18"/>
  <c r="AL34" i="18"/>
  <c r="AF42" i="18"/>
  <c r="AL10" i="18"/>
  <c r="N26" i="18"/>
  <c r="AL18" i="18"/>
  <c r="AL42" i="18"/>
  <c r="AF18" i="18"/>
  <c r="Z26" i="18"/>
  <c r="AF10" i="18"/>
  <c r="AF34" i="18"/>
  <c r="T10" i="18"/>
  <c r="T42" i="18"/>
  <c r="Z34" i="18"/>
  <c r="AL26" i="18"/>
  <c r="O24" i="1"/>
  <c r="P24" i="1"/>
  <c r="P16" i="18"/>
  <c r="P40" i="18"/>
  <c r="V32" i="18"/>
  <c r="J24" i="18"/>
  <c r="P24" i="18"/>
  <c r="P32" i="18"/>
  <c r="V8" i="18"/>
  <c r="AH24" i="18"/>
  <c r="AH8" i="18"/>
  <c r="P8" i="18"/>
  <c r="J8" i="18"/>
  <c r="AB32" i="18"/>
  <c r="AB8" i="18"/>
  <c r="AB40" i="18"/>
  <c r="J32" i="18"/>
  <c r="AH16" i="18"/>
  <c r="V16" i="18"/>
  <c r="AH40" i="18"/>
  <c r="AH32" i="18"/>
  <c r="J16" i="18"/>
  <c r="AB16" i="18"/>
  <c r="V40" i="18"/>
  <c r="AB24" i="18"/>
  <c r="J40" i="18"/>
  <c r="V24" i="18"/>
  <c r="P48" i="1"/>
  <c r="O48" i="1"/>
  <c r="R18" i="18"/>
  <c r="AJ10" i="18"/>
  <c r="L18" i="18"/>
  <c r="AJ34" i="18"/>
  <c r="R26" i="18"/>
  <c r="AJ42" i="18"/>
  <c r="R10" i="18"/>
  <c r="X42" i="18"/>
  <c r="L26" i="18"/>
  <c r="R34" i="18"/>
  <c r="L34" i="18"/>
  <c r="AJ18" i="18"/>
  <c r="R42" i="18"/>
  <c r="X26" i="18"/>
  <c r="AD26" i="18"/>
  <c r="X18" i="18"/>
  <c r="AD42" i="18"/>
  <c r="AJ26" i="18"/>
  <c r="X34" i="18"/>
  <c r="L10" i="18"/>
  <c r="L42" i="18"/>
  <c r="X10" i="18"/>
  <c r="AD18" i="18"/>
  <c r="AD10" i="18"/>
  <c r="AD34" i="18"/>
  <c r="O60" i="1"/>
  <c r="P60" i="1"/>
  <c r="V12" i="18"/>
  <c r="V36" i="18"/>
  <c r="V20" i="18"/>
  <c r="V44" i="18"/>
  <c r="V28" i="18"/>
  <c r="AH28" i="18"/>
  <c r="J28" i="18"/>
  <c r="P20" i="18"/>
  <c r="AB20" i="18"/>
  <c r="AH36" i="18"/>
  <c r="J36" i="18"/>
  <c r="AB44" i="18"/>
  <c r="P36" i="18"/>
  <c r="AH44" i="18"/>
  <c r="AB36" i="18"/>
  <c r="J12" i="18"/>
  <c r="J44" i="18"/>
  <c r="AB28" i="18"/>
  <c r="AH12" i="18"/>
  <c r="J20" i="18"/>
  <c r="P12" i="18"/>
  <c r="P28" i="18"/>
  <c r="P44" i="18"/>
  <c r="AB12" i="18"/>
  <c r="AH20" i="18"/>
  <c r="L30" i="18"/>
  <c r="R38" i="18"/>
  <c r="AJ14" i="18"/>
  <c r="R14" i="18"/>
  <c r="L14" i="18"/>
  <c r="AD22" i="18"/>
  <c r="AD30" i="18"/>
  <c r="AJ38" i="18"/>
  <c r="AJ22" i="18"/>
  <c r="X30" i="18"/>
  <c r="P14" i="1"/>
  <c r="AJ6" i="18"/>
  <c r="L38" i="18"/>
  <c r="AD14" i="18"/>
  <c r="X38" i="18"/>
  <c r="R30" i="18"/>
  <c r="AD38" i="18"/>
  <c r="AD6" i="18"/>
  <c r="O14" i="1"/>
  <c r="AD14" i="1" s="1"/>
  <c r="L22" i="18"/>
  <c r="R6" i="18"/>
  <c r="X14" i="18"/>
  <c r="X22" i="18"/>
  <c r="X6" i="18"/>
  <c r="AJ30" i="18"/>
  <c r="R22" i="18"/>
  <c r="L6" i="18"/>
  <c r="O42" i="1"/>
  <c r="P42" i="1"/>
  <c r="AB10" i="18"/>
  <c r="J18" i="18"/>
  <c r="P18" i="18"/>
  <c r="AB18" i="18"/>
  <c r="P34" i="18"/>
  <c r="AH18" i="18"/>
  <c r="J26" i="18"/>
  <c r="AH10" i="18"/>
  <c r="AB42" i="18"/>
  <c r="V18" i="18"/>
  <c r="AB34" i="18"/>
  <c r="V10" i="18"/>
  <c r="P26" i="18"/>
  <c r="P42" i="18"/>
  <c r="V34" i="18"/>
  <c r="AH26" i="18"/>
  <c r="J10" i="18"/>
  <c r="V42" i="18"/>
  <c r="V26" i="18"/>
  <c r="J42" i="18"/>
  <c r="AB26" i="18"/>
  <c r="J34" i="18"/>
  <c r="AH34" i="18"/>
  <c r="P10" i="18"/>
  <c r="AH42" i="18"/>
  <c r="O36" i="1"/>
  <c r="P36" i="1"/>
  <c r="AL32" i="18"/>
  <c r="N40" i="18"/>
  <c r="AF16" i="18"/>
  <c r="T8" i="18"/>
  <c r="AL8" i="18"/>
  <c r="Z8" i="18"/>
  <c r="AF40" i="18"/>
  <c r="Z32" i="18"/>
  <c r="N24" i="18"/>
  <c r="AL40" i="18"/>
  <c r="T40" i="18"/>
  <c r="AL24" i="18"/>
  <c r="T24" i="18"/>
  <c r="Z16" i="18"/>
  <c r="AL16" i="18"/>
  <c r="N8" i="18"/>
  <c r="AF32" i="18"/>
  <c r="AF8" i="18"/>
  <c r="AF24" i="18"/>
  <c r="T16" i="18"/>
  <c r="Z24" i="18"/>
  <c r="Z40" i="18"/>
  <c r="N32" i="18"/>
  <c r="N16" i="18"/>
  <c r="T32" i="18"/>
  <c r="J30" i="18"/>
  <c r="P38" i="18"/>
  <c r="AB6" i="18"/>
  <c r="AB38" i="18"/>
  <c r="AB30" i="18"/>
  <c r="V38" i="18"/>
  <c r="J14" i="18"/>
  <c r="J38" i="18"/>
  <c r="AH6" i="18"/>
  <c r="V6" i="18"/>
  <c r="O10" i="1"/>
  <c r="AD10" i="1" s="1"/>
  <c r="AC10" i="1" s="1"/>
  <c r="AH38" i="18"/>
  <c r="J6" i="18"/>
  <c r="P30" i="18"/>
  <c r="AH22" i="18"/>
  <c r="P6" i="18"/>
  <c r="P22" i="18"/>
  <c r="P10" i="1"/>
  <c r="V30" i="18"/>
  <c r="AH14" i="18"/>
  <c r="AH30" i="18"/>
  <c r="J22" i="18"/>
  <c r="AB22" i="18"/>
  <c r="P14" i="18"/>
  <c r="V22" i="18"/>
  <c r="V14" i="18"/>
  <c r="AB14" i="18"/>
  <c r="P30" i="1"/>
  <c r="O30" i="1"/>
  <c r="L16" i="18"/>
  <c r="AJ16" i="18"/>
  <c r="R8" i="18"/>
  <c r="AD32" i="18"/>
  <c r="R24" i="18"/>
  <c r="R32" i="18"/>
  <c r="AD8" i="18"/>
  <c r="X40" i="18"/>
  <c r="AD16" i="18"/>
  <c r="AJ32" i="18"/>
  <c r="L32" i="18"/>
  <c r="X8" i="18"/>
  <c r="L40" i="18"/>
  <c r="AJ8" i="18"/>
  <c r="L8" i="18"/>
  <c r="R40" i="18"/>
  <c r="X16" i="18"/>
  <c r="AJ24" i="18"/>
  <c r="AJ40" i="18"/>
  <c r="R16" i="18"/>
  <c r="AD40" i="18"/>
  <c r="X32" i="18"/>
  <c r="AD24" i="18"/>
  <c r="L24" i="18"/>
  <c r="X24" i="18"/>
  <c r="O18" i="1"/>
  <c r="P18" i="1"/>
  <c r="AL6" i="18"/>
  <c r="Z30" i="18"/>
  <c r="N30" i="18"/>
  <c r="AF30" i="18"/>
  <c r="Z6" i="18"/>
  <c r="AL38" i="18"/>
  <c r="N14" i="18"/>
  <c r="T14" i="18"/>
  <c r="AL14" i="18"/>
  <c r="N22" i="18"/>
  <c r="Z38" i="18"/>
  <c r="T22" i="18"/>
  <c r="AF6" i="18"/>
  <c r="AF38" i="18"/>
  <c r="T38" i="18"/>
  <c r="N6" i="18"/>
  <c r="AL22" i="18"/>
  <c r="T6" i="18"/>
  <c r="N38" i="18"/>
  <c r="Z14" i="18"/>
  <c r="AF22" i="18"/>
  <c r="AL30" i="18"/>
  <c r="T30" i="18"/>
  <c r="Z22" i="18"/>
  <c r="AF14" i="18"/>
  <c r="AC14" i="1" l="1"/>
  <c r="AE14" i="1" s="1"/>
  <c r="AD15" i="1"/>
  <c r="V26" i="19"/>
  <c r="AH36" i="19"/>
  <c r="P26" i="19"/>
  <c r="V16" i="19"/>
  <c r="V36" i="19"/>
  <c r="AE10" i="1"/>
  <c r="AB36" i="19"/>
  <c r="AB6" i="19"/>
  <c r="P36" i="19"/>
  <c r="J36" i="19"/>
  <c r="AH46" i="19"/>
  <c r="J16" i="19"/>
  <c r="AH16" i="19"/>
  <c r="J26" i="19"/>
  <c r="V6" i="19"/>
  <c r="J46" i="19"/>
  <c r="V46" i="19"/>
  <c r="AB46" i="19"/>
  <c r="P16" i="19"/>
  <c r="P6" i="19"/>
  <c r="AH6" i="19"/>
  <c r="J6" i="19"/>
  <c r="P46" i="19"/>
  <c r="AB26" i="19"/>
  <c r="AB16" i="19"/>
  <c r="AH26" i="19"/>
  <c r="J17" i="19" l="1"/>
  <c r="AH27" i="19"/>
  <c r="P37" i="19"/>
  <c r="J27" i="19"/>
  <c r="V17" i="19"/>
  <c r="AB37" i="19"/>
  <c r="J47" i="19"/>
  <c r="P7" i="19"/>
  <c r="V37" i="19"/>
  <c r="J37" i="19"/>
  <c r="P47" i="19"/>
  <c r="P27" i="19"/>
  <c r="AB17" i="19"/>
  <c r="V47" i="19"/>
  <c r="AB27" i="19"/>
  <c r="V7" i="19"/>
  <c r="P17" i="19"/>
  <c r="AB47" i="19"/>
  <c r="V27" i="19"/>
  <c r="J7" i="19"/>
  <c r="AH7" i="19"/>
  <c r="AB7" i="19"/>
  <c r="AH47" i="19"/>
  <c r="AH17" i="19"/>
  <c r="AH37" i="19"/>
  <c r="AC15" i="1"/>
  <c r="AE15" i="1" s="1"/>
  <c r="AD16" i="1"/>
  <c r="AC16" i="1" s="1"/>
  <c r="Q47" i="19" l="1"/>
  <c r="AI37" i="19"/>
  <c r="AC37" i="19"/>
  <c r="AI27" i="19"/>
  <c r="K37" i="19"/>
  <c r="W27" i="19"/>
  <c r="W17" i="19"/>
  <c r="AC27" i="19"/>
  <c r="AI17" i="19"/>
  <c r="W47" i="19"/>
  <c r="Q17" i="19"/>
  <c r="K47" i="19"/>
  <c r="K7" i="19"/>
  <c r="Q27" i="19"/>
  <c r="AC7" i="19"/>
  <c r="W7" i="19"/>
  <c r="AI7" i="19"/>
  <c r="AC17" i="19"/>
  <c r="K17" i="19"/>
  <c r="AI47" i="19"/>
  <c r="AC47" i="19"/>
  <c r="K27" i="19"/>
  <c r="W37" i="19"/>
  <c r="Q37" i="19"/>
  <c r="Q7" i="19"/>
  <c r="AE16" i="1"/>
  <c r="AJ7" i="19"/>
  <c r="X47" i="19"/>
  <c r="L47" i="19"/>
  <c r="R47" i="19"/>
  <c r="X7" i="19"/>
  <c r="AJ37" i="19"/>
  <c r="L7" i="19"/>
  <c r="R37" i="19"/>
  <c r="AD37" i="19"/>
  <c r="AJ17" i="19"/>
  <c r="L27" i="19"/>
  <c r="L17" i="19"/>
  <c r="AD7" i="19"/>
  <c r="R27" i="19"/>
  <c r="X37" i="19"/>
  <c r="X27" i="19"/>
  <c r="AD27" i="19"/>
  <c r="AD17" i="19"/>
  <c r="L37" i="19"/>
  <c r="X17" i="19"/>
  <c r="AJ47" i="19"/>
  <c r="AD47" i="19"/>
  <c r="R17" i="19"/>
  <c r="R7" i="19"/>
  <c r="AJ27"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<sst xmlns="http://schemas.openxmlformats.org/spreadsheetml/2006/main" count="516" uniqueCount="252">
  <si>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</si>
  <si>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</si>
  <si>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</si>
  <si>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</si>
  <si>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</si>
  <si>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</si>
  <si>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</si>
  <si>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</si>
  <si>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</si>
  <si>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</si>
  <si>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</si>
  <si>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</si>
  <si>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</si>
  <si>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</si>
  <si>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</si>
  <si>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</si>
  <si>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</si>
  <si>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</si>
  <si>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</si>
  <si>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</si>
  <si>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</si>
  <si>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</si>
  <si>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</si>
  <si>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</si>
  <si>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</si>
  <si>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</si>
  <si>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</si>
  <si>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</si>
  <si>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</si>
  <si>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</si>
  <si>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</si>
  <si>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</si>
  <si>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</si>
  <si>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</si>
  <si>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</si>
  <si>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</si>
  <si>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</si>
  <si>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</si>
  <si>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</si>
  <si>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</si>
  <si>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</si>
  <si>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</si>
  <si>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</si>
  <si>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</si>
  <si>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</si>
  <si>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</si>
  <si>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</si>
  <si>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</si>
  <si>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</si>
  <si>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</si>
  <si>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</si>
  <si>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</si>
  <si>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</si>
  <si>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</si>
  <si>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</si>
  <si>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</si>
  <si>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</si>
  <si>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</si>
  <si>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</si>
  <si>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</si>
  <si>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</si>
  <si>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</si>
  <si>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</si>
  <si>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</si>
  <si>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</si>
  <si>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</si>
  <si>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</si>
  <si>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</si>
  <si>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</si>
  <si>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</si>
  <si>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</si>
  <si>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</si>
  <si>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</si>
  <si>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</si>
  <si>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</si>
  <si>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</si>
  <si>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</si>
  <si>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</si>
  <si>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</si>
  <si>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</si>
  <si>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</si>
  <si>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</si>
  <si>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</si>
  <si>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</si>
  <si>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</si>
  <si>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</si>
  <si>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</si>
  <si>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</si>
  <si>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</si>
  <si>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</si>
  <si>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</si>
  <si>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</si>
  <si>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</si>
  <si>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</si>
  <si>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</si>
  <si>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</si>
  <si>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</si>
  <si>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</si>
  <si>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</si>
  <si>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</si>
  <si>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</si>
  <si>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</si>
  <si>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</si>
  <si>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</si>
  <si>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</si>
  <si>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</si>
  <si>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</si>
  <si>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</si>
  <si>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</si>
  <si>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</si>
  <si>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</si>
  <si>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</si>
  <si>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</si>
  <si>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</si>
  <si>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</si>
  <si>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</si>
  <si>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</si>
  <si>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</si>
  <si>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</si>
  <si>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</si>
  <si>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</si>
  <si>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</si>
  <si>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</si>
  <si>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</si>
  <si>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</si>
  <si>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</si>
  <si>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</si>
  <si>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</si>
  <si>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</si>
  <si>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</si>
  <si>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</si>
  <si>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</si>
  <si>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</si>
  <si>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</si>
  <si>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</si>
  <si>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</si>
  <si>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</si>
  <si>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</si>
  <si>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</si>
  <si>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</si>
  <si>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</si>
  <si>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</si>
  <si>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</si>
  <si>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</si>
  <si>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</si>
  <si>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</si>
  <si>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</si>
  <si>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</si>
  <si>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</si>
  <si>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</si>
  <si>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</si>
  <si>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</si>
  <si>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</si>
  <si>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</si>
  <si>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</si>
  <si>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</si>
  <si>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</si>
  <si>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</si>
  <si>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</si>
  <si>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</si>
  <si>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</si>
  <si>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</si>
  <si>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</si>
  <si>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</si>
  <si>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</si>
  <si>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</si>
  <si>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</si>
  <si>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</si>
  <si>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</si>
  <si>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</si>
  <si>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</si>
  <si>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</si>
  <si>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</si>
  <si>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</si>
  <si>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</si>
  <si>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</si>
  <si>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</si>
  <si>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</si>
  <si>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</si>
  <si>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</si>
  <si>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</si>
  <si>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</si>
  <si>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</si>
  <si>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</si>
  <si>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</si>
  <si>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</si>
  <si>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</si>
  <si>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</si>
  <si>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</si>
  <si>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</si>
  <si>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</si>
  <si>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</si>
  <si>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</si>
  <si>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</si>
  <si>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</si>
  <si>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</si>
  <si>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</si>
  <si>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</si>
  <si>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</si>
  <si>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</si>
  <si>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</si>
  <si>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</si>
  <si>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</si>
  <si>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</si>
  <si>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</si>
  <si>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</si>
  <si>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</si>
  <si>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</si>
  <si>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</si>
  <si>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</si>
  <si>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</si>
  <si>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</si>
  <si>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</si>
  <si>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</si>
  <si>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xml:space="preserve">     Entre 5000 y 10000 SMLMV</t>
  </si>
  <si>
    <t/>
  </si>
  <si>
    <t>Gestión inoportuna para dar cumplimiento a las providencias  por parte de los Secretarios de Despacho</t>
  </si>
  <si>
    <t>Insuficiencia o inoportunidad en la entrega de informes y/o elementos materiales probatorios que se deban presentar en la actuaciones procesales por parte de las dependencias ejecutoras</t>
  </si>
  <si>
    <t xml:space="preserve">Sanciones Disciplinarias, penales y administrativas -  incidentes de desacato  </t>
  </si>
  <si>
    <t>i</t>
  </si>
  <si>
    <t xml:space="preserve">
inadecuada defensa juridica </t>
  </si>
  <si>
    <t xml:space="preserve">fallos desfavorables en los procesos judiciales </t>
  </si>
  <si>
    <t>la jefe de oficina junto con los asesores y contratistas que ejercen Representacion Judicial, verifican la aplicacion de la adecuada normatividad en el caso concreto, en un comite juridico cada dos meses, en el que se estudien los procesos mas relavantes y la normatividad aplicable a los procesos que cursen en la dependencia, dejando acta de lo socializado en el comite.</t>
  </si>
  <si>
    <t>probabilidad</t>
  </si>
  <si>
    <t>No cumplimiento de las decisiones impartidas por los  despachos judiciales</t>
  </si>
  <si>
    <t xml:space="preserve"> </t>
  </si>
  <si>
    <t xml:space="preserve">Ausencia de propuestas de defensa  al interor de cada caso en concreto </t>
  </si>
  <si>
    <t>La Jefe de oficina juridica, junto con su equipo de tecnicos operativos  verifica en el sistema de control de procesos judiciales, disciplinarios y contratos de la alcaldia de Ibauge SOFTCON  si los apoderados judiciales  han realizado la valoracion de probabilidad de condena de los procesos que tienen a cargo., dejando como evidencia la actuacion registrada en SOFTCON.</t>
  </si>
  <si>
    <t>falta de actualizacion de las normas y jurisprudencia aplicable a cada caso concreto.</t>
  </si>
  <si>
    <t xml:space="preserve">la jefe de oficina juridica junto con los asesores y contratistas que ejercen Representacion Judicial, constatan el cumplimiento de las sentencias judiciales por parte de los secretarios de despacho y directores, mediante remision de memorandos solicitando el informe de cumplimiento de la decision judicial a la secretaria competente, cada vez que lo requiera el despacho judicial, previo control semanal de los procesos asignados a cada apoderado judicial, quedando como evidencia en PISAMI el memorando remisorio. 
</t>
  </si>
  <si>
    <r>
      <t xml:space="preserve">La Jefe de oficina juridica, enviara a capacitaciones al personal de la oficina para la actualizacion de la normatividad vigente, </t>
    </r>
    <r>
      <rPr>
        <b/>
        <sz val="11"/>
        <color rgb="FFFF0000"/>
        <rFont val="Arial Narrow"/>
        <family val="2"/>
      </rPr>
      <t>cuando por medio de la Direccion de Talento Humano se de la posiblidad</t>
    </r>
    <r>
      <rPr>
        <sz val="11"/>
        <color theme="1"/>
        <rFont val="Arial Narrow"/>
        <family val="2"/>
      </rPr>
      <t xml:space="preserve">  y  validara la la socializacion de los conocimientos adquiridos atravez de los comites juridicos dirigidos por los asistentes a la capacitacion, quienes socializaran al personal de la oficina juridica, dejando como evidencia acta. </t>
    </r>
  </si>
  <si>
    <t>GESTION JURIDICA</t>
  </si>
  <si>
    <t>ASUMIR Y EJERCER LA TOTALIDAD DE LA DEFENSA JURÍDICA DEL MUNICIPIO DE IBAGUÉ, A PARTIR DE LA REPRESENTACIÓN JUDICIAL, EXTRAJUDICIAL O ADMINISTRATIVA Y LA ASESORÍA SISTEMÁTICA Y PERMANENTE DE LAS ACTUACIONES DE LA ADMINISTRACIÓN CENTRAL, EN ARAS DE LA PROTECCIÓN DEL PATRIMONIO PÚBLICO Y SALVAGUARDA DEL ORDENAMIENTO JURÍDICO.</t>
  </si>
  <si>
    <t>INICIA CON LA PLANEACIÓN DEL PROCESO, CONTINUA CON EL ACOMPAÑAMIENTO Y EL SOPORTE LEGAL EN TODAS LAS ACTUACIONES Y DECISIONES QUE SE TOMEN A NIVEL DE LA ADMINISTRACIÓN CENTRAL MUNICIPAL, LA REPRESENTACIÓN JUDICIAL, EXTRAJUDICIAL O ADMINISTRATIVA, LA NOTIFICACIÓN DE ACCIONES JUDICIALES QUE INVOLUCREN A LA ENTIDAD O LA INTERPOSICION DE ACCIONES JUDICIALES EN DEFENSA DE LOS INTERESES DE LA ENTIDAD, Y LA SENTENCIA DEBIDAMENTE EJECUTORIADA HASTA LA ADOPCIÓN DE LA DECISIÓN PROFERIDA POR LA AUTORIDAD COMPETENTE, EL SEGUIMIENTO A SU CUMPLIMIENTO Y EL PAGO DE LAS SUMAS DE DINERO PRODUCTO DE CONDENAS. FINALIZA CON EL SEGUIMIENTO Y EVALUACIÓN DEL PROCESO.</t>
  </si>
  <si>
    <t xml:space="preserve">posibilidad de perdida economica y reputacional, por sanciones disciplinarias e incidente de desacato, debido a la Gestión inoportuna para dar cumplimiento a las providencias  por parte de los Secretarios de Despacho </t>
  </si>
  <si>
    <t xml:space="preserve">EFECTUAR SEGUIMIENTO AL CUMPLIMIENTO DEL FALLO CONDENATORIO  PRO-GJ-001 
EJERCER LA REPRESENTACIÓN DEL MUNICIPIO EN EL PROCESO JUDICIAL  PRO-GJ-001 
REALIZAR ASESORÍA Y ACOMPAÑAMIENTO JURÍDICO PRO-GJ-003
                          </t>
  </si>
  <si>
    <t xml:space="preserve">Posibilidad de perdida econocmica y reputacional, por los fallos desfavorables en los procesos judiciales debido a la Ausencia de propuestas de defensa  al interor de cada caso en concreto y/o por falta de actualizacion de las normas y jurisprudencia aplicable a cada caso concreto.
</t>
  </si>
  <si>
    <t>SEGUIMIENTO,, CONTROL, EVALUACION Y ACTIVIDADES DE CONTROL ADICIONALES (ENERO Y FEBRERO 2023)</t>
  </si>
  <si>
    <r>
      <t xml:space="preserve">frente a la presente Actividad, y de acuerdo a lo previsto durante el monitoreo y revisión del Mapa de riesgos de la Oficina Jurídica,se evidencio lo siguiente:
</t>
    </r>
    <r>
      <rPr>
        <b/>
        <sz val="11"/>
        <color theme="1"/>
        <rFont val="Arial Narrow"/>
        <family val="2"/>
      </rPr>
      <t>AUTOEVALUACION ENERO:</t>
    </r>
    <r>
      <rPr>
        <sz val="11"/>
        <color theme="1"/>
        <rFont val="Arial Narrow"/>
        <family val="2"/>
      </rPr>
      <t xml:space="preserve"> mediante los memorandos: 
- No.2023-002928, en el que se solicito el cumplimiento de orden judicial dentro de la ACCION DE TUTELA PROMOVIDA POR MARIA DIVA ROMERO GALENAO RAD 00229-2022. 
 - No.2023-002897 solicitando el cumplimiento de orden judicial dentro de la ACCION POPULAR PROMOVIDA POR EDGAR PIÑEROS HERNANDEZ RAD 00416-2015
- No. 2023-002517 solicitando cumplimiento de orden judicial dentro de la TUTELA PROMOVIDA POR NICOLAS ALVAREZ BERNAL RAD 00037-2023.
</t>
    </r>
    <r>
      <rPr>
        <b/>
        <sz val="11"/>
        <color theme="1"/>
        <rFont val="Arial Narrow"/>
        <family val="2"/>
      </rPr>
      <t>AUTOEVALUACION  FEBRERO</t>
    </r>
    <r>
      <rPr>
        <sz val="11"/>
        <color theme="1"/>
        <rFont val="Arial Narrow"/>
        <family val="2"/>
      </rPr>
      <t>:: medinate los memorandos 
- No.2023-005585 solicitando cumplimiento de fallo judicial dentro de la  ACCION POPULAR PROMOVIDA POR LA PERSONERIA MUNICIPAL RAD 00252-2007
- No. 2023-006207, en el que se solicita el cumplimiento de orden judicial  dentro de la  ACCION DE TUTELA DE JINNETH ALEJANDRA RUIZ AGUIRRE RAD 0010-2015.
- No. 2023-006902 para el cumplimiento de orden judicial dentro de la ACCION DE TUTELA PROMOVIDA POR EFRAIN AVILA RAMIREZ RAD 00009-2023.</t>
    </r>
  </si>
  <si>
    <r>
      <t xml:space="preserve">Frente a la presente Actividad, y De acuerdo a lo previsto durante el monitoreo y revisión del Mapa de riesgos de la Oficina Jurídica, se realizo la   siguiente: 
</t>
    </r>
    <r>
      <rPr>
        <b/>
        <sz val="11"/>
        <color theme="1"/>
        <rFont val="Arial Narrow"/>
        <family val="2"/>
      </rPr>
      <t xml:space="preserve">
 AUTOEVALUCION: - FEBRERO
</t>
    </r>
    <r>
      <rPr>
        <sz val="11"/>
        <color theme="1"/>
        <rFont val="Arial Narrow"/>
        <family val="2"/>
      </rPr>
      <t xml:space="preserve">La Jefe de Oficina Juridica,  emitio 2 memorandos solicitando a los abogados de la oficina realizar la valoracion de probabilidad  de perdida de los procesos judiciales que tienen a cargo.
- Memorando No2023-003993 del 06/02/2023. 
- Memorando No. 2023-006063 del 17/02/2023
</t>
    </r>
  </si>
  <si>
    <t xml:space="preserve">Frente a la presente Actividad y de acuerdo a lo previsto durante el monitoreo y revisión del Mapa de riesgos de la Oficina Jurídica, se, evidencio que para el cumplimiento de esta actividad de control adicional, es necesario de la disponibilidad que tenga la Direccion de talento Humano,  Por lo tanto para el periodo de Enero - Febrero no se envio personal a capacitacion. </t>
  </si>
  <si>
    <r>
      <rPr>
        <b/>
        <sz val="11"/>
        <color theme="1"/>
        <rFont val="Arial Narrow"/>
        <family val="2"/>
      </rPr>
      <t>ACTIVIDAD DE CONTRO</t>
    </r>
    <r>
      <rPr>
        <sz val="11"/>
        <color theme="1"/>
        <rFont val="Arial Narrow"/>
        <family val="2"/>
      </rPr>
      <t xml:space="preserve">L: frente a la presente Actividad y de acuerdo a lo previsto durante el monitoreo y revisión del Mapa de riesgos de la Oficina Jurídica, durante el periodo de enero y febrero, no se realizaron comites juridicos. </t>
    </r>
  </si>
  <si>
    <r>
      <t xml:space="preserve">frente a la presente Actividad, y de acuerdo a lo previsto durante el monitoreo y revisión del Mapa de riesgos de la Oficina Jurídica,se evidencio lo siguiente:
</t>
    </r>
    <r>
      <rPr>
        <b/>
        <sz val="11"/>
        <color theme="1"/>
        <rFont val="Arial Narrow"/>
        <family val="2"/>
      </rPr>
      <t>AUTOEVALUACION MARZO:</t>
    </r>
    <r>
      <rPr>
        <sz val="11"/>
        <color theme="1"/>
        <rFont val="Arial Narrow"/>
        <family val="2"/>
      </rPr>
      <t xml:space="preserve"> mediante los memorandos: 
- No.2023-012720 del 29/03/2023, en el que se solicito el cumplimiento de orden judicial dentro de laLA ACCION POPULAR PROMOVIDA POR LA PERSONERIA DE IBAGUE RAD 00141-2021. 
 - No.2023-013210 del 31/03/2023 solicitando el cumplimiento de orden judicial dentro de la ACCION POPULAR PROMOVIDA POR LA PROCURADURIA JUDICIAL AMBIENTAL Y AGRARIA RAD 00123-2008
- No. 2023-011533 del 22/03/2023, solicitando cumplimiento de orden judicial dentro de la ACCION DE TUTELA PROMOVIDA POR DANNA CAMILA ORTIZ ENCISO RAD 00020-2023.
</t>
    </r>
    <r>
      <rPr>
        <b/>
        <sz val="11"/>
        <color theme="1"/>
        <rFont val="Arial Narrow"/>
        <family val="2"/>
      </rPr>
      <t>AUTOEVALUACION  ABRIL</t>
    </r>
    <r>
      <rPr>
        <sz val="11"/>
        <color theme="1"/>
        <rFont val="Arial Narrow"/>
        <family val="2"/>
      </rPr>
      <t>:: medinate los memorandos 
- No.2023-016756 del 28/04/2023, solicitando cumplimiento de fallo judicial dentro de la  ACCION DE TUTELA PROMOVIDA POR JOSE ANDRES GUAYARA SALCEDO RAD 000183-2023.
- No.2023-016751, en el que se solicita el cumplimiento de orden judicial  dentro de la  ACCION DE TUTELA PROMOVIDA POR JUAN MANUEL TRIANA OTAVO RAD 00171-2023.
- No. 2023-016623 del 27/04/2023 para el cumplimiento de orden judicial dentro de la ACCION DE TUTELA PROMOVIDA POR CLARA IMELDA MORALES SAAVEDRA RAD 00318-2022..</t>
    </r>
  </si>
  <si>
    <r>
      <rPr>
        <b/>
        <sz val="11"/>
        <color theme="1"/>
        <rFont val="Arial Narrow"/>
        <family val="2"/>
      </rPr>
      <t>ACTIVIDAD DE CONTRO</t>
    </r>
    <r>
      <rPr>
        <sz val="11"/>
        <color theme="1"/>
        <rFont val="Arial Narrow"/>
        <family val="2"/>
      </rPr>
      <t>L: frente a la presente Actividad y de acuerdo a lo previsto durante el monitoreo y revisión del Mapa de riesgos de la Oficina Jurídica, durante el periodo de marzo a abril se realizo en comité juridico, el cual fue convocado mediante el memorando No. 2023-014842 el cual se llevo a cabo el 20 de abril de 2023.</t>
    </r>
  </si>
  <si>
    <r>
      <t xml:space="preserve">Frente a la presente Actividad, y De acuerdo a lo previsto durante el monitoreo y revisión del Mapa de riesgos de la Oficina Jurídica, se realizo la   siguiente: </t>
    </r>
    <r>
      <rPr>
        <b/>
        <sz val="11"/>
        <color theme="1"/>
        <rFont val="Arial Narrow"/>
        <family val="2"/>
      </rPr>
      <t xml:space="preserve">
 AUTOEVALUCION: - ABRIL
</t>
    </r>
    <r>
      <rPr>
        <sz val="11"/>
        <color theme="1"/>
        <rFont val="Arial Narrow"/>
        <family val="2"/>
      </rPr>
      <t xml:space="preserve">La Jefe de Oficina Juridica,  emitio 1 memorando solicitando al funcionario JOHNNY GILBERTO MARTINEZ,  realizar la valoracion de probabilidad  de perdida de los procesos judiciales que tienen a cargo.
- Memorando No. 2023-014012 del 12 de abril de 2023
</t>
    </r>
  </si>
  <si>
    <t xml:space="preserve">Frente a la presente Actividad y de acuerdo a lo previsto durante el monitoreo y revisión del Mapa de riesgos de la Oficina Jurídica, se, evidencio que para el cumplimiento de esta actividad de control adicional, es necesario de la disponibilidad que tenga la Direccion de talento Humano,  Por lo tanto para el periodo de marzo a abril,  no se envio personal a capacitacion. </t>
  </si>
  <si>
    <t>SEGUIMIENTO,, CONTROL, EVALUACION Y ACTIVIDADES DE CONTROL ADICIONALES (MARZO - ABRIL DE 2023)</t>
  </si>
  <si>
    <t>SEGUIMIENTO,, CONTROL, EVALUACION Y ACTIVIDADES DE CONTROL ADICIONALES (MAYO Y JUNIO DE 2023)</t>
  </si>
  <si>
    <r>
      <t xml:space="preserve">frente a la presente Actividad, y de acuerdo a lo previsto durante el monitoreo y revisión del Mapa de riesgos de la Oficina Jurídica,se evidencio lo siguiente:
</t>
    </r>
    <r>
      <rPr>
        <b/>
        <sz val="11"/>
        <color theme="1"/>
        <rFont val="Arial Narrow"/>
        <family val="2"/>
      </rPr>
      <t>AUTOEVALUACION MAYO:</t>
    </r>
    <r>
      <rPr>
        <sz val="11"/>
        <color theme="1"/>
        <rFont val="Arial Narrow"/>
        <family val="2"/>
      </rPr>
      <t xml:space="preserve"> mediante los memorandos: 
- No.2023-021574 del 30/05/2023, DENTRO DE LA ACCION POPULAR PROMOVIDO POR LA PERSONERIA MUNICIPAL RAD 00295-2022 PARA SU CUMPLIMIENTO. 
 - No.2023-021174 del 26/05/2023 solicitando el cumplimiento de orden judicial dentro de la  RESTITUCION DE TIERRAS DE JOSE ANTONIO RUIZ RAD 00079-2020.
- No.2023-018769 del 11/05/2023, Con El Fin De Dar Cumplimiento A Lo Ordenado Por El Despacho Judicial Dentro De La Acción Popular A&amp;E ASOCIACION PARA EL DESARROLLO RAD 00014-2010.
</t>
    </r>
    <r>
      <rPr>
        <b/>
        <sz val="11"/>
        <color theme="1"/>
        <rFont val="Arial Narrow"/>
        <family val="2"/>
      </rPr>
      <t>AUTOEVALUACION  JUNIO</t>
    </r>
    <r>
      <rPr>
        <sz val="11"/>
        <color theme="1"/>
        <rFont val="Arial Narrow"/>
        <family val="2"/>
      </rPr>
      <t>:: medinate los memorandos 
- No.2023-026813 del 30/06/2023, solicitando cumplimiento de fallo judicial dentro de la  ACCION DE TUTELA DE LA SEÑORA ELVIA MARINA CHAPARRO SACHICA RAD 00143-2023.
- No.2023-026733 del 30/06/2023, en el que se solicita el cumplimiento de orden judicial  dentro de la ACCION POPULAR PROMOVIDA POR JAVIER GUZMAN MURILLO RAD 00535-2008..
- No. 2023-0249423 del 20/06/2023 para el cumplimiento de orden judicial dentro de la ACCION DE TUTELA PROMOVIDA POR HERMAN GUSTAVO GARRIDO PRADA RAD 00126-2023..</t>
    </r>
  </si>
  <si>
    <r>
      <rPr>
        <b/>
        <sz val="11"/>
        <color theme="1"/>
        <rFont val="Arial Narrow"/>
        <family val="2"/>
      </rPr>
      <t>ACTIVIDAD DE CONTRO</t>
    </r>
    <r>
      <rPr>
        <sz val="11"/>
        <color theme="1"/>
        <rFont val="Arial Narrow"/>
        <family val="2"/>
      </rPr>
      <t>L: frente a la presente Actividad y de acuerdo a lo previsto durante el monitoreo y revisión del Mapa de riesgos de la Oficina Jurídica, durante el periodo de mayo a junio, se realizo un comité juridico, el cual fue convocado mediante el memorando No. 2023-021631 el cual se llevo a cabo el 09 de junio de 2023.</t>
    </r>
  </si>
  <si>
    <t xml:space="preserve">Frente a la presente Actividad y de acuerdo a lo previsto durante el monitoreo y revisión del Mapa de riesgos de la Oficina Jurídica, se, evidencio que para el cumplimiento de esta actividad de control adicional, mediante el memorando No. 2023-024633 del 15 de junio de 2023 la Direccio de Talento Humano remite Resolución 000135-2023 por medio de la cual se hace una comision para la funcionaria ELVIA JENNIFER MESA par a asistir al seminario de ACTUALIZACION CLAVES PARA UNA GESTION JURIDICA EFICIENTE.. </t>
  </si>
  <si>
    <r>
      <t xml:space="preserve">Frente a la presente Actividad, y De acuerdo a lo previsto durante el monitoreo y revisión del Mapa de riesgos de la Oficina Jurídica, se realizo la   siguiente: </t>
    </r>
    <r>
      <rPr>
        <b/>
        <sz val="11"/>
        <color theme="1"/>
        <rFont val="Arial Narrow"/>
        <family val="2"/>
      </rPr>
      <t xml:space="preserve">
 AUTOEVALUCION: MAYO - JUNIO 
</t>
    </r>
    <r>
      <rPr>
        <sz val="11"/>
        <color theme="1"/>
        <rFont val="Arial Narrow"/>
        <family val="2"/>
      </rPr>
      <t xml:space="preserve">durante este periodo no se evidencio la falta de valoracion  probabilidad  de perdida de los procesos judiciales, por esta razon no fue necesario solicitar a los apoderados la realizacion de la valoracion.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</si>
</sst>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
      <b/>
      <sz val="11"/>
      <color rgb="FFFF0000"/>
      <name val="Arial Narrow"/>
      <family val="2"/>
    </font>
  </fonts>
  <fills count="22">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4" tint="0.79998168889431442"/>
        <bgColor indexed="64"/>
      </patternFill>
    </fill>
  </fills>
  <borders count="89">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
      <left style="dashed">
        <color theme="9" tint="-0.24994659260841701"/>
      </left>
      <right style="dashed">
        <color theme="9" tint="-0.24994659260841701"/>
      </right>
      <top/>
      <bottom style="dashed">
        <color theme="9" tint="-0.249977111117893"/>
      </bottom>
      <diagonal/>
    </border>
    <border>
      <left style="dashed">
        <color theme="9" tint="-0.249977111117893"/>
      </left>
      <right style="dashed">
        <color theme="9" tint="-0.249977111117893"/>
      </right>
      <top style="dashed">
        <color theme="9" tint="-0.249977111117893"/>
      </top>
      <bottom/>
      <diagonal/>
    </border>
    <border>
      <left style="dashed">
        <color theme="9" tint="-0.249977111117893"/>
      </left>
      <right style="dashed">
        <color theme="9" tint="-0.249977111117893"/>
      </right>
      <top/>
      <bottom style="dashed">
        <color theme="9" tint="-0.249977111117893"/>
      </bottom>
      <diagonal/>
    </border>
    <border>
      <left style="dashed">
        <color theme="9" tint="-0.249977111117893"/>
      </left>
      <right style="dashed">
        <color theme="9" tint="-0.249977111117893"/>
      </right>
      <top/>
      <bottom/>
      <diagonal/>
    </border>
    <border>
      <left style="dashed">
        <color theme="9" tint="-0.249977111117893"/>
      </left>
      <right/>
      <top style="dashed">
        <color theme="9" tint="-0.249977111117893"/>
      </top>
      <bottom style="dashed">
        <color theme="9" tint="-0.249977111117893"/>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9" fontId="13" fillId="0" borderId="0" applyFont="0" applyFill="0" applyBorder="0" applyAlignment="0" applyProtection="0"/>
    <xf numFmtId="0" fontId="38" fillId="0" borderId="0"/>
    <xf numFmtId="0" fontId="39" fillId="0" borderId="0"/>
    <xf numFmtId="0" fontId="5" fillId="0" borderId="0"/>
  </cellStyleXfs>
  <cellXfs count="457">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22" fillId="13" borderId="19" xfId="0" applyFont="1" applyFill="1" applyBorder="1" applyAlignment="1" applyProtection="1">
      <alignment horizontal="center" wrapText="1" readingOrder="1"/>
      <protection hidden="1"/>
    </xf>
    <xf numFmtId="0" fontId="0" fillId="3" borderId="0" xfId="0" applyFill="1"/>
    <xf numFmtId="0" fontId="40" fillId="3" borderId="51" xfId="2" applyFont="1" applyFill="1" applyBorder="1"/>
    <xf numFmtId="0" fontId="40" fillId="3" borderId="52" xfId="2" applyFont="1" applyFill="1" applyBorder="1"/>
    <xf numFmtId="0" fontId="40" fillId="3" borderId="53" xfId="2" applyFont="1" applyFill="1" applyBorder="1"/>
    <xf numFmtId="0" fontId="15" fillId="3" borderId="0" xfId="0" applyFont="1" applyFill="1" applyAlignment="1">
      <alignment vertical="center"/>
    </xf>
    <xf numFmtId="0" fontId="5" fillId="3" borderId="0" xfId="0" applyFont="1" applyFill="1"/>
    <xf numFmtId="0" fontId="28" fillId="3" borderId="0" xfId="0" applyFont="1" applyFill="1"/>
    <xf numFmtId="0" fontId="29" fillId="3" borderId="34" xfId="0" applyFont="1" applyFill="1" applyBorder="1" applyAlignment="1">
      <alignment horizontal="center" vertical="center" wrapText="1" readingOrder="1"/>
    </xf>
    <xf numFmtId="0" fontId="30" fillId="3" borderId="34" xfId="0" applyFont="1" applyFill="1" applyBorder="1" applyAlignment="1">
      <alignment horizontal="justify" vertical="center" wrapText="1" readingOrder="1"/>
    </xf>
    <xf numFmtId="9" fontId="29" fillId="3" borderId="43" xfId="0" applyNumberFormat="1"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30" fillId="3" borderId="33" xfId="0" applyFont="1" applyFill="1" applyBorder="1" applyAlignment="1">
      <alignment horizontal="justify" vertical="center" wrapText="1" readingOrder="1"/>
    </xf>
    <xf numFmtId="9" fontId="29" fillId="3" borderId="38" xfId="0" applyNumberFormat="1" applyFont="1" applyFill="1" applyBorder="1" applyAlignment="1">
      <alignment horizontal="center" vertical="center" wrapText="1" readingOrder="1"/>
    </xf>
    <xf numFmtId="0" fontId="30" fillId="3" borderId="38"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30" fillId="3" borderId="40" xfId="0" applyFont="1" applyFill="1" applyBorder="1" applyAlignment="1">
      <alignment horizontal="justify" vertical="center" wrapText="1" readingOrder="1"/>
    </xf>
    <xf numFmtId="0" fontId="30" fillId="3" borderId="41" xfId="0" applyFont="1" applyFill="1" applyBorder="1" applyAlignment="1">
      <alignment horizontal="center" vertical="center" wrapText="1" readingOrder="1"/>
    </xf>
    <xf numFmtId="0" fontId="37" fillId="3" borderId="0" xfId="0" applyFont="1" applyFill="1"/>
    <xf numFmtId="0" fontId="29" fillId="15" borderId="45" xfId="0" applyFont="1" applyFill="1" applyBorder="1" applyAlignment="1">
      <alignment horizontal="center" vertical="center" wrapText="1" readingOrder="1"/>
    </xf>
    <xf numFmtId="0" fontId="29" fillId="15" borderId="46" xfId="0" applyFont="1" applyFill="1" applyBorder="1" applyAlignment="1">
      <alignment horizontal="center" vertical="center" wrapText="1" readingOrder="1"/>
    </xf>
    <xf numFmtId="0" fontId="12" fillId="3" borderId="0" xfId="0" applyFont="1" applyFill="1"/>
    <xf numFmtId="0" fontId="26" fillId="3" borderId="0" xfId="0" applyFont="1" applyFill="1" applyAlignment="1">
      <alignment horizontal="center" vertical="center" wrapText="1"/>
    </xf>
    <xf numFmtId="0" fontId="14" fillId="3" borderId="0" xfId="0" applyFont="1" applyFill="1"/>
    <xf numFmtId="0" fontId="4" fillId="3" borderId="0" xfId="0" applyFont="1" applyFill="1" applyAlignment="1">
      <alignment horizontal="left" vertical="center"/>
    </xf>
    <xf numFmtId="0" fontId="40" fillId="3" borderId="14" xfId="2" applyFont="1" applyFill="1" applyBorder="1"/>
    <xf numFmtId="0" fontId="45" fillId="3" borderId="0" xfId="0" applyFont="1" applyFill="1" applyAlignment="1">
      <alignment horizontal="left" vertical="center" wrapText="1"/>
    </xf>
    <xf numFmtId="0" fontId="46" fillId="3" borderId="0" xfId="0" applyFont="1" applyFill="1" applyAlignment="1">
      <alignment horizontal="left" vertical="top" wrapText="1"/>
    </xf>
    <xf numFmtId="0" fontId="40" fillId="3" borderId="0" xfId="2" applyFont="1" applyFill="1"/>
    <xf numFmtId="0" fontId="40" fillId="3" borderId="15" xfId="2" applyFont="1" applyFill="1" applyBorder="1"/>
    <xf numFmtId="0" fontId="40" fillId="3" borderId="16" xfId="2" applyFont="1" applyFill="1" applyBorder="1"/>
    <xf numFmtId="0" fontId="40" fillId="3" borderId="18" xfId="2" applyFont="1" applyFill="1" applyBorder="1"/>
    <xf numFmtId="0" fontId="40" fillId="3" borderId="17" xfId="2" applyFont="1" applyFill="1" applyBorder="1"/>
    <xf numFmtId="0" fontId="44" fillId="3" borderId="0" xfId="2" applyFont="1" applyFill="1" applyAlignment="1">
      <alignment horizontal="left" vertical="center" wrapText="1"/>
    </xf>
    <xf numFmtId="0" fontId="40" fillId="3" borderId="0" xfId="2" applyFont="1" applyFill="1" applyAlignment="1">
      <alignment horizontal="left" vertical="center" wrapText="1"/>
    </xf>
    <xf numFmtId="0" fontId="40" fillId="3" borderId="0" xfId="2" quotePrefix="1" applyFont="1" applyFill="1" applyAlignment="1">
      <alignment horizontal="left" vertical="center" wrapText="1"/>
    </xf>
    <xf numFmtId="0" fontId="42" fillId="3" borderId="14" xfId="2" quotePrefix="1" applyFont="1" applyFill="1" applyBorder="1" applyAlignment="1">
      <alignment horizontal="left" vertical="top" wrapText="1"/>
    </xf>
    <xf numFmtId="0" fontId="43" fillId="3" borderId="0" xfId="2" quotePrefix="1" applyFont="1" applyFill="1" applyAlignment="1">
      <alignment horizontal="left" vertical="top" wrapText="1"/>
    </xf>
    <xf numFmtId="0" fontId="4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27" fillId="0" borderId="2" xfId="0" applyFont="1" applyBorder="1" applyAlignment="1" applyProtection="1">
      <alignment horizontal="center" vertical="top" textRotation="90"/>
      <protection locked="0"/>
    </xf>
    <xf numFmtId="9" fontId="27" fillId="0" borderId="2" xfId="0" applyNumberFormat="1" applyFont="1" applyBorder="1" applyAlignment="1" applyProtection="1">
      <alignment horizontal="center" vertical="top"/>
      <protection hidden="1"/>
    </xf>
    <xf numFmtId="0" fontId="27" fillId="0" borderId="2" xfId="0" applyFont="1" applyBorder="1" applyAlignment="1" applyProtection="1">
      <alignment horizontal="center" vertical="top" wrapText="1"/>
      <protection locked="0"/>
    </xf>
    <xf numFmtId="0" fontId="27" fillId="0" borderId="2" xfId="0" applyFont="1" applyBorder="1" applyAlignment="1" applyProtection="1">
      <alignment horizontal="center" vertical="top"/>
      <protection locked="0"/>
    </xf>
    <xf numFmtId="14" fontId="27" fillId="0" borderId="2" xfId="0" applyNumberFormat="1" applyFont="1" applyBorder="1" applyAlignment="1" applyProtection="1">
      <alignment horizontal="center" vertical="top"/>
      <protection locked="0"/>
    </xf>
    <xf numFmtId="0" fontId="49" fillId="0" borderId="2" xfId="0" applyFont="1" applyBorder="1" applyAlignment="1" applyProtection="1">
      <alignment horizontal="center" vertical="top" textRotation="90" wrapText="1"/>
      <protection hidden="1"/>
    </xf>
    <xf numFmtId="9" fontId="27" fillId="0" borderId="4"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protection hidden="1"/>
    </xf>
    <xf numFmtId="0" fontId="27" fillId="0" borderId="4" xfId="0" applyFont="1" applyBorder="1" applyAlignment="1" applyProtection="1">
      <alignment horizontal="center" vertical="top" textRotation="90"/>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52" fillId="6" borderId="0" xfId="0" applyFont="1" applyFill="1" applyAlignment="1">
      <alignment horizontal="center" vertical="center" wrapText="1" readingOrder="1"/>
    </xf>
    <xf numFmtId="0" fontId="53" fillId="5" borderId="11" xfId="0" applyFont="1" applyFill="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11" xfId="0" applyFont="1" applyBorder="1" applyAlignment="1">
      <alignment horizontal="justify" vertical="center" wrapText="1" readingOrder="1"/>
    </xf>
    <xf numFmtId="0" fontId="53" fillId="7" borderId="1" xfId="0" applyFont="1" applyFill="1" applyBorder="1" applyAlignment="1">
      <alignment horizontal="center" vertical="center" wrapText="1" readingOrder="1"/>
    </xf>
    <xf numFmtId="0" fontId="53" fillId="0" borderId="1" xfId="0" applyFont="1" applyBorder="1" applyAlignment="1">
      <alignment horizontal="center" vertical="center" wrapText="1" readingOrder="1"/>
    </xf>
    <xf numFmtId="0" fontId="53" fillId="0" borderId="1" xfId="0" applyFont="1" applyBorder="1" applyAlignment="1">
      <alignment horizontal="justify" vertical="center" wrapText="1" readingOrder="1"/>
    </xf>
    <xf numFmtId="0" fontId="53" fillId="4" borderId="1" xfId="0" applyFont="1" applyFill="1" applyBorder="1" applyAlignment="1">
      <alignment horizontal="center" vertical="center" wrapText="1" readingOrder="1"/>
    </xf>
    <xf numFmtId="0" fontId="53" fillId="8" borderId="1" xfId="0" applyFont="1" applyFill="1" applyBorder="1" applyAlignment="1">
      <alignment horizontal="center" vertical="center" wrapText="1" readingOrder="1"/>
    </xf>
    <xf numFmtId="0" fontId="53" fillId="9" borderId="1" xfId="0" applyFont="1" applyFill="1" applyBorder="1" applyAlignment="1">
      <alignment horizontal="center" vertical="center" wrapText="1" readingOrder="1"/>
    </xf>
    <xf numFmtId="0" fontId="4" fillId="2" borderId="8" xfId="0" applyFont="1" applyFill="1" applyBorder="1" applyAlignment="1">
      <alignment horizontal="center" vertical="center"/>
    </xf>
    <xf numFmtId="0" fontId="1" fillId="0" borderId="75"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54" fillId="3" borderId="0" xfId="0" applyFont="1" applyFill="1" applyAlignment="1">
      <alignment horizontal="justify" vertical="center" wrapText="1" readingOrder="1"/>
    </xf>
    <xf numFmtId="0" fontId="55" fillId="3" borderId="0" xfId="0" applyFont="1" applyFill="1" applyAlignment="1">
      <alignment vertical="center"/>
    </xf>
    <xf numFmtId="0" fontId="54" fillId="0" borderId="0" xfId="0" applyFont="1" applyAlignment="1">
      <alignment horizontal="justify" vertical="center" wrapText="1" readingOrder="1"/>
    </xf>
    <xf numFmtId="0" fontId="54" fillId="0" borderId="0" xfId="0" applyFont="1" applyAlignment="1">
      <alignment vertical="center"/>
    </xf>
    <xf numFmtId="0" fontId="12" fillId="0" borderId="0" xfId="0" pivotButton="1" applyFont="1"/>
    <xf numFmtId="0" fontId="56" fillId="0" borderId="0" xfId="0" applyFont="1" applyAlignment="1">
      <alignment horizontal="center" wrapText="1"/>
    </xf>
    <xf numFmtId="0" fontId="57" fillId="0" borderId="0" xfId="0" applyFont="1"/>
    <xf numFmtId="0" fontId="1" fillId="0" borderId="78" xfId="0" applyFont="1" applyBorder="1" applyAlignment="1" applyProtection="1">
      <alignment vertical="top" wrapText="1"/>
      <protection locked="0"/>
    </xf>
    <xf numFmtId="0" fontId="1" fillId="0" borderId="79" xfId="0" applyFont="1" applyBorder="1" applyAlignment="1" applyProtection="1">
      <alignment vertical="top" wrapText="1"/>
      <protection locked="0"/>
    </xf>
    <xf numFmtId="0" fontId="1" fillId="3" borderId="2" xfId="0" applyFont="1" applyFill="1" applyBorder="1" applyAlignment="1" applyProtection="1">
      <alignment horizontal="justify" vertical="top"/>
      <protection locked="0"/>
    </xf>
    <xf numFmtId="0" fontId="6" fillId="3" borderId="2" xfId="0" applyFont="1" applyFill="1" applyBorder="1" applyAlignment="1" applyProtection="1">
      <alignment horizontal="justify" vertical="top" wrapText="1"/>
      <protection locked="0"/>
    </xf>
    <xf numFmtId="0" fontId="1" fillId="3" borderId="2" xfId="0" applyFont="1" applyFill="1" applyBorder="1" applyAlignment="1" applyProtection="1">
      <alignment horizontal="justify" vertical="top" wrapText="1"/>
      <protection locked="0"/>
    </xf>
    <xf numFmtId="0" fontId="1" fillId="0" borderId="6" xfId="0" applyFont="1" applyBorder="1" applyAlignment="1" applyProtection="1">
      <alignment horizontal="center" vertical="top"/>
      <protection locked="0"/>
    </xf>
    <xf numFmtId="0" fontId="27" fillId="0" borderId="6" xfId="0" applyFont="1" applyBorder="1" applyAlignment="1" applyProtection="1">
      <alignment horizontal="center" vertical="top"/>
      <protection locked="0"/>
    </xf>
    <xf numFmtId="0" fontId="1" fillId="3" borderId="88" xfId="0" applyFont="1" applyFill="1" applyBorder="1"/>
    <xf numFmtId="0" fontId="1" fillId="18" borderId="85" xfId="0" applyFont="1" applyFill="1" applyBorder="1" applyAlignment="1">
      <alignment wrapText="1"/>
    </xf>
    <xf numFmtId="0" fontId="1" fillId="19" borderId="87" xfId="0" applyFont="1" applyFill="1" applyBorder="1" applyAlignment="1">
      <alignment wrapText="1"/>
    </xf>
    <xf numFmtId="0" fontId="1" fillId="20" borderId="85" xfId="0" applyFont="1" applyFill="1" applyBorder="1" applyAlignment="1">
      <alignment wrapText="1"/>
    </xf>
    <xf numFmtId="0" fontId="1" fillId="21" borderId="85" xfId="0" applyFont="1" applyFill="1" applyBorder="1" applyAlignment="1">
      <alignment wrapText="1"/>
    </xf>
    <xf numFmtId="0" fontId="1" fillId="21" borderId="87" xfId="0" applyFont="1" applyFill="1" applyBorder="1" applyAlignment="1">
      <alignment wrapText="1"/>
    </xf>
    <xf numFmtId="0" fontId="41" fillId="14" borderId="48" xfId="2" applyFont="1" applyFill="1" applyBorder="1" applyAlignment="1">
      <alignment horizontal="center" vertical="center" wrapText="1"/>
    </xf>
    <xf numFmtId="0" fontId="41" fillId="14" borderId="49" xfId="2" applyFont="1" applyFill="1" applyBorder="1" applyAlignment="1">
      <alignment horizontal="center" vertical="center" wrapText="1"/>
    </xf>
    <xf numFmtId="0" fontId="41" fillId="14" borderId="50" xfId="2" applyFont="1" applyFill="1" applyBorder="1" applyAlignment="1">
      <alignment horizontal="center" vertical="center" wrapText="1"/>
    </xf>
    <xf numFmtId="0" fontId="40" fillId="0" borderId="14" xfId="2" quotePrefix="1" applyFont="1" applyBorder="1" applyAlignment="1">
      <alignment horizontal="left" vertical="center" wrapText="1"/>
    </xf>
    <xf numFmtId="0" fontId="40" fillId="0" borderId="0" xfId="2" quotePrefix="1" applyFont="1" applyAlignment="1">
      <alignment horizontal="left" vertical="center" wrapText="1"/>
    </xf>
    <xf numFmtId="0" fontId="40" fillId="0" borderId="15" xfId="2" quotePrefix="1" applyFont="1" applyBorder="1" applyAlignment="1">
      <alignment horizontal="left" vertical="center" wrapText="1"/>
    </xf>
    <xf numFmtId="0" fontId="40" fillId="0" borderId="68" xfId="2" quotePrefix="1" applyFont="1" applyBorder="1" applyAlignment="1">
      <alignment horizontal="left" vertical="center" wrapText="1"/>
    </xf>
    <xf numFmtId="0" fontId="40" fillId="0" borderId="69" xfId="2" quotePrefix="1" applyFont="1" applyBorder="1" applyAlignment="1">
      <alignment horizontal="left" vertical="center" wrapText="1"/>
    </xf>
    <xf numFmtId="0" fontId="40" fillId="0" borderId="70" xfId="2" quotePrefix="1" applyFont="1" applyBorder="1" applyAlignment="1">
      <alignment horizontal="left" vertical="center" wrapText="1"/>
    </xf>
    <xf numFmtId="0" fontId="42" fillId="3" borderId="51" xfId="2" quotePrefix="1" applyFont="1" applyFill="1" applyBorder="1" applyAlignment="1">
      <alignment horizontal="left" vertical="top" wrapText="1"/>
    </xf>
    <xf numFmtId="0" fontId="43" fillId="3" borderId="52" xfId="2" quotePrefix="1" applyFont="1" applyFill="1" applyBorder="1" applyAlignment="1">
      <alignment horizontal="left" vertical="top" wrapText="1"/>
    </xf>
    <xf numFmtId="0" fontId="43" fillId="3" borderId="53" xfId="2" quotePrefix="1" applyFont="1" applyFill="1" applyBorder="1" applyAlignment="1">
      <alignment horizontal="left" vertical="top" wrapText="1"/>
    </xf>
    <xf numFmtId="0" fontId="40" fillId="0" borderId="14" xfId="2" quotePrefix="1" applyFont="1" applyBorder="1" applyAlignment="1">
      <alignment horizontal="left" vertical="top" wrapText="1"/>
    </xf>
    <xf numFmtId="0" fontId="40" fillId="0" borderId="0" xfId="2" quotePrefix="1" applyFont="1" applyAlignment="1">
      <alignment horizontal="left" vertical="top" wrapText="1"/>
    </xf>
    <xf numFmtId="0" fontId="40" fillId="0" borderId="15" xfId="2" quotePrefix="1" applyFont="1" applyBorder="1" applyAlignment="1">
      <alignment horizontal="left" vertical="top" wrapText="1"/>
    </xf>
    <xf numFmtId="0" fontId="45" fillId="14" borderId="54" xfId="3" applyFont="1" applyFill="1" applyBorder="1" applyAlignment="1">
      <alignment horizontal="center" vertical="center" wrapText="1"/>
    </xf>
    <xf numFmtId="0" fontId="45" fillId="14" borderId="55" xfId="3" applyFont="1" applyFill="1" applyBorder="1" applyAlignment="1">
      <alignment horizontal="center" vertical="center" wrapText="1"/>
    </xf>
    <xf numFmtId="0" fontId="45" fillId="14" borderId="56" xfId="2" applyFont="1" applyFill="1" applyBorder="1" applyAlignment="1">
      <alignment horizontal="center" vertical="center"/>
    </xf>
    <xf numFmtId="0" fontId="4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45" fillId="3" borderId="58" xfId="3" applyFont="1" applyFill="1" applyBorder="1" applyAlignment="1">
      <alignment horizontal="left" vertical="top" wrapText="1" readingOrder="1"/>
    </xf>
    <xf numFmtId="0" fontId="45" fillId="3" borderId="59" xfId="3" applyFont="1" applyFill="1" applyBorder="1" applyAlignment="1">
      <alignment horizontal="left" vertical="top" wrapText="1" readingOrder="1"/>
    </xf>
    <xf numFmtId="0" fontId="46" fillId="3" borderId="60" xfId="2" applyFont="1" applyFill="1" applyBorder="1" applyAlignment="1">
      <alignment horizontal="justify" vertical="center" wrapText="1"/>
    </xf>
    <xf numFmtId="0" fontId="46" fillId="3" borderId="61" xfId="2" applyFont="1" applyFill="1" applyBorder="1" applyAlignment="1">
      <alignment horizontal="justify" vertical="center" wrapText="1"/>
    </xf>
    <xf numFmtId="0" fontId="45" fillId="3" borderId="62" xfId="0" applyFont="1" applyFill="1" applyBorder="1" applyAlignment="1">
      <alignment horizontal="left" vertical="center" wrapText="1"/>
    </xf>
    <xf numFmtId="0" fontId="45" fillId="3" borderId="63" xfId="0" applyFont="1" applyFill="1" applyBorder="1" applyAlignment="1">
      <alignment horizontal="left" vertical="center" wrapText="1"/>
    </xf>
    <xf numFmtId="0" fontId="46" fillId="3" borderId="64" xfId="2" applyFont="1" applyFill="1" applyBorder="1" applyAlignment="1">
      <alignment horizontal="justify" vertical="center" wrapText="1"/>
    </xf>
    <xf numFmtId="0" fontId="46" fillId="3" borderId="65" xfId="2" applyFont="1" applyFill="1" applyBorder="1" applyAlignment="1">
      <alignment horizontal="justify" vertical="center" wrapText="1"/>
    </xf>
    <xf numFmtId="0" fontId="40" fillId="3" borderId="14" xfId="2" applyFont="1" applyFill="1" applyBorder="1" applyAlignment="1">
      <alignment horizontal="left" vertical="top" wrapText="1"/>
    </xf>
    <xf numFmtId="0" fontId="40" fillId="3" borderId="0" xfId="2" applyFont="1" applyFill="1" applyAlignment="1">
      <alignment horizontal="left" vertical="top" wrapText="1"/>
    </xf>
    <xf numFmtId="0" fontId="40" fillId="3" borderId="15" xfId="2" applyFont="1" applyFill="1" applyBorder="1" applyAlignment="1">
      <alignment horizontal="left" vertical="top" wrapText="1"/>
    </xf>
    <xf numFmtId="0" fontId="45" fillId="3" borderId="71" xfId="0" applyFont="1" applyFill="1" applyBorder="1" applyAlignment="1">
      <alignment horizontal="left" vertical="center" wrapText="1"/>
    </xf>
    <xf numFmtId="0" fontId="45" fillId="3" borderId="72" xfId="0" applyFont="1" applyFill="1" applyBorder="1" applyAlignment="1">
      <alignment horizontal="left" vertical="center" wrapText="1"/>
    </xf>
    <xf numFmtId="0" fontId="45" fillId="3" borderId="73" xfId="0" applyFont="1" applyFill="1" applyBorder="1" applyAlignment="1">
      <alignment horizontal="left" vertical="center" wrapText="1"/>
    </xf>
    <xf numFmtId="0" fontId="45" fillId="3" borderId="74" xfId="0" applyFont="1" applyFill="1" applyBorder="1" applyAlignment="1">
      <alignment horizontal="left" vertical="center" wrapText="1"/>
    </xf>
    <xf numFmtId="0" fontId="46" fillId="3" borderId="66" xfId="0" applyFont="1" applyFill="1" applyBorder="1" applyAlignment="1">
      <alignment horizontal="justify" vertical="center" wrapText="1"/>
    </xf>
    <xf numFmtId="0" fontId="46" fillId="3" borderId="67" xfId="0" applyFont="1" applyFill="1" applyBorder="1" applyAlignment="1">
      <alignment horizontal="justify" vertical="center" wrapText="1"/>
    </xf>
    <xf numFmtId="0" fontId="4" fillId="2" borderId="2"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6" fillId="0" borderId="4" xfId="0" applyFont="1" applyBorder="1" applyAlignment="1" applyProtection="1">
      <alignment horizontal="left" vertical="top" wrapText="1"/>
      <protection locked="0"/>
    </xf>
    <xf numFmtId="0" fontId="46" fillId="0" borderId="8" xfId="0" applyFont="1" applyBorder="1" applyAlignment="1" applyProtection="1">
      <alignment horizontal="left" vertical="top" wrapText="1"/>
      <protection locked="0"/>
    </xf>
    <xf numFmtId="0" fontId="46" fillId="0" borderId="5" xfId="0" applyFont="1" applyBorder="1" applyAlignment="1" applyProtection="1">
      <alignment horizontal="left" vertical="top" wrapText="1"/>
      <protection locked="0"/>
    </xf>
    <xf numFmtId="0" fontId="6" fillId="0" borderId="4"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4" fillId="16" borderId="82" xfId="0" applyFont="1" applyFill="1" applyBorder="1" applyAlignment="1">
      <alignment horizontal="center" vertical="center" wrapText="1"/>
    </xf>
    <xf numFmtId="0" fontId="4" fillId="16" borderId="83" xfId="0" applyFont="1" applyFill="1" applyBorder="1" applyAlignment="1">
      <alignment horizontal="center" vertical="center" wrapText="1"/>
    </xf>
    <xf numFmtId="0" fontId="4" fillId="16" borderId="86" xfId="0" applyFont="1" applyFill="1" applyBorder="1" applyAlignment="1">
      <alignment horizontal="center" vertical="center" wrapText="1"/>
    </xf>
    <xf numFmtId="0" fontId="1" fillId="21" borderId="82" xfId="0" applyFont="1" applyFill="1" applyBorder="1" applyAlignment="1">
      <alignment horizontal="left" vertical="center" wrapText="1"/>
    </xf>
    <xf numFmtId="0" fontId="1" fillId="21" borderId="83" xfId="0" applyFont="1" applyFill="1" applyBorder="1" applyAlignment="1">
      <alignment horizontal="left" vertical="center" wrapText="1"/>
    </xf>
    <xf numFmtId="0" fontId="1" fillId="21" borderId="84" xfId="0" applyFont="1" applyFill="1" applyBorder="1" applyAlignment="1">
      <alignment horizontal="left" vertical="center" wrapText="1"/>
    </xf>
    <xf numFmtId="0" fontId="4" fillId="2" borderId="2" xfId="0" applyFont="1" applyFill="1" applyBorder="1" applyAlignment="1">
      <alignment horizontal="center" vertical="center" textRotation="90" wrapText="1"/>
    </xf>
    <xf numFmtId="0" fontId="27" fillId="3" borderId="75" xfId="0" applyFont="1" applyFill="1" applyBorder="1" applyAlignment="1" applyProtection="1">
      <alignment horizontal="left" vertical="center"/>
      <protection locked="0"/>
    </xf>
    <xf numFmtId="0" fontId="27" fillId="3" borderId="81" xfId="0" applyFont="1" applyFill="1" applyBorder="1" applyAlignment="1" applyProtection="1">
      <alignment horizontal="left" vertical="center"/>
      <protection locked="0"/>
    </xf>
    <xf numFmtId="0" fontId="27" fillId="3" borderId="75" xfId="0" applyFont="1" applyFill="1" applyBorder="1" applyAlignment="1" applyProtection="1">
      <alignment horizontal="left" vertical="center" wrapText="1"/>
      <protection locked="0"/>
    </xf>
    <xf numFmtId="0" fontId="27" fillId="3" borderId="81" xfId="0" applyFont="1" applyFill="1" applyBorder="1" applyAlignment="1" applyProtection="1">
      <alignment horizontal="left" vertical="center" wrapText="1"/>
      <protection locked="0"/>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27" fillId="0" borderId="4" xfId="0" applyFont="1" applyBorder="1" applyAlignment="1" applyProtection="1">
      <alignment horizontal="center" vertical="center" wrapText="1"/>
      <protection locked="0"/>
    </xf>
    <xf numFmtId="0" fontId="27" fillId="0" borderId="8" xfId="0" applyFont="1" applyBorder="1" applyAlignment="1" applyProtection="1">
      <alignment horizontal="center" vertical="center" wrapText="1"/>
      <protection locked="0"/>
    </xf>
    <xf numFmtId="0" fontId="50" fillId="0" borderId="4" xfId="0" applyFont="1" applyBorder="1" applyAlignment="1" applyProtection="1">
      <alignment horizontal="center" vertical="top" wrapText="1"/>
      <protection locked="0"/>
    </xf>
    <xf numFmtId="0" fontId="50" fillId="0" borderId="8" xfId="0" applyFont="1" applyBorder="1" applyAlignment="1" applyProtection="1">
      <alignment horizontal="center" vertical="top" wrapText="1"/>
      <protection locked="0"/>
    </xf>
    <xf numFmtId="0" fontId="50" fillId="0" borderId="77" xfId="0" applyFont="1" applyBorder="1" applyAlignment="1" applyProtection="1">
      <alignment horizontal="center" vertical="top" wrapText="1"/>
      <protection locked="0"/>
    </xf>
    <xf numFmtId="0" fontId="6" fillId="0" borderId="8" xfId="0" applyFont="1" applyBorder="1" applyAlignment="1" applyProtection="1">
      <alignment horizontal="center" vertical="top" wrapText="1"/>
      <protection locked="0"/>
    </xf>
    <xf numFmtId="0" fontId="6" fillId="0" borderId="77" xfId="0" applyFont="1" applyBorder="1" applyAlignment="1" applyProtection="1">
      <alignment horizontal="center" vertical="top" wrapText="1"/>
      <protection locked="0"/>
    </xf>
    <xf numFmtId="0" fontId="27" fillId="0" borderId="4" xfId="0" applyFont="1" applyBorder="1" applyAlignment="1" applyProtection="1">
      <alignment horizontal="center" vertical="top" wrapText="1"/>
      <protection locked="0"/>
    </xf>
    <xf numFmtId="0" fontId="27" fillId="0" borderId="8" xfId="0" applyFont="1" applyBorder="1" applyAlignment="1" applyProtection="1">
      <alignment horizontal="center" vertical="top" wrapText="1"/>
      <protection locked="0"/>
    </xf>
    <xf numFmtId="0" fontId="27" fillId="0" borderId="4" xfId="0" applyFont="1" applyBorder="1" applyAlignment="1" applyProtection="1">
      <alignment horizontal="center" vertical="top"/>
      <protection locked="0"/>
    </xf>
    <xf numFmtId="0" fontId="27" fillId="0" borderId="8" xfId="0" applyFont="1" applyBorder="1" applyAlignment="1" applyProtection="1">
      <alignment horizontal="center" vertical="top"/>
      <protection locked="0"/>
    </xf>
    <xf numFmtId="0" fontId="49" fillId="0" borderId="4" xfId="0" applyFont="1" applyBorder="1" applyAlignment="1" applyProtection="1">
      <alignment horizontal="center" vertical="top" wrapText="1"/>
      <protection hidden="1"/>
    </xf>
    <xf numFmtId="0" fontId="49" fillId="0" borderId="8" xfId="0" applyFont="1" applyBorder="1" applyAlignment="1" applyProtection="1">
      <alignment horizontal="center" vertical="top" wrapText="1"/>
      <protection hidden="1"/>
    </xf>
    <xf numFmtId="0" fontId="1" fillId="0" borderId="5" xfId="0" applyFont="1" applyBorder="1" applyAlignment="1">
      <alignment horizontal="center" vertical="center"/>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49" fillId="0" borderId="4" xfId="0" applyFont="1" applyBorder="1" applyAlignment="1" applyProtection="1">
      <alignment horizontal="center" vertical="top"/>
      <protection hidden="1"/>
    </xf>
    <xf numFmtId="0" fontId="49" fillId="0" borderId="8" xfId="0" applyFont="1" applyBorder="1" applyAlignment="1" applyProtection="1">
      <alignment horizontal="center" vertical="top"/>
      <protection hidden="1"/>
    </xf>
    <xf numFmtId="9" fontId="27" fillId="0" borderId="4" xfId="0" applyNumberFormat="1" applyFont="1" applyBorder="1" applyAlignment="1" applyProtection="1">
      <alignment horizontal="center" vertical="top" wrapText="1"/>
      <protection hidden="1"/>
    </xf>
    <xf numFmtId="9" fontId="27" fillId="0" borderId="8" xfId="0" applyNumberFormat="1" applyFont="1" applyBorder="1" applyAlignment="1" applyProtection="1">
      <alignment horizontal="center" vertical="top" wrapText="1"/>
      <protection hidden="1"/>
    </xf>
    <xf numFmtId="9" fontId="27" fillId="0" borderId="4" xfId="0" applyNumberFormat="1" applyFont="1" applyBorder="1" applyAlignment="1" applyProtection="1">
      <alignment horizontal="center" vertical="top" wrapText="1"/>
      <protection locked="0"/>
    </xf>
    <xf numFmtId="9" fontId="27" fillId="0" borderId="8" xfId="0" applyNumberFormat="1" applyFont="1" applyBorder="1" applyAlignment="1" applyProtection="1">
      <alignment horizontal="center" vertical="top" wrapText="1"/>
      <protection locked="0"/>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 fillId="0" borderId="28" xfId="0" applyFont="1" applyBorder="1" applyAlignment="1" applyProtection="1">
      <alignment horizontal="center" vertical="top" wrapText="1"/>
      <protection locked="0"/>
    </xf>
    <xf numFmtId="0" fontId="1" fillId="0" borderId="9" xfId="0" applyFont="1" applyBorder="1" applyAlignment="1" applyProtection="1">
      <alignment horizontal="center" vertical="top" wrapText="1"/>
      <protection locked="0"/>
    </xf>
    <xf numFmtId="0" fontId="1" fillId="0" borderId="3" xfId="0" applyFont="1" applyBorder="1" applyAlignment="1" applyProtection="1">
      <alignment horizontal="center" vertical="top" wrapText="1"/>
      <protection locked="0"/>
    </xf>
    <xf numFmtId="0" fontId="2" fillId="0" borderId="78" xfId="0" applyFont="1" applyBorder="1" applyAlignment="1" applyProtection="1">
      <alignment horizontal="center" vertical="top" wrapText="1"/>
      <protection locked="0"/>
    </xf>
    <xf numFmtId="0" fontId="2" fillId="0" borderId="80" xfId="0" applyFont="1" applyBorder="1" applyAlignment="1" applyProtection="1">
      <alignment horizontal="center" vertical="top" wrapText="1"/>
      <protection locked="0"/>
    </xf>
    <xf numFmtId="0" fontId="2" fillId="0" borderId="79" xfId="0" applyFont="1" applyBorder="1" applyAlignment="1" applyProtection="1">
      <alignment horizontal="center" vertical="top" wrapText="1"/>
      <protection locked="0"/>
    </xf>
    <xf numFmtId="0" fontId="1" fillId="0" borderId="30" xfId="0" applyFont="1" applyBorder="1" applyAlignment="1" applyProtection="1">
      <alignment horizontal="center" vertical="top" wrapText="1"/>
      <protection locked="0"/>
    </xf>
    <xf numFmtId="0" fontId="1" fillId="0" borderId="76" xfId="0" applyFont="1" applyBorder="1" applyAlignment="1" applyProtection="1">
      <alignment horizontal="center" vertical="top" wrapText="1"/>
      <protection locked="0"/>
    </xf>
    <xf numFmtId="0" fontId="1" fillId="0" borderId="32"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1" fillId="0" borderId="78" xfId="0" applyFont="1" applyBorder="1" applyAlignment="1" applyProtection="1">
      <alignment horizontal="center" vertical="top" wrapText="1"/>
      <protection locked="0"/>
    </xf>
    <xf numFmtId="0" fontId="1" fillId="0" borderId="79"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1" fillId="17" borderId="82" xfId="0" applyFont="1" applyFill="1" applyBorder="1" applyAlignment="1">
      <alignment horizontal="left" vertical="center" wrapText="1"/>
    </xf>
    <xf numFmtId="0" fontId="1" fillId="17" borderId="83" xfId="0" applyFont="1" applyFill="1" applyBorder="1" applyAlignment="1">
      <alignment horizontal="left" vertical="center" wrapText="1"/>
    </xf>
    <xf numFmtId="0" fontId="1" fillId="17" borderId="84" xfId="0" applyFont="1" applyFill="1" applyBorder="1" applyAlignment="1">
      <alignment horizontal="left" vertical="center" wrapText="1"/>
    </xf>
    <xf numFmtId="0" fontId="24" fillId="2" borderId="28" xfId="0" applyFont="1" applyFill="1" applyBorder="1" applyAlignment="1">
      <alignment horizontal="center" vertical="center"/>
    </xf>
    <xf numFmtId="0" fontId="24" fillId="2" borderId="29"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31"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6" xfId="0" applyFont="1" applyFill="1" applyBorder="1" applyAlignment="1">
      <alignment horizontal="center" vertical="center" wrapText="1"/>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24" fillId="0" borderId="0" xfId="0" applyFont="1" applyAlignment="1">
      <alignment horizontal="center" vertical="center" wrapText="1"/>
    </xf>
    <xf numFmtId="0" fontId="19" fillId="5" borderId="14"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2" xfId="0" applyFont="1" applyBorder="1" applyAlignment="1">
      <alignment horizontal="center" vertical="center" wrapText="1"/>
    </xf>
    <xf numFmtId="0" fontId="16" fillId="0" borderId="19"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6" fillId="0" borderId="19" xfId="0" applyFont="1" applyBorder="1" applyAlignment="1">
      <alignment horizontal="center" vertical="center" wrapText="1"/>
    </xf>
    <xf numFmtId="0" fontId="17" fillId="10" borderId="0" xfId="0" applyFont="1" applyFill="1" applyAlignment="1">
      <alignment horizontal="center" vertical="center" textRotation="90" wrapText="1" readingOrder="1"/>
    </xf>
    <xf numFmtId="0" fontId="17" fillId="10" borderId="15" xfId="0" applyFont="1" applyFill="1" applyBorder="1" applyAlignment="1">
      <alignment horizontal="center" vertical="center" textRotation="90"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2" borderId="27"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1" borderId="27"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13" borderId="27"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20" fillId="5" borderId="27" xfId="0" applyFont="1" applyFill="1" applyBorder="1" applyAlignment="1">
      <alignment horizontal="center" vertical="center" wrapText="1" readingOrder="1"/>
    </xf>
    <xf numFmtId="0" fontId="35" fillId="0" borderId="12" xfId="0" applyFont="1" applyBorder="1" applyAlignment="1">
      <alignment horizontal="center" vertical="center" wrapText="1"/>
    </xf>
    <xf numFmtId="0" fontId="35" fillId="0" borderId="19" xfId="0" applyFont="1" applyBorder="1" applyAlignment="1">
      <alignment horizontal="center" vertical="center"/>
    </xf>
    <xf numFmtId="0" fontId="35" fillId="0" borderId="13" xfId="0" applyFont="1" applyBorder="1" applyAlignment="1">
      <alignment horizontal="center" vertical="center"/>
    </xf>
    <xf numFmtId="0" fontId="35" fillId="0" borderId="14" xfId="0" applyFont="1" applyBorder="1" applyAlignment="1">
      <alignment horizontal="center" vertical="center"/>
    </xf>
    <xf numFmtId="0" fontId="35" fillId="0" borderId="0" xfId="0" applyFont="1" applyAlignment="1">
      <alignment horizontal="center" vertical="center"/>
    </xf>
    <xf numFmtId="0" fontId="35" fillId="0" borderId="15" xfId="0" applyFont="1" applyBorder="1" applyAlignment="1">
      <alignment horizontal="center" vertical="center"/>
    </xf>
    <xf numFmtId="0" fontId="35" fillId="0" borderId="16" xfId="0" applyFont="1" applyBorder="1" applyAlignment="1">
      <alignment horizontal="center" vertical="center"/>
    </xf>
    <xf numFmtId="0" fontId="35" fillId="0" borderId="18" xfId="0" applyFont="1" applyBorder="1" applyAlignment="1">
      <alignment horizontal="center" vertical="center"/>
    </xf>
    <xf numFmtId="0" fontId="35" fillId="0" borderId="17" xfId="0" applyFont="1" applyBorder="1" applyAlignment="1">
      <alignment horizontal="center" vertical="center"/>
    </xf>
    <xf numFmtId="0" fontId="35" fillId="0" borderId="19" xfId="0" applyFont="1" applyBorder="1" applyAlignment="1">
      <alignment horizontal="center" vertical="center" wrapText="1"/>
    </xf>
    <xf numFmtId="0" fontId="34" fillId="11" borderId="20" xfId="0" applyFont="1" applyFill="1" applyBorder="1" applyAlignment="1">
      <alignment horizontal="center" vertical="center" wrapText="1" readingOrder="1"/>
    </xf>
    <xf numFmtId="0" fontId="34" fillId="11" borderId="21" xfId="0" applyFont="1" applyFill="1" applyBorder="1" applyAlignment="1">
      <alignment horizontal="center" vertical="center" wrapText="1" readingOrder="1"/>
    </xf>
    <xf numFmtId="0" fontId="34" fillId="11" borderId="22" xfId="0" applyFont="1" applyFill="1" applyBorder="1" applyAlignment="1">
      <alignment horizontal="center" vertical="center" wrapText="1" readingOrder="1"/>
    </xf>
    <xf numFmtId="0" fontId="34" fillId="11" borderId="23" xfId="0" applyFont="1" applyFill="1" applyBorder="1" applyAlignment="1">
      <alignment horizontal="center" vertical="center" wrapText="1" readingOrder="1"/>
    </xf>
    <xf numFmtId="0" fontId="34" fillId="11" borderId="0" xfId="0" applyFont="1" applyFill="1" applyAlignment="1">
      <alignment horizontal="center" vertical="center" wrapText="1" readingOrder="1"/>
    </xf>
    <xf numFmtId="0" fontId="34" fillId="11" borderId="24" xfId="0" applyFont="1" applyFill="1" applyBorder="1" applyAlignment="1">
      <alignment horizontal="center" vertical="center" wrapText="1" readingOrder="1"/>
    </xf>
    <xf numFmtId="0" fontId="34" fillId="11" borderId="25" xfId="0" applyFont="1" applyFill="1" applyBorder="1" applyAlignment="1">
      <alignment horizontal="center" vertical="center" wrapText="1" readingOrder="1"/>
    </xf>
    <xf numFmtId="0" fontId="34" fillId="11" borderId="26" xfId="0" applyFont="1" applyFill="1" applyBorder="1" applyAlignment="1">
      <alignment horizontal="center" vertical="center" wrapText="1" readingOrder="1"/>
    </xf>
    <xf numFmtId="0" fontId="34" fillId="11" borderId="27" xfId="0" applyFont="1" applyFill="1" applyBorder="1" applyAlignment="1">
      <alignment horizontal="center" vertical="center" wrapText="1" readingOrder="1"/>
    </xf>
    <xf numFmtId="0" fontId="35" fillId="0" borderId="14" xfId="0" applyFont="1" applyBorder="1" applyAlignment="1">
      <alignment horizontal="center" vertical="center" wrapText="1"/>
    </xf>
    <xf numFmtId="0" fontId="34" fillId="12" borderId="20" xfId="0" applyFont="1" applyFill="1" applyBorder="1" applyAlignment="1">
      <alignment horizontal="center" vertical="center" wrapText="1" readingOrder="1"/>
    </xf>
    <xf numFmtId="0" fontId="34" fillId="12" borderId="21" xfId="0" applyFont="1" applyFill="1" applyBorder="1" applyAlignment="1">
      <alignment horizontal="center" vertical="center" wrapText="1" readingOrder="1"/>
    </xf>
    <xf numFmtId="0" fontId="34" fillId="12" borderId="22" xfId="0" applyFont="1" applyFill="1" applyBorder="1" applyAlignment="1">
      <alignment horizontal="center" vertical="center" wrapText="1" readingOrder="1"/>
    </xf>
    <xf numFmtId="0" fontId="34" fillId="12" borderId="23" xfId="0" applyFont="1" applyFill="1" applyBorder="1" applyAlignment="1">
      <alignment horizontal="center" vertical="center" wrapText="1" readingOrder="1"/>
    </xf>
    <xf numFmtId="0" fontId="34" fillId="12" borderId="0" xfId="0" applyFont="1" applyFill="1" applyAlignment="1">
      <alignment horizontal="center" vertical="center" wrapText="1" readingOrder="1"/>
    </xf>
    <xf numFmtId="0" fontId="34" fillId="12" borderId="24" xfId="0" applyFont="1" applyFill="1" applyBorder="1" applyAlignment="1">
      <alignment horizontal="center" vertical="center" wrapText="1" readingOrder="1"/>
    </xf>
    <xf numFmtId="0" fontId="34" fillId="12" borderId="25" xfId="0" applyFont="1" applyFill="1" applyBorder="1" applyAlignment="1">
      <alignment horizontal="center" vertical="center" wrapText="1" readingOrder="1"/>
    </xf>
    <xf numFmtId="0" fontId="34" fillId="12" borderId="26" xfId="0" applyFont="1" applyFill="1" applyBorder="1" applyAlignment="1">
      <alignment horizontal="center" vertical="center" wrapText="1" readingOrder="1"/>
    </xf>
    <xf numFmtId="0" fontId="34" fillId="12" borderId="27" xfId="0" applyFont="1" applyFill="1" applyBorder="1" applyAlignment="1">
      <alignment horizontal="center" vertical="center" wrapText="1" readingOrder="1"/>
    </xf>
    <xf numFmtId="0" fontId="33" fillId="0" borderId="0" xfId="0" applyFont="1" applyAlignment="1">
      <alignment horizontal="center" vertical="center" wrapText="1"/>
    </xf>
    <xf numFmtId="0" fontId="21" fillId="0" borderId="0" xfId="0" applyFont="1" applyAlignment="1">
      <alignment horizontal="center" vertical="center" wrapText="1"/>
    </xf>
    <xf numFmtId="0" fontId="34" fillId="5" borderId="20" xfId="0" applyFont="1" applyFill="1" applyBorder="1" applyAlignment="1">
      <alignment horizontal="center" vertical="center" wrapText="1" readingOrder="1"/>
    </xf>
    <xf numFmtId="0" fontId="34" fillId="5" borderId="21" xfId="0" applyFont="1" applyFill="1" applyBorder="1" applyAlignment="1">
      <alignment horizontal="center" vertical="center" wrapText="1" readingOrder="1"/>
    </xf>
    <xf numFmtId="0" fontId="34" fillId="5" borderId="22" xfId="0" applyFont="1" applyFill="1" applyBorder="1" applyAlignment="1">
      <alignment horizontal="center" vertical="center" wrapText="1" readingOrder="1"/>
    </xf>
    <xf numFmtId="0" fontId="34" fillId="5" borderId="23" xfId="0" applyFont="1" applyFill="1" applyBorder="1" applyAlignment="1">
      <alignment horizontal="center" vertical="center" wrapText="1" readingOrder="1"/>
    </xf>
    <xf numFmtId="0" fontId="34" fillId="5" borderId="0" xfId="0" applyFont="1" applyFill="1" applyAlignment="1">
      <alignment horizontal="center" vertical="center" wrapText="1" readingOrder="1"/>
    </xf>
    <xf numFmtId="0" fontId="34" fillId="5" borderId="24" xfId="0" applyFont="1" applyFill="1" applyBorder="1" applyAlignment="1">
      <alignment horizontal="center" vertical="center" wrapText="1" readingOrder="1"/>
    </xf>
    <xf numFmtId="0" fontId="34" fillId="5" borderId="25" xfId="0" applyFont="1" applyFill="1" applyBorder="1" applyAlignment="1">
      <alignment horizontal="center" vertical="center" wrapText="1" readingOrder="1"/>
    </xf>
    <xf numFmtId="0" fontId="34" fillId="5" borderId="26" xfId="0" applyFont="1" applyFill="1" applyBorder="1" applyAlignment="1">
      <alignment horizontal="center" vertical="center" wrapText="1" readingOrder="1"/>
    </xf>
    <xf numFmtId="0" fontId="34" fillId="5" borderId="27" xfId="0" applyFont="1" applyFill="1" applyBorder="1" applyAlignment="1">
      <alignment horizontal="center" vertical="center" wrapText="1" readingOrder="1"/>
    </xf>
    <xf numFmtId="0" fontId="34" fillId="13" borderId="20" xfId="0" applyFont="1" applyFill="1" applyBorder="1" applyAlignment="1">
      <alignment horizontal="center" vertical="center" wrapText="1" readingOrder="1"/>
    </xf>
    <xf numFmtId="0" fontId="34" fillId="13" borderId="21" xfId="0" applyFont="1" applyFill="1" applyBorder="1" applyAlignment="1">
      <alignment horizontal="center" vertical="center" wrapText="1" readingOrder="1"/>
    </xf>
    <xf numFmtId="0" fontId="34" fillId="13" borderId="22" xfId="0" applyFont="1" applyFill="1" applyBorder="1" applyAlignment="1">
      <alignment horizontal="center" vertical="center" wrapText="1" readingOrder="1"/>
    </xf>
    <xf numFmtId="0" fontId="34" fillId="13" borderId="23" xfId="0" applyFont="1" applyFill="1" applyBorder="1" applyAlignment="1">
      <alignment horizontal="center" vertical="center" wrapText="1" readingOrder="1"/>
    </xf>
    <xf numFmtId="0" fontId="34" fillId="13" borderId="0" xfId="0" applyFont="1" applyFill="1" applyAlignment="1">
      <alignment horizontal="center" vertical="center" wrapText="1" readingOrder="1"/>
    </xf>
    <xf numFmtId="0" fontId="34" fillId="13" borderId="24" xfId="0" applyFont="1" applyFill="1" applyBorder="1" applyAlignment="1">
      <alignment horizontal="center" vertical="center" wrapText="1" readingOrder="1"/>
    </xf>
    <xf numFmtId="0" fontId="34" fillId="13" borderId="25" xfId="0" applyFont="1" applyFill="1" applyBorder="1" applyAlignment="1">
      <alignment horizontal="center" vertical="center" wrapText="1" readingOrder="1"/>
    </xf>
    <xf numFmtId="0" fontId="34" fillId="13" borderId="26" xfId="0" applyFont="1" applyFill="1" applyBorder="1" applyAlignment="1">
      <alignment horizontal="center" vertical="center" wrapText="1" readingOrder="1"/>
    </xf>
    <xf numFmtId="0" fontId="34" fillId="13" borderId="27" xfId="0" applyFont="1" applyFill="1" applyBorder="1" applyAlignment="1">
      <alignment horizontal="center" vertical="center" wrapText="1" readingOrder="1"/>
    </xf>
    <xf numFmtId="0" fontId="23" fillId="0" borderId="0" xfId="0" applyFont="1" applyAlignment="1">
      <alignment horizontal="center" vertical="center"/>
    </xf>
    <xf numFmtId="0" fontId="51" fillId="0" borderId="0" xfId="0" applyFont="1" applyAlignment="1">
      <alignment horizontal="center" vertical="center"/>
    </xf>
    <xf numFmtId="0" fontId="32" fillId="15" borderId="35" xfId="0" applyFont="1" applyFill="1" applyBorder="1" applyAlignment="1">
      <alignment horizontal="center" vertical="center" wrapText="1" readingOrder="1"/>
    </xf>
    <xf numFmtId="0" fontId="32" fillId="15" borderId="36" xfId="0" applyFont="1" applyFill="1" applyBorder="1" applyAlignment="1">
      <alignment horizontal="center" vertical="center" wrapText="1" readingOrder="1"/>
    </xf>
    <xf numFmtId="0" fontId="32" fillId="15" borderId="47" xfId="0" applyFont="1" applyFill="1" applyBorder="1" applyAlignment="1">
      <alignment horizontal="center" vertical="center" wrapText="1" readingOrder="1"/>
    </xf>
    <xf numFmtId="0" fontId="27" fillId="3" borderId="0" xfId="0" applyFont="1" applyFill="1" applyAlignment="1">
      <alignment horizontal="justify" vertical="center" wrapText="1"/>
    </xf>
    <xf numFmtId="0" fontId="29" fillId="15" borderId="44" xfId="0" applyFont="1" applyFill="1" applyBorder="1" applyAlignment="1">
      <alignment horizontal="center" vertical="center" wrapText="1" readingOrder="1"/>
    </xf>
    <xf numFmtId="0" fontId="29" fillId="15" borderId="45" xfId="0" applyFont="1" applyFill="1" applyBorder="1" applyAlignment="1">
      <alignment horizontal="center" vertical="center" wrapText="1" readingOrder="1"/>
    </xf>
    <xf numFmtId="0" fontId="29" fillId="3" borderId="42" xfId="0" applyFont="1" applyFill="1" applyBorder="1" applyAlignment="1">
      <alignment horizontal="center" vertical="center" wrapText="1" readingOrder="1"/>
    </xf>
    <xf numFmtId="0" fontId="29" fillId="3" borderId="37" xfId="0" applyFont="1" applyFill="1" applyBorder="1" applyAlignment="1">
      <alignment horizontal="center" vertical="center" wrapText="1" readingOrder="1"/>
    </xf>
    <xf numFmtId="0" fontId="29" fillId="3" borderId="34" xfId="0"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29" fillId="3" borderId="39"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89">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OME/Downloads/Formato%20Matriz%20de%20Riesgos%202021%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ACIENDA123/Downloads/Formato%20Matriz%20de%20Riesgos%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Valoración controles"/>
      <sheetName val="Opciones Tratamiento"/>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Tabla Impacto"/>
      <sheetName val="Mapa final"/>
      <sheetName val="Hoja2"/>
      <sheetName val="Matriz Calor Inherente"/>
      <sheetName val="Matriz Calor Residual"/>
      <sheetName val="Tabla probabilidad"/>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OME" refreshedDate="44504.576682754632" createdVersion="6" refreshedVersion="6" minRefreshableVersion="3" recordCount="10" xr:uid="{00000000-000A-0000-FFFF-FFFF29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17"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15">
      <pivotArea type="all" dataOnly="0" outline="0" fieldPosition="0"/>
    </format>
    <format dxfId="14">
      <pivotArea field="0" type="button" dataOnly="0" labelOnly="1" outline="0" axis="axisRow" fieldPosition="0"/>
    </format>
    <format dxfId="13">
      <pivotArea field="1" type="button" dataOnly="0" labelOnly="1" outline="0" axis="axisRow" fieldPosition="1"/>
    </format>
    <format dxfId="12">
      <pivotArea dataOnly="0" labelOnly="1" outline="0" fieldPosition="0">
        <references count="1">
          <reference field="0" count="0"/>
        </references>
      </pivotArea>
    </format>
    <format dxfId="11">
      <pivotArea dataOnly="0" labelOnly="1" outline="0" fieldPosition="0">
        <references count="2">
          <reference field="0" count="1" selected="0">
            <x v="0"/>
          </reference>
          <reference field="1" count="5">
            <x v="0"/>
            <x v="6"/>
            <x v="7"/>
            <x v="8"/>
            <x v="9"/>
          </reference>
        </references>
      </pivotArea>
    </format>
    <format dxfId="10">
      <pivotArea dataOnly="0" labelOnly="1" outline="0" fieldPosition="0">
        <references count="2">
          <reference field="0" count="1" selected="0">
            <x v="1"/>
          </reference>
          <reference field="1" count="5">
            <x v="1"/>
            <x v="2"/>
            <x v="3"/>
            <x v="4"/>
            <x v="5"/>
          </reference>
        </references>
      </pivotArea>
    </format>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10"/>
            <x v="11"/>
            <x v="12"/>
            <x v="13"/>
            <x v="14"/>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C24" zoomScale="185" workbookViewId="0">
      <selection activeCell="E25" sqref="E25:F25"/>
    </sheetView>
  </sheetViews>
  <sheetFormatPr baseColWidth="10" defaultColWidth="11.44140625" defaultRowHeight="14.4" x14ac:dyDescent="0.3"/>
  <cols>
    <col min="1" max="1" width="2.88671875" style="67" customWidth="1"/>
    <col min="2" max="3" width="24.6640625" style="67" customWidth="1"/>
    <col min="4" max="4" width="16" style="67" customWidth="1"/>
    <col min="5" max="5" width="24.6640625" style="67" customWidth="1"/>
    <col min="6" max="6" width="27.6640625" style="67" customWidth="1"/>
    <col min="7" max="8" width="24.6640625" style="67" customWidth="1"/>
    <col min="9" max="16384" width="11.44140625" style="67"/>
  </cols>
  <sheetData>
    <row r="1" spans="2:8" ht="15" thickBot="1" x14ac:dyDescent="0.35"/>
    <row r="2" spans="2:8" ht="18" x14ac:dyDescent="0.3">
      <c r="B2" s="167" t="s">
        <v>155</v>
      </c>
      <c r="C2" s="168"/>
      <c r="D2" s="168"/>
      <c r="E2" s="168"/>
      <c r="F2" s="168"/>
      <c r="G2" s="168"/>
      <c r="H2" s="169"/>
    </row>
    <row r="3" spans="2:8" x14ac:dyDescent="0.3">
      <c r="B3" s="68"/>
      <c r="C3" s="69"/>
      <c r="D3" s="69"/>
      <c r="E3" s="69"/>
      <c r="F3" s="69"/>
      <c r="G3" s="69"/>
      <c r="H3" s="70"/>
    </row>
    <row r="4" spans="2:8" ht="63" customHeight="1" x14ac:dyDescent="0.3">
      <c r="B4" s="170" t="s">
        <v>198</v>
      </c>
      <c r="C4" s="171"/>
      <c r="D4" s="171"/>
      <c r="E4" s="171"/>
      <c r="F4" s="171"/>
      <c r="G4" s="171"/>
      <c r="H4" s="172"/>
    </row>
    <row r="5" spans="2:8" ht="63" customHeight="1" x14ac:dyDescent="0.3">
      <c r="B5" s="173"/>
      <c r="C5" s="174"/>
      <c r="D5" s="174"/>
      <c r="E5" s="174"/>
      <c r="F5" s="174"/>
      <c r="G5" s="174"/>
      <c r="H5" s="175"/>
    </row>
    <row r="6" spans="2:8" x14ac:dyDescent="0.3">
      <c r="B6" s="176" t="s">
        <v>153</v>
      </c>
      <c r="C6" s="177"/>
      <c r="D6" s="177"/>
      <c r="E6" s="177"/>
      <c r="F6" s="177"/>
      <c r="G6" s="177"/>
      <c r="H6" s="178"/>
    </row>
    <row r="7" spans="2:8" ht="95.25" customHeight="1" x14ac:dyDescent="0.3">
      <c r="B7" s="186" t="s">
        <v>158</v>
      </c>
      <c r="C7" s="187"/>
      <c r="D7" s="187"/>
      <c r="E7" s="187"/>
      <c r="F7" s="187"/>
      <c r="G7" s="187"/>
      <c r="H7" s="188"/>
    </row>
    <row r="8" spans="2:8" x14ac:dyDescent="0.3">
      <c r="B8" s="102"/>
      <c r="C8" s="103"/>
      <c r="D8" s="103"/>
      <c r="E8" s="103"/>
      <c r="F8" s="103"/>
      <c r="G8" s="103"/>
      <c r="H8" s="104"/>
    </row>
    <row r="9" spans="2:8" ht="16.5" customHeight="1" x14ac:dyDescent="0.3">
      <c r="B9" s="179" t="s">
        <v>191</v>
      </c>
      <c r="C9" s="180"/>
      <c r="D9" s="180"/>
      <c r="E9" s="180"/>
      <c r="F9" s="180"/>
      <c r="G9" s="180"/>
      <c r="H9" s="181"/>
    </row>
    <row r="10" spans="2:8" ht="44.25" customHeight="1" x14ac:dyDescent="0.3">
      <c r="B10" s="179"/>
      <c r="C10" s="180"/>
      <c r="D10" s="180"/>
      <c r="E10" s="180"/>
      <c r="F10" s="180"/>
      <c r="G10" s="180"/>
      <c r="H10" s="181"/>
    </row>
    <row r="11" spans="2:8" ht="15" thickBot="1" x14ac:dyDescent="0.35">
      <c r="B11" s="91"/>
      <c r="C11" s="94"/>
      <c r="D11" s="99"/>
      <c r="E11" s="100"/>
      <c r="F11" s="100"/>
      <c r="G11" s="101"/>
      <c r="H11" s="95"/>
    </row>
    <row r="12" spans="2:8" ht="15" thickTop="1" x14ac:dyDescent="0.3">
      <c r="B12" s="91"/>
      <c r="C12" s="182" t="s">
        <v>154</v>
      </c>
      <c r="D12" s="183"/>
      <c r="E12" s="184" t="s">
        <v>192</v>
      </c>
      <c r="F12" s="185"/>
      <c r="G12" s="94"/>
      <c r="H12" s="95"/>
    </row>
    <row r="13" spans="2:8" ht="35.25" customHeight="1" x14ac:dyDescent="0.3">
      <c r="B13" s="91"/>
      <c r="C13" s="189" t="s">
        <v>185</v>
      </c>
      <c r="D13" s="190"/>
      <c r="E13" s="191" t="s">
        <v>190</v>
      </c>
      <c r="F13" s="192"/>
      <c r="G13" s="94"/>
      <c r="H13" s="95"/>
    </row>
    <row r="14" spans="2:8" ht="17.25" customHeight="1" x14ac:dyDescent="0.3">
      <c r="B14" s="91"/>
      <c r="C14" s="189" t="s">
        <v>186</v>
      </c>
      <c r="D14" s="190"/>
      <c r="E14" s="191" t="s">
        <v>188</v>
      </c>
      <c r="F14" s="192"/>
      <c r="G14" s="94"/>
      <c r="H14" s="95"/>
    </row>
    <row r="15" spans="2:8" ht="19.5" customHeight="1" x14ac:dyDescent="0.3">
      <c r="B15" s="91"/>
      <c r="C15" s="189" t="s">
        <v>187</v>
      </c>
      <c r="D15" s="190"/>
      <c r="E15" s="191" t="s">
        <v>189</v>
      </c>
      <c r="F15" s="192"/>
      <c r="G15" s="94"/>
      <c r="H15" s="95"/>
    </row>
    <row r="16" spans="2:8" ht="69.75" customHeight="1" x14ac:dyDescent="0.3">
      <c r="B16" s="91"/>
      <c r="C16" s="189" t="s">
        <v>156</v>
      </c>
      <c r="D16" s="190"/>
      <c r="E16" s="191" t="s">
        <v>157</v>
      </c>
      <c r="F16" s="192"/>
      <c r="G16" s="94"/>
      <c r="H16" s="95"/>
    </row>
    <row r="17" spans="2:8" ht="34.5" customHeight="1" x14ac:dyDescent="0.3">
      <c r="B17" s="91"/>
      <c r="C17" s="193" t="s">
        <v>2</v>
      </c>
      <c r="D17" s="194"/>
      <c r="E17" s="195" t="s">
        <v>199</v>
      </c>
      <c r="F17" s="196"/>
      <c r="G17" s="94"/>
      <c r="H17" s="95"/>
    </row>
    <row r="18" spans="2:8" ht="27.75" customHeight="1" x14ac:dyDescent="0.3">
      <c r="B18" s="91"/>
      <c r="C18" s="193" t="s">
        <v>3</v>
      </c>
      <c r="D18" s="194"/>
      <c r="E18" s="195" t="s">
        <v>200</v>
      </c>
      <c r="F18" s="196"/>
      <c r="G18" s="94"/>
      <c r="H18" s="95"/>
    </row>
    <row r="19" spans="2:8" ht="28.5" customHeight="1" x14ac:dyDescent="0.3">
      <c r="B19" s="91"/>
      <c r="C19" s="193" t="s">
        <v>42</v>
      </c>
      <c r="D19" s="194"/>
      <c r="E19" s="195" t="s">
        <v>201</v>
      </c>
      <c r="F19" s="196"/>
      <c r="G19" s="94"/>
      <c r="H19" s="95"/>
    </row>
    <row r="20" spans="2:8" ht="72.75" customHeight="1" x14ac:dyDescent="0.3">
      <c r="B20" s="91"/>
      <c r="C20" s="193" t="s">
        <v>1</v>
      </c>
      <c r="D20" s="194"/>
      <c r="E20" s="195" t="s">
        <v>202</v>
      </c>
      <c r="F20" s="196"/>
      <c r="G20" s="94"/>
      <c r="H20" s="95"/>
    </row>
    <row r="21" spans="2:8" ht="64.5" customHeight="1" x14ac:dyDescent="0.3">
      <c r="B21" s="91"/>
      <c r="C21" s="193" t="s">
        <v>50</v>
      </c>
      <c r="D21" s="194"/>
      <c r="E21" s="195" t="s">
        <v>160</v>
      </c>
      <c r="F21" s="196"/>
      <c r="G21" s="94"/>
      <c r="H21" s="95"/>
    </row>
    <row r="22" spans="2:8" ht="71.25" customHeight="1" x14ac:dyDescent="0.3">
      <c r="B22" s="91"/>
      <c r="C22" s="193" t="s">
        <v>159</v>
      </c>
      <c r="D22" s="194"/>
      <c r="E22" s="195" t="s">
        <v>161</v>
      </c>
      <c r="F22" s="196"/>
      <c r="G22" s="94"/>
      <c r="H22" s="95"/>
    </row>
    <row r="23" spans="2:8" ht="55.5" customHeight="1" x14ac:dyDescent="0.3">
      <c r="B23" s="91"/>
      <c r="C23" s="200" t="s">
        <v>162</v>
      </c>
      <c r="D23" s="201"/>
      <c r="E23" s="195" t="s">
        <v>163</v>
      </c>
      <c r="F23" s="196"/>
      <c r="G23" s="94"/>
      <c r="H23" s="95"/>
    </row>
    <row r="24" spans="2:8" ht="42" customHeight="1" x14ac:dyDescent="0.3">
      <c r="B24" s="91"/>
      <c r="C24" s="200" t="s">
        <v>48</v>
      </c>
      <c r="D24" s="201"/>
      <c r="E24" s="195" t="s">
        <v>164</v>
      </c>
      <c r="F24" s="196"/>
      <c r="G24" s="94"/>
      <c r="H24" s="95"/>
    </row>
    <row r="25" spans="2:8" ht="59.25" customHeight="1" x14ac:dyDescent="0.3">
      <c r="B25" s="91"/>
      <c r="C25" s="200" t="s">
        <v>152</v>
      </c>
      <c r="D25" s="201"/>
      <c r="E25" s="195" t="s">
        <v>165</v>
      </c>
      <c r="F25" s="196"/>
      <c r="G25" s="94"/>
      <c r="H25" s="95"/>
    </row>
    <row r="26" spans="2:8" ht="23.25" customHeight="1" x14ac:dyDescent="0.3">
      <c r="B26" s="91"/>
      <c r="C26" s="200" t="s">
        <v>12</v>
      </c>
      <c r="D26" s="201"/>
      <c r="E26" s="195" t="s">
        <v>166</v>
      </c>
      <c r="F26" s="196"/>
      <c r="G26" s="94"/>
      <c r="H26" s="95"/>
    </row>
    <row r="27" spans="2:8" ht="30.75" customHeight="1" x14ac:dyDescent="0.3">
      <c r="B27" s="91"/>
      <c r="C27" s="200" t="s">
        <v>170</v>
      </c>
      <c r="D27" s="201"/>
      <c r="E27" s="195" t="s">
        <v>167</v>
      </c>
      <c r="F27" s="196"/>
      <c r="G27" s="94"/>
      <c r="H27" s="95"/>
    </row>
    <row r="28" spans="2:8" ht="35.25" customHeight="1" x14ac:dyDescent="0.3">
      <c r="B28" s="91"/>
      <c r="C28" s="200" t="s">
        <v>171</v>
      </c>
      <c r="D28" s="201"/>
      <c r="E28" s="195" t="s">
        <v>168</v>
      </c>
      <c r="F28" s="196"/>
      <c r="G28" s="94"/>
      <c r="H28" s="95"/>
    </row>
    <row r="29" spans="2:8" ht="33" customHeight="1" x14ac:dyDescent="0.3">
      <c r="B29" s="91"/>
      <c r="C29" s="200" t="s">
        <v>171</v>
      </c>
      <c r="D29" s="201"/>
      <c r="E29" s="195" t="s">
        <v>168</v>
      </c>
      <c r="F29" s="196"/>
      <c r="G29" s="94"/>
      <c r="H29" s="95"/>
    </row>
    <row r="30" spans="2:8" ht="30" customHeight="1" x14ac:dyDescent="0.3">
      <c r="B30" s="91"/>
      <c r="C30" s="200" t="s">
        <v>172</v>
      </c>
      <c r="D30" s="201"/>
      <c r="E30" s="195" t="s">
        <v>169</v>
      </c>
      <c r="F30" s="196"/>
      <c r="G30" s="94"/>
      <c r="H30" s="95"/>
    </row>
    <row r="31" spans="2:8" ht="35.25" customHeight="1" x14ac:dyDescent="0.3">
      <c r="B31" s="91"/>
      <c r="C31" s="200" t="s">
        <v>173</v>
      </c>
      <c r="D31" s="201"/>
      <c r="E31" s="195" t="s">
        <v>174</v>
      </c>
      <c r="F31" s="196"/>
      <c r="G31" s="94"/>
      <c r="H31" s="95"/>
    </row>
    <row r="32" spans="2:8" ht="31.5" customHeight="1" x14ac:dyDescent="0.3">
      <c r="B32" s="91"/>
      <c r="C32" s="200" t="s">
        <v>175</v>
      </c>
      <c r="D32" s="201"/>
      <c r="E32" s="195" t="s">
        <v>176</v>
      </c>
      <c r="F32" s="196"/>
      <c r="G32" s="94"/>
      <c r="H32" s="95"/>
    </row>
    <row r="33" spans="2:8" ht="35.25" customHeight="1" x14ac:dyDescent="0.3">
      <c r="B33" s="91"/>
      <c r="C33" s="200" t="s">
        <v>177</v>
      </c>
      <c r="D33" s="201"/>
      <c r="E33" s="195" t="s">
        <v>178</v>
      </c>
      <c r="F33" s="196"/>
      <c r="G33" s="94"/>
      <c r="H33" s="95"/>
    </row>
    <row r="34" spans="2:8" ht="59.25" customHeight="1" x14ac:dyDescent="0.3">
      <c r="B34" s="91"/>
      <c r="C34" s="200" t="s">
        <v>179</v>
      </c>
      <c r="D34" s="201"/>
      <c r="E34" s="195" t="s">
        <v>180</v>
      </c>
      <c r="F34" s="196"/>
      <c r="G34" s="94"/>
      <c r="H34" s="95"/>
    </row>
    <row r="35" spans="2:8" ht="29.25" customHeight="1" x14ac:dyDescent="0.3">
      <c r="B35" s="91"/>
      <c r="C35" s="200" t="s">
        <v>29</v>
      </c>
      <c r="D35" s="201"/>
      <c r="E35" s="195" t="s">
        <v>181</v>
      </c>
      <c r="F35" s="196"/>
      <c r="G35" s="94"/>
      <c r="H35" s="95"/>
    </row>
    <row r="36" spans="2:8" ht="82.5" customHeight="1" x14ac:dyDescent="0.3">
      <c r="B36" s="91"/>
      <c r="C36" s="200" t="s">
        <v>183</v>
      </c>
      <c r="D36" s="201"/>
      <c r="E36" s="195" t="s">
        <v>182</v>
      </c>
      <c r="F36" s="196"/>
      <c r="G36" s="94"/>
      <c r="H36" s="95"/>
    </row>
    <row r="37" spans="2:8" ht="46.5" customHeight="1" x14ac:dyDescent="0.3">
      <c r="B37" s="91"/>
      <c r="C37" s="200" t="s">
        <v>39</v>
      </c>
      <c r="D37" s="201"/>
      <c r="E37" s="195" t="s">
        <v>184</v>
      </c>
      <c r="F37" s="196"/>
      <c r="G37" s="94"/>
      <c r="H37" s="95"/>
    </row>
    <row r="38" spans="2:8" ht="6.75" customHeight="1" thickBot="1" x14ac:dyDescent="0.35">
      <c r="B38" s="91"/>
      <c r="C38" s="202"/>
      <c r="D38" s="203"/>
      <c r="E38" s="204"/>
      <c r="F38" s="205"/>
      <c r="G38" s="94"/>
      <c r="H38" s="95"/>
    </row>
    <row r="39" spans="2:8" ht="15" thickTop="1" x14ac:dyDescent="0.3">
      <c r="B39" s="91"/>
      <c r="C39" s="92"/>
      <c r="D39" s="92"/>
      <c r="E39" s="93"/>
      <c r="F39" s="93"/>
      <c r="G39" s="94"/>
      <c r="H39" s="95"/>
    </row>
    <row r="40" spans="2:8" ht="21" customHeight="1" x14ac:dyDescent="0.3">
      <c r="B40" s="197" t="s">
        <v>193</v>
      </c>
      <c r="C40" s="198"/>
      <c r="D40" s="198"/>
      <c r="E40" s="198"/>
      <c r="F40" s="198"/>
      <c r="G40" s="198"/>
      <c r="H40" s="199"/>
    </row>
    <row r="41" spans="2:8" ht="20.25" customHeight="1" x14ac:dyDescent="0.3">
      <c r="B41" s="197" t="s">
        <v>194</v>
      </c>
      <c r="C41" s="198"/>
      <c r="D41" s="198"/>
      <c r="E41" s="198"/>
      <c r="F41" s="198"/>
      <c r="G41" s="198"/>
      <c r="H41" s="199"/>
    </row>
    <row r="42" spans="2:8" ht="20.25" customHeight="1" x14ac:dyDescent="0.3">
      <c r="B42" s="197" t="s">
        <v>195</v>
      </c>
      <c r="C42" s="198"/>
      <c r="D42" s="198"/>
      <c r="E42" s="198"/>
      <c r="F42" s="198"/>
      <c r="G42" s="198"/>
      <c r="H42" s="199"/>
    </row>
    <row r="43" spans="2:8" ht="20.25" customHeight="1" x14ac:dyDescent="0.3">
      <c r="B43" s="197" t="s">
        <v>196</v>
      </c>
      <c r="C43" s="198"/>
      <c r="D43" s="198"/>
      <c r="E43" s="198"/>
      <c r="F43" s="198"/>
      <c r="G43" s="198"/>
      <c r="H43" s="199"/>
    </row>
    <row r="44" spans="2:8" x14ac:dyDescent="0.3">
      <c r="B44" s="197" t="s">
        <v>197</v>
      </c>
      <c r="C44" s="198"/>
      <c r="D44" s="198"/>
      <c r="E44" s="198"/>
      <c r="F44" s="198"/>
      <c r="G44" s="198"/>
      <c r="H44" s="199"/>
    </row>
    <row r="45" spans="2:8" ht="15" thickBot="1" x14ac:dyDescent="0.35">
      <c r="B45" s="96"/>
      <c r="C45" s="97"/>
      <c r="D45" s="97"/>
      <c r="E45" s="97"/>
      <c r="F45" s="97"/>
      <c r="G45" s="97"/>
      <c r="H45" s="98"/>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O68"/>
  <sheetViews>
    <sheetView tabSelected="1" topLeftCell="AN15" zoomScale="96" zoomScaleNormal="148" workbookViewId="0">
      <selection activeCell="AO15" sqref="AO15"/>
    </sheetView>
  </sheetViews>
  <sheetFormatPr baseColWidth="10" defaultColWidth="11.44140625" defaultRowHeight="13.8" x14ac:dyDescent="0.25"/>
  <cols>
    <col min="1" max="1" width="4" style="2" bestFit="1" customWidth="1"/>
    <col min="2" max="2" width="14.109375" style="2" customWidth="1"/>
    <col min="3" max="3" width="13.109375" style="2" customWidth="1"/>
    <col min="4" max="4" width="16.109375" style="2" customWidth="1"/>
    <col min="5" max="5" width="30.33203125" style="2" customWidth="1"/>
    <col min="6" max="7" width="35" style="1" customWidth="1"/>
    <col min="8" max="8" width="18.109375" style="5" customWidth="1"/>
    <col min="9" max="9" width="14.33203125" style="1" customWidth="1"/>
    <col min="10" max="10" width="12" style="1" customWidth="1"/>
    <col min="11" max="11" width="6.33203125" style="1" bestFit="1" customWidth="1"/>
    <col min="12" max="12" width="24.44140625" style="1" bestFit="1" customWidth="1"/>
    <col min="13" max="13" width="28.33203125" style="1" hidden="1" customWidth="1"/>
    <col min="14" max="14" width="17.5546875" style="1" customWidth="1"/>
    <col min="15" max="15" width="6.33203125" style="1" bestFit="1" customWidth="1"/>
    <col min="16" max="16" width="16" style="1" customWidth="1"/>
    <col min="17" max="17" width="5.88671875" style="1" customWidth="1"/>
    <col min="18" max="18" width="55" style="1" customWidth="1"/>
    <col min="19" max="19" width="15.109375" style="1" bestFit="1" customWidth="1"/>
    <col min="20" max="20" width="8.5546875" style="1" customWidth="1"/>
    <col min="21" max="21" width="5" style="1" customWidth="1"/>
    <col min="22" max="22" width="5.5546875" style="1" customWidth="1"/>
    <col min="23" max="23" width="7.109375" style="1" customWidth="1"/>
    <col min="24" max="24" width="6.6640625" style="1" customWidth="1"/>
    <col min="25" max="25" width="4.6640625" style="1" bestFit="1" customWidth="1"/>
    <col min="26" max="26" width="38.5546875" style="1" bestFit="1" customWidth="1"/>
    <col min="27" max="27" width="8.6640625" style="1" customWidth="1"/>
    <col min="28" max="28" width="10.44140625" style="1" customWidth="1"/>
    <col min="29" max="29" width="9.33203125" style="1" customWidth="1"/>
    <col min="30" max="30" width="9.109375" style="1" customWidth="1"/>
    <col min="31" max="31" width="8.44140625" style="1" customWidth="1"/>
    <col min="32" max="32" width="7.33203125" style="1" customWidth="1"/>
    <col min="33" max="33" width="23" style="1" customWidth="1"/>
    <col min="34" max="34" width="18.88671875" style="1" customWidth="1"/>
    <col min="35" max="35" width="16.88671875" style="1" customWidth="1"/>
    <col min="36" max="36" width="14.88671875" style="1" customWidth="1"/>
    <col min="37" max="37" width="18.5546875" style="1" customWidth="1"/>
    <col min="38" max="38" width="21" style="1" customWidth="1"/>
    <col min="39" max="39" width="81.5546875" style="1" customWidth="1"/>
    <col min="40" max="40" width="56.44140625" style="1" customWidth="1"/>
    <col min="41" max="41" width="56.88671875" style="1" customWidth="1"/>
    <col min="42" max="16384" width="11.44140625" style="1"/>
  </cols>
  <sheetData>
    <row r="1" spans="1:67" ht="16.5" customHeight="1" x14ac:dyDescent="0.25">
      <c r="A1" s="293" t="s">
        <v>139</v>
      </c>
      <c r="B1" s="294"/>
      <c r="C1" s="294"/>
      <c r="D1" s="294"/>
      <c r="E1" s="294"/>
      <c r="F1" s="294"/>
      <c r="G1" s="294"/>
      <c r="H1" s="294"/>
      <c r="I1" s="294"/>
      <c r="J1" s="294"/>
      <c r="K1" s="294"/>
      <c r="L1" s="294"/>
      <c r="M1" s="294"/>
      <c r="N1" s="294"/>
      <c r="O1" s="294"/>
      <c r="P1" s="294"/>
      <c r="Q1" s="294"/>
      <c r="R1" s="294"/>
      <c r="S1" s="294"/>
      <c r="T1" s="294"/>
      <c r="U1" s="294"/>
      <c r="V1" s="294"/>
      <c r="W1" s="294"/>
      <c r="X1" s="294"/>
      <c r="Y1" s="294"/>
      <c r="Z1" s="294"/>
      <c r="AA1" s="294"/>
      <c r="AB1" s="294"/>
      <c r="AC1" s="294"/>
      <c r="AD1" s="294"/>
      <c r="AE1" s="294"/>
      <c r="AF1" s="294"/>
      <c r="AG1" s="294"/>
      <c r="AH1" s="294"/>
      <c r="AI1" s="294"/>
      <c r="AJ1" s="294"/>
      <c r="AK1" s="294"/>
      <c r="AL1" s="294"/>
      <c r="AM1" s="215" t="s">
        <v>237</v>
      </c>
      <c r="AN1" s="215" t="s">
        <v>246</v>
      </c>
      <c r="AO1" s="215" t="s">
        <v>247</v>
      </c>
      <c r="AP1" s="8"/>
      <c r="AQ1" s="8"/>
      <c r="AR1" s="8"/>
      <c r="AS1" s="8"/>
      <c r="AT1" s="8"/>
      <c r="AU1" s="8"/>
      <c r="AV1" s="8"/>
      <c r="AW1" s="8"/>
      <c r="AX1" s="8"/>
      <c r="AY1" s="8"/>
      <c r="AZ1" s="8"/>
      <c r="BA1" s="8"/>
      <c r="BB1" s="8"/>
      <c r="BC1" s="8"/>
      <c r="BD1" s="8"/>
      <c r="BE1" s="8"/>
      <c r="BF1" s="8"/>
      <c r="BG1" s="8"/>
      <c r="BH1" s="8"/>
      <c r="BI1" s="8"/>
      <c r="BJ1" s="8"/>
      <c r="BK1" s="8"/>
      <c r="BL1" s="8"/>
      <c r="BM1" s="8"/>
      <c r="BN1" s="8"/>
      <c r="BO1" s="8"/>
    </row>
    <row r="2" spans="1:67" ht="24" customHeight="1" x14ac:dyDescent="0.25">
      <c r="A2" s="295"/>
      <c r="B2" s="296"/>
      <c r="C2" s="296"/>
      <c r="D2" s="296"/>
      <c r="E2" s="296"/>
      <c r="F2" s="296"/>
      <c r="G2" s="296"/>
      <c r="H2" s="296"/>
      <c r="I2" s="296"/>
      <c r="J2" s="296"/>
      <c r="K2" s="296"/>
      <c r="L2" s="296"/>
      <c r="M2" s="296"/>
      <c r="N2" s="296"/>
      <c r="O2" s="296"/>
      <c r="P2" s="296"/>
      <c r="Q2" s="296"/>
      <c r="R2" s="296"/>
      <c r="S2" s="296"/>
      <c r="T2" s="296"/>
      <c r="U2" s="296"/>
      <c r="V2" s="296"/>
      <c r="W2" s="296"/>
      <c r="X2" s="296"/>
      <c r="Y2" s="296"/>
      <c r="Z2" s="296"/>
      <c r="AA2" s="296"/>
      <c r="AB2" s="296"/>
      <c r="AC2" s="296"/>
      <c r="AD2" s="296"/>
      <c r="AE2" s="296"/>
      <c r="AF2" s="296"/>
      <c r="AG2" s="296"/>
      <c r="AH2" s="296"/>
      <c r="AI2" s="296"/>
      <c r="AJ2" s="296"/>
      <c r="AK2" s="296"/>
      <c r="AL2" s="296"/>
      <c r="AM2" s="216"/>
      <c r="AN2" s="216"/>
      <c r="AO2" s="216"/>
      <c r="AP2" s="8"/>
      <c r="AQ2" s="8"/>
      <c r="AR2" s="8"/>
      <c r="AS2" s="8"/>
      <c r="AT2" s="8"/>
      <c r="AU2" s="8"/>
      <c r="AV2" s="8"/>
      <c r="AW2" s="8"/>
      <c r="AX2" s="8"/>
      <c r="AY2" s="8"/>
      <c r="AZ2" s="8"/>
      <c r="BA2" s="8"/>
      <c r="BB2" s="8"/>
      <c r="BC2" s="8"/>
      <c r="BD2" s="8"/>
      <c r="BE2" s="8"/>
      <c r="BF2" s="8"/>
      <c r="BG2" s="8"/>
      <c r="BH2" s="8"/>
      <c r="BI2" s="8"/>
      <c r="BJ2" s="8"/>
      <c r="BK2" s="8"/>
      <c r="BL2" s="8"/>
      <c r="BM2" s="8"/>
      <c r="BN2" s="8"/>
      <c r="BO2" s="8"/>
    </row>
    <row r="3" spans="1:67" x14ac:dyDescent="0.25">
      <c r="A3" s="28"/>
      <c r="B3" s="29"/>
      <c r="C3" s="28"/>
      <c r="D3" s="28"/>
      <c r="E3" s="28"/>
      <c r="F3" s="8"/>
      <c r="G3" s="8"/>
      <c r="H3" s="27"/>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216"/>
      <c r="AN3" s="216"/>
      <c r="AO3" s="216"/>
      <c r="AP3" s="8"/>
      <c r="AQ3" s="8"/>
      <c r="AR3" s="8"/>
      <c r="AS3" s="8"/>
      <c r="AT3" s="8"/>
      <c r="AU3" s="8"/>
      <c r="AV3" s="8"/>
      <c r="AW3" s="8"/>
      <c r="AX3" s="8"/>
      <c r="AY3" s="8"/>
      <c r="AZ3" s="8"/>
      <c r="BA3" s="8"/>
      <c r="BB3" s="8"/>
      <c r="BC3" s="8"/>
      <c r="BD3" s="8"/>
      <c r="BE3" s="8"/>
      <c r="BF3" s="8"/>
      <c r="BG3" s="8"/>
      <c r="BH3" s="8"/>
      <c r="BI3" s="8"/>
      <c r="BJ3" s="8"/>
      <c r="BK3" s="8"/>
      <c r="BL3" s="8"/>
      <c r="BM3" s="8"/>
      <c r="BN3" s="8"/>
      <c r="BO3" s="8"/>
    </row>
    <row r="4" spans="1:67" ht="26.25" customHeight="1" x14ac:dyDescent="0.25">
      <c r="A4" s="302" t="s">
        <v>43</v>
      </c>
      <c r="B4" s="303"/>
      <c r="C4" s="222" t="s">
        <v>231</v>
      </c>
      <c r="D4" s="222"/>
      <c r="E4" s="222"/>
      <c r="F4" s="222"/>
      <c r="G4" s="222"/>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c r="AH4" s="222"/>
      <c r="AI4" s="222"/>
      <c r="AJ4" s="222"/>
      <c r="AK4" s="222"/>
      <c r="AL4" s="223"/>
      <c r="AM4" s="216"/>
      <c r="AN4" s="216"/>
      <c r="AO4" s="216"/>
      <c r="AP4" s="8"/>
      <c r="AQ4" s="8"/>
      <c r="AR4" s="8"/>
      <c r="AS4" s="8"/>
      <c r="AT4" s="8"/>
      <c r="AU4" s="8"/>
      <c r="AV4" s="8"/>
      <c r="AW4" s="8"/>
      <c r="AX4" s="8"/>
      <c r="AY4" s="8"/>
      <c r="AZ4" s="8"/>
      <c r="BA4" s="8"/>
      <c r="BB4" s="8"/>
      <c r="BC4" s="8"/>
      <c r="BD4" s="8"/>
      <c r="BE4" s="8"/>
      <c r="BF4" s="8"/>
      <c r="BG4" s="8"/>
      <c r="BH4" s="8"/>
      <c r="BI4" s="8"/>
      <c r="BJ4" s="8"/>
      <c r="BK4" s="8"/>
      <c r="BL4" s="8"/>
      <c r="BM4" s="8"/>
      <c r="BN4" s="8"/>
      <c r="BO4" s="8"/>
    </row>
    <row r="5" spans="1:67" ht="52.5" customHeight="1" x14ac:dyDescent="0.25">
      <c r="A5" s="302" t="s">
        <v>125</v>
      </c>
      <c r="B5" s="303"/>
      <c r="C5" s="224" t="s">
        <v>232</v>
      </c>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c r="AH5" s="224"/>
      <c r="AI5" s="224"/>
      <c r="AJ5" s="224"/>
      <c r="AK5" s="224"/>
      <c r="AL5" s="225"/>
      <c r="AM5" s="216"/>
      <c r="AN5" s="216"/>
      <c r="AO5" s="216"/>
      <c r="AP5" s="8"/>
      <c r="AQ5" s="8"/>
      <c r="AR5" s="8"/>
      <c r="AS5" s="8"/>
      <c r="AT5" s="8"/>
      <c r="AU5" s="8"/>
      <c r="AV5" s="8"/>
      <c r="AW5" s="8"/>
      <c r="AX5" s="8"/>
      <c r="AY5" s="8"/>
      <c r="AZ5" s="8"/>
      <c r="BA5" s="8"/>
      <c r="BB5" s="8"/>
      <c r="BC5" s="8"/>
      <c r="BD5" s="8"/>
      <c r="BE5" s="8"/>
      <c r="BF5" s="8"/>
      <c r="BG5" s="8"/>
      <c r="BH5" s="8"/>
      <c r="BI5" s="8"/>
      <c r="BJ5" s="8"/>
      <c r="BK5" s="8"/>
      <c r="BL5" s="8"/>
      <c r="BM5" s="8"/>
      <c r="BN5" s="8"/>
      <c r="BO5" s="8"/>
    </row>
    <row r="6" spans="1:67" ht="74.25" customHeight="1" x14ac:dyDescent="0.25">
      <c r="A6" s="302" t="s">
        <v>44</v>
      </c>
      <c r="B6" s="303"/>
      <c r="C6" s="224" t="s">
        <v>233</v>
      </c>
      <c r="D6" s="224"/>
      <c r="E6" s="224"/>
      <c r="F6" s="224"/>
      <c r="G6" s="224"/>
      <c r="H6" s="224"/>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24"/>
      <c r="AI6" s="224"/>
      <c r="AJ6" s="224"/>
      <c r="AK6" s="224"/>
      <c r="AL6" s="225"/>
      <c r="AM6" s="216"/>
      <c r="AN6" s="216"/>
      <c r="AO6" s="216"/>
      <c r="AP6" s="8"/>
      <c r="AQ6" s="8"/>
      <c r="AR6" s="8"/>
      <c r="AS6" s="8"/>
      <c r="AT6" s="8"/>
      <c r="AU6" s="8"/>
      <c r="AV6" s="8"/>
      <c r="AW6" s="8"/>
      <c r="AX6" s="8"/>
      <c r="AY6" s="8"/>
      <c r="AZ6" s="8"/>
      <c r="BA6" s="8"/>
      <c r="BB6" s="8"/>
      <c r="BC6" s="8"/>
      <c r="BD6" s="8"/>
      <c r="BE6" s="8"/>
      <c r="BF6" s="8"/>
      <c r="BG6" s="8"/>
      <c r="BH6" s="8"/>
      <c r="BI6" s="8"/>
      <c r="BJ6" s="8"/>
      <c r="BK6" s="8"/>
      <c r="BL6" s="8"/>
      <c r="BM6" s="8"/>
      <c r="BN6" s="8"/>
      <c r="BO6" s="8"/>
    </row>
    <row r="7" spans="1:67" x14ac:dyDescent="0.25">
      <c r="A7" s="297" t="s">
        <v>134</v>
      </c>
      <c r="B7" s="298"/>
      <c r="C7" s="299"/>
      <c r="D7" s="299"/>
      <c r="E7" s="299"/>
      <c r="F7" s="299"/>
      <c r="G7" s="299"/>
      <c r="H7" s="299"/>
      <c r="I7" s="300"/>
      <c r="J7" s="270" t="s">
        <v>135</v>
      </c>
      <c r="K7" s="299"/>
      <c r="L7" s="299"/>
      <c r="M7" s="299"/>
      <c r="N7" s="299"/>
      <c r="O7" s="299"/>
      <c r="P7" s="300"/>
      <c r="Q7" s="270" t="s">
        <v>136</v>
      </c>
      <c r="R7" s="299"/>
      <c r="S7" s="299"/>
      <c r="T7" s="299"/>
      <c r="U7" s="299"/>
      <c r="V7" s="299"/>
      <c r="W7" s="299"/>
      <c r="X7" s="299"/>
      <c r="Y7" s="300"/>
      <c r="Z7" s="270" t="s">
        <v>137</v>
      </c>
      <c r="AA7" s="299"/>
      <c r="AB7" s="299"/>
      <c r="AC7" s="299"/>
      <c r="AD7" s="299"/>
      <c r="AE7" s="299"/>
      <c r="AF7" s="300"/>
      <c r="AG7" s="270" t="s">
        <v>34</v>
      </c>
      <c r="AH7" s="299"/>
      <c r="AI7" s="299"/>
      <c r="AJ7" s="299"/>
      <c r="AK7" s="299"/>
      <c r="AL7" s="299"/>
      <c r="AM7" s="216"/>
      <c r="AN7" s="216"/>
      <c r="AO7" s="216"/>
      <c r="AP7" s="8"/>
      <c r="AQ7" s="8"/>
      <c r="AR7" s="8"/>
      <c r="AS7" s="8"/>
      <c r="AT7" s="8"/>
      <c r="AU7" s="8"/>
      <c r="AV7" s="8"/>
      <c r="AW7" s="8"/>
      <c r="AX7" s="8"/>
      <c r="AY7" s="8"/>
      <c r="AZ7" s="8"/>
      <c r="BA7" s="8"/>
      <c r="BB7" s="8"/>
      <c r="BC7" s="8"/>
      <c r="BD7" s="8"/>
      <c r="BE7" s="8"/>
      <c r="BF7" s="8"/>
      <c r="BG7" s="8"/>
      <c r="BH7" s="8"/>
      <c r="BI7" s="8"/>
      <c r="BJ7" s="8"/>
      <c r="BK7" s="8"/>
      <c r="BL7" s="8"/>
      <c r="BM7" s="8"/>
      <c r="BN7" s="8"/>
      <c r="BO7" s="8"/>
    </row>
    <row r="8" spans="1:67" ht="16.5" customHeight="1" x14ac:dyDescent="0.25">
      <c r="A8" s="304" t="s">
        <v>0</v>
      </c>
      <c r="B8" s="206" t="s">
        <v>2</v>
      </c>
      <c r="C8" s="207" t="s">
        <v>3</v>
      </c>
      <c r="D8" s="207" t="s">
        <v>42</v>
      </c>
      <c r="E8" s="209" t="s">
        <v>203</v>
      </c>
      <c r="F8" s="306" t="s">
        <v>1</v>
      </c>
      <c r="G8" s="144"/>
      <c r="H8" s="209" t="s">
        <v>50</v>
      </c>
      <c r="I8" s="207" t="s">
        <v>130</v>
      </c>
      <c r="J8" s="228" t="s">
        <v>33</v>
      </c>
      <c r="K8" s="269" t="s">
        <v>5</v>
      </c>
      <c r="L8" s="209" t="s">
        <v>86</v>
      </c>
      <c r="M8" s="209" t="s">
        <v>91</v>
      </c>
      <c r="N8" s="271" t="s">
        <v>45</v>
      </c>
      <c r="O8" s="269" t="s">
        <v>5</v>
      </c>
      <c r="P8" s="207" t="s">
        <v>48</v>
      </c>
      <c r="Q8" s="226" t="s">
        <v>11</v>
      </c>
      <c r="R8" s="208" t="s">
        <v>152</v>
      </c>
      <c r="S8" s="209" t="s">
        <v>12</v>
      </c>
      <c r="T8" s="208" t="s">
        <v>8</v>
      </c>
      <c r="U8" s="208"/>
      <c r="V8" s="208"/>
      <c r="W8" s="208"/>
      <c r="X8" s="208"/>
      <c r="Y8" s="208"/>
      <c r="Z8" s="221" t="s">
        <v>133</v>
      </c>
      <c r="AA8" s="221" t="s">
        <v>46</v>
      </c>
      <c r="AB8" s="221" t="s">
        <v>5</v>
      </c>
      <c r="AC8" s="221" t="s">
        <v>47</v>
      </c>
      <c r="AD8" s="221" t="s">
        <v>5</v>
      </c>
      <c r="AE8" s="221" t="s">
        <v>49</v>
      </c>
      <c r="AF8" s="226" t="s">
        <v>29</v>
      </c>
      <c r="AG8" s="208" t="s">
        <v>34</v>
      </c>
      <c r="AH8" s="208" t="s">
        <v>35</v>
      </c>
      <c r="AI8" s="208" t="s">
        <v>36</v>
      </c>
      <c r="AJ8" s="208" t="s">
        <v>38</v>
      </c>
      <c r="AK8" s="208" t="s">
        <v>37</v>
      </c>
      <c r="AL8" s="301" t="s">
        <v>39</v>
      </c>
      <c r="AM8" s="216"/>
      <c r="AN8" s="216"/>
      <c r="AO8" s="216"/>
      <c r="AP8" s="8"/>
      <c r="AQ8" s="8"/>
      <c r="AR8" s="8"/>
      <c r="AS8" s="8"/>
      <c r="AT8" s="8"/>
      <c r="AU8" s="8"/>
      <c r="AV8" s="8"/>
      <c r="AW8" s="8"/>
      <c r="AX8" s="8"/>
      <c r="AY8" s="8"/>
      <c r="AZ8" s="8"/>
      <c r="BA8" s="8"/>
      <c r="BB8" s="8"/>
      <c r="BC8" s="8"/>
      <c r="BD8" s="8"/>
      <c r="BE8" s="8"/>
      <c r="BF8" s="8"/>
      <c r="BG8" s="8"/>
      <c r="BH8" s="8"/>
      <c r="BI8" s="8"/>
      <c r="BJ8" s="8"/>
      <c r="BK8" s="8"/>
      <c r="BL8" s="8"/>
      <c r="BM8" s="8"/>
      <c r="BN8" s="8"/>
      <c r="BO8" s="8"/>
    </row>
    <row r="9" spans="1:67" s="4" customFormat="1" ht="94.5" customHeight="1" thickBot="1" x14ac:dyDescent="0.35">
      <c r="A9" s="305"/>
      <c r="B9" s="206"/>
      <c r="C9" s="208"/>
      <c r="D9" s="208"/>
      <c r="E9" s="228"/>
      <c r="F9" s="307"/>
      <c r="G9" s="144" t="s">
        <v>204</v>
      </c>
      <c r="H9" s="207"/>
      <c r="I9" s="208"/>
      <c r="J9" s="207"/>
      <c r="K9" s="270"/>
      <c r="L9" s="207"/>
      <c r="M9" s="207"/>
      <c r="N9" s="270"/>
      <c r="O9" s="270"/>
      <c r="P9" s="208"/>
      <c r="Q9" s="227"/>
      <c r="R9" s="208"/>
      <c r="S9" s="207"/>
      <c r="T9" s="7" t="s">
        <v>13</v>
      </c>
      <c r="U9" s="7" t="s">
        <v>17</v>
      </c>
      <c r="V9" s="7" t="s">
        <v>28</v>
      </c>
      <c r="W9" s="7" t="s">
        <v>18</v>
      </c>
      <c r="X9" s="7" t="s">
        <v>21</v>
      </c>
      <c r="Y9" s="7" t="s">
        <v>24</v>
      </c>
      <c r="Z9" s="221"/>
      <c r="AA9" s="221"/>
      <c r="AB9" s="221"/>
      <c r="AC9" s="221"/>
      <c r="AD9" s="221"/>
      <c r="AE9" s="221"/>
      <c r="AF9" s="227"/>
      <c r="AG9" s="208"/>
      <c r="AH9" s="208"/>
      <c r="AI9" s="208"/>
      <c r="AJ9" s="208"/>
      <c r="AK9" s="208"/>
      <c r="AL9" s="301"/>
      <c r="AM9" s="217"/>
      <c r="AN9" s="217"/>
      <c r="AO9" s="217"/>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row>
    <row r="10" spans="1:67" s="3" customFormat="1" ht="143.25" customHeight="1" x14ac:dyDescent="0.3">
      <c r="A10" s="241">
        <v>1</v>
      </c>
      <c r="B10" s="243" t="s">
        <v>129</v>
      </c>
      <c r="C10" s="243" t="s">
        <v>218</v>
      </c>
      <c r="D10" s="243" t="s">
        <v>224</v>
      </c>
      <c r="E10" s="213" t="s">
        <v>216</v>
      </c>
      <c r="F10" s="245" t="s">
        <v>234</v>
      </c>
      <c r="G10" s="210" t="s">
        <v>235</v>
      </c>
      <c r="H10" s="250" t="s">
        <v>118</v>
      </c>
      <c r="I10" s="252">
        <v>300</v>
      </c>
      <c r="J10" s="254" t="str">
        <f>IF(I10&lt;=0,"",IF(I10&lt;=2,"Muy Baja",IF(I10&lt;=24,"Baja",IF(I10&lt;=500,"Media",IF(I10&lt;=5000,"Alta","Muy Alta")))))</f>
        <v>Media</v>
      </c>
      <c r="K10" s="265">
        <f>IF(J10="","",IF(J10="Muy Baja",0.2,IF(J10="Baja",0.4,IF(J10="Media",0.6,IF(J10="Alta",0.8,IF(J10="Muy Alta",1,))))))</f>
        <v>0.6</v>
      </c>
      <c r="L10" s="267" t="s">
        <v>146</v>
      </c>
      <c r="M10" s="265" t="str">
        <f ca="1">IF(NOT(ISERROR(MATCH(L10,'Tabla Impacto'!$B$221:$B$223,0))),'Tabla Impacto'!$F$223&amp;"Por favor no seleccionar los criterios de impacto(Afectación Económica o presupuestal y Pérdida Reputacional)",L10)</f>
        <v xml:space="preserve">     El riesgo afecta la imagen de de la entidad con efecto publicitario sostenido a nivel de sector administrativo, nivel departamental o municipal</v>
      </c>
      <c r="N10" s="254" t="str">
        <f ca="1">IF(OR(M10='Tabla Impacto'!$C$11,M10='Tabla Impacto'!$D$11),"Leve",IF(OR(M10='Tabla Impacto'!$C$12,M10='Tabla Impacto'!$D$12),"Menor",IF(OR(M10='Tabla Impacto'!$C$13,M10='Tabla Impacto'!$D$13),"Moderado",IF(OR(M10='Tabla Impacto'!$C$14,M10='Tabla Impacto'!$D$14),"Mayor",IF(OR(M10='Tabla Impacto'!$C$15,M10='Tabla Impacto'!$D$15),"Catastrófico","")))))</f>
        <v>Mayor</v>
      </c>
      <c r="O10" s="265">
        <f ca="1">IF(N10="","",IF(N10="Leve",0.2,IF(N10="Menor",0.4,IF(N10="Moderado",0.6,IF(N10="Mayor",0.8,IF(N10="Catastrófico",1,))))))</f>
        <v>0.8</v>
      </c>
      <c r="P10" s="263" t="str">
        <f ca="1">IF(OR(AND(J10="Muy Baja",N10="Leve"),AND(J10="Muy Baja",N10="Menor"),AND(J10="Baja",N10="Leve")),"Bajo",IF(OR(AND(J10="Muy baja",N10="Moderado"),AND(J10="Baja",N10="Menor"),AND(J10="Baja",N10="Moderado"),AND(J10="Media",N10="Leve"),AND(J10="Media",N10="Menor"),AND(J10="Media",N10="Moderado"),AND(J10="Alta",N10="Leve"),AND(J10="Alta",N10="Menor")),"Moderado",IF(OR(AND(J10="Muy Baja",N10="Mayor"),AND(J10="Baja",N10="Mayor"),AND(J10="Media",N10="Mayor"),AND(J10="Alta",N10="Moderado"),AND(J10="Alta",N10="Mayor"),AND(J10="Muy Alta",N10="Leve"),AND(J10="Muy Alta",N10="Menor"),AND(J10="Muy Alta",N10="Moderado"),AND(J10="Muy Alta",N10="Mayor")),"Alto",IF(OR(AND(J10="Muy Baja",N10="Catastrófico"),AND(J10="Baja",N10="Catastrófico"),AND(J10="Media",N10="Catastrófico"),AND(J10="Alta",N10="Catastrófico"),AND(J10="Muy Alta",N10="Catastrófico")),"Extremo",""))))</f>
        <v>Alto</v>
      </c>
      <c r="Q10" s="105">
        <v>1</v>
      </c>
      <c r="R10" s="158" t="s">
        <v>229</v>
      </c>
      <c r="S10" s="107" t="str">
        <f>IF(OR(T10="Preventivo",T10="Detectivo"),"Probabilidad",IF(T10="Correctivo","Impacto",""))</f>
        <v>Probabilidad</v>
      </c>
      <c r="T10" s="119" t="s">
        <v>14</v>
      </c>
      <c r="U10" s="119" t="s">
        <v>9</v>
      </c>
      <c r="V10" s="120" t="str">
        <f>IF(AND(T10="Preventivo",U10="Automático"),"50%",IF(AND(T10="Preventivo",U10="Manual"),"40%",IF(AND(T10="Detectivo",U10="Automático"),"40%",IF(AND(T10="Detectivo",U10="Manual"),"30%",IF(AND(T10="Correctivo",U10="Automático"),"35%",IF(AND(T10="Correctivo",U10="Manual"),"25%",""))))))</f>
        <v>40%</v>
      </c>
      <c r="W10" s="119" t="s">
        <v>19</v>
      </c>
      <c r="X10" s="119" t="s">
        <v>23</v>
      </c>
      <c r="Y10" s="119" t="s">
        <v>114</v>
      </c>
      <c r="Z10" s="110">
        <f>IFERROR(IF(S10="Probabilidad",(K10-(+K10*V10)),IF(S10="Impacto",K10,"")),"")</f>
        <v>0.36</v>
      </c>
      <c r="AA10" s="124" t="str">
        <f>IFERROR(IF(Z10="","",IF(Z10&lt;=0.2,"Muy Baja",IF(Z10&lt;=0.4,"Baja",IF(Z10&lt;=0.6,"Media",IF(Z10&lt;=0.8,"Alta","Muy Alta"))))),"")</f>
        <v>Baja</v>
      </c>
      <c r="AB10" s="125">
        <f>+Z10</f>
        <v>0.36</v>
      </c>
      <c r="AC10" s="124" t="str">
        <f ca="1">IFERROR(IF(AD10="","",IF(AD10&lt;=0.2,"Leve",IF(AD10&lt;=0.4,"Menor",IF(AD10&lt;=0.6,"Moderado",IF(AD10&lt;=0.8,"Mayor","Catastrófico"))))),"")</f>
        <v>Mayor</v>
      </c>
      <c r="AD10" s="125">
        <f ca="1">IFERROR(IF(S10="Impacto",(O10-(+O10*V10)),IF(S10="Probabilidad",O10,"")),"")</f>
        <v>0.8</v>
      </c>
      <c r="AE10" s="126" t="str">
        <f ca="1">IFERROR(IF(OR(AND(AA10="Muy Baja",AC10="Leve"),AND(AA10="Muy Baja",AC10="Menor"),AND(AA10="Baja",AC10="Leve")),"Bajo",IF(OR(AND(AA10="Muy baja",AC10="Moderado"),AND(AA10="Baja",AC10="Menor"),AND(AA10="Baja",AC10="Moderado"),AND(AA10="Media",AC10="Leve"),AND(AA10="Media",AC10="Menor"),AND(AA10="Media",AC10="Moderado"),AND(AA10="Alta",AC10="Leve"),AND(AA10="Alta",AC10="Menor")),"Moderado",IF(OR(AND(AA10="Muy Baja",AC10="Mayor"),AND(AA10="Baja",AC10="Mayor"),AND(AA10="Media",AC10="Mayor"),AND(AA10="Alta",AC10="Moderado"),AND(AA10="Alta",AC10="Mayor"),AND(AA10="Muy Alta",AC10="Leve"),AND(AA10="Muy Alta",AC10="Menor"),AND(AA10="Muy Alta",AC10="Moderado"),AND(AA10="Muy Alta",AC10="Mayor")),"Alto",IF(OR(AND(AA10="Muy Baja",AC10="Catastrófico"),AND(AA10="Baja",AC10="Catastrófico"),AND(AA10="Media",AC10="Catastrófico"),AND(AA10="Alta",AC10="Catastrófico"),AND(AA10="Muy Alta",AC10="Catastrófico")),"Extremo","")))),"")</f>
        <v>Alto</v>
      </c>
      <c r="AF10" s="127" t="s">
        <v>32</v>
      </c>
      <c r="AG10" s="121"/>
      <c r="AH10" s="122"/>
      <c r="AI10" s="123"/>
      <c r="AJ10" s="123"/>
      <c r="AK10" s="121"/>
      <c r="AL10" s="160"/>
      <c r="AM10" s="290" t="s">
        <v>238</v>
      </c>
      <c r="AN10" s="290" t="s">
        <v>242</v>
      </c>
      <c r="AO10" s="218" t="s">
        <v>248</v>
      </c>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row>
    <row r="11" spans="1:67" ht="32.25" customHeight="1" x14ac:dyDescent="0.25">
      <c r="A11" s="242"/>
      <c r="B11" s="244"/>
      <c r="C11" s="244"/>
      <c r="D11" s="244"/>
      <c r="E11" s="214"/>
      <c r="F11" s="246"/>
      <c r="G11" s="211"/>
      <c r="H11" s="251"/>
      <c r="I11" s="253"/>
      <c r="J11" s="255"/>
      <c r="K11" s="266"/>
      <c r="L11" s="268"/>
      <c r="M11" s="266">
        <f ca="1">IF(NOT(ISERROR(MATCH(L11,_xlfn.ANCHORARRAY(F18),0))),K20&amp;"Por favor no seleccionar los criterios de impacto",L11)</f>
        <v>0</v>
      </c>
      <c r="N11" s="255"/>
      <c r="O11" s="266"/>
      <c r="P11" s="264"/>
      <c r="Q11" s="105">
        <v>2</v>
      </c>
      <c r="R11" s="106"/>
      <c r="S11" s="107" t="str">
        <f>IF(OR(T11="Preventivo",T11="Detectivo"),"Probabilidad",IF(T11="Correctivo","Impacto",""))</f>
        <v/>
      </c>
      <c r="T11" s="119"/>
      <c r="U11" s="119"/>
      <c r="V11" s="120" t="str">
        <f t="shared" ref="V11" si="0">IF(AND(T11="Preventivo",U11="Automático"),"50%",IF(AND(T11="Preventivo",U11="Manual"),"40%",IF(AND(T11="Detectivo",U11="Automático"),"40%",IF(AND(T11="Detectivo",U11="Manual"),"30%",IF(AND(T11="Correctivo",U11="Automático"),"35%",IF(AND(T11="Correctivo",U11="Manual"),"25%",""))))))</f>
        <v/>
      </c>
      <c r="W11" s="119"/>
      <c r="X11" s="119"/>
      <c r="Y11" s="119"/>
      <c r="Z11" s="110" t="str">
        <f>IFERROR(IF(AND(S10="Probabilidad",S11="Probabilidad"),(AB10-(+AB10*V11)),IF(AND(S10="Impacto",S11="Probabilidad"),(AB9-(+AB9*V11)),IF(S11="Impacto",AB10,""))),"")</f>
        <v/>
      </c>
      <c r="AA11" s="124" t="str">
        <f t="shared" ref="AA11" si="1">IFERROR(IF(Z11="","",IF(Z11&lt;=0.2,"Muy Baja",IF(Z11&lt;=0.4,"Baja",IF(Z11&lt;=0.6,"Media",IF(Z11&lt;=0.8,"Alta","Muy Alta"))))),"")</f>
        <v/>
      </c>
      <c r="AB11" s="125" t="str">
        <f t="shared" ref="AB11" si="2">+Z11</f>
        <v/>
      </c>
      <c r="AC11" s="124" t="str">
        <f t="shared" ref="AC11" si="3">IFERROR(IF(AD11="","",IF(AD11&lt;=0.2,"Leve",IF(AD11&lt;=0.4,"Menor",IF(AD11&lt;=0.6,"Moderado",IF(AD11&lt;=0.8,"Mayor","Catastrófico"))))),"")</f>
        <v/>
      </c>
      <c r="AD11" s="125" t="str">
        <f>IFERROR(IF(AND(S10="Impacto",S11="Impacto"),(AD10-(+AD10*V11)),IF(AND(S10="Probabilidad",S11="Impacto"),(AD9-(+AD9*V11)),IF(S11="Probabilidad",AD10,""))),"")</f>
        <v/>
      </c>
      <c r="AE11" s="126" t="str">
        <f t="shared" ref="AE11" si="4">IFERROR(IF(OR(AND(AA11="Muy Baja",AC11="Leve"),AND(AA11="Muy Baja",AC11="Menor"),AND(AA11="Baja",AC11="Leve")),"Bajo",IF(OR(AND(AA11="Muy baja",AC11="Moderado"),AND(AA11="Baja",AC11="Menor"),AND(AA11="Baja",AC11="Moderado"),AND(AA11="Media",AC11="Leve"),AND(AA11="Media",AC11="Menor"),AND(AA11="Media",AC11="Moderado"),AND(AA11="Alta",AC11="Leve"),AND(AA11="Alta",AC11="Menor")),"Moderado",IF(OR(AND(AA11="Muy Baja",AC11="Mayor"),AND(AA11="Baja",AC11="Mayor"),AND(AA11="Media",AC11="Mayor"),AND(AA11="Alta",AC11="Moderado"),AND(AA11="Alta",AC11="Mayor"),AND(AA11="Muy Alta",AC11="Leve"),AND(AA11="Muy Alta",AC11="Menor"),AND(AA11="Muy Alta",AC11="Moderado"),AND(AA11="Muy Alta",AC11="Mayor")),"Alto",IF(OR(AND(AA11="Muy Baja",AC11="Catastrófico"),AND(AA11="Baja",AC11="Catastrófico"),AND(AA11="Media",AC11="Catastrófico"),AND(AA11="Alta",AC11="Catastrófico"),AND(AA11="Muy Alta",AC11="Catastrófico")),"Extremo","")))),"")</f>
        <v/>
      </c>
      <c r="AF11" s="127"/>
      <c r="AG11" s="115"/>
      <c r="AH11" s="116"/>
      <c r="AI11" s="117"/>
      <c r="AJ11" s="117"/>
      <c r="AK11" s="115"/>
      <c r="AL11" s="159"/>
      <c r="AM11" s="291"/>
      <c r="AN11" s="291"/>
      <c r="AO11" s="219"/>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ht="72.75" customHeight="1" x14ac:dyDescent="0.25">
      <c r="A12" s="242"/>
      <c r="B12" s="244"/>
      <c r="C12" s="244"/>
      <c r="D12" s="244"/>
      <c r="E12" s="248" t="s">
        <v>217</v>
      </c>
      <c r="F12" s="246"/>
      <c r="G12" s="211"/>
      <c r="H12" s="251"/>
      <c r="I12" s="253"/>
      <c r="J12" s="255"/>
      <c r="K12" s="266"/>
      <c r="L12" s="268"/>
      <c r="M12" s="266">
        <f ca="1">IF(NOT(ISERROR(MATCH(L12,_xlfn.ANCHORARRAY(F19),0))),K21&amp;"Por favor no seleccionar los criterios de impacto",L12)</f>
        <v>0</v>
      </c>
      <c r="N12" s="255"/>
      <c r="O12" s="266"/>
      <c r="P12" s="264"/>
      <c r="Q12" s="105">
        <v>3</v>
      </c>
      <c r="R12" s="118"/>
      <c r="S12" s="107" t="str">
        <f t="shared" ref="S12:S13" si="5">IF(OR(T12="Preventivo",T12="Detectivo"),"Probabilidad",IF(T12="Correctivo","Impacto",""))</f>
        <v/>
      </c>
      <c r="T12" s="119"/>
      <c r="U12" s="119"/>
      <c r="V12" s="120" t="str">
        <f t="shared" ref="V12:V13" si="6">IF(AND(T12="Preventivo",U12="Automático"),"50%",IF(AND(T12="Preventivo",U12="Manual"),"40%",IF(AND(T12="Detectivo",U12="Automático"),"40%",IF(AND(T12="Detectivo",U12="Manual"),"30%",IF(AND(T12="Correctivo",U12="Automático"),"35%",IF(AND(T12="Correctivo",U12="Manual"),"25%",""))))))</f>
        <v/>
      </c>
      <c r="W12" s="119"/>
      <c r="X12" s="119"/>
      <c r="Y12" s="119"/>
      <c r="Z12" s="110" t="str">
        <f t="shared" ref="Z12:Z13" si="7">IFERROR(IF(AND(S11="Probabilidad",S12="Probabilidad"),(AB11-(+AB11*V12)),IF(AND(S11="Impacto",S12="Probabilidad"),(AB10-(+AB10*V12)),IF(S12="Impacto",AB11,""))),"")</f>
        <v/>
      </c>
      <c r="AA12" s="124" t="str">
        <f t="shared" ref="AA12:AA13" si="8">IFERROR(IF(Z12="","",IF(Z12&lt;=0.2,"Muy Baja",IF(Z12&lt;=0.4,"Baja",IF(Z12&lt;=0.6,"Media",IF(Z12&lt;=0.8,"Alta","Muy Alta"))))),"")</f>
        <v/>
      </c>
      <c r="AB12" s="125" t="str">
        <f t="shared" ref="AB12:AB13" si="9">+Z12</f>
        <v/>
      </c>
      <c r="AC12" s="124" t="str">
        <f t="shared" ref="AC12:AC13" si="10">IFERROR(IF(AD12="","",IF(AD12&lt;=0.2,"Leve",IF(AD12&lt;=0.4,"Menor",IF(AD12&lt;=0.6,"Moderado",IF(AD12&lt;=0.8,"Mayor","Catastrófico"))))),"")</f>
        <v/>
      </c>
      <c r="AD12" s="125" t="str">
        <f t="shared" ref="AD12:AD13" si="11">IFERROR(IF(AND(S11="Impacto",S12="Impacto"),(AD11-(+AD11*V12)),IF(AND(S11="Probabilidad",S12="Impacto"),(AD10-(+AD10*V12)),IF(S12="Probabilidad",AD11,""))),"")</f>
        <v/>
      </c>
      <c r="AE12" s="126" t="str">
        <f t="shared" ref="AE12:AE13" si="12">IFERROR(IF(OR(AND(AA12="Muy Baja",AC12="Leve"),AND(AA12="Muy Baja",AC12="Menor"),AND(AA12="Baja",AC12="Leve")),"Bajo",IF(OR(AND(AA12="Muy baja",AC12="Moderado"),AND(AA12="Baja",AC12="Menor"),AND(AA12="Baja",AC12="Moderado"),AND(AA12="Media",AC12="Leve"),AND(AA12="Media",AC12="Menor"),AND(AA12="Media",AC12="Moderado"),AND(AA12="Alta",AC12="Leve"),AND(AA12="Alta",AC12="Menor")),"Moderado",IF(OR(AND(AA12="Muy Baja",AC12="Mayor"),AND(AA12="Baja",AC12="Mayor"),AND(AA12="Media",AC12="Mayor"),AND(AA12="Alta",AC12="Moderado"),AND(AA12="Alta",AC12="Mayor"),AND(AA12="Muy Alta",AC12="Leve"),AND(AA12="Muy Alta",AC12="Menor"),AND(AA12="Muy Alta",AC12="Moderado"),AND(AA12="Muy Alta",AC12="Mayor")),"Alto",IF(OR(AND(AA12="Muy Baja",AC12="Catastrófico"),AND(AA12="Baja",AC12="Catastrófico"),AND(AA12="Media",AC12="Catastrófico"),AND(AA12="Alta",AC12="Catastrófico"),AND(AA12="Muy Alta",AC12="Catastrófico")),"Extremo","")))),"")</f>
        <v/>
      </c>
      <c r="AF12" s="127"/>
      <c r="AG12" s="115"/>
      <c r="AH12" s="116"/>
      <c r="AI12" s="117"/>
      <c r="AJ12" s="117"/>
      <c r="AK12" s="115"/>
      <c r="AL12" s="159"/>
      <c r="AM12" s="291"/>
      <c r="AN12" s="291"/>
      <c r="AO12" s="219"/>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row>
    <row r="13" spans="1:67" ht="118.5" customHeight="1" thickBot="1" x14ac:dyDescent="0.3">
      <c r="A13" s="242"/>
      <c r="B13" s="244"/>
      <c r="C13" s="244"/>
      <c r="D13" s="244"/>
      <c r="E13" s="249"/>
      <c r="F13" s="247"/>
      <c r="G13" s="212"/>
      <c r="H13" s="251"/>
      <c r="I13" s="253"/>
      <c r="J13" s="255"/>
      <c r="K13" s="266"/>
      <c r="L13" s="268"/>
      <c r="M13" s="266">
        <f ca="1">IF(NOT(ISERROR(MATCH(L13,_xlfn.ANCHORARRAY(F20),0))),K22&amp;"Por favor no seleccionar los criterios de impacto",L13)</f>
        <v>0</v>
      </c>
      <c r="N13" s="255"/>
      <c r="O13" s="266"/>
      <c r="P13" s="264"/>
      <c r="Q13" s="105">
        <v>4</v>
      </c>
      <c r="R13" s="106"/>
      <c r="S13" s="107" t="str">
        <f t="shared" si="5"/>
        <v/>
      </c>
      <c r="T13" s="119"/>
      <c r="U13" s="119"/>
      <c r="V13" s="120" t="str">
        <f t="shared" si="6"/>
        <v/>
      </c>
      <c r="W13" s="119"/>
      <c r="X13" s="119"/>
      <c r="Y13" s="119"/>
      <c r="Z13" s="110" t="str">
        <f t="shared" si="7"/>
        <v/>
      </c>
      <c r="AA13" s="124" t="str">
        <f t="shared" si="8"/>
        <v/>
      </c>
      <c r="AB13" s="125" t="str">
        <f t="shared" si="9"/>
        <v/>
      </c>
      <c r="AC13" s="124" t="str">
        <f t="shared" si="10"/>
        <v/>
      </c>
      <c r="AD13" s="125" t="str">
        <f t="shared" si="11"/>
        <v/>
      </c>
      <c r="AE13" s="126" t="str">
        <f t="shared" si="12"/>
        <v/>
      </c>
      <c r="AF13" s="127"/>
      <c r="AG13" s="115"/>
      <c r="AH13" s="116"/>
      <c r="AI13" s="117"/>
      <c r="AJ13" s="117"/>
      <c r="AK13" s="115"/>
      <c r="AL13" s="159"/>
      <c r="AM13" s="292"/>
      <c r="AN13" s="292"/>
      <c r="AO13" s="220"/>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row>
    <row r="14" spans="1:67" ht="123.75" customHeight="1" thickBot="1" x14ac:dyDescent="0.3">
      <c r="A14" s="241">
        <v>2</v>
      </c>
      <c r="B14" s="257" t="s">
        <v>129</v>
      </c>
      <c r="C14" s="257" t="s">
        <v>221</v>
      </c>
      <c r="D14" s="272" t="s">
        <v>220</v>
      </c>
      <c r="E14" s="154" t="s">
        <v>226</v>
      </c>
      <c r="F14" s="281" t="s">
        <v>236</v>
      </c>
      <c r="G14" s="210" t="s">
        <v>235</v>
      </c>
      <c r="H14" s="278" t="s">
        <v>118</v>
      </c>
      <c r="I14" s="229">
        <v>500</v>
      </c>
      <c r="J14" s="232" t="str">
        <f>IF(I14&lt;=0,"",IF(I14&lt;=2,"Muy Baja",IF(I14&lt;=24,"Baja",IF(I14&lt;=500,"Media",IF(I14&lt;=5000,"Alta","Muy Alta")))))</f>
        <v>Media</v>
      </c>
      <c r="K14" s="235">
        <f>IF(J14="","",IF(J14="Muy Baja",0.2,IF(J14="Baja",0.4,IF(J14="Media",0.6,IF(J14="Alta",0.8,IF(J14="Muy Alta",1,))))))</f>
        <v>0.6</v>
      </c>
      <c r="L14" s="238" t="s">
        <v>146</v>
      </c>
      <c r="M14" s="235" t="str">
        <f ca="1">IF(NOT(ISERROR(MATCH(L14,'Tabla Impacto'!$B$221:$B$223,0))),'Tabla Impacto'!$F$223&amp;"Por favor no seleccionar los criterios de impacto(Afectación Económica o presupuestal y Pérdida Reputacional)",L14)</f>
        <v xml:space="preserve">     El riesgo afecta la imagen de de la entidad con efecto publicitario sostenido a nivel de sector administrativo, nivel departamental o municipal</v>
      </c>
      <c r="N14" s="232" t="str">
        <f ca="1">IF(OR(M14='Tabla Impacto'!$C$11,M14='Tabla Impacto'!$D$11),"Leve",IF(OR(M14='Tabla Impacto'!$C$12,M14='Tabla Impacto'!$D$12),"Menor",IF(OR(M14='Tabla Impacto'!$C$13,M14='Tabla Impacto'!$D$13),"Moderado",IF(OR(M14='Tabla Impacto'!$C$14,M14='Tabla Impacto'!$D$14),"Mayor",IF(OR(M14='Tabla Impacto'!$C$15,M14='Tabla Impacto'!$D$15),"Catastrófico","")))))</f>
        <v>Mayor</v>
      </c>
      <c r="O14" s="235">
        <f ca="1">IF(N14="","",IF(N14="Leve",0.2,IF(N14="Menor",0.4,IF(N14="Moderado",0.6,IF(N14="Mayor",0.8,IF(N14="Catastrófico",1,))))))</f>
        <v>0.8</v>
      </c>
      <c r="P14" s="260" t="str">
        <f ca="1">IF(OR(AND(J14="Muy Baja",N14="Leve"),AND(J14="Muy Baja",N14="Menor"),AND(J14="Baja",N14="Leve")),"Bajo",IF(OR(AND(J14="Muy baja",N14="Moderado"),AND(J14="Baja",N14="Menor"),AND(J14="Baja",N14="Moderado"),AND(J14="Media",N14="Leve"),AND(J14="Media",N14="Menor"),AND(J14="Media",N14="Moderado"),AND(J14="Alta",N14="Leve"),AND(J14="Alta",N14="Menor")),"Moderado",IF(OR(AND(J14="Muy Baja",N14="Mayor"),AND(J14="Baja",N14="Mayor"),AND(J14="Media",N14="Mayor"),AND(J14="Alta",N14="Moderado"),AND(J14="Alta",N14="Mayor"),AND(J14="Muy Alta",N14="Leve"),AND(J14="Muy Alta",N14="Menor"),AND(J14="Muy Alta",N14="Moderado"),AND(J14="Muy Alta",N14="Mayor")),"Alto",IF(OR(AND(J14="Muy Baja",N14="Catastrófico"),AND(J14="Baja",N14="Catastrófico"),AND(J14="Media",N14="Catastrófico"),AND(J14="Alta",N14="Catastrófico"),AND(J14="Muy Alta",N14="Catastrófico")),"Extremo",""))))</f>
        <v>Alto</v>
      </c>
      <c r="Q14" s="105">
        <v>1</v>
      </c>
      <c r="R14" s="157" t="s">
        <v>222</v>
      </c>
      <c r="S14" s="107" t="s">
        <v>223</v>
      </c>
      <c r="T14" s="119" t="s">
        <v>14</v>
      </c>
      <c r="U14" s="119" t="s">
        <v>9</v>
      </c>
      <c r="V14" s="120" t="str">
        <f>IF(AND(T14="Preventivo",U14="Automático"),"50%",IF(AND(T14="Preventivo",U14="Manual"),"40%",IF(AND(T14="Detectivo",U14="Automático"),"40%",IF(AND(T14="Detectivo",U14="Manual"),"30%",IF(AND(T14="Correctivo",U14="Automático"),"35%",IF(AND(T14="Correctivo",U14="Manual"),"25%",""))))))</f>
        <v>40%</v>
      </c>
      <c r="W14" s="119" t="s">
        <v>19</v>
      </c>
      <c r="X14" s="119" t="s">
        <v>23</v>
      </c>
      <c r="Y14" s="119" t="s">
        <v>114</v>
      </c>
      <c r="Z14" s="110">
        <f>IFERROR(IF(S14="Probabilidad",(K14-(+K14*V14)),IF(S14="Impacto",K14,"")),"")</f>
        <v>0.36</v>
      </c>
      <c r="AA14" s="124" t="str">
        <f>IFERROR(IF(Z14="","",IF(Z14&lt;=0.2,"Muy Baja",IF(Z14&lt;=0.4,"Baja",IF(Z14&lt;=0.6,"Media",IF(Z14&lt;=0.8,"Alta","Muy Alta"))))),"")</f>
        <v>Baja</v>
      </c>
      <c r="AB14" s="125">
        <f>+Z14</f>
        <v>0.36</v>
      </c>
      <c r="AC14" s="124" t="str">
        <f ca="1">IFERROR(IF(AD14="","",IF(AD14&lt;=0.2,"Leve",IF(AD14&lt;=0.4,"Menor",IF(AD14&lt;=0.6,"Moderado",IF(AD14&lt;=0.8,"Mayor","Catastrófico"))))),"")</f>
        <v>Mayor</v>
      </c>
      <c r="AD14" s="125">
        <f ca="1">IFERROR(IF(S14="Impacto",(O14-(+O14*V14)),IF(S14="Probabilidad",O14,"")),"")</f>
        <v>0.8</v>
      </c>
      <c r="AE14" s="126" t="str">
        <f ca="1">IFERROR(IF(OR(AND(AA14="Muy Baja",AC14="Leve"),AND(AA14="Muy Baja",AC14="Menor"),AND(AA14="Baja",AC14="Leve")),"Bajo",IF(OR(AND(AA14="Muy baja",AC14="Moderado"),AND(AA14="Baja",AC14="Menor"),AND(AA14="Baja",AC14="Moderado"),AND(AA14="Media",AC14="Leve"),AND(AA14="Media",AC14="Menor"),AND(AA14="Media",AC14="Moderado"),AND(AA14="Alta",AC14="Leve"),AND(AA14="Alta",AC14="Menor")),"Moderado",IF(OR(AND(AA14="Muy Baja",AC14="Mayor"),AND(AA14="Baja",AC14="Mayor"),AND(AA14="Media",AC14="Mayor"),AND(AA14="Alta",AC14="Moderado"),AND(AA14="Alta",AC14="Mayor"),AND(AA14="Muy Alta",AC14="Leve"),AND(AA14="Muy Alta",AC14="Menor"),AND(AA14="Muy Alta",AC14="Moderado"),AND(AA14="Muy Alta",AC14="Mayor")),"Alto",IF(OR(AND(AA14="Muy Baja",AC14="Catastrófico"),AND(AA14="Baja",AC14="Catastrófico"),AND(AA14="Media",AC14="Catastrófico"),AND(AA14="Alta",AC14="Catastrófico"),AND(AA14="Muy Alta",AC14="Catastrófico")),"Extremo","")))),"")</f>
        <v>Alto</v>
      </c>
      <c r="AF14" s="114"/>
      <c r="AG14" s="115"/>
      <c r="AH14" s="116"/>
      <c r="AI14" s="117"/>
      <c r="AJ14" s="117"/>
      <c r="AK14" s="115"/>
      <c r="AL14" s="159"/>
      <c r="AM14" s="162" t="s">
        <v>241</v>
      </c>
      <c r="AN14" s="162" t="s">
        <v>243</v>
      </c>
      <c r="AO14" s="165" t="s">
        <v>249</v>
      </c>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row>
    <row r="15" spans="1:67" ht="174.75" customHeight="1" thickBot="1" x14ac:dyDescent="0.3">
      <c r="A15" s="242"/>
      <c r="B15" s="258"/>
      <c r="C15" s="258"/>
      <c r="D15" s="273"/>
      <c r="E15" s="155" t="s">
        <v>228</v>
      </c>
      <c r="F15" s="281"/>
      <c r="G15" s="211"/>
      <c r="H15" s="279"/>
      <c r="I15" s="230"/>
      <c r="J15" s="233"/>
      <c r="K15" s="236"/>
      <c r="L15" s="239"/>
      <c r="M15" s="236">
        <f ca="1">IF(NOT(ISERROR(MATCH(L15,_xlfn.ANCHORARRAY(F24),0))),K26&amp;"Por favor no seleccionar los criterios de impacto",L15)</f>
        <v>0</v>
      </c>
      <c r="N15" s="233"/>
      <c r="O15" s="236"/>
      <c r="P15" s="261"/>
      <c r="Q15" s="105">
        <v>2</v>
      </c>
      <c r="R15" s="157" t="s">
        <v>227</v>
      </c>
      <c r="S15" s="107" t="s">
        <v>4</v>
      </c>
      <c r="T15" s="119" t="s">
        <v>14</v>
      </c>
      <c r="U15" s="119" t="s">
        <v>9</v>
      </c>
      <c r="V15" s="120" t="str">
        <f t="shared" ref="V15:V17" si="13">IF(AND(T15="Preventivo",U15="Automático"),"50%",IF(AND(T15="Preventivo",U15="Manual"),"40%",IF(AND(T15="Detectivo",U15="Automático"),"40%",IF(AND(T15="Detectivo",U15="Manual"),"30%",IF(AND(T15="Correctivo",U15="Automático"),"35%",IF(AND(T15="Correctivo",U15="Manual"),"25%",""))))))</f>
        <v>40%</v>
      </c>
      <c r="W15" s="119" t="s">
        <v>19</v>
      </c>
      <c r="X15" s="119" t="s">
        <v>23</v>
      </c>
      <c r="Y15" s="119" t="s">
        <v>114</v>
      </c>
      <c r="Z15" s="110">
        <f>IFERROR(IF(AND(S14="Probabilidad",S15="Probabilidad"),(AB14-(+AB14*V15)),IF(AND(S14="Impacto",S15="Probabilidad"),(#REF!-(+#REF!*V15)),IF(S15="Impacto",AB14,""))),"")</f>
        <v>0.216</v>
      </c>
      <c r="AA15" s="124" t="str">
        <f t="shared" ref="AA15:AA17" si="14">IFERROR(IF(Z15="","",IF(Z15&lt;=0.2,"Muy Baja",IF(Z15&lt;=0.4,"Baja",IF(Z15&lt;=0.6,"Media",IF(Z15&lt;=0.8,"Alta","Muy Alta"))))),"")</f>
        <v>Baja</v>
      </c>
      <c r="AB15" s="125">
        <f t="shared" ref="AB15:AB17" si="15">+Z15</f>
        <v>0.216</v>
      </c>
      <c r="AC15" s="124" t="str">
        <f t="shared" ref="AC15:AC17" ca="1" si="16">IFERROR(IF(AD15="","",IF(AD15&lt;=0.2,"Leve",IF(AD15&lt;=0.4,"Menor",IF(AD15&lt;=0.6,"Moderado",IF(AD15&lt;=0.8,"Mayor","Catastrófico"))))),"")</f>
        <v>Mayor</v>
      </c>
      <c r="AD15" s="125">
        <f ca="1">IFERROR(IF(AND(S14="Impacto",S15="Impacto"),(AD14-(+AD14*V15)),IF(AND(S14="Probabilidad",S15="Impacto"),(#REF!-(+#REF!*V15)),IF(S15="Probabilidad",AD14,""))),"")</f>
        <v>0.8</v>
      </c>
      <c r="AE15" s="126" t="str">
        <f t="shared" ref="AE15:AE17" ca="1" si="17">IFERROR(IF(OR(AND(AA15="Muy Baja",AC15="Leve"),AND(AA15="Muy Baja",AC15="Menor"),AND(AA15="Baja",AC15="Leve")),"Bajo",IF(OR(AND(AA15="Muy baja",AC15="Moderado"),AND(AA15="Baja",AC15="Menor"),AND(AA15="Baja",AC15="Moderado"),AND(AA15="Media",AC15="Leve"),AND(AA15="Media",AC15="Menor"),AND(AA15="Media",AC15="Moderado"),AND(AA15="Alta",AC15="Leve"),AND(AA15="Alta",AC15="Menor")),"Moderado",IF(OR(AND(AA15="Muy Baja",AC15="Mayor"),AND(AA15="Baja",AC15="Mayor"),AND(AA15="Media",AC15="Mayor"),AND(AA15="Alta",AC15="Moderado"),AND(AA15="Alta",AC15="Mayor"),AND(AA15="Muy Alta",AC15="Leve"),AND(AA15="Muy Alta",AC15="Menor"),AND(AA15="Muy Alta",AC15="Moderado"),AND(AA15="Muy Alta",AC15="Mayor")),"Alto",IF(OR(AND(AA15="Muy Baja",AC15="Catastrófico"),AND(AA15="Baja",AC15="Catastrófico"),AND(AA15="Media",AC15="Catastrófico"),AND(AA15="Alta",AC15="Catastrófico"),AND(AA15="Muy Alta",AC15="Catastrófico")),"Extremo","")))),"")</f>
        <v>Alto</v>
      </c>
      <c r="AF15" s="114"/>
      <c r="AG15" s="115"/>
      <c r="AH15" s="116"/>
      <c r="AI15" s="117"/>
      <c r="AJ15" s="117"/>
      <c r="AK15" s="115"/>
      <c r="AL15" s="159"/>
      <c r="AM15" s="163" t="s">
        <v>239</v>
      </c>
      <c r="AN15" s="163" t="s">
        <v>244</v>
      </c>
      <c r="AO15" s="166" t="s">
        <v>251</v>
      </c>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row>
    <row r="16" spans="1:67" ht="159.75" customHeight="1" thickBot="1" x14ac:dyDescent="0.3">
      <c r="A16" s="242"/>
      <c r="B16" s="258"/>
      <c r="C16" s="258"/>
      <c r="D16" s="273"/>
      <c r="E16" s="282" t="s">
        <v>225</v>
      </c>
      <c r="F16" s="281"/>
      <c r="G16" s="211"/>
      <c r="H16" s="279"/>
      <c r="I16" s="230"/>
      <c r="J16" s="233"/>
      <c r="K16" s="236"/>
      <c r="L16" s="239"/>
      <c r="M16" s="236">
        <f ca="1">IF(NOT(ISERROR(MATCH(L16,_xlfn.ANCHORARRAY(F25),0))),K27&amp;"Por favor no seleccionar los criterios de impacto",L16)</f>
        <v>0</v>
      </c>
      <c r="N16" s="233"/>
      <c r="O16" s="236"/>
      <c r="P16" s="261"/>
      <c r="Q16" s="105">
        <v>3</v>
      </c>
      <c r="R16" s="156" t="s">
        <v>230</v>
      </c>
      <c r="S16" s="107" t="str">
        <f>IF(OR(T16="Preventivo",T16="Detectivo"),"Probabilidad",IF(T16="Correctivo","Impacto",""))</f>
        <v>Probabilidad</v>
      </c>
      <c r="T16" s="119" t="s">
        <v>14</v>
      </c>
      <c r="U16" s="119" t="s">
        <v>9</v>
      </c>
      <c r="V16" s="120" t="str">
        <f t="shared" si="13"/>
        <v>40%</v>
      </c>
      <c r="W16" s="119" t="s">
        <v>19</v>
      </c>
      <c r="X16" s="119" t="s">
        <v>23</v>
      </c>
      <c r="Y16" s="119" t="s">
        <v>114</v>
      </c>
      <c r="Z16" s="110">
        <f t="shared" ref="Z16" si="18">IFERROR(IF(AND(S15="Probabilidad",S16="Probabilidad"),(AB15-(+AB15*V16)),IF(AND(S15="Impacto",S16="Probabilidad"),(AB14-(+AB14*V16)),IF(S16="Impacto",AB15,""))),"")</f>
        <v>0.12959999999999999</v>
      </c>
      <c r="AA16" s="124" t="str">
        <f t="shared" si="14"/>
        <v>Muy Baja</v>
      </c>
      <c r="AB16" s="125">
        <f t="shared" si="15"/>
        <v>0.12959999999999999</v>
      </c>
      <c r="AC16" s="124" t="str">
        <f t="shared" ca="1" si="16"/>
        <v>Mayor</v>
      </c>
      <c r="AD16" s="125">
        <f t="shared" ref="AD16" ca="1" si="19">IFERROR(IF(AND(S15="Impacto",S16="Impacto"),(AD15-(+AD15*V16)),IF(AND(S15="Probabilidad",S16="Impacto"),(AD14-(+AD14*V16)),IF(S16="Probabilidad",AD15,""))),"")</f>
        <v>0.8</v>
      </c>
      <c r="AE16" s="126" t="str">
        <f t="shared" ca="1" si="17"/>
        <v>Alto</v>
      </c>
      <c r="AF16" s="114"/>
      <c r="AG16" s="115"/>
      <c r="AH16" s="116"/>
      <c r="AI16" s="117"/>
      <c r="AJ16" s="117"/>
      <c r="AK16" s="115"/>
      <c r="AL16" s="159"/>
      <c r="AM16" s="164" t="s">
        <v>240</v>
      </c>
      <c r="AN16" s="164" t="s">
        <v>245</v>
      </c>
      <c r="AO16" s="165" t="s">
        <v>250</v>
      </c>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row>
    <row r="17" spans="1:67" ht="25.5" customHeight="1" thickBot="1" x14ac:dyDescent="0.3">
      <c r="A17" s="256"/>
      <c r="B17" s="259"/>
      <c r="C17" s="259"/>
      <c r="D17" s="274"/>
      <c r="E17" s="283"/>
      <c r="F17" s="281"/>
      <c r="G17" s="212"/>
      <c r="H17" s="280"/>
      <c r="I17" s="231"/>
      <c r="J17" s="234"/>
      <c r="K17" s="237"/>
      <c r="L17" s="240"/>
      <c r="M17" s="237">
        <f ca="1">IF(NOT(ISERROR(MATCH(L17,_xlfn.ANCHORARRAY(F28),0))),K30&amp;"Por favor no seleccionar los criterios de impacto",L17)</f>
        <v>0</v>
      </c>
      <c r="N17" s="234"/>
      <c r="O17" s="237"/>
      <c r="P17" s="262"/>
      <c r="Q17" s="105">
        <v>4</v>
      </c>
      <c r="R17" s="106"/>
      <c r="S17" s="107" t="str">
        <f t="shared" ref="S17" si="20">IF(OR(T17="Preventivo",T17="Detectivo"),"Probabilidad",IF(T17="Correctivo","Impacto",""))</f>
        <v/>
      </c>
      <c r="T17" s="119"/>
      <c r="U17" s="119"/>
      <c r="V17" s="120" t="str">
        <f t="shared" si="13"/>
        <v/>
      </c>
      <c r="W17" s="119"/>
      <c r="X17" s="119"/>
      <c r="Y17" s="119"/>
      <c r="Z17" s="110" t="str">
        <f>IFERROR(IF(AND(#REF!="Probabilidad",S17="Probabilidad"),(#REF!-(+#REF!*V17)),IF(AND(#REF!="Impacto",S17="Probabilidad"),(#REF!-(+#REF!*V17)),IF(S17="Impacto",#REF!,""))),"")</f>
        <v/>
      </c>
      <c r="AA17" s="124" t="str">
        <f t="shared" si="14"/>
        <v/>
      </c>
      <c r="AB17" s="125" t="str">
        <f t="shared" si="15"/>
        <v/>
      </c>
      <c r="AC17" s="124" t="str">
        <f t="shared" si="16"/>
        <v/>
      </c>
      <c r="AD17" s="125" t="str">
        <f>IFERROR(IF(AND(#REF!="Impacto",S17="Impacto"),(#REF!-(+#REF!*V17)),IF(AND(#REF!="Probabilidad",S17="Impacto"),(#REF!-(+#REF!*V17)),IF(S17="Probabilidad",#REF!,""))),"")</f>
        <v/>
      </c>
      <c r="AE17" s="126" t="str">
        <f t="shared" si="17"/>
        <v/>
      </c>
      <c r="AF17" s="114"/>
      <c r="AG17" s="115"/>
      <c r="AH17" s="116"/>
      <c r="AI17" s="117"/>
      <c r="AJ17" s="117"/>
      <c r="AK17" s="115"/>
      <c r="AL17" s="159"/>
      <c r="AM17" s="161"/>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row>
    <row r="18" spans="1:67" ht="30.75" customHeight="1" x14ac:dyDescent="0.25">
      <c r="A18" s="241">
        <v>3</v>
      </c>
      <c r="B18" s="257"/>
      <c r="C18" s="257" t="s">
        <v>219</v>
      </c>
      <c r="D18" s="272"/>
      <c r="E18" s="145"/>
      <c r="F18" s="275"/>
      <c r="G18" s="146"/>
      <c r="H18" s="278"/>
      <c r="I18" s="229"/>
      <c r="J18" s="232" t="str">
        <f t="shared" ref="J18" si="21">IF(I18&lt;=0,"",IF(I18&lt;=2,"Muy Baja",IF(I18&lt;=24,"Baja",IF(I18&lt;=500,"Media",IF(I18&lt;=5000,"Alta","Muy Alta")))))</f>
        <v/>
      </c>
      <c r="K18" s="235" t="str">
        <f t="shared" ref="K18" si="22">IF(J18="","",IF(J18="Muy Baja",0.2,IF(J18="Baja",0.4,IF(J18="Media",0.6,IF(J18="Alta",0.8,IF(J18="Muy Alta",1,))))))</f>
        <v/>
      </c>
      <c r="L18" s="238"/>
      <c r="M18" s="235">
        <f ca="1">IF(NOT(ISERROR(MATCH(L18,'Tabla Impacto'!$B$221:$B$223,0))),'Tabla Impacto'!$F$223&amp;"Por favor no seleccionar los criterios de impacto(Afectación Económica o presupuestal y Pérdida Reputacional)",L18)</f>
        <v>0</v>
      </c>
      <c r="N18" s="232" t="str">
        <f ca="1">IF(OR(M18='Tabla Impacto'!$C$11,M18='Tabla Impacto'!$D$11),"Leve",IF(OR(M18='Tabla Impacto'!$C$12,M18='Tabla Impacto'!$D$12),"Menor",IF(OR(M18='Tabla Impacto'!$C$13,M18='Tabla Impacto'!$D$13),"Moderado",IF(OR(M18='Tabla Impacto'!$C$14,M18='Tabla Impacto'!$D$14),"Mayor",IF(OR(M18='Tabla Impacto'!$C$15,M18='Tabla Impacto'!$D$15),"Catastrófico","")))))</f>
        <v/>
      </c>
      <c r="O18" s="235" t="str">
        <f t="shared" ref="O18" ca="1" si="23">IF(N18="","",IF(N18="Leve",0.2,IF(N18="Menor",0.4,IF(N18="Moderado",0.6,IF(N18="Mayor",0.8,IF(N18="Catastrófico",1,))))))</f>
        <v/>
      </c>
      <c r="P18" s="260" t="str">
        <f t="shared" ref="P18" ca="1" si="24">IF(OR(AND(J18="Muy Baja",N18="Leve"),AND(J18="Muy Baja",N18="Menor"),AND(J18="Baja",N18="Leve")),"Bajo",IF(OR(AND(J18="Muy baja",N18="Moderado"),AND(J18="Baja",N18="Menor"),AND(J18="Baja",N18="Moderado"),AND(J18="Media",N18="Leve"),AND(J18="Media",N18="Menor"),AND(J18="Media",N18="Moderado"),AND(J18="Alta",N18="Leve"),AND(J18="Alta",N18="Menor")),"Moderado",IF(OR(AND(J18="Muy Baja",N18="Mayor"),AND(J18="Baja",N18="Mayor"),AND(J18="Media",N18="Mayor"),AND(J18="Alta",N18="Moderado"),AND(J18="Alta",N18="Mayor"),AND(J18="Muy Alta",N18="Leve"),AND(J18="Muy Alta",N18="Menor"),AND(J18="Muy Alta",N18="Moderado"),AND(J18="Muy Alta",N18="Mayor")),"Alto",IF(OR(AND(J18="Muy Baja",N18="Catastrófico"),AND(J18="Baja",N18="Catastrófico"),AND(J18="Media",N18="Catastrófico"),AND(J18="Alta",N18="Catastrófico"),AND(J18="Muy Alta",N18="Catastrófico")),"Extremo",""))))</f>
        <v/>
      </c>
      <c r="Q18" s="105">
        <v>1</v>
      </c>
      <c r="R18" s="106"/>
      <c r="S18" s="107" t="str">
        <f>IF(OR(T18="Preventivo",T18="Detectivo"),"Probabilidad",IF(T18="Correctivo","Impacto",""))</f>
        <v/>
      </c>
      <c r="T18" s="108"/>
      <c r="U18" s="108"/>
      <c r="V18" s="109" t="str">
        <f>IF(AND(T18="Preventivo",U18="Automático"),"50%",IF(AND(T18="Preventivo",U18="Manual"),"40%",IF(AND(T18="Detectivo",U18="Automático"),"40%",IF(AND(T18="Detectivo",U18="Manual"),"30%",IF(AND(T18="Correctivo",U18="Automático"),"35%",IF(AND(T18="Correctivo",U18="Manual"),"25%",""))))))</f>
        <v/>
      </c>
      <c r="W18" s="108"/>
      <c r="X18" s="108"/>
      <c r="Y18" s="108"/>
      <c r="Z18" s="110" t="str">
        <f>IFERROR(IF(S18="Probabilidad",(K18-(+K18*V18)),IF(S18="Impacto",K18,"")),"")</f>
        <v/>
      </c>
      <c r="AA18" s="111" t="str">
        <f>IFERROR(IF(Z18="","",IF(Z18&lt;=0.2,"Muy Baja",IF(Z18&lt;=0.4,"Baja",IF(Z18&lt;=0.6,"Media",IF(Z18&lt;=0.8,"Alta","Muy Alta"))))),"")</f>
        <v/>
      </c>
      <c r="AB18" s="112" t="str">
        <f>+Z18</f>
        <v/>
      </c>
      <c r="AC18" s="111" t="str">
        <f>IFERROR(IF(AD18="","",IF(AD18&lt;=0.2,"Leve",IF(AD18&lt;=0.4,"Menor",IF(AD18&lt;=0.6,"Moderado",IF(AD18&lt;=0.8,"Mayor","Catastrófico"))))),"")</f>
        <v/>
      </c>
      <c r="AD18" s="112" t="str">
        <f>IFERROR(IF(S18="Impacto",(O18-(+O18*V18)),IF(S18="Probabilidad",O18,"")),"")</f>
        <v/>
      </c>
      <c r="AE18" s="113" t="str">
        <f>IFERROR(IF(OR(AND(AA18="Muy Baja",AC18="Leve"),AND(AA18="Muy Baja",AC18="Menor"),AND(AA18="Baja",AC18="Leve")),"Bajo",IF(OR(AND(AA18="Muy baja",AC18="Moderado"),AND(AA18="Baja",AC18="Menor"),AND(AA18="Baja",AC18="Moderado"),AND(AA18="Media",AC18="Leve"),AND(AA18="Media",AC18="Menor"),AND(AA18="Media",AC18="Moderado"),AND(AA18="Alta",AC18="Leve"),AND(AA18="Alta",AC18="Menor")),"Moderado",IF(OR(AND(AA18="Muy Baja",AC18="Mayor"),AND(AA18="Baja",AC18="Mayor"),AND(AA18="Media",AC18="Mayor"),AND(AA18="Alta",AC18="Moderado"),AND(AA18="Alta",AC18="Mayor"),AND(AA18="Muy Alta",AC18="Leve"),AND(AA18="Muy Alta",AC18="Menor"),AND(AA18="Muy Alta",AC18="Moderado"),AND(AA18="Muy Alta",AC18="Mayor")),"Alto",IF(OR(AND(AA18="Muy Baja",AC18="Catastrófico"),AND(AA18="Baja",AC18="Catastrófico"),AND(AA18="Media",AC18="Catastrófico"),AND(AA18="Alta",AC18="Catastrófico"),AND(AA18="Muy Alta",AC18="Catastrófico")),"Extremo","")))),"")</f>
        <v/>
      </c>
      <c r="AF18" s="114"/>
      <c r="AG18" s="115"/>
      <c r="AH18" s="116"/>
      <c r="AI18" s="117"/>
      <c r="AJ18" s="117"/>
      <c r="AK18" s="115"/>
      <c r="AL18" s="116"/>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row>
    <row r="19" spans="1:67" ht="26.25" customHeight="1" x14ac:dyDescent="0.25">
      <c r="A19" s="242"/>
      <c r="B19" s="258"/>
      <c r="C19" s="258"/>
      <c r="D19" s="273"/>
      <c r="E19" s="145"/>
      <c r="F19" s="276"/>
      <c r="G19" s="146"/>
      <c r="H19" s="279"/>
      <c r="I19" s="230"/>
      <c r="J19" s="233"/>
      <c r="K19" s="236"/>
      <c r="L19" s="239"/>
      <c r="M19" s="236">
        <f ca="1">IF(NOT(ISERROR(MATCH(L19,_xlfn.ANCHORARRAY(F30),0))),K32&amp;"Por favor no seleccionar los criterios de impacto",L19)</f>
        <v>0</v>
      </c>
      <c r="N19" s="233"/>
      <c r="O19" s="236"/>
      <c r="P19" s="261"/>
      <c r="Q19" s="105">
        <v>2</v>
      </c>
      <c r="R19" s="106"/>
      <c r="S19" s="107" t="str">
        <f>IF(OR(T19="Preventivo",T19="Detectivo"),"Probabilidad",IF(T19="Correctivo","Impacto",""))</f>
        <v/>
      </c>
      <c r="T19" s="108"/>
      <c r="U19" s="108"/>
      <c r="V19" s="109" t="str">
        <f t="shared" ref="V19:V23" si="25">IF(AND(T19="Preventivo",U19="Automático"),"50%",IF(AND(T19="Preventivo",U19="Manual"),"40%",IF(AND(T19="Detectivo",U19="Automático"),"40%",IF(AND(T19="Detectivo",U19="Manual"),"30%",IF(AND(T19="Correctivo",U19="Automático"),"35%",IF(AND(T19="Correctivo",U19="Manual"),"25%",""))))))</f>
        <v/>
      </c>
      <c r="W19" s="108"/>
      <c r="X19" s="108"/>
      <c r="Y19" s="108"/>
      <c r="Z19" s="110" t="str">
        <f>IFERROR(IF(AND(S18="Probabilidad",S19="Probabilidad"),(AB18-(+AB18*V19)),IF(AND(S18="Impacto",S19="Probabilidad"),(AB17-(+AB17*V19)),IF(S19="Impacto",AB18,""))),"")</f>
        <v/>
      </c>
      <c r="AA19" s="111" t="str">
        <f t="shared" ref="AA19:AA23" si="26">IFERROR(IF(Z19="","",IF(Z19&lt;=0.2,"Muy Baja",IF(Z19&lt;=0.4,"Baja",IF(Z19&lt;=0.6,"Media",IF(Z19&lt;=0.8,"Alta","Muy Alta"))))),"")</f>
        <v/>
      </c>
      <c r="AB19" s="112" t="str">
        <f t="shared" ref="AB19:AB23" si="27">+Z19</f>
        <v/>
      </c>
      <c r="AC19" s="111" t="str">
        <f t="shared" ref="AC19:AC23" si="28">IFERROR(IF(AD19="","",IF(AD19&lt;=0.2,"Leve",IF(AD19&lt;=0.4,"Menor",IF(AD19&lt;=0.6,"Moderado",IF(AD19&lt;=0.8,"Mayor","Catastrófico"))))),"")</f>
        <v/>
      </c>
      <c r="AD19" s="112" t="str">
        <f>IFERROR(IF(AND(S18="Impacto",S19="Impacto"),(AD18-(+AD18*V19)),IF(AND(S18="Probabilidad",S19="Impacto"),(AD17-(+AD17*V19)),IF(S19="Probabilidad",AD18,""))),"")</f>
        <v/>
      </c>
      <c r="AE19" s="113" t="str">
        <f t="shared" ref="AE19:AE23" si="29">IFERROR(IF(OR(AND(AA19="Muy Baja",AC19="Leve"),AND(AA19="Muy Baja",AC19="Menor"),AND(AA19="Baja",AC19="Leve")),"Bajo",IF(OR(AND(AA19="Muy baja",AC19="Moderado"),AND(AA19="Baja",AC19="Menor"),AND(AA19="Baja",AC19="Moderado"),AND(AA19="Media",AC19="Leve"),AND(AA19="Media",AC19="Menor"),AND(AA19="Media",AC19="Moderado"),AND(AA19="Alta",AC19="Leve"),AND(AA19="Alta",AC19="Menor")),"Moderado",IF(OR(AND(AA19="Muy Baja",AC19="Mayor"),AND(AA19="Baja",AC19="Mayor"),AND(AA19="Media",AC19="Mayor"),AND(AA19="Alta",AC19="Moderado"),AND(AA19="Alta",AC19="Mayor"),AND(AA19="Muy Alta",AC19="Leve"),AND(AA19="Muy Alta",AC19="Menor"),AND(AA19="Muy Alta",AC19="Moderado"),AND(AA19="Muy Alta",AC19="Mayor")),"Alto",IF(OR(AND(AA19="Muy Baja",AC19="Catastrófico"),AND(AA19="Baja",AC19="Catastrófico"),AND(AA19="Media",AC19="Catastrófico"),AND(AA19="Alta",AC19="Catastrófico"),AND(AA19="Muy Alta",AC19="Catastrófico")),"Extremo","")))),"")</f>
        <v/>
      </c>
      <c r="AF19" s="114"/>
      <c r="AG19" s="115"/>
      <c r="AH19" s="116"/>
      <c r="AI19" s="117"/>
      <c r="AJ19" s="117"/>
      <c r="AK19" s="115"/>
      <c r="AL19" s="116"/>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row>
    <row r="20" spans="1:67" ht="26.25" customHeight="1" x14ac:dyDescent="0.25">
      <c r="A20" s="242"/>
      <c r="B20" s="258"/>
      <c r="C20" s="258"/>
      <c r="D20" s="273"/>
      <c r="E20" s="145"/>
      <c r="F20" s="276"/>
      <c r="G20" s="146"/>
      <c r="H20" s="279"/>
      <c r="I20" s="230"/>
      <c r="J20" s="233"/>
      <c r="K20" s="236"/>
      <c r="L20" s="239"/>
      <c r="M20" s="236">
        <f ca="1">IF(NOT(ISERROR(MATCH(L20,_xlfn.ANCHORARRAY(F31),0))),K33&amp;"Por favor no seleccionar los criterios de impacto",L20)</f>
        <v>0</v>
      </c>
      <c r="N20" s="233"/>
      <c r="O20" s="236"/>
      <c r="P20" s="261"/>
      <c r="Q20" s="105">
        <v>3</v>
      </c>
      <c r="R20" s="118"/>
      <c r="S20" s="107" t="str">
        <f>IF(OR(T20="Preventivo",T20="Detectivo"),"Probabilidad",IF(T20="Correctivo","Impacto",""))</f>
        <v/>
      </c>
      <c r="T20" s="108"/>
      <c r="U20" s="108"/>
      <c r="V20" s="109" t="str">
        <f t="shared" si="25"/>
        <v/>
      </c>
      <c r="W20" s="108"/>
      <c r="X20" s="108"/>
      <c r="Y20" s="108"/>
      <c r="Z20" s="110" t="str">
        <f t="shared" ref="Z20:Z23" si="30">IFERROR(IF(AND(S19="Probabilidad",S20="Probabilidad"),(AB19-(+AB19*V20)),IF(AND(S19="Impacto",S20="Probabilidad"),(AB18-(+AB18*V20)),IF(S20="Impacto",AB19,""))),"")</f>
        <v/>
      </c>
      <c r="AA20" s="111" t="str">
        <f t="shared" si="26"/>
        <v/>
      </c>
      <c r="AB20" s="112" t="str">
        <f t="shared" si="27"/>
        <v/>
      </c>
      <c r="AC20" s="111" t="str">
        <f t="shared" si="28"/>
        <v/>
      </c>
      <c r="AD20" s="112" t="str">
        <f t="shared" ref="AD20:AD23" si="31">IFERROR(IF(AND(S19="Impacto",S20="Impacto"),(AD19-(+AD19*V20)),IF(AND(S19="Probabilidad",S20="Impacto"),(AD18-(+AD18*V20)),IF(S20="Probabilidad",AD19,""))),"")</f>
        <v/>
      </c>
      <c r="AE20" s="113" t="str">
        <f t="shared" si="29"/>
        <v/>
      </c>
      <c r="AF20" s="114"/>
      <c r="AG20" s="115"/>
      <c r="AH20" s="116"/>
      <c r="AI20" s="117"/>
      <c r="AJ20" s="117"/>
      <c r="AK20" s="115"/>
      <c r="AL20" s="116"/>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row>
    <row r="21" spans="1:67" ht="26.25" customHeight="1" x14ac:dyDescent="0.25">
      <c r="A21" s="242"/>
      <c r="B21" s="258"/>
      <c r="C21" s="258"/>
      <c r="D21" s="273"/>
      <c r="E21" s="145"/>
      <c r="F21" s="276"/>
      <c r="G21" s="146"/>
      <c r="H21" s="279"/>
      <c r="I21" s="230"/>
      <c r="J21" s="233"/>
      <c r="K21" s="236"/>
      <c r="L21" s="239"/>
      <c r="M21" s="236">
        <f ca="1">IF(NOT(ISERROR(MATCH(L21,_xlfn.ANCHORARRAY(F32),0))),K34&amp;"Por favor no seleccionar los criterios de impacto",L21)</f>
        <v>0</v>
      </c>
      <c r="N21" s="233"/>
      <c r="O21" s="236"/>
      <c r="P21" s="261"/>
      <c r="Q21" s="105">
        <v>4</v>
      </c>
      <c r="R21" s="106"/>
      <c r="S21" s="107" t="str">
        <f t="shared" ref="S21:S23" si="32">IF(OR(T21="Preventivo",T21="Detectivo"),"Probabilidad",IF(T21="Correctivo","Impacto",""))</f>
        <v/>
      </c>
      <c r="T21" s="108"/>
      <c r="U21" s="108"/>
      <c r="V21" s="109" t="str">
        <f t="shared" si="25"/>
        <v/>
      </c>
      <c r="W21" s="108"/>
      <c r="X21" s="108"/>
      <c r="Y21" s="108"/>
      <c r="Z21" s="110" t="str">
        <f t="shared" si="30"/>
        <v/>
      </c>
      <c r="AA21" s="111" t="str">
        <f t="shared" si="26"/>
        <v/>
      </c>
      <c r="AB21" s="112" t="str">
        <f t="shared" si="27"/>
        <v/>
      </c>
      <c r="AC21" s="111" t="str">
        <f t="shared" si="28"/>
        <v/>
      </c>
      <c r="AD21" s="112" t="str">
        <f t="shared" si="31"/>
        <v/>
      </c>
      <c r="AE21" s="113" t="str">
        <f t="shared" si="29"/>
        <v/>
      </c>
      <c r="AF21" s="114"/>
      <c r="AG21" s="115"/>
      <c r="AH21" s="116"/>
      <c r="AI21" s="117"/>
      <c r="AJ21" s="117"/>
      <c r="AK21" s="115"/>
      <c r="AL21" s="116"/>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row>
    <row r="22" spans="1:67" ht="26.25" customHeight="1" x14ac:dyDescent="0.25">
      <c r="A22" s="242"/>
      <c r="B22" s="258"/>
      <c r="C22" s="258"/>
      <c r="D22" s="273"/>
      <c r="E22" s="145"/>
      <c r="F22" s="276"/>
      <c r="G22" s="146"/>
      <c r="H22" s="279"/>
      <c r="I22" s="230"/>
      <c r="J22" s="233"/>
      <c r="K22" s="236"/>
      <c r="L22" s="239"/>
      <c r="M22" s="236">
        <f ca="1">IF(NOT(ISERROR(MATCH(L22,_xlfn.ANCHORARRAY(F33),0))),K35&amp;"Por favor no seleccionar los criterios de impacto",L22)</f>
        <v>0</v>
      </c>
      <c r="N22" s="233"/>
      <c r="O22" s="236"/>
      <c r="P22" s="261"/>
      <c r="Q22" s="105">
        <v>5</v>
      </c>
      <c r="R22" s="106"/>
      <c r="S22" s="107" t="str">
        <f t="shared" si="32"/>
        <v/>
      </c>
      <c r="T22" s="108"/>
      <c r="U22" s="108"/>
      <c r="V22" s="109" t="str">
        <f t="shared" si="25"/>
        <v/>
      </c>
      <c r="W22" s="108"/>
      <c r="X22" s="108"/>
      <c r="Y22" s="108"/>
      <c r="Z22" s="110" t="str">
        <f t="shared" si="30"/>
        <v/>
      </c>
      <c r="AA22" s="111" t="str">
        <f t="shared" si="26"/>
        <v/>
      </c>
      <c r="AB22" s="112" t="str">
        <f t="shared" si="27"/>
        <v/>
      </c>
      <c r="AC22" s="111" t="str">
        <f t="shared" si="28"/>
        <v/>
      </c>
      <c r="AD22" s="112" t="str">
        <f t="shared" si="31"/>
        <v/>
      </c>
      <c r="AE22" s="113" t="str">
        <f t="shared" si="29"/>
        <v/>
      </c>
      <c r="AF22" s="114"/>
      <c r="AG22" s="115"/>
      <c r="AH22" s="116"/>
      <c r="AI22" s="117"/>
      <c r="AJ22" s="117"/>
      <c r="AK22" s="115"/>
      <c r="AL22" s="116"/>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row>
    <row r="23" spans="1:67" ht="26.25" customHeight="1" x14ac:dyDescent="0.25">
      <c r="A23" s="256"/>
      <c r="B23" s="259"/>
      <c r="C23" s="259"/>
      <c r="D23" s="274"/>
      <c r="E23" s="145"/>
      <c r="F23" s="277"/>
      <c r="G23" s="146"/>
      <c r="H23" s="280"/>
      <c r="I23" s="231"/>
      <c r="J23" s="234"/>
      <c r="K23" s="237"/>
      <c r="L23" s="240"/>
      <c r="M23" s="237">
        <f ca="1">IF(NOT(ISERROR(MATCH(L23,_xlfn.ANCHORARRAY(F34),0))),K36&amp;"Por favor no seleccionar los criterios de impacto",L23)</f>
        <v>0</v>
      </c>
      <c r="N23" s="234"/>
      <c r="O23" s="237"/>
      <c r="P23" s="262"/>
      <c r="Q23" s="105">
        <v>6</v>
      </c>
      <c r="R23" s="106"/>
      <c r="S23" s="107" t="str">
        <f t="shared" si="32"/>
        <v/>
      </c>
      <c r="T23" s="108"/>
      <c r="U23" s="108"/>
      <c r="V23" s="109" t="str">
        <f t="shared" si="25"/>
        <v/>
      </c>
      <c r="W23" s="108"/>
      <c r="X23" s="108"/>
      <c r="Y23" s="108"/>
      <c r="Z23" s="110" t="str">
        <f t="shared" si="30"/>
        <v/>
      </c>
      <c r="AA23" s="111" t="str">
        <f t="shared" si="26"/>
        <v/>
      </c>
      <c r="AB23" s="112" t="str">
        <f t="shared" si="27"/>
        <v/>
      </c>
      <c r="AC23" s="111" t="str">
        <f t="shared" si="28"/>
        <v/>
      </c>
      <c r="AD23" s="112" t="str">
        <f t="shared" si="31"/>
        <v/>
      </c>
      <c r="AE23" s="113" t="str">
        <f t="shared" si="29"/>
        <v/>
      </c>
      <c r="AF23" s="114"/>
      <c r="AG23" s="115"/>
      <c r="AH23" s="116"/>
      <c r="AI23" s="117"/>
      <c r="AJ23" s="117"/>
      <c r="AK23" s="115"/>
      <c r="AL23" s="116"/>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row>
    <row r="24" spans="1:67" ht="26.25" customHeight="1" x14ac:dyDescent="0.25">
      <c r="A24" s="241">
        <v>4</v>
      </c>
      <c r="B24" s="257"/>
      <c r="C24" s="257"/>
      <c r="D24" s="272"/>
      <c r="E24" s="145"/>
      <c r="F24" s="281"/>
      <c r="G24" s="146"/>
      <c r="H24" s="278"/>
      <c r="I24" s="229"/>
      <c r="J24" s="232" t="str">
        <f t="shared" ref="J24" si="33">IF(I24&lt;=0,"",IF(I24&lt;=2,"Muy Baja",IF(I24&lt;=24,"Baja",IF(I24&lt;=500,"Media",IF(I24&lt;=5000,"Alta","Muy Alta")))))</f>
        <v/>
      </c>
      <c r="K24" s="235" t="str">
        <f t="shared" ref="K24" si="34">IF(J24="","",IF(J24="Muy Baja",0.2,IF(J24="Baja",0.4,IF(J24="Media",0.6,IF(J24="Alta",0.8,IF(J24="Muy Alta",1,))))))</f>
        <v/>
      </c>
      <c r="L24" s="238"/>
      <c r="M24" s="235">
        <f ca="1">IF(NOT(ISERROR(MATCH(L24,'Tabla Impacto'!$B$221:$B$223,0))),'Tabla Impacto'!$F$223&amp;"Por favor no seleccionar los criterios de impacto(Afectación Económica o presupuestal y Pérdida Reputacional)",L24)</f>
        <v>0</v>
      </c>
      <c r="N24" s="232" t="str">
        <f ca="1">IF(OR(M24='Tabla Impacto'!$C$11,M24='Tabla Impacto'!$D$11),"Leve",IF(OR(M24='Tabla Impacto'!$C$12,M24='Tabla Impacto'!$D$12),"Menor",IF(OR(M24='Tabla Impacto'!$C$13,M24='Tabla Impacto'!$D$13),"Moderado",IF(OR(M24='Tabla Impacto'!$C$14,M24='Tabla Impacto'!$D$14),"Mayor",IF(OR(M24='Tabla Impacto'!$C$15,M24='Tabla Impacto'!$D$15),"Catastrófico","")))))</f>
        <v/>
      </c>
      <c r="O24" s="235" t="str">
        <f t="shared" ref="O24" ca="1" si="35">IF(N24="","",IF(N24="Leve",0.2,IF(N24="Menor",0.4,IF(N24="Moderado",0.6,IF(N24="Mayor",0.8,IF(N24="Catastrófico",1,))))))</f>
        <v/>
      </c>
      <c r="P24" s="260" t="str">
        <f t="shared" ref="P24" ca="1" si="36">IF(OR(AND(J24="Muy Baja",N24="Leve"),AND(J24="Muy Baja",N24="Menor"),AND(J24="Baja",N24="Leve")),"Bajo",IF(OR(AND(J24="Muy baja",N24="Moderado"),AND(J24="Baja",N24="Menor"),AND(J24="Baja",N24="Moderado"),AND(J24="Media",N24="Leve"),AND(J24="Media",N24="Menor"),AND(J24="Media",N24="Moderado"),AND(J24="Alta",N24="Leve"),AND(J24="Alta",N24="Menor")),"Moderado",IF(OR(AND(J24="Muy Baja",N24="Mayor"),AND(J24="Baja",N24="Mayor"),AND(J24="Media",N24="Mayor"),AND(J24="Alta",N24="Moderado"),AND(J24="Alta",N24="Mayor"),AND(J24="Muy Alta",N24="Leve"),AND(J24="Muy Alta",N24="Menor"),AND(J24="Muy Alta",N24="Moderado"),AND(J24="Muy Alta",N24="Mayor")),"Alto",IF(OR(AND(J24="Muy Baja",N24="Catastrófico"),AND(J24="Baja",N24="Catastrófico"),AND(J24="Media",N24="Catastrófico"),AND(J24="Alta",N24="Catastrófico"),AND(J24="Muy Alta",N24="Catastrófico")),"Extremo",""))))</f>
        <v/>
      </c>
      <c r="Q24" s="105">
        <v>1</v>
      </c>
      <c r="R24" s="106"/>
      <c r="S24" s="107" t="str">
        <f>IF(OR(T24="Preventivo",T24="Detectivo"),"Probabilidad",IF(T24="Correctivo","Impacto",""))</f>
        <v/>
      </c>
      <c r="T24" s="108"/>
      <c r="U24" s="108"/>
      <c r="V24" s="109" t="str">
        <f>IF(AND(T24="Preventivo",U24="Automático"),"50%",IF(AND(T24="Preventivo",U24="Manual"),"40%",IF(AND(T24="Detectivo",U24="Automático"),"40%",IF(AND(T24="Detectivo",U24="Manual"),"30%",IF(AND(T24="Correctivo",U24="Automático"),"35%",IF(AND(T24="Correctivo",U24="Manual"),"25%",""))))))</f>
        <v/>
      </c>
      <c r="W24" s="108"/>
      <c r="X24" s="108"/>
      <c r="Y24" s="108"/>
      <c r="Z24" s="110" t="str">
        <f>IFERROR(IF(S24="Probabilidad",(K24-(+K24*V24)),IF(S24="Impacto",K24,"")),"")</f>
        <v/>
      </c>
      <c r="AA24" s="111" t="str">
        <f>IFERROR(IF(Z24="","",IF(Z24&lt;=0.2,"Muy Baja",IF(Z24&lt;=0.4,"Baja",IF(Z24&lt;=0.6,"Media",IF(Z24&lt;=0.8,"Alta","Muy Alta"))))),"")</f>
        <v/>
      </c>
      <c r="AB24" s="112" t="str">
        <f>+Z24</f>
        <v/>
      </c>
      <c r="AC24" s="111" t="str">
        <f>IFERROR(IF(AD24="","",IF(AD24&lt;=0.2,"Leve",IF(AD24&lt;=0.4,"Menor",IF(AD24&lt;=0.6,"Moderado",IF(AD24&lt;=0.8,"Mayor","Catastrófico"))))),"")</f>
        <v/>
      </c>
      <c r="AD24" s="112" t="str">
        <f>IFERROR(IF(S24="Impacto",(O24-(+O24*V24)),IF(S24="Probabilidad",O24,"")),"")</f>
        <v/>
      </c>
      <c r="AE24" s="113" t="str">
        <f>IFERROR(IF(OR(AND(AA24="Muy Baja",AC24="Leve"),AND(AA24="Muy Baja",AC24="Menor"),AND(AA24="Baja",AC24="Leve")),"Bajo",IF(OR(AND(AA24="Muy baja",AC24="Moderado"),AND(AA24="Baja",AC24="Menor"),AND(AA24="Baja",AC24="Moderado"),AND(AA24="Media",AC24="Leve"),AND(AA24="Media",AC24="Menor"),AND(AA24="Media",AC24="Moderado"),AND(AA24="Alta",AC24="Leve"),AND(AA24="Alta",AC24="Menor")),"Moderado",IF(OR(AND(AA24="Muy Baja",AC24="Mayor"),AND(AA24="Baja",AC24="Mayor"),AND(AA24="Media",AC24="Mayor"),AND(AA24="Alta",AC24="Moderado"),AND(AA24="Alta",AC24="Mayor"),AND(AA24="Muy Alta",AC24="Leve"),AND(AA24="Muy Alta",AC24="Menor"),AND(AA24="Muy Alta",AC24="Moderado"),AND(AA24="Muy Alta",AC24="Mayor")),"Alto",IF(OR(AND(AA24="Muy Baja",AC24="Catastrófico"),AND(AA24="Baja",AC24="Catastrófico"),AND(AA24="Media",AC24="Catastrófico"),AND(AA24="Alta",AC24="Catastrófico"),AND(AA24="Muy Alta",AC24="Catastrófico")),"Extremo","")))),"")</f>
        <v/>
      </c>
      <c r="AF24" s="114"/>
      <c r="AG24" s="115"/>
      <c r="AH24" s="116"/>
      <c r="AI24" s="117"/>
      <c r="AJ24" s="117"/>
      <c r="AK24" s="115"/>
      <c r="AL24" s="116"/>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row>
    <row r="25" spans="1:67" ht="26.25" customHeight="1" x14ac:dyDescent="0.25">
      <c r="A25" s="242"/>
      <c r="B25" s="258"/>
      <c r="C25" s="258"/>
      <c r="D25" s="273"/>
      <c r="E25" s="145"/>
      <c r="F25" s="281"/>
      <c r="G25" s="146"/>
      <c r="H25" s="279"/>
      <c r="I25" s="230"/>
      <c r="J25" s="233"/>
      <c r="K25" s="236"/>
      <c r="L25" s="239"/>
      <c r="M25" s="236">
        <f ca="1">IF(NOT(ISERROR(MATCH(L25,_xlfn.ANCHORARRAY(F36),0))),K38&amp;"Por favor no seleccionar los criterios de impacto",L25)</f>
        <v>0</v>
      </c>
      <c r="N25" s="233"/>
      <c r="O25" s="236"/>
      <c r="P25" s="261"/>
      <c r="Q25" s="105">
        <v>2</v>
      </c>
      <c r="R25" s="106"/>
      <c r="S25" s="107" t="str">
        <f>IF(OR(T25="Preventivo",T25="Detectivo"),"Probabilidad",IF(T25="Correctivo","Impacto",""))</f>
        <v/>
      </c>
      <c r="T25" s="108"/>
      <c r="U25" s="108"/>
      <c r="V25" s="109" t="str">
        <f t="shared" ref="V25:V29" si="37">IF(AND(T25="Preventivo",U25="Automático"),"50%",IF(AND(T25="Preventivo",U25="Manual"),"40%",IF(AND(T25="Detectivo",U25="Automático"),"40%",IF(AND(T25="Detectivo",U25="Manual"),"30%",IF(AND(T25="Correctivo",U25="Automático"),"35%",IF(AND(T25="Correctivo",U25="Manual"),"25%",""))))))</f>
        <v/>
      </c>
      <c r="W25" s="108"/>
      <c r="X25" s="108"/>
      <c r="Y25" s="108"/>
      <c r="Z25" s="110" t="str">
        <f>IFERROR(IF(AND(S24="Probabilidad",S25="Probabilidad"),(AB24-(+AB24*V25)),IF(AND(S24="Impacto",S25="Probabilidad"),(AB23-(+AB23*V25)),IF(S25="Impacto",AB24,""))),"")</f>
        <v/>
      </c>
      <c r="AA25" s="111" t="str">
        <f t="shared" ref="AA25:AA29" si="38">IFERROR(IF(Z25="","",IF(Z25&lt;=0.2,"Muy Baja",IF(Z25&lt;=0.4,"Baja",IF(Z25&lt;=0.6,"Media",IF(Z25&lt;=0.8,"Alta","Muy Alta"))))),"")</f>
        <v/>
      </c>
      <c r="AB25" s="112" t="str">
        <f t="shared" ref="AB25:AB29" si="39">+Z25</f>
        <v/>
      </c>
      <c r="AC25" s="111" t="str">
        <f t="shared" ref="AC25:AC29" si="40">IFERROR(IF(AD25="","",IF(AD25&lt;=0.2,"Leve",IF(AD25&lt;=0.4,"Menor",IF(AD25&lt;=0.6,"Moderado",IF(AD25&lt;=0.8,"Mayor","Catastrófico"))))),"")</f>
        <v/>
      </c>
      <c r="AD25" s="112" t="str">
        <f>IFERROR(IF(AND(S24="Impacto",S25="Impacto"),(AD24-(+AD24*V25)),IF(AND(S24="Probabilidad",S25="Impacto"),(AD23-(+AD23*V25)),IF(S25="Probabilidad",AD24,""))),"")</f>
        <v/>
      </c>
      <c r="AE25" s="113" t="str">
        <f t="shared" ref="AE25:AE29" si="41">IFERROR(IF(OR(AND(AA25="Muy Baja",AC25="Leve"),AND(AA25="Muy Baja",AC25="Menor"),AND(AA25="Baja",AC25="Leve")),"Bajo",IF(OR(AND(AA25="Muy baja",AC25="Moderado"),AND(AA25="Baja",AC25="Menor"),AND(AA25="Baja",AC25="Moderado"),AND(AA25="Media",AC25="Leve"),AND(AA25="Media",AC25="Menor"),AND(AA25="Media",AC25="Moderado"),AND(AA25="Alta",AC25="Leve"),AND(AA25="Alta",AC25="Menor")),"Moderado",IF(OR(AND(AA25="Muy Baja",AC25="Mayor"),AND(AA25="Baja",AC25="Mayor"),AND(AA25="Media",AC25="Mayor"),AND(AA25="Alta",AC25="Moderado"),AND(AA25="Alta",AC25="Mayor"),AND(AA25="Muy Alta",AC25="Leve"),AND(AA25="Muy Alta",AC25="Menor"),AND(AA25="Muy Alta",AC25="Moderado"),AND(AA25="Muy Alta",AC25="Mayor")),"Alto",IF(OR(AND(AA25="Muy Baja",AC25="Catastrófico"),AND(AA25="Baja",AC25="Catastrófico"),AND(AA25="Media",AC25="Catastrófico"),AND(AA25="Alta",AC25="Catastrófico"),AND(AA25="Muy Alta",AC25="Catastrófico")),"Extremo","")))),"")</f>
        <v/>
      </c>
      <c r="AF25" s="114"/>
      <c r="AG25" s="115"/>
      <c r="AH25" s="116"/>
      <c r="AI25" s="117"/>
      <c r="AJ25" s="117"/>
      <c r="AK25" s="115"/>
      <c r="AL25" s="116"/>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row>
    <row r="26" spans="1:67" ht="26.25" customHeight="1" x14ac:dyDescent="0.25">
      <c r="A26" s="242"/>
      <c r="B26" s="258"/>
      <c r="C26" s="258"/>
      <c r="D26" s="273"/>
      <c r="E26" s="145"/>
      <c r="F26" s="281"/>
      <c r="G26" s="146"/>
      <c r="H26" s="279"/>
      <c r="I26" s="230"/>
      <c r="J26" s="233"/>
      <c r="K26" s="236"/>
      <c r="L26" s="239"/>
      <c r="M26" s="236">
        <f ca="1">IF(NOT(ISERROR(MATCH(L26,_xlfn.ANCHORARRAY(F37),0))),K39&amp;"Por favor no seleccionar los criterios de impacto",L26)</f>
        <v>0</v>
      </c>
      <c r="N26" s="233"/>
      <c r="O26" s="236"/>
      <c r="P26" s="261"/>
      <c r="Q26" s="105">
        <v>3</v>
      </c>
      <c r="R26" s="118"/>
      <c r="S26" s="107" t="str">
        <f>IF(OR(T26="Preventivo",T26="Detectivo"),"Probabilidad",IF(T26="Correctivo","Impacto",""))</f>
        <v/>
      </c>
      <c r="T26" s="108"/>
      <c r="U26" s="108"/>
      <c r="V26" s="109" t="str">
        <f t="shared" si="37"/>
        <v/>
      </c>
      <c r="W26" s="108"/>
      <c r="X26" s="108"/>
      <c r="Y26" s="108"/>
      <c r="Z26" s="110" t="str">
        <f t="shared" ref="Z26:Z29" si="42">IFERROR(IF(AND(S25="Probabilidad",S26="Probabilidad"),(AB25-(+AB25*V26)),IF(AND(S25="Impacto",S26="Probabilidad"),(AB24-(+AB24*V26)),IF(S26="Impacto",AB25,""))),"")</f>
        <v/>
      </c>
      <c r="AA26" s="111" t="str">
        <f t="shared" si="38"/>
        <v/>
      </c>
      <c r="AB26" s="112" t="str">
        <f t="shared" si="39"/>
        <v/>
      </c>
      <c r="AC26" s="111" t="str">
        <f t="shared" si="40"/>
        <v/>
      </c>
      <c r="AD26" s="112" t="str">
        <f t="shared" ref="AD26:AD29" si="43">IFERROR(IF(AND(S25="Impacto",S26="Impacto"),(AD25-(+AD25*V26)),IF(AND(S25="Probabilidad",S26="Impacto"),(AD24-(+AD24*V26)),IF(S26="Probabilidad",AD25,""))),"")</f>
        <v/>
      </c>
      <c r="AE26" s="113" t="str">
        <f t="shared" si="41"/>
        <v/>
      </c>
      <c r="AF26" s="114"/>
      <c r="AG26" s="115"/>
      <c r="AH26" s="116"/>
      <c r="AI26" s="117"/>
      <c r="AJ26" s="117"/>
      <c r="AK26" s="115"/>
      <c r="AL26" s="116"/>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row>
    <row r="27" spans="1:67" ht="26.25" customHeight="1" x14ac:dyDescent="0.25">
      <c r="A27" s="242"/>
      <c r="B27" s="258"/>
      <c r="C27" s="258"/>
      <c r="D27" s="273"/>
      <c r="E27" s="145"/>
      <c r="F27" s="281"/>
      <c r="G27" s="146"/>
      <c r="H27" s="279"/>
      <c r="I27" s="230"/>
      <c r="J27" s="233"/>
      <c r="K27" s="236"/>
      <c r="L27" s="239"/>
      <c r="M27" s="236">
        <f ca="1">IF(NOT(ISERROR(MATCH(L27,_xlfn.ANCHORARRAY(F38),0))),K40&amp;"Por favor no seleccionar los criterios de impacto",L27)</f>
        <v>0</v>
      </c>
      <c r="N27" s="233"/>
      <c r="O27" s="236"/>
      <c r="P27" s="261"/>
      <c r="Q27" s="105">
        <v>4</v>
      </c>
      <c r="R27" s="106"/>
      <c r="S27" s="107" t="str">
        <f t="shared" ref="S27:S29" si="44">IF(OR(T27="Preventivo",T27="Detectivo"),"Probabilidad",IF(T27="Correctivo","Impacto",""))</f>
        <v/>
      </c>
      <c r="T27" s="108"/>
      <c r="U27" s="108"/>
      <c r="V27" s="109" t="str">
        <f t="shared" si="37"/>
        <v/>
      </c>
      <c r="W27" s="108"/>
      <c r="X27" s="108"/>
      <c r="Y27" s="108"/>
      <c r="Z27" s="110" t="str">
        <f t="shared" si="42"/>
        <v/>
      </c>
      <c r="AA27" s="111" t="str">
        <f t="shared" si="38"/>
        <v/>
      </c>
      <c r="AB27" s="112" t="str">
        <f t="shared" si="39"/>
        <v/>
      </c>
      <c r="AC27" s="111" t="str">
        <f t="shared" si="40"/>
        <v/>
      </c>
      <c r="AD27" s="112" t="str">
        <f t="shared" si="43"/>
        <v/>
      </c>
      <c r="AE27" s="113" t="str">
        <f t="shared" si="41"/>
        <v/>
      </c>
      <c r="AF27" s="114"/>
      <c r="AG27" s="115"/>
      <c r="AH27" s="116"/>
      <c r="AI27" s="117"/>
      <c r="AJ27" s="117"/>
      <c r="AK27" s="115"/>
      <c r="AL27" s="116"/>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row>
    <row r="28" spans="1:67" ht="26.25" customHeight="1" x14ac:dyDescent="0.25">
      <c r="A28" s="242"/>
      <c r="B28" s="258"/>
      <c r="C28" s="258"/>
      <c r="D28" s="273"/>
      <c r="E28" s="145"/>
      <c r="F28" s="281"/>
      <c r="G28" s="146"/>
      <c r="H28" s="279"/>
      <c r="I28" s="230"/>
      <c r="J28" s="233"/>
      <c r="K28" s="236"/>
      <c r="L28" s="239"/>
      <c r="M28" s="236">
        <f ca="1">IF(NOT(ISERROR(MATCH(L28,_xlfn.ANCHORARRAY(F39),0))),K41&amp;"Por favor no seleccionar los criterios de impacto",L28)</f>
        <v>0</v>
      </c>
      <c r="N28" s="233"/>
      <c r="O28" s="236"/>
      <c r="P28" s="261"/>
      <c r="Q28" s="105">
        <v>5</v>
      </c>
      <c r="R28" s="106"/>
      <c r="S28" s="107" t="str">
        <f t="shared" si="44"/>
        <v/>
      </c>
      <c r="T28" s="108"/>
      <c r="U28" s="108"/>
      <c r="V28" s="109" t="str">
        <f t="shared" si="37"/>
        <v/>
      </c>
      <c r="W28" s="108"/>
      <c r="X28" s="108"/>
      <c r="Y28" s="108"/>
      <c r="Z28" s="110" t="str">
        <f t="shared" si="42"/>
        <v/>
      </c>
      <c r="AA28" s="111" t="str">
        <f t="shared" si="38"/>
        <v/>
      </c>
      <c r="AB28" s="112" t="str">
        <f t="shared" si="39"/>
        <v/>
      </c>
      <c r="AC28" s="111" t="str">
        <f t="shared" si="40"/>
        <v/>
      </c>
      <c r="AD28" s="112" t="str">
        <f t="shared" si="43"/>
        <v/>
      </c>
      <c r="AE28" s="113" t="str">
        <f t="shared" si="41"/>
        <v/>
      </c>
      <c r="AF28" s="114"/>
      <c r="AG28" s="115"/>
      <c r="AH28" s="116"/>
      <c r="AI28" s="117"/>
      <c r="AJ28" s="117"/>
      <c r="AK28" s="115"/>
      <c r="AL28" s="116"/>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row>
    <row r="29" spans="1:67" ht="26.25" customHeight="1" x14ac:dyDescent="0.25">
      <c r="A29" s="256"/>
      <c r="B29" s="259"/>
      <c r="C29" s="259"/>
      <c r="D29" s="274"/>
      <c r="E29" s="145"/>
      <c r="F29" s="281"/>
      <c r="G29" s="146"/>
      <c r="H29" s="280"/>
      <c r="I29" s="231"/>
      <c r="J29" s="234"/>
      <c r="K29" s="237"/>
      <c r="L29" s="240"/>
      <c r="M29" s="237">
        <f ca="1">IF(NOT(ISERROR(MATCH(L29,_xlfn.ANCHORARRAY(F40),0))),K42&amp;"Por favor no seleccionar los criterios de impacto",L29)</f>
        <v>0</v>
      </c>
      <c r="N29" s="234"/>
      <c r="O29" s="237"/>
      <c r="P29" s="262"/>
      <c r="Q29" s="105">
        <v>6</v>
      </c>
      <c r="R29" s="106"/>
      <c r="S29" s="107" t="str">
        <f t="shared" si="44"/>
        <v/>
      </c>
      <c r="T29" s="108"/>
      <c r="U29" s="108"/>
      <c r="V29" s="109" t="str">
        <f t="shared" si="37"/>
        <v/>
      </c>
      <c r="W29" s="108"/>
      <c r="X29" s="108"/>
      <c r="Y29" s="108"/>
      <c r="Z29" s="110" t="str">
        <f t="shared" si="42"/>
        <v/>
      </c>
      <c r="AA29" s="111" t="str">
        <f t="shared" si="38"/>
        <v/>
      </c>
      <c r="AB29" s="112" t="str">
        <f t="shared" si="39"/>
        <v/>
      </c>
      <c r="AC29" s="111" t="str">
        <f t="shared" si="40"/>
        <v/>
      </c>
      <c r="AD29" s="112" t="str">
        <f t="shared" si="43"/>
        <v/>
      </c>
      <c r="AE29" s="113" t="str">
        <f t="shared" si="41"/>
        <v/>
      </c>
      <c r="AF29" s="114"/>
      <c r="AG29" s="115"/>
      <c r="AH29" s="116"/>
      <c r="AI29" s="117"/>
      <c r="AJ29" s="117"/>
      <c r="AK29" s="115"/>
      <c r="AL29" s="116"/>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row>
    <row r="30" spans="1:67" ht="26.25" customHeight="1" x14ac:dyDescent="0.25">
      <c r="A30" s="241">
        <v>5</v>
      </c>
      <c r="B30" s="257"/>
      <c r="C30" s="257"/>
      <c r="D30" s="272"/>
      <c r="E30" s="145"/>
      <c r="F30" s="281"/>
      <c r="G30" s="146"/>
      <c r="H30" s="278"/>
      <c r="I30" s="229"/>
      <c r="J30" s="232" t="str">
        <f t="shared" ref="J30" si="45">IF(I30&lt;=0,"",IF(I30&lt;=2,"Muy Baja",IF(I30&lt;=24,"Baja",IF(I30&lt;=500,"Media",IF(I30&lt;=5000,"Alta","Muy Alta")))))</f>
        <v/>
      </c>
      <c r="K30" s="235" t="str">
        <f t="shared" ref="K30" si="46">IF(J30="","",IF(J30="Muy Baja",0.2,IF(J30="Baja",0.4,IF(J30="Media",0.6,IF(J30="Alta",0.8,IF(J30="Muy Alta",1,))))))</f>
        <v/>
      </c>
      <c r="L30" s="238"/>
      <c r="M30" s="235">
        <f ca="1">IF(NOT(ISERROR(MATCH(L30,'Tabla Impacto'!$B$221:$B$223,0))),'Tabla Impacto'!$F$223&amp;"Por favor no seleccionar los criterios de impacto(Afectación Económica o presupuestal y Pérdida Reputacional)",L30)</f>
        <v>0</v>
      </c>
      <c r="N30" s="232" t="str">
        <f ca="1">IF(OR(M30='Tabla Impacto'!$C$11,M30='Tabla Impacto'!$D$11),"Leve",IF(OR(M30='Tabla Impacto'!$C$12,M30='Tabla Impacto'!$D$12),"Menor",IF(OR(M30='Tabla Impacto'!$C$13,M30='Tabla Impacto'!$D$13),"Moderado",IF(OR(M30='Tabla Impacto'!$C$14,M30='Tabla Impacto'!$D$14),"Mayor",IF(OR(M30='Tabla Impacto'!$C$15,M30='Tabla Impacto'!$D$15),"Catastrófico","")))))</f>
        <v/>
      </c>
      <c r="O30" s="235" t="str">
        <f t="shared" ref="O30" ca="1" si="47">IF(N30="","",IF(N30="Leve",0.2,IF(N30="Menor",0.4,IF(N30="Moderado",0.6,IF(N30="Mayor",0.8,IF(N30="Catastrófico",1,))))))</f>
        <v/>
      </c>
      <c r="P30" s="260" t="str">
        <f t="shared" ref="P30" ca="1" si="48">IF(OR(AND(J30="Muy Baja",N30="Leve"),AND(J30="Muy Baja",N30="Menor"),AND(J30="Baja",N30="Leve")),"Bajo",IF(OR(AND(J30="Muy baja",N30="Moderado"),AND(J30="Baja",N30="Menor"),AND(J30="Baja",N30="Moderado"),AND(J30="Media",N30="Leve"),AND(J30="Media",N30="Menor"),AND(J30="Media",N30="Moderado"),AND(J30="Alta",N30="Leve"),AND(J30="Alta",N30="Menor")),"Moderado",IF(OR(AND(J30="Muy Baja",N30="Mayor"),AND(J30="Baja",N30="Mayor"),AND(J30="Media",N30="Mayor"),AND(J30="Alta",N30="Moderado"),AND(J30="Alta",N30="Mayor"),AND(J30="Muy Alta",N30="Leve"),AND(J30="Muy Alta",N30="Menor"),AND(J30="Muy Alta",N30="Moderado"),AND(J30="Muy Alta",N30="Mayor")),"Alto",IF(OR(AND(J30="Muy Baja",N30="Catastrófico"),AND(J30="Baja",N30="Catastrófico"),AND(J30="Media",N30="Catastrófico"),AND(J30="Alta",N30="Catastrófico"),AND(J30="Muy Alta",N30="Catastrófico")),"Extremo",""))))</f>
        <v/>
      </c>
      <c r="Q30" s="105">
        <v>1</v>
      </c>
      <c r="R30" s="106"/>
      <c r="S30" s="107" t="s">
        <v>215</v>
      </c>
      <c r="T30" s="108"/>
      <c r="U30" s="108"/>
      <c r="V30" s="109" t="s">
        <v>215</v>
      </c>
      <c r="W30" s="108"/>
      <c r="X30" s="108"/>
      <c r="Y30" s="108"/>
      <c r="Z30" s="110" t="s">
        <v>215</v>
      </c>
      <c r="AA30" s="111" t="s">
        <v>215</v>
      </c>
      <c r="AB30" s="112" t="s">
        <v>215</v>
      </c>
      <c r="AC30" s="111" t="s">
        <v>215</v>
      </c>
      <c r="AD30" s="112" t="s">
        <v>215</v>
      </c>
      <c r="AE30" s="113" t="s">
        <v>215</v>
      </c>
      <c r="AF30" s="114"/>
      <c r="AG30" s="115"/>
      <c r="AH30" s="116"/>
      <c r="AI30" s="117"/>
      <c r="AJ30" s="117"/>
      <c r="AK30" s="115"/>
      <c r="AL30" s="116"/>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row>
    <row r="31" spans="1:67" ht="26.25" customHeight="1" x14ac:dyDescent="0.25">
      <c r="A31" s="242"/>
      <c r="B31" s="258"/>
      <c r="C31" s="258"/>
      <c r="D31" s="273"/>
      <c r="E31" s="145"/>
      <c r="F31" s="281"/>
      <c r="G31" s="146"/>
      <c r="H31" s="279"/>
      <c r="I31" s="230"/>
      <c r="J31" s="233"/>
      <c r="K31" s="236"/>
      <c r="L31" s="239"/>
      <c r="M31" s="236">
        <f ca="1">IF(NOT(ISERROR(MATCH(L31,_xlfn.ANCHORARRAY(F42),0))),K44&amp;"Por favor no seleccionar los criterios de impacto",L31)</f>
        <v>0</v>
      </c>
      <c r="N31" s="233"/>
      <c r="O31" s="236"/>
      <c r="P31" s="261"/>
      <c r="Q31" s="105">
        <v>2</v>
      </c>
      <c r="R31" s="106"/>
      <c r="S31" s="107" t="s">
        <v>215</v>
      </c>
      <c r="T31" s="108"/>
      <c r="U31" s="108"/>
      <c r="V31" s="109" t="s">
        <v>215</v>
      </c>
      <c r="W31" s="108"/>
      <c r="X31" s="108"/>
      <c r="Y31" s="108"/>
      <c r="Z31" s="110" t="s">
        <v>215</v>
      </c>
      <c r="AA31" s="111" t="s">
        <v>215</v>
      </c>
      <c r="AB31" s="112" t="s">
        <v>215</v>
      </c>
      <c r="AC31" s="111" t="s">
        <v>215</v>
      </c>
      <c r="AD31" s="112" t="s">
        <v>215</v>
      </c>
      <c r="AE31" s="113" t="s">
        <v>215</v>
      </c>
      <c r="AF31" s="114"/>
      <c r="AG31" s="115"/>
      <c r="AH31" s="116"/>
      <c r="AI31" s="117"/>
      <c r="AJ31" s="117"/>
      <c r="AK31" s="115"/>
      <c r="AL31" s="116"/>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row>
    <row r="32" spans="1:67" ht="26.25" customHeight="1" x14ac:dyDescent="0.25">
      <c r="A32" s="242"/>
      <c r="B32" s="258"/>
      <c r="C32" s="258"/>
      <c r="D32" s="273"/>
      <c r="E32" s="145"/>
      <c r="F32" s="281"/>
      <c r="G32" s="146"/>
      <c r="H32" s="279"/>
      <c r="I32" s="230"/>
      <c r="J32" s="233"/>
      <c r="K32" s="236"/>
      <c r="L32" s="239"/>
      <c r="M32" s="236">
        <f ca="1">IF(NOT(ISERROR(MATCH(L32,_xlfn.ANCHORARRAY(F43),0))),K45&amp;"Por favor no seleccionar los criterios de impacto",L32)</f>
        <v>0</v>
      </c>
      <c r="N32" s="233"/>
      <c r="O32" s="236"/>
      <c r="P32" s="261"/>
      <c r="Q32" s="105">
        <v>3</v>
      </c>
      <c r="R32" s="118"/>
      <c r="S32" s="107" t="s">
        <v>215</v>
      </c>
      <c r="T32" s="108"/>
      <c r="U32" s="108"/>
      <c r="V32" s="109" t="s">
        <v>215</v>
      </c>
      <c r="W32" s="108"/>
      <c r="X32" s="108"/>
      <c r="Y32" s="108"/>
      <c r="Z32" s="110" t="s">
        <v>215</v>
      </c>
      <c r="AA32" s="111" t="s">
        <v>215</v>
      </c>
      <c r="AB32" s="112" t="s">
        <v>215</v>
      </c>
      <c r="AC32" s="111" t="s">
        <v>215</v>
      </c>
      <c r="AD32" s="112" t="s">
        <v>215</v>
      </c>
      <c r="AE32" s="113" t="s">
        <v>215</v>
      </c>
      <c r="AF32" s="114"/>
      <c r="AG32" s="115"/>
      <c r="AH32" s="116"/>
      <c r="AI32" s="117"/>
      <c r="AJ32" s="117"/>
      <c r="AK32" s="115"/>
      <c r="AL32" s="116"/>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row>
    <row r="33" spans="1:67" ht="26.25" customHeight="1" x14ac:dyDescent="0.25">
      <c r="A33" s="242"/>
      <c r="B33" s="258"/>
      <c r="C33" s="258"/>
      <c r="D33" s="273"/>
      <c r="E33" s="145"/>
      <c r="F33" s="281"/>
      <c r="G33" s="146"/>
      <c r="H33" s="279"/>
      <c r="I33" s="230"/>
      <c r="J33" s="233"/>
      <c r="K33" s="236"/>
      <c r="L33" s="239"/>
      <c r="M33" s="236">
        <f ca="1">IF(NOT(ISERROR(MATCH(L33,_xlfn.ANCHORARRAY(F44),0))),K46&amp;"Por favor no seleccionar los criterios de impacto",L33)</f>
        <v>0</v>
      </c>
      <c r="N33" s="233"/>
      <c r="O33" s="236"/>
      <c r="P33" s="261"/>
      <c r="Q33" s="105">
        <v>4</v>
      </c>
      <c r="R33" s="106"/>
      <c r="S33" s="107" t="s">
        <v>215</v>
      </c>
      <c r="T33" s="108"/>
      <c r="U33" s="108"/>
      <c r="V33" s="109" t="s">
        <v>215</v>
      </c>
      <c r="W33" s="108"/>
      <c r="X33" s="108"/>
      <c r="Y33" s="108"/>
      <c r="Z33" s="110" t="s">
        <v>215</v>
      </c>
      <c r="AA33" s="111" t="s">
        <v>215</v>
      </c>
      <c r="AB33" s="112" t="s">
        <v>215</v>
      </c>
      <c r="AC33" s="111" t="s">
        <v>215</v>
      </c>
      <c r="AD33" s="112" t="s">
        <v>215</v>
      </c>
      <c r="AE33" s="113" t="s">
        <v>215</v>
      </c>
      <c r="AF33" s="114"/>
      <c r="AG33" s="115"/>
      <c r="AH33" s="116"/>
      <c r="AI33" s="117"/>
      <c r="AJ33" s="117"/>
      <c r="AK33" s="115"/>
      <c r="AL33" s="116"/>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row>
    <row r="34" spans="1:67" ht="26.25" customHeight="1" x14ac:dyDescent="0.25">
      <c r="A34" s="242"/>
      <c r="B34" s="258"/>
      <c r="C34" s="258"/>
      <c r="D34" s="273"/>
      <c r="E34" s="145"/>
      <c r="F34" s="281"/>
      <c r="G34" s="146"/>
      <c r="H34" s="279"/>
      <c r="I34" s="230"/>
      <c r="J34" s="233"/>
      <c r="K34" s="236"/>
      <c r="L34" s="239"/>
      <c r="M34" s="236">
        <f ca="1">IF(NOT(ISERROR(MATCH(L34,_xlfn.ANCHORARRAY(F45),0))),K47&amp;"Por favor no seleccionar los criterios de impacto",L34)</f>
        <v>0</v>
      </c>
      <c r="N34" s="233"/>
      <c r="O34" s="236"/>
      <c r="P34" s="261"/>
      <c r="Q34" s="105">
        <v>5</v>
      </c>
      <c r="R34" s="106"/>
      <c r="S34" s="107" t="s">
        <v>215</v>
      </c>
      <c r="T34" s="108"/>
      <c r="U34" s="108"/>
      <c r="V34" s="109" t="s">
        <v>215</v>
      </c>
      <c r="W34" s="108"/>
      <c r="X34" s="108"/>
      <c r="Y34" s="108"/>
      <c r="Z34" s="110" t="s">
        <v>215</v>
      </c>
      <c r="AA34" s="111" t="s">
        <v>215</v>
      </c>
      <c r="AB34" s="112" t="s">
        <v>215</v>
      </c>
      <c r="AC34" s="111" t="s">
        <v>215</v>
      </c>
      <c r="AD34" s="112" t="s">
        <v>215</v>
      </c>
      <c r="AE34" s="113" t="s">
        <v>215</v>
      </c>
      <c r="AF34" s="114"/>
      <c r="AG34" s="115"/>
      <c r="AH34" s="116"/>
      <c r="AI34" s="117"/>
      <c r="AJ34" s="117"/>
      <c r="AK34" s="115"/>
      <c r="AL34" s="116"/>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row>
    <row r="35" spans="1:67" ht="26.25" customHeight="1" x14ac:dyDescent="0.25">
      <c r="A35" s="256"/>
      <c r="B35" s="259"/>
      <c r="C35" s="259"/>
      <c r="D35" s="274"/>
      <c r="E35" s="145"/>
      <c r="F35" s="281"/>
      <c r="G35" s="146"/>
      <c r="H35" s="280"/>
      <c r="I35" s="231"/>
      <c r="J35" s="234"/>
      <c r="K35" s="237"/>
      <c r="L35" s="240"/>
      <c r="M35" s="237">
        <f ca="1">IF(NOT(ISERROR(MATCH(L35,_xlfn.ANCHORARRAY(F46),0))),K48&amp;"Por favor no seleccionar los criterios de impacto",L35)</f>
        <v>0</v>
      </c>
      <c r="N35" s="234"/>
      <c r="O35" s="237"/>
      <c r="P35" s="262"/>
      <c r="Q35" s="105">
        <v>6</v>
      </c>
      <c r="R35" s="106"/>
      <c r="S35" s="107" t="s">
        <v>215</v>
      </c>
      <c r="T35" s="108"/>
      <c r="U35" s="108"/>
      <c r="V35" s="109" t="s">
        <v>215</v>
      </c>
      <c r="W35" s="108"/>
      <c r="X35" s="108"/>
      <c r="Y35" s="108"/>
      <c r="Z35" s="110" t="s">
        <v>215</v>
      </c>
      <c r="AA35" s="111" t="s">
        <v>215</v>
      </c>
      <c r="AB35" s="112" t="s">
        <v>215</v>
      </c>
      <c r="AC35" s="111" t="s">
        <v>215</v>
      </c>
      <c r="AD35" s="112" t="s">
        <v>215</v>
      </c>
      <c r="AE35" s="113" t="s">
        <v>215</v>
      </c>
      <c r="AF35" s="114"/>
      <c r="AG35" s="115"/>
      <c r="AH35" s="116"/>
      <c r="AI35" s="117"/>
      <c r="AJ35" s="117"/>
      <c r="AK35" s="115"/>
      <c r="AL35" s="116"/>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row>
    <row r="36" spans="1:67" ht="26.25" customHeight="1" x14ac:dyDescent="0.25">
      <c r="A36" s="241">
        <v>6</v>
      </c>
      <c r="B36" s="257"/>
      <c r="C36" s="257"/>
      <c r="D36" s="272"/>
      <c r="E36" s="145"/>
      <c r="F36" s="281"/>
      <c r="G36" s="146"/>
      <c r="H36" s="278"/>
      <c r="I36" s="229"/>
      <c r="J36" s="232" t="str">
        <f t="shared" ref="J36" si="49">IF(I36&lt;=0,"",IF(I36&lt;=2,"Muy Baja",IF(I36&lt;=24,"Baja",IF(I36&lt;=500,"Media",IF(I36&lt;=5000,"Alta","Muy Alta")))))</f>
        <v/>
      </c>
      <c r="K36" s="235" t="str">
        <f t="shared" ref="K36" si="50">IF(J36="","",IF(J36="Muy Baja",0.2,IF(J36="Baja",0.4,IF(J36="Media",0.6,IF(J36="Alta",0.8,IF(J36="Muy Alta",1,))))))</f>
        <v/>
      </c>
      <c r="L36" s="238"/>
      <c r="M36" s="235">
        <f ca="1">IF(NOT(ISERROR(MATCH(L36,'Tabla Impacto'!$B$221:$B$223,0))),'Tabla Impacto'!$F$223&amp;"Por favor no seleccionar los criterios de impacto(Afectación Económica o presupuestal y Pérdida Reputacional)",L36)</f>
        <v>0</v>
      </c>
      <c r="N36" s="232" t="str">
        <f ca="1">IF(OR(M36='Tabla Impacto'!$C$11,M36='Tabla Impacto'!$D$11),"Leve",IF(OR(M36='Tabla Impacto'!$C$12,M36='Tabla Impacto'!$D$12),"Menor",IF(OR(M36='Tabla Impacto'!$C$13,M36='Tabla Impacto'!$D$13),"Moderado",IF(OR(M36='Tabla Impacto'!$C$14,M36='Tabla Impacto'!$D$14),"Mayor",IF(OR(M36='Tabla Impacto'!$C$15,M36='Tabla Impacto'!$D$15),"Catastrófico","")))))</f>
        <v/>
      </c>
      <c r="O36" s="235" t="str">
        <f t="shared" ref="O36" ca="1" si="51">IF(N36="","",IF(N36="Leve",0.2,IF(N36="Menor",0.4,IF(N36="Moderado",0.6,IF(N36="Mayor",0.8,IF(N36="Catastrófico",1,))))))</f>
        <v/>
      </c>
      <c r="P36" s="260" t="str">
        <f t="shared" ref="P36" ca="1" si="52">IF(OR(AND(J36="Muy Baja",N36="Leve"),AND(J36="Muy Baja",N36="Menor"),AND(J36="Baja",N36="Leve")),"Bajo",IF(OR(AND(J36="Muy baja",N36="Moderado"),AND(J36="Baja",N36="Menor"),AND(J36="Baja",N36="Moderado"),AND(J36="Media",N36="Leve"),AND(J36="Media",N36="Menor"),AND(J36="Media",N36="Moderado"),AND(J36="Alta",N36="Leve"),AND(J36="Alta",N36="Menor")),"Moderado",IF(OR(AND(J36="Muy Baja",N36="Mayor"),AND(J36="Baja",N36="Mayor"),AND(J36="Media",N36="Mayor"),AND(J36="Alta",N36="Moderado"),AND(J36="Alta",N36="Mayor"),AND(J36="Muy Alta",N36="Leve"),AND(J36="Muy Alta",N36="Menor"),AND(J36="Muy Alta",N36="Moderado"),AND(J36="Muy Alta",N36="Mayor")),"Alto",IF(OR(AND(J36="Muy Baja",N36="Catastrófico"),AND(J36="Baja",N36="Catastrófico"),AND(J36="Media",N36="Catastrófico"),AND(J36="Alta",N36="Catastrófico"),AND(J36="Muy Alta",N36="Catastrófico")),"Extremo",""))))</f>
        <v/>
      </c>
      <c r="Q36" s="105">
        <v>1</v>
      </c>
      <c r="R36" s="106"/>
      <c r="S36" s="107" t="s">
        <v>215</v>
      </c>
      <c r="T36" s="108"/>
      <c r="U36" s="108"/>
      <c r="V36" s="109" t="s">
        <v>215</v>
      </c>
      <c r="W36" s="108"/>
      <c r="X36" s="108"/>
      <c r="Y36" s="108"/>
      <c r="Z36" s="110" t="s">
        <v>215</v>
      </c>
      <c r="AA36" s="111" t="s">
        <v>215</v>
      </c>
      <c r="AB36" s="112" t="s">
        <v>215</v>
      </c>
      <c r="AC36" s="111" t="s">
        <v>215</v>
      </c>
      <c r="AD36" s="112" t="s">
        <v>215</v>
      </c>
      <c r="AE36" s="113" t="s">
        <v>215</v>
      </c>
      <c r="AF36" s="114"/>
      <c r="AG36" s="115"/>
      <c r="AH36" s="116"/>
      <c r="AI36" s="117"/>
      <c r="AJ36" s="117"/>
      <c r="AK36" s="115"/>
      <c r="AL36" s="116"/>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row>
    <row r="37" spans="1:67" ht="26.25" customHeight="1" x14ac:dyDescent="0.25">
      <c r="A37" s="242"/>
      <c r="B37" s="258"/>
      <c r="C37" s="258"/>
      <c r="D37" s="273"/>
      <c r="E37" s="145"/>
      <c r="F37" s="281"/>
      <c r="G37" s="146"/>
      <c r="H37" s="279"/>
      <c r="I37" s="230"/>
      <c r="J37" s="233"/>
      <c r="K37" s="236"/>
      <c r="L37" s="239"/>
      <c r="M37" s="236">
        <f ca="1">IF(NOT(ISERROR(MATCH(L37,_xlfn.ANCHORARRAY(F48),0))),K50&amp;"Por favor no seleccionar los criterios de impacto",L37)</f>
        <v>0</v>
      </c>
      <c r="N37" s="233"/>
      <c r="O37" s="236"/>
      <c r="P37" s="261"/>
      <c r="Q37" s="105">
        <v>2</v>
      </c>
      <c r="R37" s="106"/>
      <c r="S37" s="107" t="s">
        <v>215</v>
      </c>
      <c r="T37" s="108"/>
      <c r="U37" s="108"/>
      <c r="V37" s="109" t="s">
        <v>215</v>
      </c>
      <c r="W37" s="108"/>
      <c r="X37" s="108"/>
      <c r="Y37" s="108"/>
      <c r="Z37" s="110" t="s">
        <v>215</v>
      </c>
      <c r="AA37" s="111" t="s">
        <v>215</v>
      </c>
      <c r="AB37" s="112" t="s">
        <v>215</v>
      </c>
      <c r="AC37" s="111" t="s">
        <v>215</v>
      </c>
      <c r="AD37" s="112" t="s">
        <v>215</v>
      </c>
      <c r="AE37" s="113" t="s">
        <v>215</v>
      </c>
      <c r="AF37" s="114"/>
      <c r="AG37" s="115"/>
      <c r="AH37" s="116"/>
      <c r="AI37" s="117"/>
      <c r="AJ37" s="117"/>
      <c r="AK37" s="115"/>
      <c r="AL37" s="116"/>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row>
    <row r="38" spans="1:67" ht="26.25" customHeight="1" x14ac:dyDescent="0.25">
      <c r="A38" s="242"/>
      <c r="B38" s="258"/>
      <c r="C38" s="258"/>
      <c r="D38" s="273"/>
      <c r="E38" s="145"/>
      <c r="F38" s="281"/>
      <c r="G38" s="146"/>
      <c r="H38" s="279"/>
      <c r="I38" s="230"/>
      <c r="J38" s="233"/>
      <c r="K38" s="236"/>
      <c r="L38" s="239"/>
      <c r="M38" s="236">
        <f ca="1">IF(NOT(ISERROR(MATCH(L38,_xlfn.ANCHORARRAY(F49),0))),K51&amp;"Por favor no seleccionar los criterios de impacto",L38)</f>
        <v>0</v>
      </c>
      <c r="N38" s="233"/>
      <c r="O38" s="236"/>
      <c r="P38" s="261"/>
      <c r="Q38" s="105">
        <v>3</v>
      </c>
      <c r="R38" s="118"/>
      <c r="S38" s="107" t="s">
        <v>215</v>
      </c>
      <c r="T38" s="108"/>
      <c r="U38" s="108"/>
      <c r="V38" s="109" t="s">
        <v>215</v>
      </c>
      <c r="W38" s="108"/>
      <c r="X38" s="108"/>
      <c r="Y38" s="108"/>
      <c r="Z38" s="110" t="s">
        <v>215</v>
      </c>
      <c r="AA38" s="111" t="s">
        <v>215</v>
      </c>
      <c r="AB38" s="112" t="s">
        <v>215</v>
      </c>
      <c r="AC38" s="111" t="s">
        <v>215</v>
      </c>
      <c r="AD38" s="112" t="s">
        <v>215</v>
      </c>
      <c r="AE38" s="113" t="s">
        <v>215</v>
      </c>
      <c r="AF38" s="114"/>
      <c r="AG38" s="115"/>
      <c r="AH38" s="116"/>
      <c r="AI38" s="117"/>
      <c r="AJ38" s="117"/>
      <c r="AK38" s="115"/>
      <c r="AL38" s="116"/>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row>
    <row r="39" spans="1:67" ht="26.25" customHeight="1" x14ac:dyDescent="0.25">
      <c r="A39" s="242"/>
      <c r="B39" s="258"/>
      <c r="C39" s="258"/>
      <c r="D39" s="273"/>
      <c r="E39" s="145"/>
      <c r="F39" s="281"/>
      <c r="G39" s="146"/>
      <c r="H39" s="279"/>
      <c r="I39" s="230"/>
      <c r="J39" s="233"/>
      <c r="K39" s="236"/>
      <c r="L39" s="239"/>
      <c r="M39" s="236">
        <f ca="1">IF(NOT(ISERROR(MATCH(L39,_xlfn.ANCHORARRAY(F50),0))),K52&amp;"Por favor no seleccionar los criterios de impacto",L39)</f>
        <v>0</v>
      </c>
      <c r="N39" s="233"/>
      <c r="O39" s="236"/>
      <c r="P39" s="261"/>
      <c r="Q39" s="105">
        <v>4</v>
      </c>
      <c r="R39" s="106"/>
      <c r="S39" s="107" t="s">
        <v>215</v>
      </c>
      <c r="T39" s="108"/>
      <c r="U39" s="108"/>
      <c r="V39" s="109" t="s">
        <v>215</v>
      </c>
      <c r="W39" s="108"/>
      <c r="X39" s="108"/>
      <c r="Y39" s="108"/>
      <c r="Z39" s="110" t="s">
        <v>215</v>
      </c>
      <c r="AA39" s="111" t="s">
        <v>215</v>
      </c>
      <c r="AB39" s="112" t="s">
        <v>215</v>
      </c>
      <c r="AC39" s="111" t="s">
        <v>215</v>
      </c>
      <c r="AD39" s="112" t="s">
        <v>215</v>
      </c>
      <c r="AE39" s="113" t="s">
        <v>215</v>
      </c>
      <c r="AF39" s="114"/>
      <c r="AG39" s="115"/>
      <c r="AH39" s="116"/>
      <c r="AI39" s="117"/>
      <c r="AJ39" s="117"/>
      <c r="AK39" s="115"/>
      <c r="AL39" s="116"/>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row>
    <row r="40" spans="1:67" ht="26.25" customHeight="1" x14ac:dyDescent="0.25">
      <c r="A40" s="242"/>
      <c r="B40" s="258"/>
      <c r="C40" s="258"/>
      <c r="D40" s="273"/>
      <c r="E40" s="145"/>
      <c r="F40" s="281"/>
      <c r="G40" s="146"/>
      <c r="H40" s="279"/>
      <c r="I40" s="230"/>
      <c r="J40" s="233"/>
      <c r="K40" s="236"/>
      <c r="L40" s="239"/>
      <c r="M40" s="236">
        <f ca="1">IF(NOT(ISERROR(MATCH(L40,_xlfn.ANCHORARRAY(F51),0))),K53&amp;"Por favor no seleccionar los criterios de impacto",L40)</f>
        <v>0</v>
      </c>
      <c r="N40" s="233"/>
      <c r="O40" s="236"/>
      <c r="P40" s="261"/>
      <c r="Q40" s="105">
        <v>5</v>
      </c>
      <c r="R40" s="106"/>
      <c r="S40" s="107" t="s">
        <v>215</v>
      </c>
      <c r="T40" s="108"/>
      <c r="U40" s="108"/>
      <c r="V40" s="109" t="s">
        <v>215</v>
      </c>
      <c r="W40" s="108"/>
      <c r="X40" s="108"/>
      <c r="Y40" s="108"/>
      <c r="Z40" s="110" t="s">
        <v>215</v>
      </c>
      <c r="AA40" s="111" t="s">
        <v>215</v>
      </c>
      <c r="AB40" s="112" t="s">
        <v>215</v>
      </c>
      <c r="AC40" s="111" t="s">
        <v>215</v>
      </c>
      <c r="AD40" s="112" t="s">
        <v>215</v>
      </c>
      <c r="AE40" s="113" t="s">
        <v>215</v>
      </c>
      <c r="AF40" s="114"/>
      <c r="AG40" s="115"/>
      <c r="AH40" s="116"/>
      <c r="AI40" s="117"/>
      <c r="AJ40" s="117"/>
      <c r="AK40" s="115"/>
      <c r="AL40" s="116"/>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row>
    <row r="41" spans="1:67" ht="26.25" customHeight="1" x14ac:dyDescent="0.25">
      <c r="A41" s="256"/>
      <c r="B41" s="259"/>
      <c r="C41" s="259"/>
      <c r="D41" s="274"/>
      <c r="E41" s="145"/>
      <c r="F41" s="281"/>
      <c r="G41" s="146"/>
      <c r="H41" s="280"/>
      <c r="I41" s="231"/>
      <c r="J41" s="234"/>
      <c r="K41" s="237"/>
      <c r="L41" s="240"/>
      <c r="M41" s="237">
        <f ca="1">IF(NOT(ISERROR(MATCH(L41,_xlfn.ANCHORARRAY(F52),0))),K54&amp;"Por favor no seleccionar los criterios de impacto",L41)</f>
        <v>0</v>
      </c>
      <c r="N41" s="234"/>
      <c r="O41" s="237"/>
      <c r="P41" s="262"/>
      <c r="Q41" s="105">
        <v>6</v>
      </c>
      <c r="R41" s="106"/>
      <c r="S41" s="107" t="s">
        <v>215</v>
      </c>
      <c r="T41" s="108"/>
      <c r="U41" s="108"/>
      <c r="V41" s="109" t="s">
        <v>215</v>
      </c>
      <c r="W41" s="108"/>
      <c r="X41" s="108"/>
      <c r="Y41" s="108"/>
      <c r="Z41" s="110" t="s">
        <v>215</v>
      </c>
      <c r="AA41" s="111" t="s">
        <v>215</v>
      </c>
      <c r="AB41" s="112" t="s">
        <v>215</v>
      </c>
      <c r="AC41" s="111" t="s">
        <v>215</v>
      </c>
      <c r="AD41" s="112" t="s">
        <v>215</v>
      </c>
      <c r="AE41" s="113" t="s">
        <v>215</v>
      </c>
      <c r="AF41" s="114"/>
      <c r="AG41" s="115"/>
      <c r="AH41" s="116"/>
      <c r="AI41" s="117"/>
      <c r="AJ41" s="117"/>
      <c r="AK41" s="115"/>
      <c r="AL41" s="116"/>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row>
    <row r="42" spans="1:67" ht="26.25" customHeight="1" x14ac:dyDescent="0.25">
      <c r="A42" s="241">
        <v>7</v>
      </c>
      <c r="B42" s="257"/>
      <c r="C42" s="257"/>
      <c r="D42" s="257"/>
      <c r="E42" s="129"/>
      <c r="F42" s="285"/>
      <c r="G42" s="132"/>
      <c r="H42" s="257"/>
      <c r="I42" s="229"/>
      <c r="J42" s="232" t="str">
        <f t="shared" ref="J42" si="53">IF(I42&lt;=0,"",IF(I42&lt;=2,"Muy Baja",IF(I42&lt;=24,"Baja",IF(I42&lt;=500,"Media",IF(I42&lt;=5000,"Alta","Muy Alta")))))</f>
        <v/>
      </c>
      <c r="K42" s="235" t="str">
        <f t="shared" ref="K42" si="54">IF(J42="","",IF(J42="Muy Baja",0.2,IF(J42="Baja",0.4,IF(J42="Media",0.6,IF(J42="Alta",0.8,IF(J42="Muy Alta",1,))))))</f>
        <v/>
      </c>
      <c r="L42" s="238"/>
      <c r="M42" s="235">
        <f ca="1">IF(NOT(ISERROR(MATCH(L42,'Tabla Impacto'!$B$221:$B$223,0))),'Tabla Impacto'!$F$223&amp;"Por favor no seleccionar los criterios de impacto(Afectación Económica o presupuestal y Pérdida Reputacional)",L42)</f>
        <v>0</v>
      </c>
      <c r="N42" s="232" t="str">
        <f ca="1">IF(OR(M42='Tabla Impacto'!$C$11,M42='Tabla Impacto'!$D$11),"Leve",IF(OR(M42='Tabla Impacto'!$C$12,M42='Tabla Impacto'!$D$12),"Menor",IF(OR(M42='Tabla Impacto'!$C$13,M42='Tabla Impacto'!$D$13),"Moderado",IF(OR(M42='Tabla Impacto'!$C$14,M42='Tabla Impacto'!$D$14),"Mayor",IF(OR(M42='Tabla Impacto'!$C$15,M42='Tabla Impacto'!$D$15),"Catastrófico","")))))</f>
        <v/>
      </c>
      <c r="O42" s="235" t="str">
        <f t="shared" ref="O42" ca="1" si="55">IF(N42="","",IF(N42="Leve",0.2,IF(N42="Menor",0.4,IF(N42="Moderado",0.6,IF(N42="Mayor",0.8,IF(N42="Catastrófico",1,))))))</f>
        <v/>
      </c>
      <c r="P42" s="260" t="str">
        <f t="shared" ref="P42" ca="1" si="56">IF(OR(AND(J42="Muy Baja",N42="Leve"),AND(J42="Muy Baja",N42="Menor"),AND(J42="Baja",N42="Leve")),"Bajo",IF(OR(AND(J42="Muy baja",N42="Moderado"),AND(J42="Baja",N42="Menor"),AND(J42="Baja",N42="Moderado"),AND(J42="Media",N42="Leve"),AND(J42="Media",N42="Menor"),AND(J42="Media",N42="Moderado"),AND(J42="Alta",N42="Leve"),AND(J42="Alta",N42="Menor")),"Moderado",IF(OR(AND(J42="Muy Baja",N42="Mayor"),AND(J42="Baja",N42="Mayor"),AND(J42="Media",N42="Mayor"),AND(J42="Alta",N42="Moderado"),AND(J42="Alta",N42="Mayor"),AND(J42="Muy Alta",N42="Leve"),AND(J42="Muy Alta",N42="Menor"),AND(J42="Muy Alta",N42="Moderado"),AND(J42="Muy Alta",N42="Mayor")),"Alto",IF(OR(AND(J42="Muy Baja",N42="Catastrófico"),AND(J42="Baja",N42="Catastrófico"),AND(J42="Media",N42="Catastrófico"),AND(J42="Alta",N42="Catastrófico"),AND(J42="Muy Alta",N42="Catastrófico")),"Extremo",""))))</f>
        <v/>
      </c>
      <c r="Q42" s="105">
        <v>1</v>
      </c>
      <c r="R42" s="106"/>
      <c r="S42" s="107" t="s">
        <v>215</v>
      </c>
      <c r="T42" s="108"/>
      <c r="U42" s="108"/>
      <c r="V42" s="109" t="s">
        <v>215</v>
      </c>
      <c r="W42" s="108"/>
      <c r="X42" s="108"/>
      <c r="Y42" s="108"/>
      <c r="Z42" s="110" t="s">
        <v>215</v>
      </c>
      <c r="AA42" s="111" t="s">
        <v>215</v>
      </c>
      <c r="AB42" s="112" t="s">
        <v>215</v>
      </c>
      <c r="AC42" s="111" t="s">
        <v>215</v>
      </c>
      <c r="AD42" s="112" t="s">
        <v>215</v>
      </c>
      <c r="AE42" s="113" t="s">
        <v>215</v>
      </c>
      <c r="AF42" s="114"/>
      <c r="AG42" s="115"/>
      <c r="AH42" s="116"/>
      <c r="AI42" s="117"/>
      <c r="AJ42" s="117"/>
      <c r="AK42" s="115"/>
      <c r="AL42" s="116"/>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row>
    <row r="43" spans="1:67" ht="26.25" customHeight="1" x14ac:dyDescent="0.25">
      <c r="A43" s="242"/>
      <c r="B43" s="258"/>
      <c r="C43" s="258"/>
      <c r="D43" s="258"/>
      <c r="E43" s="129"/>
      <c r="F43" s="285"/>
      <c r="G43" s="132"/>
      <c r="H43" s="258"/>
      <c r="I43" s="230"/>
      <c r="J43" s="233"/>
      <c r="K43" s="236"/>
      <c r="L43" s="239"/>
      <c r="M43" s="236">
        <f ca="1">IF(NOT(ISERROR(MATCH(L43,_xlfn.ANCHORARRAY(F54),0))),K56&amp;"Por favor no seleccionar los criterios de impacto",L43)</f>
        <v>0</v>
      </c>
      <c r="N43" s="233"/>
      <c r="O43" s="236"/>
      <c r="P43" s="261"/>
      <c r="Q43" s="105">
        <v>2</v>
      </c>
      <c r="R43" s="106"/>
      <c r="S43" s="107" t="s">
        <v>215</v>
      </c>
      <c r="T43" s="108"/>
      <c r="U43" s="108"/>
      <c r="V43" s="109" t="s">
        <v>215</v>
      </c>
      <c r="W43" s="108"/>
      <c r="X43" s="108"/>
      <c r="Y43" s="108"/>
      <c r="Z43" s="110" t="s">
        <v>215</v>
      </c>
      <c r="AA43" s="111" t="s">
        <v>215</v>
      </c>
      <c r="AB43" s="112" t="s">
        <v>215</v>
      </c>
      <c r="AC43" s="111" t="s">
        <v>215</v>
      </c>
      <c r="AD43" s="112" t="s">
        <v>215</v>
      </c>
      <c r="AE43" s="113" t="s">
        <v>215</v>
      </c>
      <c r="AF43" s="114"/>
      <c r="AG43" s="115"/>
      <c r="AH43" s="116"/>
      <c r="AI43" s="117"/>
      <c r="AJ43" s="117"/>
      <c r="AK43" s="115"/>
      <c r="AL43" s="116"/>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row>
    <row r="44" spans="1:67" ht="26.25" customHeight="1" x14ac:dyDescent="0.25">
      <c r="A44" s="242"/>
      <c r="B44" s="258"/>
      <c r="C44" s="258"/>
      <c r="D44" s="258"/>
      <c r="E44" s="129"/>
      <c r="F44" s="285"/>
      <c r="G44" s="132"/>
      <c r="H44" s="258"/>
      <c r="I44" s="230"/>
      <c r="J44" s="233"/>
      <c r="K44" s="236"/>
      <c r="L44" s="239"/>
      <c r="M44" s="236">
        <f ca="1">IF(NOT(ISERROR(MATCH(L44,_xlfn.ANCHORARRAY(F55),0))),K57&amp;"Por favor no seleccionar los criterios de impacto",L44)</f>
        <v>0</v>
      </c>
      <c r="N44" s="233"/>
      <c r="O44" s="236"/>
      <c r="P44" s="261"/>
      <c r="Q44" s="105">
        <v>3</v>
      </c>
      <c r="R44" s="118"/>
      <c r="S44" s="107" t="s">
        <v>215</v>
      </c>
      <c r="T44" s="108"/>
      <c r="U44" s="108"/>
      <c r="V44" s="109" t="s">
        <v>215</v>
      </c>
      <c r="W44" s="108"/>
      <c r="X44" s="108"/>
      <c r="Y44" s="108"/>
      <c r="Z44" s="110" t="s">
        <v>215</v>
      </c>
      <c r="AA44" s="111" t="s">
        <v>215</v>
      </c>
      <c r="AB44" s="112" t="s">
        <v>215</v>
      </c>
      <c r="AC44" s="111" t="s">
        <v>215</v>
      </c>
      <c r="AD44" s="112" t="s">
        <v>215</v>
      </c>
      <c r="AE44" s="113" t="s">
        <v>215</v>
      </c>
      <c r="AF44" s="114"/>
      <c r="AG44" s="115"/>
      <c r="AH44" s="116"/>
      <c r="AI44" s="117"/>
      <c r="AJ44" s="117"/>
      <c r="AK44" s="115"/>
      <c r="AL44" s="116"/>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row>
    <row r="45" spans="1:67" ht="26.25" customHeight="1" x14ac:dyDescent="0.25">
      <c r="A45" s="242"/>
      <c r="B45" s="258"/>
      <c r="C45" s="258"/>
      <c r="D45" s="258"/>
      <c r="E45" s="129"/>
      <c r="F45" s="285"/>
      <c r="G45" s="132"/>
      <c r="H45" s="258"/>
      <c r="I45" s="230"/>
      <c r="J45" s="233"/>
      <c r="K45" s="236"/>
      <c r="L45" s="239"/>
      <c r="M45" s="236">
        <f ca="1">IF(NOT(ISERROR(MATCH(L45,_xlfn.ANCHORARRAY(F56),0))),K58&amp;"Por favor no seleccionar los criterios de impacto",L45)</f>
        <v>0</v>
      </c>
      <c r="N45" s="233"/>
      <c r="O45" s="236"/>
      <c r="P45" s="261"/>
      <c r="Q45" s="105">
        <v>4</v>
      </c>
      <c r="R45" s="106"/>
      <c r="S45" s="107" t="s">
        <v>215</v>
      </c>
      <c r="T45" s="108"/>
      <c r="U45" s="108"/>
      <c r="V45" s="109" t="s">
        <v>215</v>
      </c>
      <c r="W45" s="108"/>
      <c r="X45" s="108"/>
      <c r="Y45" s="108"/>
      <c r="Z45" s="110" t="s">
        <v>215</v>
      </c>
      <c r="AA45" s="111" t="s">
        <v>215</v>
      </c>
      <c r="AB45" s="112" t="s">
        <v>215</v>
      </c>
      <c r="AC45" s="111" t="s">
        <v>215</v>
      </c>
      <c r="AD45" s="112" t="s">
        <v>215</v>
      </c>
      <c r="AE45" s="113" t="s">
        <v>215</v>
      </c>
      <c r="AF45" s="114"/>
      <c r="AG45" s="115"/>
      <c r="AH45" s="116"/>
      <c r="AI45" s="117"/>
      <c r="AJ45" s="117"/>
      <c r="AK45" s="115"/>
      <c r="AL45" s="116"/>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row>
    <row r="46" spans="1:67" ht="26.25" customHeight="1" x14ac:dyDescent="0.25">
      <c r="A46" s="242"/>
      <c r="B46" s="258"/>
      <c r="C46" s="258"/>
      <c r="D46" s="258"/>
      <c r="E46" s="129"/>
      <c r="F46" s="285"/>
      <c r="G46" s="132"/>
      <c r="H46" s="258"/>
      <c r="I46" s="230"/>
      <c r="J46" s="233"/>
      <c r="K46" s="236"/>
      <c r="L46" s="239"/>
      <c r="M46" s="236">
        <f ca="1">IF(NOT(ISERROR(MATCH(L46,_xlfn.ANCHORARRAY(F57),0))),K59&amp;"Por favor no seleccionar los criterios de impacto",L46)</f>
        <v>0</v>
      </c>
      <c r="N46" s="233"/>
      <c r="O46" s="236"/>
      <c r="P46" s="261"/>
      <c r="Q46" s="105">
        <v>5</v>
      </c>
      <c r="R46" s="106"/>
      <c r="S46" s="107" t="s">
        <v>215</v>
      </c>
      <c r="T46" s="108"/>
      <c r="U46" s="108"/>
      <c r="V46" s="109" t="s">
        <v>215</v>
      </c>
      <c r="W46" s="108"/>
      <c r="X46" s="108"/>
      <c r="Y46" s="108"/>
      <c r="Z46" s="110" t="s">
        <v>215</v>
      </c>
      <c r="AA46" s="111" t="s">
        <v>215</v>
      </c>
      <c r="AB46" s="112" t="s">
        <v>215</v>
      </c>
      <c r="AC46" s="111" t="s">
        <v>215</v>
      </c>
      <c r="AD46" s="112" t="s">
        <v>215</v>
      </c>
      <c r="AE46" s="113" t="s">
        <v>215</v>
      </c>
      <c r="AF46" s="114"/>
      <c r="AG46" s="115"/>
      <c r="AH46" s="116"/>
      <c r="AI46" s="117"/>
      <c r="AJ46" s="117"/>
      <c r="AK46" s="115"/>
      <c r="AL46" s="116"/>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row>
    <row r="47" spans="1:67" ht="26.25" customHeight="1" x14ac:dyDescent="0.25">
      <c r="A47" s="256"/>
      <c r="B47" s="259"/>
      <c r="C47" s="259"/>
      <c r="D47" s="259"/>
      <c r="E47" s="130"/>
      <c r="F47" s="286"/>
      <c r="G47" s="133"/>
      <c r="H47" s="259"/>
      <c r="I47" s="231"/>
      <c r="J47" s="234"/>
      <c r="K47" s="237"/>
      <c r="L47" s="240"/>
      <c r="M47" s="237">
        <f ca="1">IF(NOT(ISERROR(MATCH(L47,_xlfn.ANCHORARRAY(F58),0))),K60&amp;"Por favor no seleccionar los criterios de impacto",L47)</f>
        <v>0</v>
      </c>
      <c r="N47" s="234"/>
      <c r="O47" s="237"/>
      <c r="P47" s="262"/>
      <c r="Q47" s="105">
        <v>6</v>
      </c>
      <c r="R47" s="106"/>
      <c r="S47" s="107" t="s">
        <v>215</v>
      </c>
      <c r="T47" s="108"/>
      <c r="U47" s="108"/>
      <c r="V47" s="109" t="s">
        <v>215</v>
      </c>
      <c r="W47" s="108"/>
      <c r="X47" s="108"/>
      <c r="Y47" s="108"/>
      <c r="Z47" s="110" t="s">
        <v>215</v>
      </c>
      <c r="AA47" s="111" t="s">
        <v>215</v>
      </c>
      <c r="AB47" s="112" t="s">
        <v>215</v>
      </c>
      <c r="AC47" s="111" t="s">
        <v>215</v>
      </c>
      <c r="AD47" s="112" t="s">
        <v>215</v>
      </c>
      <c r="AE47" s="113" t="s">
        <v>215</v>
      </c>
      <c r="AF47" s="114"/>
      <c r="AG47" s="115"/>
      <c r="AH47" s="116"/>
      <c r="AI47" s="117"/>
      <c r="AJ47" s="117"/>
      <c r="AK47" s="115"/>
      <c r="AL47" s="116"/>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row>
    <row r="48" spans="1:67" ht="26.25" customHeight="1" x14ac:dyDescent="0.25">
      <c r="A48" s="241">
        <v>8</v>
      </c>
      <c r="B48" s="257"/>
      <c r="C48" s="257"/>
      <c r="D48" s="257"/>
      <c r="E48" s="128"/>
      <c r="F48" s="284"/>
      <c r="G48" s="131"/>
      <c r="H48" s="257"/>
      <c r="I48" s="229"/>
      <c r="J48" s="232" t="str">
        <f t="shared" ref="J48" si="57">IF(I48&lt;=0,"",IF(I48&lt;=2,"Muy Baja",IF(I48&lt;=24,"Baja",IF(I48&lt;=500,"Media",IF(I48&lt;=5000,"Alta","Muy Alta")))))</f>
        <v/>
      </c>
      <c r="K48" s="235" t="str">
        <f t="shared" ref="K48" si="58">IF(J48="","",IF(J48="Muy Baja",0.2,IF(J48="Baja",0.4,IF(J48="Media",0.6,IF(J48="Alta",0.8,IF(J48="Muy Alta",1,))))))</f>
        <v/>
      </c>
      <c r="L48" s="238"/>
      <c r="M48" s="235">
        <f ca="1">IF(NOT(ISERROR(MATCH(L48,'Tabla Impacto'!$B$221:$B$223,0))),'Tabla Impacto'!$F$223&amp;"Por favor no seleccionar los criterios de impacto(Afectación Económica o presupuestal y Pérdida Reputacional)",L48)</f>
        <v>0</v>
      </c>
      <c r="N48" s="232" t="str">
        <f ca="1">IF(OR(M48='Tabla Impacto'!$C$11,M48='Tabla Impacto'!$D$11),"Leve",IF(OR(M48='Tabla Impacto'!$C$12,M48='Tabla Impacto'!$D$12),"Menor",IF(OR(M48='Tabla Impacto'!$C$13,M48='Tabla Impacto'!$D$13),"Moderado",IF(OR(M48='Tabla Impacto'!$C$14,M48='Tabla Impacto'!$D$14),"Mayor",IF(OR(M48='Tabla Impacto'!$C$15,M48='Tabla Impacto'!$D$15),"Catastrófico","")))))</f>
        <v/>
      </c>
      <c r="O48" s="235" t="str">
        <f t="shared" ref="O48" ca="1" si="59">IF(N48="","",IF(N48="Leve",0.2,IF(N48="Menor",0.4,IF(N48="Moderado",0.6,IF(N48="Mayor",0.8,IF(N48="Catastrófico",1,))))))</f>
        <v/>
      </c>
      <c r="P48" s="260" t="str">
        <f t="shared" ref="P48" ca="1" si="60">IF(OR(AND(J48="Muy Baja",N48="Leve"),AND(J48="Muy Baja",N48="Menor"),AND(J48="Baja",N48="Leve")),"Bajo",IF(OR(AND(J48="Muy baja",N48="Moderado"),AND(J48="Baja",N48="Menor"),AND(J48="Baja",N48="Moderado"),AND(J48="Media",N48="Leve"),AND(J48="Media",N48="Menor"),AND(J48="Media",N48="Moderado"),AND(J48="Alta",N48="Leve"),AND(J48="Alta",N48="Menor")),"Moderado",IF(OR(AND(J48="Muy Baja",N48="Mayor"),AND(J48="Baja",N48="Mayor"),AND(J48="Media",N48="Mayor"),AND(J48="Alta",N48="Moderado"),AND(J48="Alta",N48="Mayor"),AND(J48="Muy Alta",N48="Leve"),AND(J48="Muy Alta",N48="Menor"),AND(J48="Muy Alta",N48="Moderado"),AND(J48="Muy Alta",N48="Mayor")),"Alto",IF(OR(AND(J48="Muy Baja",N48="Catastrófico"),AND(J48="Baja",N48="Catastrófico"),AND(J48="Media",N48="Catastrófico"),AND(J48="Alta",N48="Catastrófico"),AND(J48="Muy Alta",N48="Catastrófico")),"Extremo",""))))</f>
        <v/>
      </c>
      <c r="Q48" s="105">
        <v>1</v>
      </c>
      <c r="R48" s="106"/>
      <c r="S48" s="107" t="str">
        <f>IF(OR(T48="Preventivo",T48="Detectivo"),"Probabilidad",IF(T48="Correctivo","Impacto",""))</f>
        <v/>
      </c>
      <c r="T48" s="108"/>
      <c r="U48" s="108"/>
      <c r="V48" s="109" t="str">
        <f>IF(AND(T48="Preventivo",U48="Automático"),"50%",IF(AND(T48="Preventivo",U48="Manual"),"40%",IF(AND(T48="Detectivo",U48="Automático"),"40%",IF(AND(T48="Detectivo",U48="Manual"),"30%",IF(AND(T48="Correctivo",U48="Automático"),"35%",IF(AND(T48="Correctivo",U48="Manual"),"25%",""))))))</f>
        <v/>
      </c>
      <c r="W48" s="108"/>
      <c r="X48" s="108"/>
      <c r="Y48" s="108"/>
      <c r="Z48" s="110" t="str">
        <f>IFERROR(IF(S48="Probabilidad",(K48-(+K48*V48)),IF(S48="Impacto",K48,"")),"")</f>
        <v/>
      </c>
      <c r="AA48" s="111" t="str">
        <f>IFERROR(IF(Z48="","",IF(Z48&lt;=0.2,"Muy Baja",IF(Z48&lt;=0.4,"Baja",IF(Z48&lt;=0.6,"Media",IF(Z48&lt;=0.8,"Alta","Muy Alta"))))),"")</f>
        <v/>
      </c>
      <c r="AB48" s="112" t="str">
        <f>+Z48</f>
        <v/>
      </c>
      <c r="AC48" s="111" t="str">
        <f>IFERROR(IF(AD48="","",IF(AD48&lt;=0.2,"Leve",IF(AD48&lt;=0.4,"Menor",IF(AD48&lt;=0.6,"Moderado",IF(AD48&lt;=0.8,"Mayor","Catastrófico"))))),"")</f>
        <v/>
      </c>
      <c r="AD48" s="112" t="str">
        <f>IFERROR(IF(S48="Impacto",(O48-(+O48*V48)),IF(S48="Probabilidad",O48,"")),"")</f>
        <v/>
      </c>
      <c r="AE48" s="113" t="str">
        <f>IFERROR(IF(OR(AND(AA48="Muy Baja",AC48="Leve"),AND(AA48="Muy Baja",AC48="Menor"),AND(AA48="Baja",AC48="Leve")),"Bajo",IF(OR(AND(AA48="Muy baja",AC48="Moderado"),AND(AA48="Baja",AC48="Menor"),AND(AA48="Baja",AC48="Moderado"),AND(AA48="Media",AC48="Leve"),AND(AA48="Media",AC48="Menor"),AND(AA48="Media",AC48="Moderado"),AND(AA48="Alta",AC48="Leve"),AND(AA48="Alta",AC48="Menor")),"Moderado",IF(OR(AND(AA48="Muy Baja",AC48="Mayor"),AND(AA48="Baja",AC48="Mayor"),AND(AA48="Media",AC48="Mayor"),AND(AA48="Alta",AC48="Moderado"),AND(AA48="Alta",AC48="Mayor"),AND(AA48="Muy Alta",AC48="Leve"),AND(AA48="Muy Alta",AC48="Menor"),AND(AA48="Muy Alta",AC48="Moderado"),AND(AA48="Muy Alta",AC48="Mayor")),"Alto",IF(OR(AND(AA48="Muy Baja",AC48="Catastrófico"),AND(AA48="Baja",AC48="Catastrófico"),AND(AA48="Media",AC48="Catastrófico"),AND(AA48="Alta",AC48="Catastrófico"),AND(AA48="Muy Alta",AC48="Catastrófico")),"Extremo","")))),"")</f>
        <v/>
      </c>
      <c r="AF48" s="114"/>
      <c r="AG48" s="115"/>
      <c r="AH48" s="116"/>
      <c r="AI48" s="117"/>
      <c r="AJ48" s="117"/>
      <c r="AK48" s="115"/>
      <c r="AL48" s="116"/>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row>
    <row r="49" spans="1:67" ht="26.25" customHeight="1" x14ac:dyDescent="0.25">
      <c r="A49" s="242"/>
      <c r="B49" s="258"/>
      <c r="C49" s="258"/>
      <c r="D49" s="258"/>
      <c r="E49" s="129"/>
      <c r="F49" s="285"/>
      <c r="G49" s="132"/>
      <c r="H49" s="258"/>
      <c r="I49" s="230"/>
      <c r="J49" s="233"/>
      <c r="K49" s="236"/>
      <c r="L49" s="239"/>
      <c r="M49" s="236">
        <f ca="1">IF(NOT(ISERROR(MATCH(L49,_xlfn.ANCHORARRAY(F60),0))),K62&amp;"Por favor no seleccionar los criterios de impacto",L49)</f>
        <v>0</v>
      </c>
      <c r="N49" s="233"/>
      <c r="O49" s="236"/>
      <c r="P49" s="261"/>
      <c r="Q49" s="105">
        <v>2</v>
      </c>
      <c r="R49" s="106"/>
      <c r="S49" s="107" t="str">
        <f>IF(OR(T49="Preventivo",T49="Detectivo"),"Probabilidad",IF(T49="Correctivo","Impacto",""))</f>
        <v/>
      </c>
      <c r="T49" s="108"/>
      <c r="U49" s="108"/>
      <c r="V49" s="109" t="str">
        <f t="shared" ref="V49:V53" si="61">IF(AND(T49="Preventivo",U49="Automático"),"50%",IF(AND(T49="Preventivo",U49="Manual"),"40%",IF(AND(T49="Detectivo",U49="Automático"),"40%",IF(AND(T49="Detectivo",U49="Manual"),"30%",IF(AND(T49="Correctivo",U49="Automático"),"35%",IF(AND(T49="Correctivo",U49="Manual"),"25%",""))))))</f>
        <v/>
      </c>
      <c r="W49" s="108"/>
      <c r="X49" s="108"/>
      <c r="Y49" s="108"/>
      <c r="Z49" s="110" t="str">
        <f>IFERROR(IF(AND(S48="Probabilidad",S49="Probabilidad"),(AB48-(+AB48*V49)),IF(S49="Probabilidad",(K48-(+K48*V49)),IF(S49="Impacto",AB48,""))),"")</f>
        <v/>
      </c>
      <c r="AA49" s="111" t="str">
        <f t="shared" ref="AA49:AA65" si="62">IFERROR(IF(Z49="","",IF(Z49&lt;=0.2,"Muy Baja",IF(Z49&lt;=0.4,"Baja",IF(Z49&lt;=0.6,"Media",IF(Z49&lt;=0.8,"Alta","Muy Alta"))))),"")</f>
        <v/>
      </c>
      <c r="AB49" s="112" t="str">
        <f t="shared" ref="AB49:AB53" si="63">+Z49</f>
        <v/>
      </c>
      <c r="AC49" s="111" t="str">
        <f t="shared" ref="AC49:AC65" si="64">IFERROR(IF(AD49="","",IF(AD49&lt;=0.2,"Leve",IF(AD49&lt;=0.4,"Menor",IF(AD49&lt;=0.6,"Moderado",IF(AD49&lt;=0.8,"Mayor","Catastrófico"))))),"")</f>
        <v/>
      </c>
      <c r="AD49" s="112" t="str">
        <f>IFERROR(IF(AND(S48="Impacto",S49="Impacto"),(AD48-(+AD48*V49)),IF(S49="Impacto",(O48-(+O48*V49)),IF(S49="Probabilidad",AD48,""))),"")</f>
        <v/>
      </c>
      <c r="AE49" s="113" t="str">
        <f t="shared" ref="AE49:AE50" si="65">IFERROR(IF(OR(AND(AA49="Muy Baja",AC49="Leve"),AND(AA49="Muy Baja",AC49="Menor"),AND(AA49="Baja",AC49="Leve")),"Bajo",IF(OR(AND(AA49="Muy baja",AC49="Moderado"),AND(AA49="Baja",AC49="Menor"),AND(AA49="Baja",AC49="Moderado"),AND(AA49="Media",AC49="Leve"),AND(AA49="Media",AC49="Menor"),AND(AA49="Media",AC49="Moderado"),AND(AA49="Alta",AC49="Leve"),AND(AA49="Alta",AC49="Menor")),"Moderado",IF(OR(AND(AA49="Muy Baja",AC49="Mayor"),AND(AA49="Baja",AC49="Mayor"),AND(AA49="Media",AC49="Mayor"),AND(AA49="Alta",AC49="Moderado"),AND(AA49="Alta",AC49="Mayor"),AND(AA49="Muy Alta",AC49="Leve"),AND(AA49="Muy Alta",AC49="Menor"),AND(AA49="Muy Alta",AC49="Moderado"),AND(AA49="Muy Alta",AC49="Mayor")),"Alto",IF(OR(AND(AA49="Muy Baja",AC49="Catastrófico"),AND(AA49="Baja",AC49="Catastrófico"),AND(AA49="Media",AC49="Catastrófico"),AND(AA49="Alta",AC49="Catastrófico"),AND(AA49="Muy Alta",AC49="Catastrófico")),"Extremo","")))),"")</f>
        <v/>
      </c>
      <c r="AF49" s="114"/>
      <c r="AG49" s="115"/>
      <c r="AH49" s="116"/>
      <c r="AI49" s="117"/>
      <c r="AJ49" s="117"/>
      <c r="AK49" s="115"/>
      <c r="AL49" s="116"/>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row>
    <row r="50" spans="1:67" ht="26.25" customHeight="1" x14ac:dyDescent="0.25">
      <c r="A50" s="242"/>
      <c r="B50" s="258"/>
      <c r="C50" s="258"/>
      <c r="D50" s="258"/>
      <c r="E50" s="129"/>
      <c r="F50" s="285"/>
      <c r="G50" s="132"/>
      <c r="H50" s="258"/>
      <c r="I50" s="230"/>
      <c r="J50" s="233"/>
      <c r="K50" s="236"/>
      <c r="L50" s="239"/>
      <c r="M50" s="236">
        <f ca="1">IF(NOT(ISERROR(MATCH(L50,_xlfn.ANCHORARRAY(F61),0))),K63&amp;"Por favor no seleccionar los criterios de impacto",L50)</f>
        <v>0</v>
      </c>
      <c r="N50" s="233"/>
      <c r="O50" s="236"/>
      <c r="P50" s="261"/>
      <c r="Q50" s="105">
        <v>3</v>
      </c>
      <c r="R50" s="118"/>
      <c r="S50" s="107" t="str">
        <f>IF(OR(T50="Preventivo",T50="Detectivo"),"Probabilidad",IF(T50="Correctivo","Impacto",""))</f>
        <v/>
      </c>
      <c r="T50" s="108"/>
      <c r="U50" s="108"/>
      <c r="V50" s="109" t="str">
        <f t="shared" si="61"/>
        <v/>
      </c>
      <c r="W50" s="108"/>
      <c r="X50" s="108"/>
      <c r="Y50" s="108"/>
      <c r="Z50" s="110" t="str">
        <f>IFERROR(IF(AND(S49="Probabilidad",S50="Probabilidad"),(AB49-(+AB49*V50)),IF(AND(S49="Impacto",S50="Probabilidad"),(AB48-(+AB48*V50)),IF(S50="Impacto",AB49,""))),"")</f>
        <v/>
      </c>
      <c r="AA50" s="111" t="str">
        <f t="shared" si="62"/>
        <v/>
      </c>
      <c r="AB50" s="112" t="str">
        <f t="shared" si="63"/>
        <v/>
      </c>
      <c r="AC50" s="111" t="str">
        <f t="shared" si="64"/>
        <v/>
      </c>
      <c r="AD50" s="112" t="str">
        <f>IFERROR(IF(AND(S49="Impacto",S50="Impacto"),(AD49-(+AD49*V50)),IF(AND(S49="Probabilidad",S50="Impacto"),(AD48-(+AD48*V50)),IF(S50="Probabilidad",AD49,""))),"")</f>
        <v/>
      </c>
      <c r="AE50" s="113" t="str">
        <f t="shared" si="65"/>
        <v/>
      </c>
      <c r="AF50" s="114"/>
      <c r="AG50" s="115"/>
      <c r="AH50" s="116"/>
      <c r="AI50" s="117"/>
      <c r="AJ50" s="117"/>
      <c r="AK50" s="115"/>
      <c r="AL50" s="116"/>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row>
    <row r="51" spans="1:67" ht="26.25" customHeight="1" x14ac:dyDescent="0.25">
      <c r="A51" s="242"/>
      <c r="B51" s="258"/>
      <c r="C51" s="258"/>
      <c r="D51" s="258"/>
      <c r="E51" s="129"/>
      <c r="F51" s="285"/>
      <c r="G51" s="132"/>
      <c r="H51" s="258"/>
      <c r="I51" s="230"/>
      <c r="J51" s="233"/>
      <c r="K51" s="236"/>
      <c r="L51" s="239"/>
      <c r="M51" s="236">
        <f ca="1">IF(NOT(ISERROR(MATCH(L51,_xlfn.ANCHORARRAY(F62),0))),K64&amp;"Por favor no seleccionar los criterios de impacto",L51)</f>
        <v>0</v>
      </c>
      <c r="N51" s="233"/>
      <c r="O51" s="236"/>
      <c r="P51" s="261"/>
      <c r="Q51" s="105">
        <v>4</v>
      </c>
      <c r="R51" s="106"/>
      <c r="S51" s="107" t="str">
        <f t="shared" ref="S51:S53" si="66">IF(OR(T51="Preventivo",T51="Detectivo"),"Probabilidad",IF(T51="Correctivo","Impacto",""))</f>
        <v/>
      </c>
      <c r="T51" s="108"/>
      <c r="U51" s="108"/>
      <c r="V51" s="109" t="str">
        <f t="shared" si="61"/>
        <v/>
      </c>
      <c r="W51" s="108"/>
      <c r="X51" s="108"/>
      <c r="Y51" s="108"/>
      <c r="Z51" s="110" t="str">
        <f t="shared" ref="Z51:Z53" si="67">IFERROR(IF(AND(S50="Probabilidad",S51="Probabilidad"),(AB50-(+AB50*V51)),IF(AND(S50="Impacto",S51="Probabilidad"),(AB49-(+AB49*V51)),IF(S51="Impacto",AB50,""))),"")</f>
        <v/>
      </c>
      <c r="AA51" s="111" t="str">
        <f t="shared" si="62"/>
        <v/>
      </c>
      <c r="AB51" s="112" t="str">
        <f t="shared" si="63"/>
        <v/>
      </c>
      <c r="AC51" s="111" t="str">
        <f t="shared" si="64"/>
        <v/>
      </c>
      <c r="AD51" s="112" t="str">
        <f t="shared" ref="AD51:AD53" si="68">IFERROR(IF(AND(S50="Impacto",S51="Impacto"),(AD50-(+AD50*V51)),IF(AND(S50="Probabilidad",S51="Impacto"),(AD49-(+AD49*V51)),IF(S51="Probabilidad",AD50,""))),"")</f>
        <v/>
      </c>
      <c r="AE51" s="113" t="str">
        <f>IFERROR(IF(OR(AND(AA51="Muy Baja",AC51="Leve"),AND(AA51="Muy Baja",AC51="Menor"),AND(AA51="Baja",AC51="Leve")),"Bajo",IF(OR(AND(AA51="Muy baja",AC51="Moderado"),AND(AA51="Baja",AC51="Menor"),AND(AA51="Baja",AC51="Moderado"),AND(AA51="Media",AC51="Leve"),AND(AA51="Media",AC51="Menor"),AND(AA51="Media",AC51="Moderado"),AND(AA51="Alta",AC51="Leve"),AND(AA51="Alta",AC51="Menor")),"Moderado",IF(OR(AND(AA51="Muy Baja",AC51="Mayor"),AND(AA51="Baja",AC51="Mayor"),AND(AA51="Media",AC51="Mayor"),AND(AA51="Alta",AC51="Moderado"),AND(AA51="Alta",AC51="Mayor"),AND(AA51="Muy Alta",AC51="Leve"),AND(AA51="Muy Alta",AC51="Menor"),AND(AA51="Muy Alta",AC51="Moderado"),AND(AA51="Muy Alta",AC51="Mayor")),"Alto",IF(OR(AND(AA51="Muy Baja",AC51="Catastrófico"),AND(AA51="Baja",AC51="Catastrófico"),AND(AA51="Media",AC51="Catastrófico"),AND(AA51="Alta",AC51="Catastrófico"),AND(AA51="Muy Alta",AC51="Catastrófico")),"Extremo","")))),"")</f>
        <v/>
      </c>
      <c r="AF51" s="114"/>
      <c r="AG51" s="115"/>
      <c r="AH51" s="116"/>
      <c r="AI51" s="117"/>
      <c r="AJ51" s="117"/>
      <c r="AK51" s="115"/>
      <c r="AL51" s="116"/>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row>
    <row r="52" spans="1:67" ht="26.25" customHeight="1" x14ac:dyDescent="0.25">
      <c r="A52" s="242"/>
      <c r="B52" s="258"/>
      <c r="C52" s="258"/>
      <c r="D52" s="258"/>
      <c r="E52" s="129"/>
      <c r="F52" s="285"/>
      <c r="G52" s="132"/>
      <c r="H52" s="258"/>
      <c r="I52" s="230"/>
      <c r="J52" s="233"/>
      <c r="K52" s="236"/>
      <c r="L52" s="239"/>
      <c r="M52" s="236">
        <f ca="1">IF(NOT(ISERROR(MATCH(L52,_xlfn.ANCHORARRAY(F63),0))),K65&amp;"Por favor no seleccionar los criterios de impacto",L52)</f>
        <v>0</v>
      </c>
      <c r="N52" s="233"/>
      <c r="O52" s="236"/>
      <c r="P52" s="261"/>
      <c r="Q52" s="105">
        <v>5</v>
      </c>
      <c r="R52" s="106"/>
      <c r="S52" s="107" t="str">
        <f t="shared" si="66"/>
        <v/>
      </c>
      <c r="T52" s="108"/>
      <c r="U52" s="108"/>
      <c r="V52" s="109" t="str">
        <f t="shared" si="61"/>
        <v/>
      </c>
      <c r="W52" s="108"/>
      <c r="X52" s="108"/>
      <c r="Y52" s="108"/>
      <c r="Z52" s="110" t="str">
        <f t="shared" si="67"/>
        <v/>
      </c>
      <c r="AA52" s="111" t="str">
        <f t="shared" si="62"/>
        <v/>
      </c>
      <c r="AB52" s="112" t="str">
        <f t="shared" si="63"/>
        <v/>
      </c>
      <c r="AC52" s="111" t="str">
        <f t="shared" si="64"/>
        <v/>
      </c>
      <c r="AD52" s="112" t="str">
        <f t="shared" si="68"/>
        <v/>
      </c>
      <c r="AE52" s="113" t="str">
        <f t="shared" ref="AE52:AE53" si="69">IFERROR(IF(OR(AND(AA52="Muy Baja",AC52="Leve"),AND(AA52="Muy Baja",AC52="Menor"),AND(AA52="Baja",AC52="Leve")),"Bajo",IF(OR(AND(AA52="Muy baja",AC52="Moderado"),AND(AA52="Baja",AC52="Menor"),AND(AA52="Baja",AC52="Moderado"),AND(AA52="Media",AC52="Leve"),AND(AA52="Media",AC52="Menor"),AND(AA52="Media",AC52="Moderado"),AND(AA52="Alta",AC52="Leve"),AND(AA52="Alta",AC52="Menor")),"Moderado",IF(OR(AND(AA52="Muy Baja",AC52="Mayor"),AND(AA52="Baja",AC52="Mayor"),AND(AA52="Media",AC52="Mayor"),AND(AA52="Alta",AC52="Moderado"),AND(AA52="Alta",AC52="Mayor"),AND(AA52="Muy Alta",AC52="Leve"),AND(AA52="Muy Alta",AC52="Menor"),AND(AA52="Muy Alta",AC52="Moderado"),AND(AA52="Muy Alta",AC52="Mayor")),"Alto",IF(OR(AND(AA52="Muy Baja",AC52="Catastrófico"),AND(AA52="Baja",AC52="Catastrófico"),AND(AA52="Media",AC52="Catastrófico"),AND(AA52="Alta",AC52="Catastrófico"),AND(AA52="Muy Alta",AC52="Catastrófico")),"Extremo","")))),"")</f>
        <v/>
      </c>
      <c r="AF52" s="114"/>
      <c r="AG52" s="115"/>
      <c r="AH52" s="116"/>
      <c r="AI52" s="117"/>
      <c r="AJ52" s="117"/>
      <c r="AK52" s="115"/>
      <c r="AL52" s="116"/>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row>
    <row r="53" spans="1:67" ht="26.25" customHeight="1" x14ac:dyDescent="0.25">
      <c r="A53" s="256"/>
      <c r="B53" s="259"/>
      <c r="C53" s="259"/>
      <c r="D53" s="259"/>
      <c r="E53" s="130"/>
      <c r="F53" s="286"/>
      <c r="G53" s="133"/>
      <c r="H53" s="259"/>
      <c r="I53" s="231"/>
      <c r="J53" s="234"/>
      <c r="K53" s="237"/>
      <c r="L53" s="240"/>
      <c r="M53" s="237">
        <f ca="1">IF(NOT(ISERROR(MATCH(L53,_xlfn.ANCHORARRAY(F64),0))),K66&amp;"Por favor no seleccionar los criterios de impacto",L53)</f>
        <v>0</v>
      </c>
      <c r="N53" s="234"/>
      <c r="O53" s="237"/>
      <c r="P53" s="262"/>
      <c r="Q53" s="105">
        <v>6</v>
      </c>
      <c r="R53" s="106"/>
      <c r="S53" s="107" t="str">
        <f t="shared" si="66"/>
        <v/>
      </c>
      <c r="T53" s="108"/>
      <c r="U53" s="108"/>
      <c r="V53" s="109" t="str">
        <f t="shared" si="61"/>
        <v/>
      </c>
      <c r="W53" s="108"/>
      <c r="X53" s="108"/>
      <c r="Y53" s="108"/>
      <c r="Z53" s="110" t="str">
        <f t="shared" si="67"/>
        <v/>
      </c>
      <c r="AA53" s="111" t="str">
        <f t="shared" si="62"/>
        <v/>
      </c>
      <c r="AB53" s="112" t="str">
        <f t="shared" si="63"/>
        <v/>
      </c>
      <c r="AC53" s="111" t="str">
        <f t="shared" si="64"/>
        <v/>
      </c>
      <c r="AD53" s="112" t="str">
        <f t="shared" si="68"/>
        <v/>
      </c>
      <c r="AE53" s="113" t="str">
        <f t="shared" si="69"/>
        <v/>
      </c>
      <c r="AF53" s="114"/>
      <c r="AG53" s="115"/>
      <c r="AH53" s="116"/>
      <c r="AI53" s="117"/>
      <c r="AJ53" s="117"/>
      <c r="AK53" s="115"/>
      <c r="AL53" s="116"/>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row>
    <row r="54" spans="1:67" ht="26.25" customHeight="1" x14ac:dyDescent="0.25">
      <c r="A54" s="241">
        <v>9</v>
      </c>
      <c r="B54" s="257"/>
      <c r="C54" s="257"/>
      <c r="D54" s="257"/>
      <c r="E54" s="128"/>
      <c r="F54" s="284"/>
      <c r="G54" s="131"/>
      <c r="H54" s="257"/>
      <c r="I54" s="229"/>
      <c r="J54" s="232" t="str">
        <f t="shared" ref="J54" si="70">IF(I54&lt;=0,"",IF(I54&lt;=2,"Muy Baja",IF(I54&lt;=24,"Baja",IF(I54&lt;=500,"Media",IF(I54&lt;=5000,"Alta","Muy Alta")))))</f>
        <v/>
      </c>
      <c r="K54" s="235" t="str">
        <f t="shared" ref="K54" si="71">IF(J54="","",IF(J54="Muy Baja",0.2,IF(J54="Baja",0.4,IF(J54="Media",0.6,IF(J54="Alta",0.8,IF(J54="Muy Alta",1,))))))</f>
        <v/>
      </c>
      <c r="L54" s="238"/>
      <c r="M54" s="235">
        <f ca="1">IF(NOT(ISERROR(MATCH(L54,'Tabla Impacto'!$B$221:$B$223,0))),'Tabla Impacto'!$F$223&amp;"Por favor no seleccionar los criterios de impacto(Afectación Económica o presupuestal y Pérdida Reputacional)",L54)</f>
        <v>0</v>
      </c>
      <c r="N54" s="232" t="str">
        <f ca="1">IF(OR(M54='Tabla Impacto'!$C$11,M54='Tabla Impacto'!$D$11),"Leve",IF(OR(M54='Tabla Impacto'!$C$12,M54='Tabla Impacto'!$D$12),"Menor",IF(OR(M54='Tabla Impacto'!$C$13,M54='Tabla Impacto'!$D$13),"Moderado",IF(OR(M54='Tabla Impacto'!$C$14,M54='Tabla Impacto'!$D$14),"Mayor",IF(OR(M54='Tabla Impacto'!$C$15,M54='Tabla Impacto'!$D$15),"Catastrófico","")))))</f>
        <v/>
      </c>
      <c r="O54" s="235" t="str">
        <f t="shared" ref="O54" ca="1" si="72">IF(N54="","",IF(N54="Leve",0.2,IF(N54="Menor",0.4,IF(N54="Moderado",0.6,IF(N54="Mayor",0.8,IF(N54="Catastrófico",1,))))))</f>
        <v/>
      </c>
      <c r="P54" s="260" t="str">
        <f t="shared" ref="P54" ca="1" si="73">IF(OR(AND(J54="Muy Baja",N54="Leve"),AND(J54="Muy Baja",N54="Menor"),AND(J54="Baja",N54="Leve")),"Bajo",IF(OR(AND(J54="Muy baja",N54="Moderado"),AND(J54="Baja",N54="Menor"),AND(J54="Baja",N54="Moderado"),AND(J54="Media",N54="Leve"),AND(J54="Media",N54="Menor"),AND(J54="Media",N54="Moderado"),AND(J54="Alta",N54="Leve"),AND(J54="Alta",N54="Menor")),"Moderado",IF(OR(AND(J54="Muy Baja",N54="Mayor"),AND(J54="Baja",N54="Mayor"),AND(J54="Media",N54="Mayor"),AND(J54="Alta",N54="Moderado"),AND(J54="Alta",N54="Mayor"),AND(J54="Muy Alta",N54="Leve"),AND(J54="Muy Alta",N54="Menor"),AND(J54="Muy Alta",N54="Moderado"),AND(J54="Muy Alta",N54="Mayor")),"Alto",IF(OR(AND(J54="Muy Baja",N54="Catastrófico"),AND(J54="Baja",N54="Catastrófico"),AND(J54="Media",N54="Catastrófico"),AND(J54="Alta",N54="Catastrófico"),AND(J54="Muy Alta",N54="Catastrófico")),"Extremo",""))))</f>
        <v/>
      </c>
      <c r="Q54" s="105">
        <v>1</v>
      </c>
      <c r="R54" s="106"/>
      <c r="S54" s="107" t="str">
        <f>IF(OR(T54="Preventivo",T54="Detectivo"),"Probabilidad",IF(T54="Correctivo","Impacto",""))</f>
        <v/>
      </c>
      <c r="T54" s="108"/>
      <c r="U54" s="108"/>
      <c r="V54" s="109" t="str">
        <f>IF(AND(T54="Preventivo",U54="Automático"),"50%",IF(AND(T54="Preventivo",U54="Manual"),"40%",IF(AND(T54="Detectivo",U54="Automático"),"40%",IF(AND(T54="Detectivo",U54="Manual"),"30%",IF(AND(T54="Correctivo",U54="Automático"),"35%",IF(AND(T54="Correctivo",U54="Manual"),"25%",""))))))</f>
        <v/>
      </c>
      <c r="W54" s="108"/>
      <c r="X54" s="108"/>
      <c r="Y54" s="108"/>
      <c r="Z54" s="110" t="str">
        <f>IFERROR(IF(S54="Probabilidad",(K54-(+K54*V54)),IF(S54="Impacto",K54,"")),"")</f>
        <v/>
      </c>
      <c r="AA54" s="111" t="str">
        <f>IFERROR(IF(Z54="","",IF(Z54&lt;=0.2,"Muy Baja",IF(Z54&lt;=0.4,"Baja",IF(Z54&lt;=0.6,"Media",IF(Z54&lt;=0.8,"Alta","Muy Alta"))))),"")</f>
        <v/>
      </c>
      <c r="AB54" s="112" t="str">
        <f>+Z54</f>
        <v/>
      </c>
      <c r="AC54" s="111" t="str">
        <f>IFERROR(IF(AD54="","",IF(AD54&lt;=0.2,"Leve",IF(AD54&lt;=0.4,"Menor",IF(AD54&lt;=0.6,"Moderado",IF(AD54&lt;=0.8,"Mayor","Catastrófico"))))),"")</f>
        <v/>
      </c>
      <c r="AD54" s="112" t="str">
        <f>IFERROR(IF(S54="Impacto",(O54-(+O54*V54)),IF(S54="Probabilidad",O54,"")),"")</f>
        <v/>
      </c>
      <c r="AE54" s="113" t="str">
        <f>IFERROR(IF(OR(AND(AA54="Muy Baja",AC54="Leve"),AND(AA54="Muy Baja",AC54="Menor"),AND(AA54="Baja",AC54="Leve")),"Bajo",IF(OR(AND(AA54="Muy baja",AC54="Moderado"),AND(AA54="Baja",AC54="Menor"),AND(AA54="Baja",AC54="Moderado"),AND(AA54="Media",AC54="Leve"),AND(AA54="Media",AC54="Menor"),AND(AA54="Media",AC54="Moderado"),AND(AA54="Alta",AC54="Leve"),AND(AA54="Alta",AC54="Menor")),"Moderado",IF(OR(AND(AA54="Muy Baja",AC54="Mayor"),AND(AA54="Baja",AC54="Mayor"),AND(AA54="Media",AC54="Mayor"),AND(AA54="Alta",AC54="Moderado"),AND(AA54="Alta",AC54="Mayor"),AND(AA54="Muy Alta",AC54="Leve"),AND(AA54="Muy Alta",AC54="Menor"),AND(AA54="Muy Alta",AC54="Moderado"),AND(AA54="Muy Alta",AC54="Mayor")),"Alto",IF(OR(AND(AA54="Muy Baja",AC54="Catastrófico"),AND(AA54="Baja",AC54="Catastrófico"),AND(AA54="Media",AC54="Catastrófico"),AND(AA54="Alta",AC54="Catastrófico"),AND(AA54="Muy Alta",AC54="Catastrófico")),"Extremo","")))),"")</f>
        <v/>
      </c>
      <c r="AF54" s="114"/>
      <c r="AG54" s="115"/>
      <c r="AH54" s="116"/>
      <c r="AI54" s="117"/>
      <c r="AJ54" s="117"/>
      <c r="AK54" s="115"/>
      <c r="AL54" s="116"/>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row>
    <row r="55" spans="1:67" ht="26.25" customHeight="1" x14ac:dyDescent="0.25">
      <c r="A55" s="242"/>
      <c r="B55" s="258"/>
      <c r="C55" s="258"/>
      <c r="D55" s="258"/>
      <c r="E55" s="129"/>
      <c r="F55" s="285"/>
      <c r="G55" s="132"/>
      <c r="H55" s="258"/>
      <c r="I55" s="230"/>
      <c r="J55" s="233"/>
      <c r="K55" s="236"/>
      <c r="L55" s="239"/>
      <c r="M55" s="236">
        <f ca="1">IF(NOT(ISERROR(MATCH(L55,_xlfn.ANCHORARRAY(F66),0))),K68&amp;"Por favor no seleccionar los criterios de impacto",L55)</f>
        <v>0</v>
      </c>
      <c r="N55" s="233"/>
      <c r="O55" s="236"/>
      <c r="P55" s="261"/>
      <c r="Q55" s="105">
        <v>2</v>
      </c>
      <c r="R55" s="106"/>
      <c r="S55" s="107" t="str">
        <f>IF(OR(T55="Preventivo",T55="Detectivo"),"Probabilidad",IF(T55="Correctivo","Impacto",""))</f>
        <v/>
      </c>
      <c r="T55" s="108"/>
      <c r="U55" s="108"/>
      <c r="V55" s="109" t="str">
        <f t="shared" ref="V55:V59" si="74">IF(AND(T55="Preventivo",U55="Automático"),"50%",IF(AND(T55="Preventivo",U55="Manual"),"40%",IF(AND(T55="Detectivo",U55="Automático"),"40%",IF(AND(T55="Detectivo",U55="Manual"),"30%",IF(AND(T55="Correctivo",U55="Automático"),"35%",IF(AND(T55="Correctivo",U55="Manual"),"25%",""))))))</f>
        <v/>
      </c>
      <c r="W55" s="108"/>
      <c r="X55" s="108"/>
      <c r="Y55" s="108"/>
      <c r="Z55" s="110" t="str">
        <f>IFERROR(IF(AND(S54="Probabilidad",S55="Probabilidad"),(AB54-(+AB54*V55)),IF(S55="Probabilidad",(K54-(+K54*V55)),IF(S55="Impacto",AB54,""))),"")</f>
        <v/>
      </c>
      <c r="AA55" s="111" t="str">
        <f t="shared" si="62"/>
        <v/>
      </c>
      <c r="AB55" s="112" t="str">
        <f t="shared" ref="AB55:AB59" si="75">+Z55</f>
        <v/>
      </c>
      <c r="AC55" s="111" t="str">
        <f t="shared" si="64"/>
        <v/>
      </c>
      <c r="AD55" s="112" t="str">
        <f>IFERROR(IF(AND(S54="Impacto",S55="Impacto"),(AD54-(+AD54*V55)),IF(S55="Impacto",(O54-(+O54*V55)),IF(S55="Probabilidad",AD54,""))),"")</f>
        <v/>
      </c>
      <c r="AE55" s="113" t="str">
        <f t="shared" ref="AE55:AE56" si="76">IFERROR(IF(OR(AND(AA55="Muy Baja",AC55="Leve"),AND(AA55="Muy Baja",AC55="Menor"),AND(AA55="Baja",AC55="Leve")),"Bajo",IF(OR(AND(AA55="Muy baja",AC55="Moderado"),AND(AA55="Baja",AC55="Menor"),AND(AA55="Baja",AC55="Moderado"),AND(AA55="Media",AC55="Leve"),AND(AA55="Media",AC55="Menor"),AND(AA55="Media",AC55="Moderado"),AND(AA55="Alta",AC55="Leve"),AND(AA55="Alta",AC55="Menor")),"Moderado",IF(OR(AND(AA55="Muy Baja",AC55="Mayor"),AND(AA55="Baja",AC55="Mayor"),AND(AA55="Media",AC55="Mayor"),AND(AA55="Alta",AC55="Moderado"),AND(AA55="Alta",AC55="Mayor"),AND(AA55="Muy Alta",AC55="Leve"),AND(AA55="Muy Alta",AC55="Menor"),AND(AA55="Muy Alta",AC55="Moderado"),AND(AA55="Muy Alta",AC55="Mayor")),"Alto",IF(OR(AND(AA55="Muy Baja",AC55="Catastrófico"),AND(AA55="Baja",AC55="Catastrófico"),AND(AA55="Media",AC55="Catastrófico"),AND(AA55="Alta",AC55="Catastrófico"),AND(AA55="Muy Alta",AC55="Catastrófico")),"Extremo","")))),"")</f>
        <v/>
      </c>
      <c r="AF55" s="114"/>
      <c r="AG55" s="115"/>
      <c r="AH55" s="116"/>
      <c r="AI55" s="117"/>
      <c r="AJ55" s="117"/>
      <c r="AK55" s="115"/>
      <c r="AL55" s="116"/>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row>
    <row r="56" spans="1:67" ht="26.25" customHeight="1" x14ac:dyDescent="0.25">
      <c r="A56" s="242"/>
      <c r="B56" s="258"/>
      <c r="C56" s="258"/>
      <c r="D56" s="258"/>
      <c r="E56" s="129"/>
      <c r="F56" s="285"/>
      <c r="G56" s="132"/>
      <c r="H56" s="258"/>
      <c r="I56" s="230"/>
      <c r="J56" s="233"/>
      <c r="K56" s="236"/>
      <c r="L56" s="239"/>
      <c r="M56" s="236">
        <f ca="1">IF(NOT(ISERROR(MATCH(L56,_xlfn.ANCHORARRAY(F67),0))),K69&amp;"Por favor no seleccionar los criterios de impacto",L56)</f>
        <v>0</v>
      </c>
      <c r="N56" s="233"/>
      <c r="O56" s="236"/>
      <c r="P56" s="261"/>
      <c r="Q56" s="105">
        <v>3</v>
      </c>
      <c r="R56" s="118"/>
      <c r="S56" s="107" t="str">
        <f>IF(OR(T56="Preventivo",T56="Detectivo"),"Probabilidad",IF(T56="Correctivo","Impacto",""))</f>
        <v/>
      </c>
      <c r="T56" s="108"/>
      <c r="U56" s="108"/>
      <c r="V56" s="109" t="str">
        <f t="shared" si="74"/>
        <v/>
      </c>
      <c r="W56" s="108"/>
      <c r="X56" s="108"/>
      <c r="Y56" s="108"/>
      <c r="Z56" s="110" t="str">
        <f>IFERROR(IF(AND(S55="Probabilidad",S56="Probabilidad"),(AB55-(+AB55*V56)),IF(AND(S55="Impacto",S56="Probabilidad"),(AB54-(+AB54*V56)),IF(S56="Impacto",AB55,""))),"")</f>
        <v/>
      </c>
      <c r="AA56" s="111" t="str">
        <f t="shared" si="62"/>
        <v/>
      </c>
      <c r="AB56" s="112" t="str">
        <f t="shared" si="75"/>
        <v/>
      </c>
      <c r="AC56" s="111" t="str">
        <f t="shared" si="64"/>
        <v/>
      </c>
      <c r="AD56" s="112" t="str">
        <f>IFERROR(IF(AND(S55="Impacto",S56="Impacto"),(AD55-(+AD55*V56)),IF(AND(S55="Probabilidad",S56="Impacto"),(AD54-(+AD54*V56)),IF(S56="Probabilidad",AD55,""))),"")</f>
        <v/>
      </c>
      <c r="AE56" s="113" t="str">
        <f t="shared" si="76"/>
        <v/>
      </c>
      <c r="AF56" s="114"/>
      <c r="AG56" s="115"/>
      <c r="AH56" s="116"/>
      <c r="AI56" s="117"/>
      <c r="AJ56" s="117"/>
      <c r="AK56" s="115"/>
      <c r="AL56" s="116"/>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row>
    <row r="57" spans="1:67" ht="26.25" customHeight="1" x14ac:dyDescent="0.25">
      <c r="A57" s="242"/>
      <c r="B57" s="258"/>
      <c r="C57" s="258"/>
      <c r="D57" s="258"/>
      <c r="E57" s="129"/>
      <c r="F57" s="285"/>
      <c r="G57" s="132"/>
      <c r="H57" s="258"/>
      <c r="I57" s="230"/>
      <c r="J57" s="233"/>
      <c r="K57" s="236"/>
      <c r="L57" s="239"/>
      <c r="M57" s="236">
        <f ca="1">IF(NOT(ISERROR(MATCH(L57,_xlfn.ANCHORARRAY(F68),0))),K70&amp;"Por favor no seleccionar los criterios de impacto",L57)</f>
        <v>0</v>
      </c>
      <c r="N57" s="233"/>
      <c r="O57" s="236"/>
      <c r="P57" s="261"/>
      <c r="Q57" s="105">
        <v>4</v>
      </c>
      <c r="R57" s="106"/>
      <c r="S57" s="107" t="str">
        <f t="shared" ref="S57:S59" si="77">IF(OR(T57="Preventivo",T57="Detectivo"),"Probabilidad",IF(T57="Correctivo","Impacto",""))</f>
        <v/>
      </c>
      <c r="T57" s="108"/>
      <c r="U57" s="108"/>
      <c r="V57" s="109" t="str">
        <f t="shared" si="74"/>
        <v/>
      </c>
      <c r="W57" s="108"/>
      <c r="X57" s="108"/>
      <c r="Y57" s="108"/>
      <c r="Z57" s="110" t="str">
        <f t="shared" ref="Z57:Z59" si="78">IFERROR(IF(AND(S56="Probabilidad",S57="Probabilidad"),(AB56-(+AB56*V57)),IF(AND(S56="Impacto",S57="Probabilidad"),(AB55-(+AB55*V57)),IF(S57="Impacto",AB56,""))),"")</f>
        <v/>
      </c>
      <c r="AA57" s="111" t="str">
        <f t="shared" si="62"/>
        <v/>
      </c>
      <c r="AB57" s="112" t="str">
        <f t="shared" si="75"/>
        <v/>
      </c>
      <c r="AC57" s="111" t="str">
        <f t="shared" si="64"/>
        <v/>
      </c>
      <c r="AD57" s="112" t="str">
        <f t="shared" ref="AD57:AD59" si="79">IFERROR(IF(AND(S56="Impacto",S57="Impacto"),(AD56-(+AD56*V57)),IF(AND(S56="Probabilidad",S57="Impacto"),(AD55-(+AD55*V57)),IF(S57="Probabilidad",AD56,""))),"")</f>
        <v/>
      </c>
      <c r="AE57" s="113" t="str">
        <f>IFERROR(IF(OR(AND(AA57="Muy Baja",AC57="Leve"),AND(AA57="Muy Baja",AC57="Menor"),AND(AA57="Baja",AC57="Leve")),"Bajo",IF(OR(AND(AA57="Muy baja",AC57="Moderado"),AND(AA57="Baja",AC57="Menor"),AND(AA57="Baja",AC57="Moderado"),AND(AA57="Media",AC57="Leve"),AND(AA57="Media",AC57="Menor"),AND(AA57="Media",AC57="Moderado"),AND(AA57="Alta",AC57="Leve"),AND(AA57="Alta",AC57="Menor")),"Moderado",IF(OR(AND(AA57="Muy Baja",AC57="Mayor"),AND(AA57="Baja",AC57="Mayor"),AND(AA57="Media",AC57="Mayor"),AND(AA57="Alta",AC57="Moderado"),AND(AA57="Alta",AC57="Mayor"),AND(AA57="Muy Alta",AC57="Leve"),AND(AA57="Muy Alta",AC57="Menor"),AND(AA57="Muy Alta",AC57="Moderado"),AND(AA57="Muy Alta",AC57="Mayor")),"Alto",IF(OR(AND(AA57="Muy Baja",AC57="Catastrófico"),AND(AA57="Baja",AC57="Catastrófico"),AND(AA57="Media",AC57="Catastrófico"),AND(AA57="Alta",AC57="Catastrófico"),AND(AA57="Muy Alta",AC57="Catastrófico")),"Extremo","")))),"")</f>
        <v/>
      </c>
      <c r="AF57" s="114"/>
      <c r="AG57" s="115"/>
      <c r="AH57" s="116"/>
      <c r="AI57" s="117"/>
      <c r="AJ57" s="117"/>
      <c r="AK57" s="115"/>
      <c r="AL57" s="116"/>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row>
    <row r="58" spans="1:67" ht="26.25" customHeight="1" x14ac:dyDescent="0.25">
      <c r="A58" s="242"/>
      <c r="B58" s="258"/>
      <c r="C58" s="258"/>
      <c r="D58" s="258"/>
      <c r="E58" s="129"/>
      <c r="F58" s="285"/>
      <c r="G58" s="132"/>
      <c r="H58" s="258"/>
      <c r="I58" s="230"/>
      <c r="J58" s="233"/>
      <c r="K58" s="236"/>
      <c r="L58" s="239"/>
      <c r="M58" s="236">
        <f ca="1">IF(NOT(ISERROR(MATCH(L58,_xlfn.ANCHORARRAY(F69),0))),K71&amp;"Por favor no seleccionar los criterios de impacto",L58)</f>
        <v>0</v>
      </c>
      <c r="N58" s="233"/>
      <c r="O58" s="236"/>
      <c r="P58" s="261"/>
      <c r="Q58" s="105">
        <v>5</v>
      </c>
      <c r="R58" s="106"/>
      <c r="S58" s="107" t="str">
        <f t="shared" si="77"/>
        <v/>
      </c>
      <c r="T58" s="108"/>
      <c r="U58" s="108"/>
      <c r="V58" s="109" t="str">
        <f t="shared" si="74"/>
        <v/>
      </c>
      <c r="W58" s="108"/>
      <c r="X58" s="108"/>
      <c r="Y58" s="108"/>
      <c r="Z58" s="110" t="str">
        <f t="shared" si="78"/>
        <v/>
      </c>
      <c r="AA58" s="111" t="str">
        <f t="shared" si="62"/>
        <v/>
      </c>
      <c r="AB58" s="112" t="str">
        <f t="shared" si="75"/>
        <v/>
      </c>
      <c r="AC58" s="111" t="str">
        <f t="shared" si="64"/>
        <v/>
      </c>
      <c r="AD58" s="112" t="str">
        <f t="shared" si="79"/>
        <v/>
      </c>
      <c r="AE58" s="113" t="str">
        <f t="shared" ref="AE58:AE59" si="80">IFERROR(IF(OR(AND(AA58="Muy Baja",AC58="Leve"),AND(AA58="Muy Baja",AC58="Menor"),AND(AA58="Baja",AC58="Leve")),"Bajo",IF(OR(AND(AA58="Muy baja",AC58="Moderado"),AND(AA58="Baja",AC58="Menor"),AND(AA58="Baja",AC58="Moderado"),AND(AA58="Media",AC58="Leve"),AND(AA58="Media",AC58="Menor"),AND(AA58="Media",AC58="Moderado"),AND(AA58="Alta",AC58="Leve"),AND(AA58="Alta",AC58="Menor")),"Moderado",IF(OR(AND(AA58="Muy Baja",AC58="Mayor"),AND(AA58="Baja",AC58="Mayor"),AND(AA58="Media",AC58="Mayor"),AND(AA58="Alta",AC58="Moderado"),AND(AA58="Alta",AC58="Mayor"),AND(AA58="Muy Alta",AC58="Leve"),AND(AA58="Muy Alta",AC58="Menor"),AND(AA58="Muy Alta",AC58="Moderado"),AND(AA58="Muy Alta",AC58="Mayor")),"Alto",IF(OR(AND(AA58="Muy Baja",AC58="Catastrófico"),AND(AA58="Baja",AC58="Catastrófico"),AND(AA58="Media",AC58="Catastrófico"),AND(AA58="Alta",AC58="Catastrófico"),AND(AA58="Muy Alta",AC58="Catastrófico")),"Extremo","")))),"")</f>
        <v/>
      </c>
      <c r="AF58" s="114"/>
      <c r="AG58" s="115"/>
      <c r="AH58" s="116"/>
      <c r="AI58" s="117"/>
      <c r="AJ58" s="117"/>
      <c r="AK58" s="115"/>
      <c r="AL58" s="116"/>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row>
    <row r="59" spans="1:67" ht="26.25" customHeight="1" x14ac:dyDescent="0.25">
      <c r="A59" s="256"/>
      <c r="B59" s="259"/>
      <c r="C59" s="259"/>
      <c r="D59" s="259"/>
      <c r="E59" s="130"/>
      <c r="F59" s="286"/>
      <c r="G59" s="133"/>
      <c r="H59" s="259"/>
      <c r="I59" s="231"/>
      <c r="J59" s="234"/>
      <c r="K59" s="237"/>
      <c r="L59" s="240"/>
      <c r="M59" s="237">
        <f ca="1">IF(NOT(ISERROR(MATCH(L59,_xlfn.ANCHORARRAY(F70),0))),K72&amp;"Por favor no seleccionar los criterios de impacto",L59)</f>
        <v>0</v>
      </c>
      <c r="N59" s="234"/>
      <c r="O59" s="237"/>
      <c r="P59" s="262"/>
      <c r="Q59" s="105">
        <v>6</v>
      </c>
      <c r="R59" s="106"/>
      <c r="S59" s="107" t="str">
        <f t="shared" si="77"/>
        <v/>
      </c>
      <c r="T59" s="108"/>
      <c r="U59" s="108"/>
      <c r="V59" s="109" t="str">
        <f t="shared" si="74"/>
        <v/>
      </c>
      <c r="W59" s="108"/>
      <c r="X59" s="108"/>
      <c r="Y59" s="108"/>
      <c r="Z59" s="110" t="str">
        <f t="shared" si="78"/>
        <v/>
      </c>
      <c r="AA59" s="111" t="str">
        <f t="shared" si="62"/>
        <v/>
      </c>
      <c r="AB59" s="112" t="str">
        <f t="shared" si="75"/>
        <v/>
      </c>
      <c r="AC59" s="111" t="str">
        <f t="shared" si="64"/>
        <v/>
      </c>
      <c r="AD59" s="112" t="str">
        <f t="shared" si="79"/>
        <v/>
      </c>
      <c r="AE59" s="113" t="str">
        <f t="shared" si="80"/>
        <v/>
      </c>
      <c r="AF59" s="114"/>
      <c r="AG59" s="115"/>
      <c r="AH59" s="116"/>
      <c r="AI59" s="117"/>
      <c r="AJ59" s="117"/>
      <c r="AK59" s="115"/>
      <c r="AL59" s="116"/>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row>
    <row r="60" spans="1:67" ht="19.5" customHeight="1" x14ac:dyDescent="0.25">
      <c r="A60" s="241">
        <v>10</v>
      </c>
      <c r="B60" s="257"/>
      <c r="C60" s="257"/>
      <c r="D60" s="257"/>
      <c r="E60" s="128"/>
      <c r="F60" s="284"/>
      <c r="G60" s="131"/>
      <c r="H60" s="257"/>
      <c r="I60" s="229"/>
      <c r="J60" s="232" t="str">
        <f t="shared" ref="J60" si="81">IF(I60&lt;=0,"",IF(I60&lt;=2,"Muy Baja",IF(I60&lt;=24,"Baja",IF(I60&lt;=500,"Media",IF(I60&lt;=5000,"Alta","Muy Alta")))))</f>
        <v/>
      </c>
      <c r="K60" s="235" t="str">
        <f t="shared" ref="K60" si="82">IF(J60="","",IF(J60="Muy Baja",0.2,IF(J60="Baja",0.4,IF(J60="Media",0.6,IF(J60="Alta",0.8,IF(J60="Muy Alta",1,))))))</f>
        <v/>
      </c>
      <c r="L60" s="238"/>
      <c r="M60" s="235">
        <f ca="1">IF(NOT(ISERROR(MATCH(L60,'Tabla Impacto'!$B$221:$B$223,0))),'Tabla Impacto'!$F$223&amp;"Por favor no seleccionar los criterios de impacto(Afectación Económica o presupuestal y Pérdida Reputacional)",L60)</f>
        <v>0</v>
      </c>
      <c r="N60" s="232" t="str">
        <f ca="1">IF(OR(M60='Tabla Impacto'!$C$11,M60='Tabla Impacto'!$D$11),"Leve",IF(OR(M60='Tabla Impacto'!$C$12,M60='Tabla Impacto'!$D$12),"Menor",IF(OR(M60='Tabla Impacto'!$C$13,M60='Tabla Impacto'!$D$13),"Moderado",IF(OR(M60='Tabla Impacto'!$C$14,M60='Tabla Impacto'!$D$14),"Mayor",IF(OR(M60='Tabla Impacto'!$C$15,M60='Tabla Impacto'!$D$15),"Catastrófico","")))))</f>
        <v/>
      </c>
      <c r="O60" s="235" t="str">
        <f t="shared" ref="O60" ca="1" si="83">IF(N60="","",IF(N60="Leve",0.2,IF(N60="Menor",0.4,IF(N60="Moderado",0.6,IF(N60="Mayor",0.8,IF(N60="Catastrófico",1,))))))</f>
        <v/>
      </c>
      <c r="P60" s="260" t="str">
        <f t="shared" ref="P60" ca="1" si="84">IF(OR(AND(J60="Muy Baja",N60="Leve"),AND(J60="Muy Baja",N60="Menor"),AND(J60="Baja",N60="Leve")),"Bajo",IF(OR(AND(J60="Muy baja",N60="Moderado"),AND(J60="Baja",N60="Menor"),AND(J60="Baja",N60="Moderado"),AND(J60="Media",N60="Leve"),AND(J60="Media",N60="Menor"),AND(J60="Media",N60="Moderado"),AND(J60="Alta",N60="Leve"),AND(J60="Alta",N60="Menor")),"Moderado",IF(OR(AND(J60="Muy Baja",N60="Mayor"),AND(J60="Baja",N60="Mayor"),AND(J60="Media",N60="Mayor"),AND(J60="Alta",N60="Moderado"),AND(J60="Alta",N60="Mayor"),AND(J60="Muy Alta",N60="Leve"),AND(J60="Muy Alta",N60="Menor"),AND(J60="Muy Alta",N60="Moderado"),AND(J60="Muy Alta",N60="Mayor")),"Alto",IF(OR(AND(J60="Muy Baja",N60="Catastrófico"),AND(J60="Baja",N60="Catastrófico"),AND(J60="Media",N60="Catastrófico"),AND(J60="Alta",N60="Catastrófico"),AND(J60="Muy Alta",N60="Catastrófico")),"Extremo",""))))</f>
        <v/>
      </c>
      <c r="Q60" s="105">
        <v>1</v>
      </c>
      <c r="R60" s="106"/>
      <c r="S60" s="107" t="str">
        <f>IF(OR(T60="Preventivo",T60="Detectivo"),"Probabilidad",IF(T60="Correctivo","Impacto",""))</f>
        <v/>
      </c>
      <c r="T60" s="108"/>
      <c r="U60" s="108"/>
      <c r="V60" s="109" t="str">
        <f>IF(AND(T60="Preventivo",U60="Automático"),"50%",IF(AND(T60="Preventivo",U60="Manual"),"40%",IF(AND(T60="Detectivo",U60="Automático"),"40%",IF(AND(T60="Detectivo",U60="Manual"),"30%",IF(AND(T60="Correctivo",U60="Automático"),"35%",IF(AND(T60="Correctivo",U60="Manual"),"25%",""))))))</f>
        <v/>
      </c>
      <c r="W60" s="108"/>
      <c r="X60" s="108"/>
      <c r="Y60" s="108"/>
      <c r="Z60" s="110" t="str">
        <f>IFERROR(IF(S60="Probabilidad",(K60-(+K60*V60)),IF(S60="Impacto",K60,"")),"")</f>
        <v/>
      </c>
      <c r="AA60" s="111" t="str">
        <f>IFERROR(IF(Z60="","",IF(Z60&lt;=0.2,"Muy Baja",IF(Z60&lt;=0.4,"Baja",IF(Z60&lt;=0.6,"Media",IF(Z60&lt;=0.8,"Alta","Muy Alta"))))),"")</f>
        <v/>
      </c>
      <c r="AB60" s="112" t="str">
        <f>+Z60</f>
        <v/>
      </c>
      <c r="AC60" s="111" t="str">
        <f>IFERROR(IF(AD60="","",IF(AD60&lt;=0.2,"Leve",IF(AD60&lt;=0.4,"Menor",IF(AD60&lt;=0.6,"Moderado",IF(AD60&lt;=0.8,"Mayor","Catastrófico"))))),"")</f>
        <v/>
      </c>
      <c r="AD60" s="112" t="str">
        <f>IFERROR(IF(S60="Impacto",(O60-(+O60*V60)),IF(S60="Probabilidad",O60,"")),"")</f>
        <v/>
      </c>
      <c r="AE60" s="113" t="str">
        <f>IFERROR(IF(OR(AND(AA60="Muy Baja",AC60="Leve"),AND(AA60="Muy Baja",AC60="Menor"),AND(AA60="Baja",AC60="Leve")),"Bajo",IF(OR(AND(AA60="Muy baja",AC60="Moderado"),AND(AA60="Baja",AC60="Menor"),AND(AA60="Baja",AC60="Moderado"),AND(AA60="Media",AC60="Leve"),AND(AA60="Media",AC60="Menor"),AND(AA60="Media",AC60="Moderado"),AND(AA60="Alta",AC60="Leve"),AND(AA60="Alta",AC60="Menor")),"Moderado",IF(OR(AND(AA60="Muy Baja",AC60="Mayor"),AND(AA60="Baja",AC60="Mayor"),AND(AA60="Media",AC60="Mayor"),AND(AA60="Alta",AC60="Moderado"),AND(AA60="Alta",AC60="Mayor"),AND(AA60="Muy Alta",AC60="Leve"),AND(AA60="Muy Alta",AC60="Menor"),AND(AA60="Muy Alta",AC60="Moderado"),AND(AA60="Muy Alta",AC60="Mayor")),"Alto",IF(OR(AND(AA60="Muy Baja",AC60="Catastrófico"),AND(AA60="Baja",AC60="Catastrófico"),AND(AA60="Media",AC60="Catastrófico"),AND(AA60="Alta",AC60="Catastrófico"),AND(AA60="Muy Alta",AC60="Catastrófico")),"Extremo","")))),"")</f>
        <v/>
      </c>
      <c r="AF60" s="114"/>
      <c r="AG60" s="115"/>
      <c r="AH60" s="116"/>
      <c r="AI60" s="117"/>
      <c r="AJ60" s="117"/>
      <c r="AK60" s="115"/>
      <c r="AL60" s="116"/>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row>
    <row r="61" spans="1:67" ht="19.5" customHeight="1" x14ac:dyDescent="0.25">
      <c r="A61" s="242"/>
      <c r="B61" s="258"/>
      <c r="C61" s="258"/>
      <c r="D61" s="258"/>
      <c r="E61" s="129"/>
      <c r="F61" s="285"/>
      <c r="G61" s="132"/>
      <c r="H61" s="258"/>
      <c r="I61" s="230"/>
      <c r="J61" s="233"/>
      <c r="K61" s="236"/>
      <c r="L61" s="239"/>
      <c r="M61" s="236">
        <f ca="1">IF(NOT(ISERROR(MATCH(L61,_xlfn.ANCHORARRAY(F72),0))),K74&amp;"Por favor no seleccionar los criterios de impacto",L61)</f>
        <v>0</v>
      </c>
      <c r="N61" s="233"/>
      <c r="O61" s="236"/>
      <c r="P61" s="261"/>
      <c r="Q61" s="105">
        <v>2</v>
      </c>
      <c r="R61" s="106"/>
      <c r="S61" s="107" t="str">
        <f>IF(OR(T61="Preventivo",T61="Detectivo"),"Probabilidad",IF(T61="Correctivo","Impacto",""))</f>
        <v/>
      </c>
      <c r="T61" s="108"/>
      <c r="U61" s="108"/>
      <c r="V61" s="109" t="str">
        <f t="shared" ref="V61:V65" si="85">IF(AND(T61="Preventivo",U61="Automático"),"50%",IF(AND(T61="Preventivo",U61="Manual"),"40%",IF(AND(T61="Detectivo",U61="Automático"),"40%",IF(AND(T61="Detectivo",U61="Manual"),"30%",IF(AND(T61="Correctivo",U61="Automático"),"35%",IF(AND(T61="Correctivo",U61="Manual"),"25%",""))))))</f>
        <v/>
      </c>
      <c r="W61" s="108"/>
      <c r="X61" s="108"/>
      <c r="Y61" s="108"/>
      <c r="Z61" s="110" t="str">
        <f>IFERROR(IF(AND(S60="Probabilidad",S61="Probabilidad"),(AB60-(+AB60*V61)),IF(S61="Probabilidad",(K60-(+K60*V61)),IF(S61="Impacto",AB60,""))),"")</f>
        <v/>
      </c>
      <c r="AA61" s="111" t="str">
        <f t="shared" si="62"/>
        <v/>
      </c>
      <c r="AB61" s="112" t="str">
        <f t="shared" ref="AB61:AB65" si="86">+Z61</f>
        <v/>
      </c>
      <c r="AC61" s="111" t="str">
        <f t="shared" si="64"/>
        <v/>
      </c>
      <c r="AD61" s="112" t="str">
        <f>IFERROR(IF(AND(S60="Impacto",S61="Impacto"),(AD60-(+AD60*V61)),IF(S61="Impacto",(O60-(+O60*V61)),IF(S61="Probabilidad",AD60,""))),"")</f>
        <v/>
      </c>
      <c r="AE61" s="113" t="str">
        <f t="shared" ref="AE61:AE62" si="87">IFERROR(IF(OR(AND(AA61="Muy Baja",AC61="Leve"),AND(AA61="Muy Baja",AC61="Menor"),AND(AA61="Baja",AC61="Leve")),"Bajo",IF(OR(AND(AA61="Muy baja",AC61="Moderado"),AND(AA61="Baja",AC61="Menor"),AND(AA61="Baja",AC61="Moderado"),AND(AA61="Media",AC61="Leve"),AND(AA61="Media",AC61="Menor"),AND(AA61="Media",AC61="Moderado"),AND(AA61="Alta",AC61="Leve"),AND(AA61="Alta",AC61="Menor")),"Moderado",IF(OR(AND(AA61="Muy Baja",AC61="Mayor"),AND(AA61="Baja",AC61="Mayor"),AND(AA61="Media",AC61="Mayor"),AND(AA61="Alta",AC61="Moderado"),AND(AA61="Alta",AC61="Mayor"),AND(AA61="Muy Alta",AC61="Leve"),AND(AA61="Muy Alta",AC61="Menor"),AND(AA61="Muy Alta",AC61="Moderado"),AND(AA61="Muy Alta",AC61="Mayor")),"Alto",IF(OR(AND(AA61="Muy Baja",AC61="Catastrófico"),AND(AA61="Baja",AC61="Catastrófico"),AND(AA61="Media",AC61="Catastrófico"),AND(AA61="Alta",AC61="Catastrófico"),AND(AA61="Muy Alta",AC61="Catastrófico")),"Extremo","")))),"")</f>
        <v/>
      </c>
      <c r="AF61" s="114"/>
      <c r="AG61" s="115"/>
      <c r="AH61" s="116"/>
      <c r="AI61" s="117"/>
      <c r="AJ61" s="117"/>
      <c r="AK61" s="115"/>
      <c r="AL61" s="116"/>
    </row>
    <row r="62" spans="1:67" ht="19.5" customHeight="1" x14ac:dyDescent="0.25">
      <c r="A62" s="242"/>
      <c r="B62" s="258"/>
      <c r="C62" s="258"/>
      <c r="D62" s="258"/>
      <c r="E62" s="129"/>
      <c r="F62" s="285"/>
      <c r="G62" s="132"/>
      <c r="H62" s="258"/>
      <c r="I62" s="230"/>
      <c r="J62" s="233"/>
      <c r="K62" s="236"/>
      <c r="L62" s="239"/>
      <c r="M62" s="236">
        <f ca="1">IF(NOT(ISERROR(MATCH(L62,_xlfn.ANCHORARRAY(F73),0))),K75&amp;"Por favor no seleccionar los criterios de impacto",L62)</f>
        <v>0</v>
      </c>
      <c r="N62" s="233"/>
      <c r="O62" s="236"/>
      <c r="P62" s="261"/>
      <c r="Q62" s="105">
        <v>3</v>
      </c>
      <c r="R62" s="118"/>
      <c r="S62" s="107" t="str">
        <f>IF(OR(T62="Preventivo",T62="Detectivo"),"Probabilidad",IF(T62="Correctivo","Impacto",""))</f>
        <v/>
      </c>
      <c r="T62" s="108"/>
      <c r="U62" s="108"/>
      <c r="V62" s="109" t="str">
        <f t="shared" si="85"/>
        <v/>
      </c>
      <c r="W62" s="108"/>
      <c r="X62" s="108"/>
      <c r="Y62" s="108"/>
      <c r="Z62" s="110" t="str">
        <f>IFERROR(IF(AND(S61="Probabilidad",S62="Probabilidad"),(AB61-(+AB61*V62)),IF(AND(S61="Impacto",S62="Probabilidad"),(AB60-(+AB60*V62)),IF(S62="Impacto",AB61,""))),"")</f>
        <v/>
      </c>
      <c r="AA62" s="111" t="str">
        <f t="shared" si="62"/>
        <v/>
      </c>
      <c r="AB62" s="112" t="str">
        <f t="shared" si="86"/>
        <v/>
      </c>
      <c r="AC62" s="111" t="str">
        <f t="shared" si="64"/>
        <v/>
      </c>
      <c r="AD62" s="112" t="str">
        <f>IFERROR(IF(AND(S61="Impacto",S62="Impacto"),(AD61-(+AD61*V62)),IF(AND(S61="Probabilidad",S62="Impacto"),(AD60-(+AD60*V62)),IF(S62="Probabilidad",AD61,""))),"")</f>
        <v/>
      </c>
      <c r="AE62" s="113" t="str">
        <f t="shared" si="87"/>
        <v/>
      </c>
      <c r="AF62" s="114"/>
      <c r="AG62" s="115"/>
      <c r="AH62" s="116"/>
      <c r="AI62" s="117"/>
      <c r="AJ62" s="117"/>
      <c r="AK62" s="115"/>
      <c r="AL62" s="116"/>
    </row>
    <row r="63" spans="1:67" ht="19.5" customHeight="1" x14ac:dyDescent="0.25">
      <c r="A63" s="242"/>
      <c r="B63" s="258"/>
      <c r="C63" s="258"/>
      <c r="D63" s="258"/>
      <c r="E63" s="129"/>
      <c r="F63" s="285"/>
      <c r="G63" s="132"/>
      <c r="H63" s="258"/>
      <c r="I63" s="230"/>
      <c r="J63" s="233"/>
      <c r="K63" s="236"/>
      <c r="L63" s="239"/>
      <c r="M63" s="236">
        <f ca="1">IF(NOT(ISERROR(MATCH(L63,_xlfn.ANCHORARRAY(F74),0))),K76&amp;"Por favor no seleccionar los criterios de impacto",L63)</f>
        <v>0</v>
      </c>
      <c r="N63" s="233"/>
      <c r="O63" s="236"/>
      <c r="P63" s="261"/>
      <c r="Q63" s="105">
        <v>4</v>
      </c>
      <c r="R63" s="106"/>
      <c r="S63" s="107" t="str">
        <f t="shared" ref="S63:S65" si="88">IF(OR(T63="Preventivo",T63="Detectivo"),"Probabilidad",IF(T63="Correctivo","Impacto",""))</f>
        <v/>
      </c>
      <c r="T63" s="108"/>
      <c r="U63" s="108"/>
      <c r="V63" s="109" t="str">
        <f t="shared" si="85"/>
        <v/>
      </c>
      <c r="W63" s="108"/>
      <c r="X63" s="108"/>
      <c r="Y63" s="108"/>
      <c r="Z63" s="110" t="str">
        <f t="shared" ref="Z63:Z65" si="89">IFERROR(IF(AND(S62="Probabilidad",S63="Probabilidad"),(AB62-(+AB62*V63)),IF(AND(S62="Impacto",S63="Probabilidad"),(AB61-(+AB61*V63)),IF(S63="Impacto",AB62,""))),"")</f>
        <v/>
      </c>
      <c r="AA63" s="111" t="str">
        <f t="shared" si="62"/>
        <v/>
      </c>
      <c r="AB63" s="112" t="str">
        <f t="shared" si="86"/>
        <v/>
      </c>
      <c r="AC63" s="111" t="str">
        <f t="shared" si="64"/>
        <v/>
      </c>
      <c r="AD63" s="112" t="str">
        <f t="shared" ref="AD63:AD65" si="90">IFERROR(IF(AND(S62="Impacto",S63="Impacto"),(AD62-(+AD62*V63)),IF(AND(S62="Probabilidad",S63="Impacto"),(AD61-(+AD61*V63)),IF(S63="Probabilidad",AD62,""))),"")</f>
        <v/>
      </c>
      <c r="AE63" s="113" t="str">
        <f>IFERROR(IF(OR(AND(AA63="Muy Baja",AC63="Leve"),AND(AA63="Muy Baja",AC63="Menor"),AND(AA63="Baja",AC63="Leve")),"Bajo",IF(OR(AND(AA63="Muy baja",AC63="Moderado"),AND(AA63="Baja",AC63="Menor"),AND(AA63="Baja",AC63="Moderado"),AND(AA63="Media",AC63="Leve"),AND(AA63="Media",AC63="Menor"),AND(AA63="Media",AC63="Moderado"),AND(AA63="Alta",AC63="Leve"),AND(AA63="Alta",AC63="Menor")),"Moderado",IF(OR(AND(AA63="Muy Baja",AC63="Mayor"),AND(AA63="Baja",AC63="Mayor"),AND(AA63="Media",AC63="Mayor"),AND(AA63="Alta",AC63="Moderado"),AND(AA63="Alta",AC63="Mayor"),AND(AA63="Muy Alta",AC63="Leve"),AND(AA63="Muy Alta",AC63="Menor"),AND(AA63="Muy Alta",AC63="Moderado"),AND(AA63="Muy Alta",AC63="Mayor")),"Alto",IF(OR(AND(AA63="Muy Baja",AC63="Catastrófico"),AND(AA63="Baja",AC63="Catastrófico"),AND(AA63="Media",AC63="Catastrófico"),AND(AA63="Alta",AC63="Catastrófico"),AND(AA63="Muy Alta",AC63="Catastrófico")),"Extremo","")))),"")</f>
        <v/>
      </c>
      <c r="AF63" s="114"/>
      <c r="AG63" s="115"/>
      <c r="AH63" s="116"/>
      <c r="AI63" s="117"/>
      <c r="AJ63" s="117"/>
      <c r="AK63" s="115"/>
      <c r="AL63" s="116"/>
    </row>
    <row r="64" spans="1:67" ht="19.5" customHeight="1" x14ac:dyDescent="0.25">
      <c r="A64" s="242"/>
      <c r="B64" s="258"/>
      <c r="C64" s="258"/>
      <c r="D64" s="258"/>
      <c r="E64" s="129"/>
      <c r="F64" s="285"/>
      <c r="G64" s="132"/>
      <c r="H64" s="258"/>
      <c r="I64" s="230"/>
      <c r="J64" s="233"/>
      <c r="K64" s="236"/>
      <c r="L64" s="239"/>
      <c r="M64" s="236">
        <f ca="1">IF(NOT(ISERROR(MATCH(L64,_xlfn.ANCHORARRAY(F75),0))),K77&amp;"Por favor no seleccionar los criterios de impacto",L64)</f>
        <v>0</v>
      </c>
      <c r="N64" s="233"/>
      <c r="O64" s="236"/>
      <c r="P64" s="261"/>
      <c r="Q64" s="105">
        <v>5</v>
      </c>
      <c r="R64" s="106"/>
      <c r="S64" s="107" t="str">
        <f t="shared" si="88"/>
        <v/>
      </c>
      <c r="T64" s="108"/>
      <c r="U64" s="108"/>
      <c r="V64" s="109" t="str">
        <f t="shared" si="85"/>
        <v/>
      </c>
      <c r="W64" s="108"/>
      <c r="X64" s="108"/>
      <c r="Y64" s="108"/>
      <c r="Z64" s="110" t="str">
        <f t="shared" si="89"/>
        <v/>
      </c>
      <c r="AA64" s="111" t="str">
        <f t="shared" si="62"/>
        <v/>
      </c>
      <c r="AB64" s="112" t="str">
        <f t="shared" si="86"/>
        <v/>
      </c>
      <c r="AC64" s="111" t="str">
        <f t="shared" si="64"/>
        <v/>
      </c>
      <c r="AD64" s="112" t="str">
        <f t="shared" si="90"/>
        <v/>
      </c>
      <c r="AE64" s="113" t="str">
        <f t="shared" ref="AE64:AE65" si="91">IFERROR(IF(OR(AND(AA64="Muy Baja",AC64="Leve"),AND(AA64="Muy Baja",AC64="Menor"),AND(AA64="Baja",AC64="Leve")),"Bajo",IF(OR(AND(AA64="Muy baja",AC64="Moderado"),AND(AA64="Baja",AC64="Menor"),AND(AA64="Baja",AC64="Moderado"),AND(AA64="Media",AC64="Leve"),AND(AA64="Media",AC64="Menor"),AND(AA64="Media",AC64="Moderado"),AND(AA64="Alta",AC64="Leve"),AND(AA64="Alta",AC64="Menor")),"Moderado",IF(OR(AND(AA64="Muy Baja",AC64="Mayor"),AND(AA64="Baja",AC64="Mayor"),AND(AA64="Media",AC64="Mayor"),AND(AA64="Alta",AC64="Moderado"),AND(AA64="Alta",AC64="Mayor"),AND(AA64="Muy Alta",AC64="Leve"),AND(AA64="Muy Alta",AC64="Menor"),AND(AA64="Muy Alta",AC64="Moderado"),AND(AA64="Muy Alta",AC64="Mayor")),"Alto",IF(OR(AND(AA64="Muy Baja",AC64="Catastrófico"),AND(AA64="Baja",AC64="Catastrófico"),AND(AA64="Media",AC64="Catastrófico"),AND(AA64="Alta",AC64="Catastrófico"),AND(AA64="Muy Alta",AC64="Catastrófico")),"Extremo","")))),"")</f>
        <v/>
      </c>
      <c r="AF64" s="114"/>
      <c r="AG64" s="115"/>
      <c r="AH64" s="116"/>
      <c r="AI64" s="117"/>
      <c r="AJ64" s="117"/>
      <c r="AK64" s="115"/>
      <c r="AL64" s="116"/>
    </row>
    <row r="65" spans="1:38" ht="19.5" customHeight="1" x14ac:dyDescent="0.25">
      <c r="A65" s="256"/>
      <c r="B65" s="259"/>
      <c r="C65" s="259"/>
      <c r="D65" s="259"/>
      <c r="E65" s="130"/>
      <c r="F65" s="286"/>
      <c r="G65" s="133"/>
      <c r="H65" s="259"/>
      <c r="I65" s="231"/>
      <c r="J65" s="234"/>
      <c r="K65" s="237"/>
      <c r="L65" s="240"/>
      <c r="M65" s="237">
        <f ca="1">IF(NOT(ISERROR(MATCH(L65,_xlfn.ANCHORARRAY(F76),0))),K78&amp;"Por favor no seleccionar los criterios de impacto",L65)</f>
        <v>0</v>
      </c>
      <c r="N65" s="234"/>
      <c r="O65" s="237"/>
      <c r="P65" s="262"/>
      <c r="Q65" s="105">
        <v>6</v>
      </c>
      <c r="R65" s="106"/>
      <c r="S65" s="107" t="str">
        <f t="shared" si="88"/>
        <v/>
      </c>
      <c r="T65" s="108"/>
      <c r="U65" s="108"/>
      <c r="V65" s="109" t="str">
        <f t="shared" si="85"/>
        <v/>
      </c>
      <c r="W65" s="108"/>
      <c r="X65" s="108"/>
      <c r="Y65" s="108"/>
      <c r="Z65" s="110" t="str">
        <f t="shared" si="89"/>
        <v/>
      </c>
      <c r="AA65" s="111" t="str">
        <f t="shared" si="62"/>
        <v/>
      </c>
      <c r="AB65" s="112" t="str">
        <f t="shared" si="86"/>
        <v/>
      </c>
      <c r="AC65" s="111" t="str">
        <f t="shared" si="64"/>
        <v/>
      </c>
      <c r="AD65" s="112" t="str">
        <f t="shared" si="90"/>
        <v/>
      </c>
      <c r="AE65" s="113" t="str">
        <f t="shared" si="91"/>
        <v/>
      </c>
      <c r="AF65" s="114"/>
      <c r="AG65" s="115"/>
      <c r="AH65" s="116"/>
      <c r="AI65" s="117"/>
      <c r="AJ65" s="117"/>
      <c r="AK65" s="115"/>
      <c r="AL65" s="116"/>
    </row>
    <row r="66" spans="1:38" ht="49.5" customHeight="1" x14ac:dyDescent="0.25">
      <c r="A66" s="6"/>
      <c r="B66" s="287" t="s">
        <v>126</v>
      </c>
      <c r="C66" s="288"/>
      <c r="D66" s="288"/>
      <c r="E66" s="288"/>
      <c r="F66" s="288"/>
      <c r="G66" s="288"/>
      <c r="H66" s="288"/>
      <c r="I66" s="288"/>
      <c r="J66" s="288"/>
      <c r="K66" s="288"/>
      <c r="L66" s="288"/>
      <c r="M66" s="288"/>
      <c r="N66" s="288"/>
      <c r="O66" s="288"/>
      <c r="P66" s="288"/>
      <c r="Q66" s="288"/>
      <c r="R66" s="288"/>
      <c r="S66" s="288"/>
      <c r="T66" s="288"/>
      <c r="U66" s="288"/>
      <c r="V66" s="288"/>
      <c r="W66" s="288"/>
      <c r="X66" s="288"/>
      <c r="Y66" s="288"/>
      <c r="Z66" s="288"/>
      <c r="AA66" s="288"/>
      <c r="AB66" s="288"/>
      <c r="AC66" s="288"/>
      <c r="AD66" s="288"/>
      <c r="AE66" s="288"/>
      <c r="AF66" s="288"/>
      <c r="AG66" s="288"/>
      <c r="AH66" s="288"/>
      <c r="AI66" s="288"/>
      <c r="AJ66" s="288"/>
      <c r="AK66" s="288"/>
      <c r="AL66" s="289"/>
    </row>
    <row r="68" spans="1:38" x14ac:dyDescent="0.25">
      <c r="A68" s="1"/>
      <c r="B68" s="24" t="s">
        <v>138</v>
      </c>
      <c r="C68" s="1"/>
      <c r="D68" s="1"/>
      <c r="E68" s="1"/>
      <c r="H68" s="1"/>
    </row>
  </sheetData>
  <dataConsolidate/>
  <mergeCells count="197">
    <mergeCell ref="AN1:AN9"/>
    <mergeCell ref="AN10:AN13"/>
    <mergeCell ref="AM1:AM9"/>
    <mergeCell ref="AM10:AM13"/>
    <mergeCell ref="C6:AL6"/>
    <mergeCell ref="A1:AL2"/>
    <mergeCell ref="A7:I7"/>
    <mergeCell ref="J7:P7"/>
    <mergeCell ref="Q7:Y7"/>
    <mergeCell ref="Z7:AF7"/>
    <mergeCell ref="AG7:AL7"/>
    <mergeCell ref="AG8:AG9"/>
    <mergeCell ref="AL8:AL9"/>
    <mergeCell ref="AK8:AK9"/>
    <mergeCell ref="AJ8:AJ9"/>
    <mergeCell ref="AI8:AI9"/>
    <mergeCell ref="AH8:AH9"/>
    <mergeCell ref="A4:B4"/>
    <mergeCell ref="A5:B5"/>
    <mergeCell ref="A6:B6"/>
    <mergeCell ref="A8:A9"/>
    <mergeCell ref="H8:H9"/>
    <mergeCell ref="F8:F9"/>
    <mergeCell ref="D8:D9"/>
    <mergeCell ref="B66:AL66"/>
    <mergeCell ref="O54:O59"/>
    <mergeCell ref="P54:P59"/>
    <mergeCell ref="A60:A65"/>
    <mergeCell ref="B60:B65"/>
    <mergeCell ref="C60:C65"/>
    <mergeCell ref="D60:D65"/>
    <mergeCell ref="F60:F65"/>
    <mergeCell ref="H60:H65"/>
    <mergeCell ref="I60:I65"/>
    <mergeCell ref="J60:J65"/>
    <mergeCell ref="K60:K65"/>
    <mergeCell ref="L60:L65"/>
    <mergeCell ref="M60:M65"/>
    <mergeCell ref="N60:N65"/>
    <mergeCell ref="O60:O65"/>
    <mergeCell ref="P60:P65"/>
    <mergeCell ref="L54:L59"/>
    <mergeCell ref="M54:M59"/>
    <mergeCell ref="N54:N59"/>
    <mergeCell ref="A54:A59"/>
    <mergeCell ref="B54:B59"/>
    <mergeCell ref="C54:C59"/>
    <mergeCell ref="D54:D59"/>
    <mergeCell ref="F54:F59"/>
    <mergeCell ref="H54:H59"/>
    <mergeCell ref="I54:I59"/>
    <mergeCell ref="J54:J59"/>
    <mergeCell ref="K54:K59"/>
    <mergeCell ref="O42:O47"/>
    <mergeCell ref="P42:P47"/>
    <mergeCell ref="H48:H53"/>
    <mergeCell ref="I48:I53"/>
    <mergeCell ref="J48:J53"/>
    <mergeCell ref="K48:K53"/>
    <mergeCell ref="L48:L53"/>
    <mergeCell ref="H42:H47"/>
    <mergeCell ref="I42:I47"/>
    <mergeCell ref="J42:J47"/>
    <mergeCell ref="K42:K47"/>
    <mergeCell ref="M48:M53"/>
    <mergeCell ref="N48:N53"/>
    <mergeCell ref="O48:O53"/>
    <mergeCell ref="P48:P53"/>
    <mergeCell ref="K30:K35"/>
    <mergeCell ref="L30:L35"/>
    <mergeCell ref="I36:I41"/>
    <mergeCell ref="J36:J41"/>
    <mergeCell ref="K36:K41"/>
    <mergeCell ref="M30:M35"/>
    <mergeCell ref="N30:N35"/>
    <mergeCell ref="A48:A53"/>
    <mergeCell ref="B48:B53"/>
    <mergeCell ref="C48:C53"/>
    <mergeCell ref="D48:D53"/>
    <mergeCell ref="F48:F53"/>
    <mergeCell ref="A42:A47"/>
    <mergeCell ref="B42:B47"/>
    <mergeCell ref="C42:C47"/>
    <mergeCell ref="D42:D47"/>
    <mergeCell ref="F42:F47"/>
    <mergeCell ref="O30:O35"/>
    <mergeCell ref="P30:P35"/>
    <mergeCell ref="O36:O41"/>
    <mergeCell ref="P36:P41"/>
    <mergeCell ref="L42:L47"/>
    <mergeCell ref="M42:M47"/>
    <mergeCell ref="N42:N47"/>
    <mergeCell ref="A30:A35"/>
    <mergeCell ref="B30:B35"/>
    <mergeCell ref="C30:C35"/>
    <mergeCell ref="A36:A41"/>
    <mergeCell ref="B36:B41"/>
    <mergeCell ref="C36:C41"/>
    <mergeCell ref="D36:D41"/>
    <mergeCell ref="F36:F41"/>
    <mergeCell ref="H36:H41"/>
    <mergeCell ref="D30:D35"/>
    <mergeCell ref="F30:F35"/>
    <mergeCell ref="L36:L41"/>
    <mergeCell ref="M36:M41"/>
    <mergeCell ref="N36:N41"/>
    <mergeCell ref="H30:H35"/>
    <mergeCell ref="I30:I35"/>
    <mergeCell ref="J30:J35"/>
    <mergeCell ref="I18:I23"/>
    <mergeCell ref="J18:J23"/>
    <mergeCell ref="K18:K23"/>
    <mergeCell ref="O18:O23"/>
    <mergeCell ref="P18:P23"/>
    <mergeCell ref="A24:A29"/>
    <mergeCell ref="B24:B29"/>
    <mergeCell ref="C24:C29"/>
    <mergeCell ref="D24:D29"/>
    <mergeCell ref="F24:F29"/>
    <mergeCell ref="H24:H29"/>
    <mergeCell ref="I24:I29"/>
    <mergeCell ref="J24:J29"/>
    <mergeCell ref="K24:K29"/>
    <mergeCell ref="L24:L29"/>
    <mergeCell ref="M24:M29"/>
    <mergeCell ref="N24:N29"/>
    <mergeCell ref="O24:O29"/>
    <mergeCell ref="P24:P29"/>
    <mergeCell ref="L18:L23"/>
    <mergeCell ref="M18:M23"/>
    <mergeCell ref="N18:N23"/>
    <mergeCell ref="A18:A23"/>
    <mergeCell ref="B18:B23"/>
    <mergeCell ref="C18:C23"/>
    <mergeCell ref="D18:D23"/>
    <mergeCell ref="F18:F23"/>
    <mergeCell ref="H18:H23"/>
    <mergeCell ref="D14:D17"/>
    <mergeCell ref="F14:F17"/>
    <mergeCell ref="G14:G17"/>
    <mergeCell ref="E16:E17"/>
    <mergeCell ref="H14:H17"/>
    <mergeCell ref="O14:O17"/>
    <mergeCell ref="P14:P17"/>
    <mergeCell ref="P10:P13"/>
    <mergeCell ref="K10:K13"/>
    <mergeCell ref="L10:L13"/>
    <mergeCell ref="M10:M13"/>
    <mergeCell ref="N10:N13"/>
    <mergeCell ref="O10:O13"/>
    <mergeCell ref="Q8:Q9"/>
    <mergeCell ref="K8:K9"/>
    <mergeCell ref="N8:N9"/>
    <mergeCell ref="O8:O9"/>
    <mergeCell ref="I14:I17"/>
    <mergeCell ref="J14:J17"/>
    <mergeCell ref="K14:K17"/>
    <mergeCell ref="L14:L17"/>
    <mergeCell ref="M14:M17"/>
    <mergeCell ref="N14:N17"/>
    <mergeCell ref="A10:A13"/>
    <mergeCell ref="B10:B13"/>
    <mergeCell ref="C10:C13"/>
    <mergeCell ref="D10:D13"/>
    <mergeCell ref="F10:F11"/>
    <mergeCell ref="F12:F13"/>
    <mergeCell ref="E12:E13"/>
    <mergeCell ref="H10:H13"/>
    <mergeCell ref="I10:I13"/>
    <mergeCell ref="J10:J13"/>
    <mergeCell ref="A14:A17"/>
    <mergeCell ref="B14:B17"/>
    <mergeCell ref="C14:C17"/>
    <mergeCell ref="B8:B9"/>
    <mergeCell ref="P8:P9"/>
    <mergeCell ref="L8:L9"/>
    <mergeCell ref="M8:M9"/>
    <mergeCell ref="S8:S9"/>
    <mergeCell ref="T8:Y8"/>
    <mergeCell ref="G10:G13"/>
    <mergeCell ref="E10:E11"/>
    <mergeCell ref="AO1:AO9"/>
    <mergeCell ref="AO10:AO13"/>
    <mergeCell ref="AE8:AE9"/>
    <mergeCell ref="AD8:AD9"/>
    <mergeCell ref="Z8:Z9"/>
    <mergeCell ref="R8:R9"/>
    <mergeCell ref="AC8:AC9"/>
    <mergeCell ref="AA8:AA9"/>
    <mergeCell ref="C4:AL4"/>
    <mergeCell ref="C5:AL5"/>
    <mergeCell ref="C8:C9"/>
    <mergeCell ref="AF8:AF9"/>
    <mergeCell ref="E8:E9"/>
    <mergeCell ref="AB8:AB9"/>
    <mergeCell ref="I8:I9"/>
    <mergeCell ref="J8:J9"/>
  </mergeCells>
  <conditionalFormatting sqref="J10 J14 J18 J24 J30 J36 J42 J48 J54 J60 AA15:AA17">
    <cfRule type="cellIs" dxfId="188" priority="361" operator="equal">
      <formula>"Muy Alta"</formula>
    </cfRule>
    <cfRule type="cellIs" dxfId="187" priority="362" operator="equal">
      <formula>"Alta"</formula>
    </cfRule>
    <cfRule type="cellIs" dxfId="186" priority="363" operator="equal">
      <formula>"Media"</formula>
    </cfRule>
    <cfRule type="cellIs" dxfId="185" priority="364" operator="equal">
      <formula>"Baja"</formula>
    </cfRule>
    <cfRule type="cellIs" dxfId="184" priority="365" operator="equal">
      <formula>"Muy Baja"</formula>
    </cfRule>
  </conditionalFormatting>
  <conditionalFormatting sqref="N10 N14 N18 N24 N30 N36 N42 N48 N54 N60 AC15:AC17">
    <cfRule type="cellIs" dxfId="183" priority="356" operator="equal">
      <formula>"Catastrófico"</formula>
    </cfRule>
    <cfRule type="cellIs" dxfId="182" priority="357" operator="equal">
      <formula>"Mayor"</formula>
    </cfRule>
    <cfRule type="cellIs" dxfId="181" priority="358" operator="equal">
      <formula>"Moderado"</formula>
    </cfRule>
    <cfRule type="cellIs" dxfId="180" priority="359" operator="equal">
      <formula>"Menor"</formula>
    </cfRule>
    <cfRule type="cellIs" dxfId="179" priority="360" operator="equal">
      <formula>"Leve"</formula>
    </cfRule>
  </conditionalFormatting>
  <conditionalFormatting sqref="P10 AE15:AE17">
    <cfRule type="cellIs" dxfId="178" priority="352" operator="equal">
      <formula>"Extremo"</formula>
    </cfRule>
    <cfRule type="cellIs" dxfId="177" priority="353" operator="equal">
      <formula>"Alto"</formula>
    </cfRule>
    <cfRule type="cellIs" dxfId="176" priority="354" operator="equal">
      <formula>"Moderado"</formula>
    </cfRule>
    <cfRule type="cellIs" dxfId="175" priority="355" operator="equal">
      <formula>"Bajo"</formula>
    </cfRule>
  </conditionalFormatting>
  <conditionalFormatting sqref="AA10">
    <cfRule type="cellIs" dxfId="174" priority="347" operator="equal">
      <formula>"Muy Alta"</formula>
    </cfRule>
    <cfRule type="cellIs" dxfId="173" priority="348" operator="equal">
      <formula>"Alta"</formula>
    </cfRule>
    <cfRule type="cellIs" dxfId="172" priority="349" operator="equal">
      <formula>"Media"</formula>
    </cfRule>
    <cfRule type="cellIs" dxfId="171" priority="350" operator="equal">
      <formula>"Baja"</formula>
    </cfRule>
    <cfRule type="cellIs" dxfId="170" priority="351" operator="equal">
      <formula>"Muy Baja"</formula>
    </cfRule>
  </conditionalFormatting>
  <conditionalFormatting sqref="AC10">
    <cfRule type="cellIs" dxfId="169" priority="342" operator="equal">
      <formula>"Catastrófico"</formula>
    </cfRule>
    <cfRule type="cellIs" dxfId="168" priority="343" operator="equal">
      <formula>"Mayor"</formula>
    </cfRule>
    <cfRule type="cellIs" dxfId="167" priority="344" operator="equal">
      <formula>"Moderado"</formula>
    </cfRule>
    <cfRule type="cellIs" dxfId="166" priority="345" operator="equal">
      <formula>"Menor"</formula>
    </cfRule>
    <cfRule type="cellIs" dxfId="165" priority="346" operator="equal">
      <formula>"Leve"</formula>
    </cfRule>
  </conditionalFormatting>
  <conditionalFormatting sqref="AE10">
    <cfRule type="cellIs" dxfId="164" priority="338" operator="equal">
      <formula>"Extremo"</formula>
    </cfRule>
    <cfRule type="cellIs" dxfId="163" priority="339" operator="equal">
      <formula>"Alto"</formula>
    </cfRule>
    <cfRule type="cellIs" dxfId="162" priority="340" operator="equal">
      <formula>"Moderado"</formula>
    </cfRule>
    <cfRule type="cellIs" dxfId="161" priority="341" operator="equal">
      <formula>"Bajo"</formula>
    </cfRule>
  </conditionalFormatting>
  <conditionalFormatting sqref="P14 P18 P24 P30 P36 P42 P48 P54 P60">
    <cfRule type="cellIs" dxfId="160" priority="282" operator="equal">
      <formula>"Extremo"</formula>
    </cfRule>
    <cfRule type="cellIs" dxfId="159" priority="283" operator="equal">
      <formula>"Alto"</formula>
    </cfRule>
    <cfRule type="cellIs" dxfId="158" priority="284" operator="equal">
      <formula>"Moderado"</formula>
    </cfRule>
    <cfRule type="cellIs" dxfId="157" priority="285" operator="equal">
      <formula>"Bajo"</formula>
    </cfRule>
  </conditionalFormatting>
  <conditionalFormatting sqref="AA18:AA23">
    <cfRule type="cellIs" dxfId="156" priority="249" operator="equal">
      <formula>"Muy Alta"</formula>
    </cfRule>
    <cfRule type="cellIs" dxfId="155" priority="250" operator="equal">
      <formula>"Alta"</formula>
    </cfRule>
    <cfRule type="cellIs" dxfId="154" priority="251" operator="equal">
      <formula>"Media"</formula>
    </cfRule>
    <cfRule type="cellIs" dxfId="153" priority="252" operator="equal">
      <formula>"Baja"</formula>
    </cfRule>
    <cfRule type="cellIs" dxfId="152" priority="253" operator="equal">
      <formula>"Muy Baja"</formula>
    </cfRule>
  </conditionalFormatting>
  <conditionalFormatting sqref="AC18:AC23">
    <cfRule type="cellIs" dxfId="151" priority="244" operator="equal">
      <formula>"Catastrófico"</formula>
    </cfRule>
    <cfRule type="cellIs" dxfId="150" priority="245" operator="equal">
      <formula>"Mayor"</formula>
    </cfRule>
    <cfRule type="cellIs" dxfId="149" priority="246" operator="equal">
      <formula>"Moderado"</formula>
    </cfRule>
    <cfRule type="cellIs" dxfId="148" priority="247" operator="equal">
      <formula>"Menor"</formula>
    </cfRule>
    <cfRule type="cellIs" dxfId="147" priority="248" operator="equal">
      <formula>"Leve"</formula>
    </cfRule>
  </conditionalFormatting>
  <conditionalFormatting sqref="AE18:AE23">
    <cfRule type="cellIs" dxfId="146" priority="240" operator="equal">
      <formula>"Extremo"</formula>
    </cfRule>
    <cfRule type="cellIs" dxfId="145" priority="241" operator="equal">
      <formula>"Alto"</formula>
    </cfRule>
    <cfRule type="cellIs" dxfId="144" priority="242" operator="equal">
      <formula>"Moderado"</formula>
    </cfRule>
    <cfRule type="cellIs" dxfId="143" priority="243" operator="equal">
      <formula>"Bajo"</formula>
    </cfRule>
  </conditionalFormatting>
  <conditionalFormatting sqref="AA24:AA29">
    <cfRule type="cellIs" dxfId="142" priority="221" operator="equal">
      <formula>"Muy Alta"</formula>
    </cfRule>
    <cfRule type="cellIs" dxfId="141" priority="222" operator="equal">
      <formula>"Alta"</formula>
    </cfRule>
    <cfRule type="cellIs" dxfId="140" priority="223" operator="equal">
      <formula>"Media"</formula>
    </cfRule>
    <cfRule type="cellIs" dxfId="139" priority="224" operator="equal">
      <formula>"Baja"</formula>
    </cfRule>
    <cfRule type="cellIs" dxfId="138" priority="225" operator="equal">
      <formula>"Muy Baja"</formula>
    </cfRule>
  </conditionalFormatting>
  <conditionalFormatting sqref="AC24:AC29">
    <cfRule type="cellIs" dxfId="137" priority="216" operator="equal">
      <formula>"Catastrófico"</formula>
    </cfRule>
    <cfRule type="cellIs" dxfId="136" priority="217" operator="equal">
      <formula>"Mayor"</formula>
    </cfRule>
    <cfRule type="cellIs" dxfId="135" priority="218" operator="equal">
      <formula>"Moderado"</formula>
    </cfRule>
    <cfRule type="cellIs" dxfId="134" priority="219" operator="equal">
      <formula>"Menor"</formula>
    </cfRule>
    <cfRule type="cellIs" dxfId="133" priority="220" operator="equal">
      <formula>"Leve"</formula>
    </cfRule>
  </conditionalFormatting>
  <conditionalFormatting sqref="AE24:AE29">
    <cfRule type="cellIs" dxfId="132" priority="212" operator="equal">
      <formula>"Extremo"</formula>
    </cfRule>
    <cfRule type="cellIs" dxfId="131" priority="213" operator="equal">
      <formula>"Alto"</formula>
    </cfRule>
    <cfRule type="cellIs" dxfId="130" priority="214" operator="equal">
      <formula>"Moderado"</formula>
    </cfRule>
    <cfRule type="cellIs" dxfId="129" priority="215" operator="equal">
      <formula>"Bajo"</formula>
    </cfRule>
  </conditionalFormatting>
  <conditionalFormatting sqref="AA30:AA35">
    <cfRule type="cellIs" dxfId="128" priority="193" operator="equal">
      <formula>"Muy Alta"</formula>
    </cfRule>
    <cfRule type="cellIs" dxfId="127" priority="194" operator="equal">
      <formula>"Alta"</formula>
    </cfRule>
    <cfRule type="cellIs" dxfId="126" priority="195" operator="equal">
      <formula>"Media"</formula>
    </cfRule>
    <cfRule type="cellIs" dxfId="125" priority="196" operator="equal">
      <formula>"Baja"</formula>
    </cfRule>
    <cfRule type="cellIs" dxfId="124" priority="197" operator="equal">
      <formula>"Muy Baja"</formula>
    </cfRule>
  </conditionalFormatting>
  <conditionalFormatting sqref="AC30:AC35">
    <cfRule type="cellIs" dxfId="123" priority="188" operator="equal">
      <formula>"Catastrófico"</formula>
    </cfRule>
    <cfRule type="cellIs" dxfId="122" priority="189" operator="equal">
      <formula>"Mayor"</formula>
    </cfRule>
    <cfRule type="cellIs" dxfId="121" priority="190" operator="equal">
      <formula>"Moderado"</formula>
    </cfRule>
    <cfRule type="cellIs" dxfId="120" priority="191" operator="equal">
      <formula>"Menor"</formula>
    </cfRule>
    <cfRule type="cellIs" dxfId="119" priority="192" operator="equal">
      <formula>"Leve"</formula>
    </cfRule>
  </conditionalFormatting>
  <conditionalFormatting sqref="AE30:AE35">
    <cfRule type="cellIs" dxfId="118" priority="184" operator="equal">
      <formula>"Extremo"</formula>
    </cfRule>
    <cfRule type="cellIs" dxfId="117" priority="185" operator="equal">
      <formula>"Alto"</formula>
    </cfRule>
    <cfRule type="cellIs" dxfId="116" priority="186" operator="equal">
      <formula>"Moderado"</formula>
    </cfRule>
    <cfRule type="cellIs" dxfId="115" priority="187" operator="equal">
      <formula>"Bajo"</formula>
    </cfRule>
  </conditionalFormatting>
  <conditionalFormatting sqref="AA36:AA41">
    <cfRule type="cellIs" dxfId="114" priority="165" operator="equal">
      <formula>"Muy Alta"</formula>
    </cfRule>
    <cfRule type="cellIs" dxfId="113" priority="166" operator="equal">
      <formula>"Alta"</formula>
    </cfRule>
    <cfRule type="cellIs" dxfId="112" priority="167" operator="equal">
      <formula>"Media"</formula>
    </cfRule>
    <cfRule type="cellIs" dxfId="111" priority="168" operator="equal">
      <formula>"Baja"</formula>
    </cfRule>
    <cfRule type="cellIs" dxfId="110" priority="169" operator="equal">
      <formula>"Muy Baja"</formula>
    </cfRule>
  </conditionalFormatting>
  <conditionalFormatting sqref="AC36:AC41">
    <cfRule type="cellIs" dxfId="109" priority="160" operator="equal">
      <formula>"Catastrófico"</formula>
    </cfRule>
    <cfRule type="cellIs" dxfId="108" priority="161" operator="equal">
      <formula>"Mayor"</formula>
    </cfRule>
    <cfRule type="cellIs" dxfId="107" priority="162" operator="equal">
      <formula>"Moderado"</formula>
    </cfRule>
    <cfRule type="cellIs" dxfId="106" priority="163" operator="equal">
      <formula>"Menor"</formula>
    </cfRule>
    <cfRule type="cellIs" dxfId="105" priority="164" operator="equal">
      <formula>"Leve"</formula>
    </cfRule>
  </conditionalFormatting>
  <conditionalFormatting sqref="AE36:AE41">
    <cfRule type="cellIs" dxfId="104" priority="156" operator="equal">
      <formula>"Extremo"</formula>
    </cfRule>
    <cfRule type="cellIs" dxfId="103" priority="157" operator="equal">
      <formula>"Alto"</formula>
    </cfRule>
    <cfRule type="cellIs" dxfId="102" priority="158" operator="equal">
      <formula>"Moderado"</formula>
    </cfRule>
    <cfRule type="cellIs" dxfId="101" priority="159" operator="equal">
      <formula>"Bajo"</formula>
    </cfRule>
  </conditionalFormatting>
  <conditionalFormatting sqref="AA42:AA47">
    <cfRule type="cellIs" dxfId="100" priority="137" operator="equal">
      <formula>"Muy Alta"</formula>
    </cfRule>
    <cfRule type="cellIs" dxfId="99" priority="138" operator="equal">
      <formula>"Alta"</formula>
    </cfRule>
    <cfRule type="cellIs" dxfId="98" priority="139" operator="equal">
      <formula>"Media"</formula>
    </cfRule>
    <cfRule type="cellIs" dxfId="97" priority="140" operator="equal">
      <formula>"Baja"</formula>
    </cfRule>
    <cfRule type="cellIs" dxfId="96" priority="141" operator="equal">
      <formula>"Muy Baja"</formula>
    </cfRule>
  </conditionalFormatting>
  <conditionalFormatting sqref="AC42:AC47">
    <cfRule type="cellIs" dxfId="95" priority="132" operator="equal">
      <formula>"Catastrófico"</formula>
    </cfRule>
    <cfRule type="cellIs" dxfId="94" priority="133" operator="equal">
      <formula>"Mayor"</formula>
    </cfRule>
    <cfRule type="cellIs" dxfId="93" priority="134" operator="equal">
      <formula>"Moderado"</formula>
    </cfRule>
    <cfRule type="cellIs" dxfId="92" priority="135" operator="equal">
      <formula>"Menor"</formula>
    </cfRule>
    <cfRule type="cellIs" dxfId="91" priority="136" operator="equal">
      <formula>"Leve"</formula>
    </cfRule>
  </conditionalFormatting>
  <conditionalFormatting sqref="AE42:AE47">
    <cfRule type="cellIs" dxfId="90" priority="128" operator="equal">
      <formula>"Extremo"</formula>
    </cfRule>
    <cfRule type="cellIs" dxfId="89" priority="129" operator="equal">
      <formula>"Alto"</formula>
    </cfRule>
    <cfRule type="cellIs" dxfId="88" priority="130" operator="equal">
      <formula>"Moderado"</formula>
    </cfRule>
    <cfRule type="cellIs" dxfId="87" priority="131" operator="equal">
      <formula>"Bajo"</formula>
    </cfRule>
  </conditionalFormatting>
  <conditionalFormatting sqref="AA48:AA53">
    <cfRule type="cellIs" dxfId="86" priority="109" operator="equal">
      <formula>"Muy Alta"</formula>
    </cfRule>
    <cfRule type="cellIs" dxfId="85" priority="110" operator="equal">
      <formula>"Alta"</formula>
    </cfRule>
    <cfRule type="cellIs" dxfId="84" priority="111" operator="equal">
      <formula>"Media"</formula>
    </cfRule>
    <cfRule type="cellIs" dxfId="83" priority="112" operator="equal">
      <formula>"Baja"</formula>
    </cfRule>
    <cfRule type="cellIs" dxfId="82" priority="113" operator="equal">
      <formula>"Muy Baja"</formula>
    </cfRule>
  </conditionalFormatting>
  <conditionalFormatting sqref="AC48:AC53">
    <cfRule type="cellIs" dxfId="81" priority="104" operator="equal">
      <formula>"Catastrófico"</formula>
    </cfRule>
    <cfRule type="cellIs" dxfId="80" priority="105" operator="equal">
      <formula>"Mayor"</formula>
    </cfRule>
    <cfRule type="cellIs" dxfId="79" priority="106" operator="equal">
      <formula>"Moderado"</formula>
    </cfRule>
    <cfRule type="cellIs" dxfId="78" priority="107" operator="equal">
      <formula>"Menor"</formula>
    </cfRule>
    <cfRule type="cellIs" dxfId="77" priority="108" operator="equal">
      <formula>"Leve"</formula>
    </cfRule>
  </conditionalFormatting>
  <conditionalFormatting sqref="AE48:AE53">
    <cfRule type="cellIs" dxfId="76" priority="100" operator="equal">
      <formula>"Extremo"</formula>
    </cfRule>
    <cfRule type="cellIs" dxfId="75" priority="101" operator="equal">
      <formula>"Alto"</formula>
    </cfRule>
    <cfRule type="cellIs" dxfId="74" priority="102" operator="equal">
      <formula>"Moderado"</formula>
    </cfRule>
    <cfRule type="cellIs" dxfId="73" priority="103" operator="equal">
      <formula>"Bajo"</formula>
    </cfRule>
  </conditionalFormatting>
  <conditionalFormatting sqref="AA54:AA59">
    <cfRule type="cellIs" dxfId="72" priority="81" operator="equal">
      <formula>"Muy Alta"</formula>
    </cfRule>
    <cfRule type="cellIs" dxfId="71" priority="82" operator="equal">
      <formula>"Alta"</formula>
    </cfRule>
    <cfRule type="cellIs" dxfId="70" priority="83" operator="equal">
      <formula>"Media"</formula>
    </cfRule>
    <cfRule type="cellIs" dxfId="69" priority="84" operator="equal">
      <formula>"Baja"</formula>
    </cfRule>
    <cfRule type="cellIs" dxfId="68" priority="85" operator="equal">
      <formula>"Muy Baja"</formula>
    </cfRule>
  </conditionalFormatting>
  <conditionalFormatting sqref="AC54:AC59">
    <cfRule type="cellIs" dxfId="67" priority="76" operator="equal">
      <formula>"Catastrófico"</formula>
    </cfRule>
    <cfRule type="cellIs" dxfId="66" priority="77" operator="equal">
      <formula>"Mayor"</formula>
    </cfRule>
    <cfRule type="cellIs" dxfId="65" priority="78" operator="equal">
      <formula>"Moderado"</formula>
    </cfRule>
    <cfRule type="cellIs" dxfId="64" priority="79" operator="equal">
      <formula>"Menor"</formula>
    </cfRule>
    <cfRule type="cellIs" dxfId="63" priority="80" operator="equal">
      <formula>"Leve"</formula>
    </cfRule>
  </conditionalFormatting>
  <conditionalFormatting sqref="AE54:AE59">
    <cfRule type="cellIs" dxfId="62" priority="72" operator="equal">
      <formula>"Extremo"</formula>
    </cfRule>
    <cfRule type="cellIs" dxfId="61" priority="73" operator="equal">
      <formula>"Alto"</formula>
    </cfRule>
    <cfRule type="cellIs" dxfId="60" priority="74" operator="equal">
      <formula>"Moderado"</formula>
    </cfRule>
    <cfRule type="cellIs" dxfId="59" priority="75" operator="equal">
      <formula>"Bajo"</formula>
    </cfRule>
  </conditionalFormatting>
  <conditionalFormatting sqref="AA60:AA65">
    <cfRule type="cellIs" dxfId="58" priority="53" operator="equal">
      <formula>"Muy Alta"</formula>
    </cfRule>
    <cfRule type="cellIs" dxfId="57" priority="54" operator="equal">
      <formula>"Alta"</formula>
    </cfRule>
    <cfRule type="cellIs" dxfId="56" priority="55" operator="equal">
      <formula>"Media"</formula>
    </cfRule>
    <cfRule type="cellIs" dxfId="55" priority="56" operator="equal">
      <formula>"Baja"</formula>
    </cfRule>
    <cfRule type="cellIs" dxfId="54" priority="57" operator="equal">
      <formula>"Muy Baja"</formula>
    </cfRule>
  </conditionalFormatting>
  <conditionalFormatting sqref="AC60:AC65">
    <cfRule type="cellIs" dxfId="53" priority="48" operator="equal">
      <formula>"Catastrófico"</formula>
    </cfRule>
    <cfRule type="cellIs" dxfId="52" priority="49" operator="equal">
      <formula>"Mayor"</formula>
    </cfRule>
    <cfRule type="cellIs" dxfId="51" priority="50" operator="equal">
      <formula>"Moderado"</formula>
    </cfRule>
    <cfRule type="cellIs" dxfId="50" priority="51" operator="equal">
      <formula>"Menor"</formula>
    </cfRule>
    <cfRule type="cellIs" dxfId="49" priority="52" operator="equal">
      <formula>"Leve"</formula>
    </cfRule>
  </conditionalFormatting>
  <conditionalFormatting sqref="AE60:AE65">
    <cfRule type="cellIs" dxfId="48" priority="44" operator="equal">
      <formula>"Extremo"</formula>
    </cfRule>
    <cfRule type="cellIs" dxfId="47" priority="45" operator="equal">
      <formula>"Alto"</formula>
    </cfRule>
    <cfRule type="cellIs" dxfId="46" priority="46" operator="equal">
      <formula>"Moderado"</formula>
    </cfRule>
    <cfRule type="cellIs" dxfId="45" priority="47" operator="equal">
      <formula>"Bajo"</formula>
    </cfRule>
  </conditionalFormatting>
  <conditionalFormatting sqref="M10:M65">
    <cfRule type="containsText" dxfId="44" priority="43" operator="containsText" text="❌">
      <formula>NOT(ISERROR(SEARCH("❌",M10)))</formula>
    </cfRule>
  </conditionalFormatting>
  <conditionalFormatting sqref="AA11:AA13">
    <cfRule type="cellIs" dxfId="43" priority="38" operator="equal">
      <formula>"Muy Alta"</formula>
    </cfRule>
    <cfRule type="cellIs" dxfId="42" priority="39" operator="equal">
      <formula>"Alta"</formula>
    </cfRule>
    <cfRule type="cellIs" dxfId="41" priority="40" operator="equal">
      <formula>"Media"</formula>
    </cfRule>
    <cfRule type="cellIs" dxfId="40" priority="41" operator="equal">
      <formula>"Baja"</formula>
    </cfRule>
    <cfRule type="cellIs" dxfId="39" priority="42" operator="equal">
      <formula>"Muy Baja"</formula>
    </cfRule>
  </conditionalFormatting>
  <conditionalFormatting sqref="AC11:AC13">
    <cfRule type="cellIs" dxfId="38" priority="33" operator="equal">
      <formula>"Catastrófico"</formula>
    </cfRule>
    <cfRule type="cellIs" dxfId="37" priority="34" operator="equal">
      <formula>"Mayor"</formula>
    </cfRule>
    <cfRule type="cellIs" dxfId="36" priority="35" operator="equal">
      <formula>"Moderado"</formula>
    </cfRule>
    <cfRule type="cellIs" dxfId="35" priority="36" operator="equal">
      <formula>"Menor"</formula>
    </cfRule>
    <cfRule type="cellIs" dxfId="34" priority="37" operator="equal">
      <formula>"Leve"</formula>
    </cfRule>
  </conditionalFormatting>
  <conditionalFormatting sqref="AE11:AE13">
    <cfRule type="cellIs" dxfId="33" priority="29" operator="equal">
      <formula>"Extremo"</formula>
    </cfRule>
    <cfRule type="cellIs" dxfId="32" priority="30" operator="equal">
      <formula>"Alto"</formula>
    </cfRule>
    <cfRule type="cellIs" dxfId="31" priority="31" operator="equal">
      <formula>"Moderado"</formula>
    </cfRule>
    <cfRule type="cellIs" dxfId="30" priority="32" operator="equal">
      <formula>"Bajo"</formula>
    </cfRule>
  </conditionalFormatting>
  <conditionalFormatting sqref="AA14">
    <cfRule type="cellIs" dxfId="29" priority="24" operator="equal">
      <formula>"Muy Alta"</formula>
    </cfRule>
    <cfRule type="cellIs" dxfId="28" priority="25" operator="equal">
      <formula>"Alta"</formula>
    </cfRule>
    <cfRule type="cellIs" dxfId="27" priority="26" operator="equal">
      <formula>"Media"</formula>
    </cfRule>
    <cfRule type="cellIs" dxfId="26" priority="27" operator="equal">
      <formula>"Baja"</formula>
    </cfRule>
    <cfRule type="cellIs" dxfId="25" priority="28" operator="equal">
      <formula>"Muy Baja"</formula>
    </cfRule>
  </conditionalFormatting>
  <conditionalFormatting sqref="AC14">
    <cfRule type="cellIs" dxfId="24" priority="19" operator="equal">
      <formula>"Catastrófico"</formula>
    </cfRule>
    <cfRule type="cellIs" dxfId="23" priority="20" operator="equal">
      <formula>"Mayor"</formula>
    </cfRule>
    <cfRule type="cellIs" dxfId="22" priority="21" operator="equal">
      <formula>"Moderado"</formula>
    </cfRule>
    <cfRule type="cellIs" dxfId="21" priority="22" operator="equal">
      <formula>"Menor"</formula>
    </cfRule>
    <cfRule type="cellIs" dxfId="20" priority="23" operator="equal">
      <formula>"Leve"</formula>
    </cfRule>
  </conditionalFormatting>
  <conditionalFormatting sqref="AE14">
    <cfRule type="cellIs" dxfId="19" priority="15" operator="equal">
      <formula>"Extremo"</formula>
    </cfRule>
    <cfRule type="cellIs" dxfId="18" priority="16" operator="equal">
      <formula>"Alto"</formula>
    </cfRule>
    <cfRule type="cellIs" dxfId="17" priority="17" operator="equal">
      <formula>"Moderado"</formula>
    </cfRule>
    <cfRule type="cellIs" dxfId="16" priority="18" operator="equal">
      <formula>"Bajo"</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8">
        <x14:dataValidation type="list" allowBlank="1" showInputMessage="1" showErrorMessage="1" xr:uid="{00000000-0002-0000-0100-000000000000}">
          <x14:formula1>
            <xm:f>'Tabla Valoración controles'!$D$4:$D$6</xm:f>
          </x14:formula1>
          <xm:sqref>T10 T18:T65 T14:T16</xm:sqref>
        </x14:dataValidation>
        <x14:dataValidation type="list" allowBlank="1" showInputMessage="1" showErrorMessage="1" xr:uid="{00000000-0002-0000-0100-000001000000}">
          <x14:formula1>
            <xm:f>'Tabla Valoración controles'!$D$7:$D$8</xm:f>
          </x14:formula1>
          <xm:sqref>U10 U18:U65 U14:U16</xm:sqref>
        </x14:dataValidation>
        <x14:dataValidation type="list" allowBlank="1" showInputMessage="1" showErrorMessage="1" xr:uid="{00000000-0002-0000-0100-000002000000}">
          <x14:formula1>
            <xm:f>'Tabla Valoración controles'!$D$9:$D$10</xm:f>
          </x14:formula1>
          <xm:sqref>W10 W18:W65 W14:W16</xm:sqref>
        </x14:dataValidation>
        <x14:dataValidation type="list" allowBlank="1" showInputMessage="1" showErrorMessage="1" xr:uid="{00000000-0002-0000-0100-000003000000}">
          <x14:formula1>
            <xm:f>'Tabla Valoración controles'!$D$11:$D$12</xm:f>
          </x14:formula1>
          <xm:sqref>X10 X18:X65 X14:X16</xm:sqref>
        </x14:dataValidation>
        <x14:dataValidation type="list" allowBlank="1" showInputMessage="1" showErrorMessage="1" xr:uid="{00000000-0002-0000-0100-000004000000}">
          <x14:formula1>
            <xm:f>'Opciones Tratamiento'!$B$9:$B$10</xm:f>
          </x14:formula1>
          <xm:sqref>AL10:AL11 AL13:AL15 AL18:AL19 AL21:AL22 AL24:AL25 AL27:AL28 AL30:AL31 AL33:AL34 AL36:AL37 AL39:AL40 AL42:AL43 AL45:AL46 AL48:AL49 AL51:AL52 AL54:AL55 AL57:AL58 AL60:AL61 AL63:AL64</xm:sqref>
        </x14:dataValidation>
        <x14:dataValidation type="list" allowBlank="1" showInputMessage="1" showErrorMessage="1" xr:uid="{00000000-0002-0000-0100-000005000000}">
          <x14:formula1>
            <xm:f>'Tabla Valoración controles'!$D$13:$D$14</xm:f>
          </x14:formula1>
          <xm:sqref>Y10 Y18:Y65 Y14:Y16</xm:sqref>
        </x14:dataValidation>
        <x14:dataValidation type="list" allowBlank="1" showInputMessage="1" showErrorMessage="1" xr:uid="{00000000-0002-0000-0100-000008000000}">
          <x14:formula1>
            <xm:f>'Opciones Tratamiento'!$B$2:$B$5</xm:f>
          </x14:formula1>
          <xm:sqref>AF10 AF12:AF65</xm:sqref>
        </x14:dataValidation>
        <x14:dataValidation type="list" allowBlank="1" showInputMessage="1" showErrorMessage="1" xr:uid="{00000000-0002-0000-0100-00000F000000}">
          <x14:formula1>
            <xm:f>'C:\Users\HOME\Downloads\[Formato Matriz de Riesgos 2021 (1).xlsx]Tabla Valoración controles'!#REF!</xm:f>
          </x14:formula1>
          <xm:sqref>T11:U13 W11:Y13 T17:U17 W17:Y17</xm:sqref>
        </x14:dataValidation>
        <x14:dataValidation type="list" allowBlank="1" showInputMessage="1" showErrorMessage="1" xr:uid="{00000000-0002-0000-0100-000013000000}">
          <x14:formula1>
            <xm:f>'C:\Users\HOME\Downloads\[Formato Matriz de Riesgos 2021 (1).xlsx]Opciones Tratamiento'!#REF!</xm:f>
          </x14:formula1>
          <xm:sqref>AF11</xm:sqref>
        </x14:dataValidation>
        <x14:dataValidation type="list" allowBlank="1" showInputMessage="1" showErrorMessage="1" xr:uid="{73E78AAB-13CF-41E9-9208-06FB63FE18CA}">
          <x14:formula1>
            <xm:f>'C:\Users\HACIENDA123\Downloads\[Formato Matriz de Riesgos 2021.xlsx]Opciones Tratamiento'!#REF!</xm:f>
          </x14:formula1>
          <xm:sqref>B10:B13 H10:H13</xm:sqref>
        </x14:dataValidation>
        <x14:dataValidation type="list" allowBlank="1" showInputMessage="1" showErrorMessage="1" xr:uid="{00000000-0002-0000-0100-000006000000}">
          <x14:formula1>
            <xm:f>'Opciones Tratamiento'!$B$13:$B$19</xm:f>
          </x14:formula1>
          <xm:sqref>H14:H65</xm:sqref>
        </x14:dataValidation>
        <x14:dataValidation type="list" allowBlank="1" showInputMessage="1" showErrorMessage="1" xr:uid="{00000000-0002-0000-0100-000007000000}">
          <x14:formula1>
            <xm:f>'Opciones Tratamiento'!$E$2:$E$4</xm:f>
          </x14:formula1>
          <xm:sqref>B14:B65</xm:sqref>
        </x14:dataValidation>
        <x14:dataValidation type="list" allowBlank="1" showInputMessage="1" showErrorMessage="1" xr:uid="{00000000-0002-0000-0100-000009000000}">
          <x14:formula1>
            <xm:f>'Tabla Impacto'!$F$210:$F$221</xm:f>
          </x14:formula1>
          <xm:sqref>L10:L65</xm:sqref>
        </x14:dataValidation>
        <x14:dataValidation type="custom" allowBlank="1" showInputMessage="1" showErrorMessage="1" error="Recuerde que las acciones se generan bajo la medida de mitigar el riesgo" xr:uid="{00000000-0002-0000-0100-00000A000000}">
          <x14:formula1>
            <xm:f>IF(OR(AF10='Opciones Tratamiento'!$B$2,AF10='Opciones Tratamiento'!$B$3,AF10='Opciones Tratamiento'!$B$4),ISBLANK(AF10),ISTEXT(AF10))</xm:f>
          </x14:formula1>
          <xm:sqref>AG10:AG65</xm:sqref>
        </x14:dataValidation>
        <x14:dataValidation type="custom" allowBlank="1" showInputMessage="1" showErrorMessage="1" error="Recuerde que las acciones se generan bajo la medida de mitigar el riesgo" xr:uid="{00000000-0002-0000-0100-00000B000000}">
          <x14:formula1>
            <xm:f>IF(OR(AF10='Opciones Tratamiento'!$B$2,AF10='Opciones Tratamiento'!$B$3,AF10='Opciones Tratamiento'!$B$4),ISBLANK(AF10),ISTEXT(AF10))</xm:f>
          </x14:formula1>
          <xm:sqref>AH10:AH65</xm:sqref>
        </x14:dataValidation>
        <x14:dataValidation type="custom" allowBlank="1" showInputMessage="1" showErrorMessage="1" error="Recuerde que las acciones se generan bajo la medida de mitigar el riesgo" xr:uid="{00000000-0002-0000-0100-00000C000000}">
          <x14:formula1>
            <xm:f>IF(OR(AF10='Opciones Tratamiento'!$B$2,AF10='Opciones Tratamiento'!$B$3,AF10='Opciones Tratamiento'!$B$4),ISBLANK(AF10),ISTEXT(AF10))</xm:f>
          </x14:formula1>
          <xm:sqref>AI10:AI65</xm:sqref>
        </x14:dataValidation>
        <x14:dataValidation type="custom" allowBlank="1" showInputMessage="1" showErrorMessage="1" error="Recuerde que las acciones se generan bajo la medida de mitigar el riesgo" xr:uid="{00000000-0002-0000-0100-00000D000000}">
          <x14:formula1>
            <xm:f>IF(OR(AF10='Opciones Tratamiento'!$B$2,AF10='Opciones Tratamiento'!$B$3,AF10='Opciones Tratamiento'!$B$4),ISBLANK(AF10),ISTEXT(AF10))</xm:f>
          </x14:formula1>
          <xm:sqref>AJ10:AJ65</xm:sqref>
        </x14:dataValidation>
        <x14:dataValidation type="custom" allowBlank="1" showInputMessage="1" showErrorMessage="1" error="Recuerde que las acciones se generan bajo la medida de mitigar el riesgo" xr:uid="{00000000-0002-0000-0100-00000E000000}">
          <x14:formula1>
            <xm:f>IF(OR(AF10='Opciones Tratamiento'!$B$2,AF10='Opciones Tratamiento'!$B$3,AF10='Opciones Tratamiento'!$B$4),ISBLANK(AF10),ISTEXT(AF10))</xm:f>
          </x14:formula1>
          <xm:sqref>AK10:AK65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topLeftCell="A38" zoomScale="70" zoomScaleNormal="70" workbookViewId="0"/>
  </sheetViews>
  <sheetFormatPr baseColWidth="10" defaultRowHeight="14.4" x14ac:dyDescent="0.3"/>
  <cols>
    <col min="2" max="39" width="5.6640625" customWidth="1"/>
    <col min="41" max="46" width="5.6640625" customWidth="1"/>
  </cols>
  <sheetData>
    <row r="1" spans="1:99"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row>
    <row r="2" spans="1:99" ht="18" customHeight="1" x14ac:dyDescent="0.3">
      <c r="A2" s="67"/>
      <c r="B2" s="308" t="s">
        <v>150</v>
      </c>
      <c r="C2" s="308"/>
      <c r="D2" s="308"/>
      <c r="E2" s="308"/>
      <c r="F2" s="308"/>
      <c r="G2" s="308"/>
      <c r="H2" s="308"/>
      <c r="I2" s="308"/>
      <c r="J2" s="345" t="s">
        <v>2</v>
      </c>
      <c r="K2" s="345"/>
      <c r="L2" s="345"/>
      <c r="M2" s="345"/>
      <c r="N2" s="345"/>
      <c r="O2" s="345"/>
      <c r="P2" s="345"/>
      <c r="Q2" s="345"/>
      <c r="R2" s="345"/>
      <c r="S2" s="345"/>
      <c r="T2" s="345"/>
      <c r="U2" s="345"/>
      <c r="V2" s="345"/>
      <c r="W2" s="345"/>
      <c r="X2" s="345"/>
      <c r="Y2" s="345"/>
      <c r="Z2" s="345"/>
      <c r="AA2" s="345"/>
      <c r="AB2" s="345"/>
      <c r="AC2" s="345"/>
      <c r="AD2" s="345"/>
      <c r="AE2" s="345"/>
      <c r="AF2" s="345"/>
      <c r="AG2" s="345"/>
      <c r="AH2" s="345"/>
      <c r="AI2" s="345"/>
      <c r="AJ2" s="345"/>
      <c r="AK2" s="345"/>
      <c r="AL2" s="345"/>
      <c r="AM2" s="345"/>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row>
    <row r="3" spans="1:99" ht="18.75" customHeight="1" x14ac:dyDescent="0.3">
      <c r="A3" s="67"/>
      <c r="B3" s="308"/>
      <c r="C3" s="308"/>
      <c r="D3" s="308"/>
      <c r="E3" s="308"/>
      <c r="F3" s="308"/>
      <c r="G3" s="308"/>
      <c r="H3" s="308"/>
      <c r="I3" s="308"/>
      <c r="J3" s="345"/>
      <c r="K3" s="345"/>
      <c r="L3" s="345"/>
      <c r="M3" s="345"/>
      <c r="N3" s="345"/>
      <c r="O3" s="345"/>
      <c r="P3" s="345"/>
      <c r="Q3" s="345"/>
      <c r="R3" s="345"/>
      <c r="S3" s="345"/>
      <c r="T3" s="345"/>
      <c r="U3" s="345"/>
      <c r="V3" s="345"/>
      <c r="W3" s="345"/>
      <c r="X3" s="345"/>
      <c r="Y3" s="345"/>
      <c r="Z3" s="345"/>
      <c r="AA3" s="345"/>
      <c r="AB3" s="345"/>
      <c r="AC3" s="345"/>
      <c r="AD3" s="345"/>
      <c r="AE3" s="345"/>
      <c r="AF3" s="345"/>
      <c r="AG3" s="345"/>
      <c r="AH3" s="345"/>
      <c r="AI3" s="345"/>
      <c r="AJ3" s="345"/>
      <c r="AK3" s="345"/>
      <c r="AL3" s="345"/>
      <c r="AM3" s="345"/>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row>
    <row r="4" spans="1:99" ht="15" customHeight="1" x14ac:dyDescent="0.3">
      <c r="A4" s="67"/>
      <c r="B4" s="308"/>
      <c r="C4" s="308"/>
      <c r="D4" s="308"/>
      <c r="E4" s="308"/>
      <c r="F4" s="308"/>
      <c r="G4" s="308"/>
      <c r="H4" s="308"/>
      <c r="I4" s="308"/>
      <c r="J4" s="345"/>
      <c r="K4" s="345"/>
      <c r="L4" s="345"/>
      <c r="M4" s="345"/>
      <c r="N4" s="345"/>
      <c r="O4" s="345"/>
      <c r="P4" s="345"/>
      <c r="Q4" s="345"/>
      <c r="R4" s="345"/>
      <c r="S4" s="345"/>
      <c r="T4" s="345"/>
      <c r="U4" s="345"/>
      <c r="V4" s="345"/>
      <c r="W4" s="345"/>
      <c r="X4" s="345"/>
      <c r="Y4" s="345"/>
      <c r="Z4" s="345"/>
      <c r="AA4" s="345"/>
      <c r="AB4" s="345"/>
      <c r="AC4" s="345"/>
      <c r="AD4" s="345"/>
      <c r="AE4" s="345"/>
      <c r="AF4" s="345"/>
      <c r="AG4" s="345"/>
      <c r="AH4" s="345"/>
      <c r="AI4" s="345"/>
      <c r="AJ4" s="345"/>
      <c r="AK4" s="345"/>
      <c r="AL4" s="345"/>
      <c r="AM4" s="345"/>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row>
    <row r="5" spans="1:99" ht="15" thickBot="1" x14ac:dyDescent="0.3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row>
    <row r="6" spans="1:99" ht="15" customHeight="1" x14ac:dyDescent="0.3">
      <c r="A6" s="67"/>
      <c r="B6" s="356" t="s">
        <v>4</v>
      </c>
      <c r="C6" s="356"/>
      <c r="D6" s="357"/>
      <c r="E6" s="346" t="s">
        <v>111</v>
      </c>
      <c r="F6" s="347"/>
      <c r="G6" s="347"/>
      <c r="H6" s="347"/>
      <c r="I6" s="348"/>
      <c r="J6" s="342" t="str">
        <f ca="1">IF(AND('Mapa final'!$J$10="Muy Alta",'Mapa final'!$N$10="Leve"),CONCATENATE("R",'Mapa final'!$A$10),"")</f>
        <v/>
      </c>
      <c r="K6" s="343"/>
      <c r="L6" s="343" t="str">
        <f ca="1">IF(AND('Mapa final'!$J$14="Muy Alta",'Mapa final'!$N$14="Leve"),CONCATENATE("R",'Mapa final'!$A$14),"")</f>
        <v/>
      </c>
      <c r="M6" s="343"/>
      <c r="N6" s="343" t="str">
        <f ca="1">IF(AND('Mapa final'!$J$18="Muy Alta",'Mapa final'!$N$18="Leve"),CONCATENATE("R",'Mapa final'!$A$18),"")</f>
        <v/>
      </c>
      <c r="O6" s="344"/>
      <c r="P6" s="342" t="str">
        <f ca="1">IF(AND('Mapa final'!$J$10="Muy Alta",'Mapa final'!$N$10="Menor"),CONCATENATE("R",'Mapa final'!$A$10),"")</f>
        <v/>
      </c>
      <c r="Q6" s="343"/>
      <c r="R6" s="343" t="str">
        <f ca="1">IF(AND('Mapa final'!$J$14="Muy Alta",'Mapa final'!$N$14="Menor"),CONCATENATE("R",'Mapa final'!$A$14),"")</f>
        <v/>
      </c>
      <c r="S6" s="343"/>
      <c r="T6" s="343" t="str">
        <f ca="1">IF(AND('Mapa final'!$J$18="Muy Alta",'Mapa final'!$N$18="Menor"),CONCATENATE("R",'Mapa final'!$A$18),"")</f>
        <v/>
      </c>
      <c r="U6" s="344"/>
      <c r="V6" s="342" t="str">
        <f ca="1">IF(AND('Mapa final'!$J$10="Muy Alta",'Mapa final'!$N$10="Moderado"),CONCATENATE("R",'Mapa final'!$A$10),"")</f>
        <v/>
      </c>
      <c r="W6" s="343"/>
      <c r="X6" s="343" t="str">
        <f ca="1">IF(AND('Mapa final'!$J$14="Muy Alta",'Mapa final'!$N$14="Moderado"),CONCATENATE("R",'Mapa final'!$A$14),"")</f>
        <v/>
      </c>
      <c r="Y6" s="343"/>
      <c r="Z6" s="343" t="str">
        <f ca="1">IF(AND('Mapa final'!$J$18="Muy Alta",'Mapa final'!$N$18="Moderado"),CONCATENATE("R",'Mapa final'!$A$18),"")</f>
        <v/>
      </c>
      <c r="AA6" s="344"/>
      <c r="AB6" s="342" t="str">
        <f ca="1">IF(AND('Mapa final'!$J$10="Muy Alta",'Mapa final'!$N$10="Mayor"),CONCATENATE("R",'Mapa final'!$A$10),"")</f>
        <v/>
      </c>
      <c r="AC6" s="343"/>
      <c r="AD6" s="343" t="str">
        <f ca="1">IF(AND('Mapa final'!$J$14="Muy Alta",'Mapa final'!$N$14="Mayor"),CONCATENATE("R",'Mapa final'!$A$14),"")</f>
        <v/>
      </c>
      <c r="AE6" s="343"/>
      <c r="AF6" s="343" t="str">
        <f ca="1">IF(AND('Mapa final'!$J$18="Muy Alta",'Mapa final'!$N$18="Mayor"),CONCATENATE("R",'Mapa final'!$A$18),"")</f>
        <v/>
      </c>
      <c r="AG6" s="344"/>
      <c r="AH6" s="333" t="str">
        <f ca="1">IF(AND('Mapa final'!$J$10="Muy Alta",'Mapa final'!$N$10="Catastrófico"),CONCATENATE("R",'Mapa final'!$A$10),"")</f>
        <v/>
      </c>
      <c r="AI6" s="334"/>
      <c r="AJ6" s="334" t="str">
        <f ca="1">IF(AND('Mapa final'!$J$14="Muy Alta",'Mapa final'!$N$14="Catastrófico"),CONCATENATE("R",'Mapa final'!$A$14),"")</f>
        <v/>
      </c>
      <c r="AK6" s="334"/>
      <c r="AL6" s="334" t="str">
        <f ca="1">IF(AND('Mapa final'!$J$18="Muy Alta",'Mapa final'!$N$18="Catastrófico"),CONCATENATE("R",'Mapa final'!$A$18),"")</f>
        <v/>
      </c>
      <c r="AM6" s="335"/>
      <c r="AO6" s="358" t="s">
        <v>78</v>
      </c>
      <c r="AP6" s="359"/>
      <c r="AQ6" s="359"/>
      <c r="AR6" s="359"/>
      <c r="AS6" s="359"/>
      <c r="AT6" s="360"/>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row>
    <row r="7" spans="1:99" ht="15" customHeight="1" x14ac:dyDescent="0.3">
      <c r="A7" s="67"/>
      <c r="B7" s="356"/>
      <c r="C7" s="356"/>
      <c r="D7" s="357"/>
      <c r="E7" s="349"/>
      <c r="F7" s="350"/>
      <c r="G7" s="350"/>
      <c r="H7" s="350"/>
      <c r="I7" s="351"/>
      <c r="J7" s="336"/>
      <c r="K7" s="337"/>
      <c r="L7" s="337"/>
      <c r="M7" s="337"/>
      <c r="N7" s="337"/>
      <c r="O7" s="338"/>
      <c r="P7" s="336"/>
      <c r="Q7" s="337"/>
      <c r="R7" s="337"/>
      <c r="S7" s="337"/>
      <c r="T7" s="337"/>
      <c r="U7" s="338"/>
      <c r="V7" s="336"/>
      <c r="W7" s="337"/>
      <c r="X7" s="337"/>
      <c r="Y7" s="337"/>
      <c r="Z7" s="337"/>
      <c r="AA7" s="338"/>
      <c r="AB7" s="336"/>
      <c r="AC7" s="337"/>
      <c r="AD7" s="337"/>
      <c r="AE7" s="337"/>
      <c r="AF7" s="337"/>
      <c r="AG7" s="338"/>
      <c r="AH7" s="327"/>
      <c r="AI7" s="328"/>
      <c r="AJ7" s="328"/>
      <c r="AK7" s="328"/>
      <c r="AL7" s="328"/>
      <c r="AM7" s="329"/>
      <c r="AN7" s="67"/>
      <c r="AO7" s="361"/>
      <c r="AP7" s="362"/>
      <c r="AQ7" s="362"/>
      <c r="AR7" s="362"/>
      <c r="AS7" s="362"/>
      <c r="AT7" s="363"/>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row>
    <row r="8" spans="1:99" ht="15" customHeight="1" x14ac:dyDescent="0.3">
      <c r="A8" s="67"/>
      <c r="B8" s="356"/>
      <c r="C8" s="356"/>
      <c r="D8" s="357"/>
      <c r="E8" s="349"/>
      <c r="F8" s="350"/>
      <c r="G8" s="350"/>
      <c r="H8" s="350"/>
      <c r="I8" s="351"/>
      <c r="J8" s="336" t="str">
        <f ca="1">IF(AND('Mapa final'!$J$24="Muy Alta",'Mapa final'!$N$24="Leve"),CONCATENATE("R",'Mapa final'!$A$24),"")</f>
        <v/>
      </c>
      <c r="K8" s="337"/>
      <c r="L8" s="337" t="str">
        <f ca="1">IF(AND('Mapa final'!$J$30="Muy Alta",'Mapa final'!$N$30="Leve"),CONCATENATE("R",'Mapa final'!$A$30),"")</f>
        <v/>
      </c>
      <c r="M8" s="337"/>
      <c r="N8" s="337" t="str">
        <f ca="1">IF(AND('Mapa final'!$J$36="Muy Alta",'Mapa final'!$N$36="Leve"),CONCATENATE("R",'Mapa final'!$A$36),"")</f>
        <v/>
      </c>
      <c r="O8" s="338"/>
      <c r="P8" s="336" t="str">
        <f ca="1">IF(AND('Mapa final'!$J$24="Muy Alta",'Mapa final'!$N$24="Menor"),CONCATENATE("R",'Mapa final'!$A$24),"")</f>
        <v/>
      </c>
      <c r="Q8" s="337"/>
      <c r="R8" s="337" t="str">
        <f ca="1">IF(AND('Mapa final'!$J$30="Muy Alta",'Mapa final'!$N$30="Menor"),CONCATENATE("R",'Mapa final'!$A$30),"")</f>
        <v/>
      </c>
      <c r="S8" s="337"/>
      <c r="T8" s="337" t="str">
        <f ca="1">IF(AND('Mapa final'!$J$36="Muy Alta",'Mapa final'!$N$36="Menor"),CONCATENATE("R",'Mapa final'!$A$36),"")</f>
        <v/>
      </c>
      <c r="U8" s="338"/>
      <c r="V8" s="336" t="str">
        <f ca="1">IF(AND('Mapa final'!$J$24="Muy Alta",'Mapa final'!$N$24="Moderado"),CONCATENATE("R",'Mapa final'!$A$24),"")</f>
        <v/>
      </c>
      <c r="W8" s="337"/>
      <c r="X8" s="337" t="str">
        <f ca="1">IF(AND('Mapa final'!$J$30="Muy Alta",'Mapa final'!$N$30="Moderado"),CONCATENATE("R",'Mapa final'!$A$30),"")</f>
        <v/>
      </c>
      <c r="Y8" s="337"/>
      <c r="Z8" s="337" t="str">
        <f ca="1">IF(AND('Mapa final'!$J$36="Muy Alta",'Mapa final'!$N$36="Moderado"),CONCATENATE("R",'Mapa final'!$A$36),"")</f>
        <v/>
      </c>
      <c r="AA8" s="338"/>
      <c r="AB8" s="336" t="str">
        <f ca="1">IF(AND('Mapa final'!$J$24="Muy Alta",'Mapa final'!$N$24="Mayor"),CONCATENATE("R",'Mapa final'!$A$24),"")</f>
        <v/>
      </c>
      <c r="AC8" s="337"/>
      <c r="AD8" s="337" t="str">
        <f ca="1">IF(AND('Mapa final'!$J$30="Muy Alta",'Mapa final'!$N$30="Mayor"),CONCATENATE("R",'Mapa final'!$A$30),"")</f>
        <v/>
      </c>
      <c r="AE8" s="337"/>
      <c r="AF8" s="337" t="str">
        <f ca="1">IF(AND('Mapa final'!$J$36="Muy Alta",'Mapa final'!$N$36="Mayor"),CONCATENATE("R",'Mapa final'!$A$36),"")</f>
        <v/>
      </c>
      <c r="AG8" s="338"/>
      <c r="AH8" s="327" t="str">
        <f ca="1">IF(AND('Mapa final'!$J$24="Muy Alta",'Mapa final'!$N$24="Catastrófico"),CONCATENATE("R",'Mapa final'!$A$24),"")</f>
        <v/>
      </c>
      <c r="AI8" s="328"/>
      <c r="AJ8" s="328" t="str">
        <f ca="1">IF(AND('Mapa final'!$J$30="Muy Alta",'Mapa final'!$N$30="Catastrófico"),CONCATENATE("R",'Mapa final'!$A$30),"")</f>
        <v/>
      </c>
      <c r="AK8" s="328"/>
      <c r="AL8" s="328" t="str">
        <f ca="1">IF(AND('Mapa final'!$J$36="Muy Alta",'Mapa final'!$N$36="Catastrófico"),CONCATENATE("R",'Mapa final'!$A$36),"")</f>
        <v/>
      </c>
      <c r="AM8" s="329"/>
      <c r="AN8" s="67"/>
      <c r="AO8" s="361"/>
      <c r="AP8" s="362"/>
      <c r="AQ8" s="362"/>
      <c r="AR8" s="362"/>
      <c r="AS8" s="362"/>
      <c r="AT8" s="363"/>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row>
    <row r="9" spans="1:99" ht="15" customHeight="1" x14ac:dyDescent="0.3">
      <c r="A9" s="67"/>
      <c r="B9" s="356"/>
      <c r="C9" s="356"/>
      <c r="D9" s="357"/>
      <c r="E9" s="349"/>
      <c r="F9" s="350"/>
      <c r="G9" s="350"/>
      <c r="H9" s="350"/>
      <c r="I9" s="351"/>
      <c r="J9" s="336"/>
      <c r="K9" s="337"/>
      <c r="L9" s="337"/>
      <c r="M9" s="337"/>
      <c r="N9" s="337"/>
      <c r="O9" s="338"/>
      <c r="P9" s="336"/>
      <c r="Q9" s="337"/>
      <c r="R9" s="337"/>
      <c r="S9" s="337"/>
      <c r="T9" s="337"/>
      <c r="U9" s="338"/>
      <c r="V9" s="336"/>
      <c r="W9" s="337"/>
      <c r="X9" s="337"/>
      <c r="Y9" s="337"/>
      <c r="Z9" s="337"/>
      <c r="AA9" s="338"/>
      <c r="AB9" s="336"/>
      <c r="AC9" s="337"/>
      <c r="AD9" s="337"/>
      <c r="AE9" s="337"/>
      <c r="AF9" s="337"/>
      <c r="AG9" s="338"/>
      <c r="AH9" s="327"/>
      <c r="AI9" s="328"/>
      <c r="AJ9" s="328"/>
      <c r="AK9" s="328"/>
      <c r="AL9" s="328"/>
      <c r="AM9" s="329"/>
      <c r="AN9" s="67"/>
      <c r="AO9" s="361"/>
      <c r="AP9" s="362"/>
      <c r="AQ9" s="362"/>
      <c r="AR9" s="362"/>
      <c r="AS9" s="362"/>
      <c r="AT9" s="363"/>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row>
    <row r="10" spans="1:99" ht="15" customHeight="1" x14ac:dyDescent="0.3">
      <c r="A10" s="67"/>
      <c r="B10" s="356"/>
      <c r="C10" s="356"/>
      <c r="D10" s="357"/>
      <c r="E10" s="349"/>
      <c r="F10" s="350"/>
      <c r="G10" s="350"/>
      <c r="H10" s="350"/>
      <c r="I10" s="351"/>
      <c r="J10" s="336" t="str">
        <f ca="1">IF(AND('Mapa final'!$J$42="Muy Alta",'Mapa final'!$N$42="Leve"),CONCATENATE("R",'Mapa final'!$A$42),"")</f>
        <v/>
      </c>
      <c r="K10" s="337"/>
      <c r="L10" s="337" t="str">
        <f ca="1">IF(AND('Mapa final'!$J$48="Muy Alta",'Mapa final'!$N$48="Leve"),CONCATENATE("R",'Mapa final'!$A$48),"")</f>
        <v/>
      </c>
      <c r="M10" s="337"/>
      <c r="N10" s="337" t="str">
        <f ca="1">IF(AND('Mapa final'!$J$54="Muy Alta",'Mapa final'!$N$54="Leve"),CONCATENATE("R",'Mapa final'!$A$54),"")</f>
        <v/>
      </c>
      <c r="O10" s="338"/>
      <c r="P10" s="336" t="str">
        <f ca="1">IF(AND('Mapa final'!$J$42="Muy Alta",'Mapa final'!$N$42="Menor"),CONCATENATE("R",'Mapa final'!$A$42),"")</f>
        <v/>
      </c>
      <c r="Q10" s="337"/>
      <c r="R10" s="337" t="str">
        <f ca="1">IF(AND('Mapa final'!$J$48="Muy Alta",'Mapa final'!$N$48="Menor"),CONCATENATE("R",'Mapa final'!$A$48),"")</f>
        <v/>
      </c>
      <c r="S10" s="337"/>
      <c r="T10" s="337" t="str">
        <f ca="1">IF(AND('Mapa final'!$J$54="Muy Alta",'Mapa final'!$N$54="Menor"),CONCATENATE("R",'Mapa final'!$A$54),"")</f>
        <v/>
      </c>
      <c r="U10" s="338"/>
      <c r="V10" s="336" t="str">
        <f ca="1">IF(AND('Mapa final'!$J$42="Muy Alta",'Mapa final'!$N$42="Moderado"),CONCATENATE("R",'Mapa final'!$A$42),"")</f>
        <v/>
      </c>
      <c r="W10" s="337"/>
      <c r="X10" s="337" t="str">
        <f ca="1">IF(AND('Mapa final'!$J$48="Muy Alta",'Mapa final'!$N$48="Moderado"),CONCATENATE("R",'Mapa final'!$A$48),"")</f>
        <v/>
      </c>
      <c r="Y10" s="337"/>
      <c r="Z10" s="337" t="str">
        <f ca="1">IF(AND('Mapa final'!$J$54="Muy Alta",'Mapa final'!$N$54="Moderado"),CONCATENATE("R",'Mapa final'!$A$54),"")</f>
        <v/>
      </c>
      <c r="AA10" s="338"/>
      <c r="AB10" s="336" t="str">
        <f ca="1">IF(AND('Mapa final'!$J$42="Muy Alta",'Mapa final'!$N$42="Mayor"),CONCATENATE("R",'Mapa final'!$A$42),"")</f>
        <v/>
      </c>
      <c r="AC10" s="337"/>
      <c r="AD10" s="337" t="str">
        <f ca="1">IF(AND('Mapa final'!$J$48="Muy Alta",'Mapa final'!$N$48="Mayor"),CONCATENATE("R",'Mapa final'!$A$48),"")</f>
        <v/>
      </c>
      <c r="AE10" s="337"/>
      <c r="AF10" s="337" t="str">
        <f ca="1">IF(AND('Mapa final'!$J$54="Muy Alta",'Mapa final'!$N$54="Mayor"),CONCATENATE("R",'Mapa final'!$A$54),"")</f>
        <v/>
      </c>
      <c r="AG10" s="338"/>
      <c r="AH10" s="327" t="str">
        <f ca="1">IF(AND('Mapa final'!$J$42="Muy Alta",'Mapa final'!$N$42="Catastrófico"),CONCATENATE("R",'Mapa final'!$A$42),"")</f>
        <v/>
      </c>
      <c r="AI10" s="328"/>
      <c r="AJ10" s="328" t="str">
        <f ca="1">IF(AND('Mapa final'!$J$48="Muy Alta",'Mapa final'!$N$48="Catastrófico"),CONCATENATE("R",'Mapa final'!$A$48),"")</f>
        <v/>
      </c>
      <c r="AK10" s="328"/>
      <c r="AL10" s="328" t="str">
        <f ca="1">IF(AND('Mapa final'!$J$54="Muy Alta",'Mapa final'!$N$54="Catastrófico"),CONCATENATE("R",'Mapa final'!$A$54),"")</f>
        <v/>
      </c>
      <c r="AM10" s="329"/>
      <c r="AN10" s="67"/>
      <c r="AO10" s="361"/>
      <c r="AP10" s="362"/>
      <c r="AQ10" s="362"/>
      <c r="AR10" s="362"/>
      <c r="AS10" s="362"/>
      <c r="AT10" s="363"/>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row>
    <row r="11" spans="1:99" ht="15" customHeight="1" x14ac:dyDescent="0.3">
      <c r="A11" s="67"/>
      <c r="B11" s="356"/>
      <c r="C11" s="356"/>
      <c r="D11" s="357"/>
      <c r="E11" s="349"/>
      <c r="F11" s="350"/>
      <c r="G11" s="350"/>
      <c r="H11" s="350"/>
      <c r="I11" s="351"/>
      <c r="J11" s="336"/>
      <c r="K11" s="337"/>
      <c r="L11" s="337"/>
      <c r="M11" s="337"/>
      <c r="N11" s="337"/>
      <c r="O11" s="338"/>
      <c r="P11" s="336"/>
      <c r="Q11" s="337"/>
      <c r="R11" s="337"/>
      <c r="S11" s="337"/>
      <c r="T11" s="337"/>
      <c r="U11" s="338"/>
      <c r="V11" s="336"/>
      <c r="W11" s="337"/>
      <c r="X11" s="337"/>
      <c r="Y11" s="337"/>
      <c r="Z11" s="337"/>
      <c r="AA11" s="338"/>
      <c r="AB11" s="336"/>
      <c r="AC11" s="337"/>
      <c r="AD11" s="337"/>
      <c r="AE11" s="337"/>
      <c r="AF11" s="337"/>
      <c r="AG11" s="338"/>
      <c r="AH11" s="327"/>
      <c r="AI11" s="328"/>
      <c r="AJ11" s="328"/>
      <c r="AK11" s="328"/>
      <c r="AL11" s="328"/>
      <c r="AM11" s="329"/>
      <c r="AN11" s="67"/>
      <c r="AO11" s="361"/>
      <c r="AP11" s="362"/>
      <c r="AQ11" s="362"/>
      <c r="AR11" s="362"/>
      <c r="AS11" s="362"/>
      <c r="AT11" s="363"/>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row>
    <row r="12" spans="1:99" ht="15" customHeight="1" x14ac:dyDescent="0.3">
      <c r="A12" s="67"/>
      <c r="B12" s="356"/>
      <c r="C12" s="356"/>
      <c r="D12" s="357"/>
      <c r="E12" s="349"/>
      <c r="F12" s="350"/>
      <c r="G12" s="350"/>
      <c r="H12" s="350"/>
      <c r="I12" s="351"/>
      <c r="J12" s="336" t="str">
        <f ca="1">IF(AND('Mapa final'!$J$60="Muy Alta",'Mapa final'!$N$60="Leve"),CONCATENATE("R",'Mapa final'!$A$60),"")</f>
        <v/>
      </c>
      <c r="K12" s="337"/>
      <c r="L12" s="337" t="str">
        <f>IF(AND('Mapa final'!$J$66="Muy Alta",'Mapa final'!$N$66="Leve"),CONCATENATE("R",'Mapa final'!$A$66),"")</f>
        <v/>
      </c>
      <c r="M12" s="337"/>
      <c r="N12" s="337" t="str">
        <f>IF(AND('Mapa final'!$J$72="Muy Alta",'Mapa final'!$N$72="Leve"),CONCATENATE("R",'Mapa final'!$A$72),"")</f>
        <v/>
      </c>
      <c r="O12" s="338"/>
      <c r="P12" s="336" t="str">
        <f ca="1">IF(AND('Mapa final'!$J$60="Muy Alta",'Mapa final'!$N$60="Menor"),CONCATENATE("R",'Mapa final'!$A$60),"")</f>
        <v/>
      </c>
      <c r="Q12" s="337"/>
      <c r="R12" s="337" t="str">
        <f>IF(AND('Mapa final'!$J$66="Muy Alta",'Mapa final'!$N$66="Menor"),CONCATENATE("R",'Mapa final'!$A$66),"")</f>
        <v/>
      </c>
      <c r="S12" s="337"/>
      <c r="T12" s="337" t="str">
        <f>IF(AND('Mapa final'!$J$72="Muy Alta",'Mapa final'!$N$72="Menor"),CONCATENATE("R",'Mapa final'!$A$72),"")</f>
        <v/>
      </c>
      <c r="U12" s="338"/>
      <c r="V12" s="336" t="str">
        <f ca="1">IF(AND('Mapa final'!$J$60="Muy Alta",'Mapa final'!$N$60="Moderado"),CONCATENATE("R",'Mapa final'!$A$60),"")</f>
        <v/>
      </c>
      <c r="W12" s="337"/>
      <c r="X12" s="337" t="str">
        <f>IF(AND('Mapa final'!$J$66="Muy Alta",'Mapa final'!$N$66="Moderado"),CONCATENATE("R",'Mapa final'!$A$66),"")</f>
        <v/>
      </c>
      <c r="Y12" s="337"/>
      <c r="Z12" s="337" t="str">
        <f>IF(AND('Mapa final'!$J$72="Muy Alta",'Mapa final'!$N$72="Moderado"),CONCATENATE("R",'Mapa final'!$A$72),"")</f>
        <v/>
      </c>
      <c r="AA12" s="338"/>
      <c r="AB12" s="336" t="str">
        <f ca="1">IF(AND('Mapa final'!$J$60="Muy Alta",'Mapa final'!$N$60="Mayor"),CONCATENATE("R",'Mapa final'!$A$60),"")</f>
        <v/>
      </c>
      <c r="AC12" s="337"/>
      <c r="AD12" s="337" t="str">
        <f>IF(AND('Mapa final'!$J$66="Muy Alta",'Mapa final'!$N$66="Mayor"),CONCATENATE("R",'Mapa final'!$A$66),"")</f>
        <v/>
      </c>
      <c r="AE12" s="337"/>
      <c r="AF12" s="337" t="str">
        <f>IF(AND('Mapa final'!$J$72="Muy Alta",'Mapa final'!$N$72="Mayor"),CONCATENATE("R",'Mapa final'!$A$72),"")</f>
        <v/>
      </c>
      <c r="AG12" s="338"/>
      <c r="AH12" s="327" t="str">
        <f ca="1">IF(AND('Mapa final'!$J$60="Muy Alta",'Mapa final'!$N$60="Catastrófico"),CONCATENATE("R",'Mapa final'!$A$60),"")</f>
        <v/>
      </c>
      <c r="AI12" s="328"/>
      <c r="AJ12" s="328" t="str">
        <f>IF(AND('Mapa final'!$J$66="Muy Alta",'Mapa final'!$N$66="Catastrófico"),CONCATENATE("R",'Mapa final'!$A$66),"")</f>
        <v/>
      </c>
      <c r="AK12" s="328"/>
      <c r="AL12" s="328" t="str">
        <f>IF(AND('Mapa final'!$J$72="Muy Alta",'Mapa final'!$N$72="Catastrófico"),CONCATENATE("R",'Mapa final'!$A$72),"")</f>
        <v/>
      </c>
      <c r="AM12" s="329"/>
      <c r="AN12" s="67"/>
      <c r="AO12" s="361"/>
      <c r="AP12" s="362"/>
      <c r="AQ12" s="362"/>
      <c r="AR12" s="362"/>
      <c r="AS12" s="362"/>
      <c r="AT12" s="363"/>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row>
    <row r="13" spans="1:99" ht="15.75" customHeight="1" thickBot="1" x14ac:dyDescent="0.35">
      <c r="A13" s="67"/>
      <c r="B13" s="356"/>
      <c r="C13" s="356"/>
      <c r="D13" s="357"/>
      <c r="E13" s="352"/>
      <c r="F13" s="353"/>
      <c r="G13" s="353"/>
      <c r="H13" s="353"/>
      <c r="I13" s="354"/>
      <c r="J13" s="336"/>
      <c r="K13" s="337"/>
      <c r="L13" s="337"/>
      <c r="M13" s="337"/>
      <c r="N13" s="337"/>
      <c r="O13" s="338"/>
      <c r="P13" s="336"/>
      <c r="Q13" s="337"/>
      <c r="R13" s="337"/>
      <c r="S13" s="337"/>
      <c r="T13" s="337"/>
      <c r="U13" s="338"/>
      <c r="V13" s="336"/>
      <c r="W13" s="337"/>
      <c r="X13" s="337"/>
      <c r="Y13" s="337"/>
      <c r="Z13" s="337"/>
      <c r="AA13" s="338"/>
      <c r="AB13" s="336"/>
      <c r="AC13" s="337"/>
      <c r="AD13" s="337"/>
      <c r="AE13" s="337"/>
      <c r="AF13" s="337"/>
      <c r="AG13" s="338"/>
      <c r="AH13" s="330"/>
      <c r="AI13" s="331"/>
      <c r="AJ13" s="331"/>
      <c r="AK13" s="331"/>
      <c r="AL13" s="331"/>
      <c r="AM13" s="332"/>
      <c r="AN13" s="67"/>
      <c r="AO13" s="364"/>
      <c r="AP13" s="365"/>
      <c r="AQ13" s="365"/>
      <c r="AR13" s="365"/>
      <c r="AS13" s="365"/>
      <c r="AT13" s="366"/>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row>
    <row r="14" spans="1:99" ht="15" customHeight="1" x14ac:dyDescent="0.3">
      <c r="A14" s="67"/>
      <c r="B14" s="356"/>
      <c r="C14" s="356"/>
      <c r="D14" s="357"/>
      <c r="E14" s="346" t="s">
        <v>110</v>
      </c>
      <c r="F14" s="347"/>
      <c r="G14" s="347"/>
      <c r="H14" s="347"/>
      <c r="I14" s="347"/>
      <c r="J14" s="324" t="str">
        <f ca="1">IF(AND('Mapa final'!$J$10="Alta",'Mapa final'!$N$10="Leve"),CONCATENATE("R",'Mapa final'!$A$10),"")</f>
        <v/>
      </c>
      <c r="K14" s="325"/>
      <c r="L14" s="325" t="str">
        <f ca="1">IF(AND('Mapa final'!$J$14="Alta",'Mapa final'!$N$14="Leve"),CONCATENATE("R",'Mapa final'!$A$14),"")</f>
        <v/>
      </c>
      <c r="M14" s="325"/>
      <c r="N14" s="325" t="str">
        <f ca="1">IF(AND('Mapa final'!$J$18="Alta",'Mapa final'!$N$18="Leve"),CONCATENATE("R",'Mapa final'!$A$18),"")</f>
        <v/>
      </c>
      <c r="O14" s="326"/>
      <c r="P14" s="324" t="str">
        <f ca="1">IF(AND('Mapa final'!$J$10="Alta",'Mapa final'!$N$10="Menor"),CONCATENATE("R",'Mapa final'!$A$10),"")</f>
        <v/>
      </c>
      <c r="Q14" s="325"/>
      <c r="R14" s="325" t="str">
        <f ca="1">IF(AND('Mapa final'!$J$14="Alta",'Mapa final'!$N$14="Menor"),CONCATENATE("R",'Mapa final'!$A$14),"")</f>
        <v/>
      </c>
      <c r="S14" s="325"/>
      <c r="T14" s="325" t="str">
        <f ca="1">IF(AND('Mapa final'!$J$18="Alta",'Mapa final'!$N$18="Menor"),CONCATENATE("R",'Mapa final'!$A$18),"")</f>
        <v/>
      </c>
      <c r="U14" s="326"/>
      <c r="V14" s="342" t="str">
        <f ca="1">IF(AND('Mapa final'!$J$10="Alta",'Mapa final'!$N$10="Moderado"),CONCATENATE("R",'Mapa final'!$A$10),"")</f>
        <v/>
      </c>
      <c r="W14" s="343"/>
      <c r="X14" s="343" t="str">
        <f ca="1">IF(AND('Mapa final'!$J$14="Alta",'Mapa final'!$N$14="Moderado"),CONCATENATE("R",'Mapa final'!$A$14),"")</f>
        <v/>
      </c>
      <c r="Y14" s="343"/>
      <c r="Z14" s="343" t="str">
        <f ca="1">IF(AND('Mapa final'!$J$18="Alta",'Mapa final'!$N$18="Moderado"),CONCATENATE("R",'Mapa final'!$A$18),"")</f>
        <v/>
      </c>
      <c r="AA14" s="344"/>
      <c r="AB14" s="342" t="str">
        <f ca="1">IF(AND('Mapa final'!$J$10="Alta",'Mapa final'!$N$10="Mayor"),CONCATENATE("R",'Mapa final'!$A$10),"")</f>
        <v/>
      </c>
      <c r="AC14" s="343"/>
      <c r="AD14" s="343" t="str">
        <f ca="1">IF(AND('Mapa final'!$J$14="Alta",'Mapa final'!$N$14="Mayor"),CONCATENATE("R",'Mapa final'!$A$14),"")</f>
        <v/>
      </c>
      <c r="AE14" s="343"/>
      <c r="AF14" s="343" t="str">
        <f ca="1">IF(AND('Mapa final'!$J$18="Alta",'Mapa final'!$N$18="Mayor"),CONCATENATE("R",'Mapa final'!$A$18),"")</f>
        <v/>
      </c>
      <c r="AG14" s="344"/>
      <c r="AH14" s="333" t="str">
        <f ca="1">IF(AND('Mapa final'!$J$10="Alta",'Mapa final'!$N$10="Catastrófico"),CONCATENATE("R",'Mapa final'!$A$10),"")</f>
        <v/>
      </c>
      <c r="AI14" s="334"/>
      <c r="AJ14" s="334" t="str">
        <f ca="1">IF(AND('Mapa final'!$J$14="Alta",'Mapa final'!$N$14="Catastrófico"),CONCATENATE("R",'Mapa final'!$A$14),"")</f>
        <v/>
      </c>
      <c r="AK14" s="334"/>
      <c r="AL14" s="334" t="str">
        <f ca="1">IF(AND('Mapa final'!$J$18="Alta",'Mapa final'!$N$18="Catastrófico"),CONCATENATE("R",'Mapa final'!$A$18),"")</f>
        <v/>
      </c>
      <c r="AM14" s="335"/>
      <c r="AN14" s="67"/>
      <c r="AO14" s="367" t="s">
        <v>79</v>
      </c>
      <c r="AP14" s="368"/>
      <c r="AQ14" s="368"/>
      <c r="AR14" s="368"/>
      <c r="AS14" s="368"/>
      <c r="AT14" s="369"/>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row>
    <row r="15" spans="1:99" ht="15" customHeight="1" x14ac:dyDescent="0.3">
      <c r="A15" s="67"/>
      <c r="B15" s="356"/>
      <c r="C15" s="356"/>
      <c r="D15" s="357"/>
      <c r="E15" s="349"/>
      <c r="F15" s="350"/>
      <c r="G15" s="350"/>
      <c r="H15" s="350"/>
      <c r="I15" s="350"/>
      <c r="J15" s="318"/>
      <c r="K15" s="319"/>
      <c r="L15" s="319"/>
      <c r="M15" s="319"/>
      <c r="N15" s="319"/>
      <c r="O15" s="320"/>
      <c r="P15" s="318"/>
      <c r="Q15" s="319"/>
      <c r="R15" s="319"/>
      <c r="S15" s="319"/>
      <c r="T15" s="319"/>
      <c r="U15" s="320"/>
      <c r="V15" s="336"/>
      <c r="W15" s="337"/>
      <c r="X15" s="337"/>
      <c r="Y15" s="337"/>
      <c r="Z15" s="337"/>
      <c r="AA15" s="338"/>
      <c r="AB15" s="336"/>
      <c r="AC15" s="337"/>
      <c r="AD15" s="337"/>
      <c r="AE15" s="337"/>
      <c r="AF15" s="337"/>
      <c r="AG15" s="338"/>
      <c r="AH15" s="327"/>
      <c r="AI15" s="328"/>
      <c r="AJ15" s="328"/>
      <c r="AK15" s="328"/>
      <c r="AL15" s="328"/>
      <c r="AM15" s="329"/>
      <c r="AN15" s="67"/>
      <c r="AO15" s="370"/>
      <c r="AP15" s="371"/>
      <c r="AQ15" s="371"/>
      <c r="AR15" s="371"/>
      <c r="AS15" s="371"/>
      <c r="AT15" s="372"/>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row>
    <row r="16" spans="1:99" ht="15" customHeight="1" x14ac:dyDescent="0.3">
      <c r="A16" s="67"/>
      <c r="B16" s="356"/>
      <c r="C16" s="356"/>
      <c r="D16" s="357"/>
      <c r="E16" s="349"/>
      <c r="F16" s="350"/>
      <c r="G16" s="350"/>
      <c r="H16" s="350"/>
      <c r="I16" s="350"/>
      <c r="J16" s="318" t="str">
        <f ca="1">IF(AND('Mapa final'!$J$24="Alta",'Mapa final'!$N$24="Leve"),CONCATENATE("R",'Mapa final'!$A$24),"")</f>
        <v/>
      </c>
      <c r="K16" s="319"/>
      <c r="L16" s="319" t="str">
        <f ca="1">IF(AND('Mapa final'!$J$30="Alta",'Mapa final'!$N$30="Leve"),CONCATENATE("R",'Mapa final'!$A$30),"")</f>
        <v/>
      </c>
      <c r="M16" s="319"/>
      <c r="N16" s="319" t="str">
        <f ca="1">IF(AND('Mapa final'!$J$36="Alta",'Mapa final'!$N$36="Leve"),CONCATENATE("R",'Mapa final'!$A$36),"")</f>
        <v/>
      </c>
      <c r="O16" s="320"/>
      <c r="P16" s="318" t="str">
        <f ca="1">IF(AND('Mapa final'!$J$24="Alta",'Mapa final'!$N$24="Menor"),CONCATENATE("R",'Mapa final'!$A$24),"")</f>
        <v/>
      </c>
      <c r="Q16" s="319"/>
      <c r="R16" s="319" t="str">
        <f ca="1">IF(AND('Mapa final'!$J$30="Alta",'Mapa final'!$N$30="Menor"),CONCATENATE("R",'Mapa final'!$A$30),"")</f>
        <v/>
      </c>
      <c r="S16" s="319"/>
      <c r="T16" s="319" t="str">
        <f ca="1">IF(AND('Mapa final'!$J$36="Alta",'Mapa final'!$N$36="Menor"),CONCATENATE("R",'Mapa final'!$A$36),"")</f>
        <v/>
      </c>
      <c r="U16" s="320"/>
      <c r="V16" s="336" t="str">
        <f ca="1">IF(AND('Mapa final'!$J$24="Alta",'Mapa final'!$N$24="Moderado"),CONCATENATE("R",'Mapa final'!$A$24),"")</f>
        <v/>
      </c>
      <c r="W16" s="337"/>
      <c r="X16" s="337" t="str">
        <f ca="1">IF(AND('Mapa final'!$J$30="Alta",'Mapa final'!$N$30="Moderado"),CONCATENATE("R",'Mapa final'!$A$30),"")</f>
        <v/>
      </c>
      <c r="Y16" s="337"/>
      <c r="Z16" s="337" t="str">
        <f ca="1">IF(AND('Mapa final'!$J$36="Alta",'Mapa final'!$N$36="Moderado"),CONCATENATE("R",'Mapa final'!$A$36),"")</f>
        <v/>
      </c>
      <c r="AA16" s="338"/>
      <c r="AB16" s="336" t="str">
        <f ca="1">IF(AND('Mapa final'!$J$24="Alta",'Mapa final'!$N$24="Mayor"),CONCATENATE("R",'Mapa final'!$A$24),"")</f>
        <v/>
      </c>
      <c r="AC16" s="337"/>
      <c r="AD16" s="337" t="str">
        <f ca="1">IF(AND('Mapa final'!$J$30="Alta",'Mapa final'!$N$30="Mayor"),CONCATENATE("R",'Mapa final'!$A$30),"")</f>
        <v/>
      </c>
      <c r="AE16" s="337"/>
      <c r="AF16" s="337" t="str">
        <f ca="1">IF(AND('Mapa final'!$J$36="Alta",'Mapa final'!$N$36="Mayor"),CONCATENATE("R",'Mapa final'!$A$36),"")</f>
        <v/>
      </c>
      <c r="AG16" s="338"/>
      <c r="AH16" s="327" t="str">
        <f ca="1">IF(AND('Mapa final'!$J$24="Alta",'Mapa final'!$N$24="Catastrófico"),CONCATENATE("R",'Mapa final'!$A$24),"")</f>
        <v/>
      </c>
      <c r="AI16" s="328"/>
      <c r="AJ16" s="328" t="str">
        <f ca="1">IF(AND('Mapa final'!$J$30="Alta",'Mapa final'!$N$30="Catastrófico"),CONCATENATE("R",'Mapa final'!$A$30),"")</f>
        <v/>
      </c>
      <c r="AK16" s="328"/>
      <c r="AL16" s="328" t="str">
        <f ca="1">IF(AND('Mapa final'!$J$36="Alta",'Mapa final'!$N$36="Catastrófico"),CONCATENATE("R",'Mapa final'!$A$36),"")</f>
        <v/>
      </c>
      <c r="AM16" s="329"/>
      <c r="AN16" s="67"/>
      <c r="AO16" s="370"/>
      <c r="AP16" s="371"/>
      <c r="AQ16" s="371"/>
      <c r="AR16" s="371"/>
      <c r="AS16" s="371"/>
      <c r="AT16" s="372"/>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row>
    <row r="17" spans="1:80" ht="15" customHeight="1" x14ac:dyDescent="0.3">
      <c r="A17" s="67"/>
      <c r="B17" s="356"/>
      <c r="C17" s="356"/>
      <c r="D17" s="357"/>
      <c r="E17" s="349"/>
      <c r="F17" s="350"/>
      <c r="G17" s="350"/>
      <c r="H17" s="350"/>
      <c r="I17" s="350"/>
      <c r="J17" s="318"/>
      <c r="K17" s="319"/>
      <c r="L17" s="319"/>
      <c r="M17" s="319"/>
      <c r="N17" s="319"/>
      <c r="O17" s="320"/>
      <c r="P17" s="318"/>
      <c r="Q17" s="319"/>
      <c r="R17" s="319"/>
      <c r="S17" s="319"/>
      <c r="T17" s="319"/>
      <c r="U17" s="320"/>
      <c r="V17" s="336"/>
      <c r="W17" s="337"/>
      <c r="X17" s="337"/>
      <c r="Y17" s="337"/>
      <c r="Z17" s="337"/>
      <c r="AA17" s="338"/>
      <c r="AB17" s="336"/>
      <c r="AC17" s="337"/>
      <c r="AD17" s="337"/>
      <c r="AE17" s="337"/>
      <c r="AF17" s="337"/>
      <c r="AG17" s="338"/>
      <c r="AH17" s="327"/>
      <c r="AI17" s="328"/>
      <c r="AJ17" s="328"/>
      <c r="AK17" s="328"/>
      <c r="AL17" s="328"/>
      <c r="AM17" s="329"/>
      <c r="AN17" s="67"/>
      <c r="AO17" s="370"/>
      <c r="AP17" s="371"/>
      <c r="AQ17" s="371"/>
      <c r="AR17" s="371"/>
      <c r="AS17" s="371"/>
      <c r="AT17" s="372"/>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row>
    <row r="18" spans="1:80" ht="15" customHeight="1" x14ac:dyDescent="0.3">
      <c r="A18" s="67"/>
      <c r="B18" s="356"/>
      <c r="C18" s="356"/>
      <c r="D18" s="357"/>
      <c r="E18" s="349"/>
      <c r="F18" s="350"/>
      <c r="G18" s="350"/>
      <c r="H18" s="350"/>
      <c r="I18" s="350"/>
      <c r="J18" s="318" t="str">
        <f ca="1">IF(AND('Mapa final'!$J$42="Alta",'Mapa final'!$N$42="Leve"),CONCATENATE("R",'Mapa final'!$A$42),"")</f>
        <v/>
      </c>
      <c r="K18" s="319"/>
      <c r="L18" s="319" t="str">
        <f ca="1">IF(AND('Mapa final'!$J$48="Alta",'Mapa final'!$N$48="Leve"),CONCATENATE("R",'Mapa final'!$A$48),"")</f>
        <v/>
      </c>
      <c r="M18" s="319"/>
      <c r="N18" s="319" t="str">
        <f ca="1">IF(AND('Mapa final'!$J$54="Alta",'Mapa final'!$N$54="Leve"),CONCATENATE("R",'Mapa final'!$A$54),"")</f>
        <v/>
      </c>
      <c r="O18" s="320"/>
      <c r="P18" s="318" t="str">
        <f ca="1">IF(AND('Mapa final'!$J$42="Alta",'Mapa final'!$N$42="Menor"),CONCATENATE("R",'Mapa final'!$A$42),"")</f>
        <v/>
      </c>
      <c r="Q18" s="319"/>
      <c r="R18" s="319" t="str">
        <f ca="1">IF(AND('Mapa final'!$J$48="Alta",'Mapa final'!$N$48="Menor"),CONCATENATE("R",'Mapa final'!$A$48),"")</f>
        <v/>
      </c>
      <c r="S18" s="319"/>
      <c r="T18" s="319" t="str">
        <f ca="1">IF(AND('Mapa final'!$J$54="Alta",'Mapa final'!$N$54="Menor"),CONCATENATE("R",'Mapa final'!$A$54),"")</f>
        <v/>
      </c>
      <c r="U18" s="320"/>
      <c r="V18" s="336" t="str">
        <f ca="1">IF(AND('Mapa final'!$J$42="Alta",'Mapa final'!$N$42="Moderado"),CONCATENATE("R",'Mapa final'!$A$42),"")</f>
        <v/>
      </c>
      <c r="W18" s="337"/>
      <c r="X18" s="337" t="str">
        <f ca="1">IF(AND('Mapa final'!$J$48="Alta",'Mapa final'!$N$48="Moderado"),CONCATENATE("R",'Mapa final'!$A$48),"")</f>
        <v/>
      </c>
      <c r="Y18" s="337"/>
      <c r="Z18" s="337" t="str">
        <f ca="1">IF(AND('Mapa final'!$J$54="Alta",'Mapa final'!$N$54="Moderado"),CONCATENATE("R",'Mapa final'!$A$54),"")</f>
        <v/>
      </c>
      <c r="AA18" s="338"/>
      <c r="AB18" s="336" t="str">
        <f ca="1">IF(AND('Mapa final'!$J$42="Alta",'Mapa final'!$N$42="Mayor"),CONCATENATE("R",'Mapa final'!$A$42),"")</f>
        <v/>
      </c>
      <c r="AC18" s="337"/>
      <c r="AD18" s="337" t="str">
        <f ca="1">IF(AND('Mapa final'!$J$48="Alta",'Mapa final'!$N$48="Mayor"),CONCATENATE("R",'Mapa final'!$A$48),"")</f>
        <v/>
      </c>
      <c r="AE18" s="337"/>
      <c r="AF18" s="337" t="str">
        <f ca="1">IF(AND('Mapa final'!$J$54="Alta",'Mapa final'!$N$54="Mayor"),CONCATENATE("R",'Mapa final'!$A$54),"")</f>
        <v/>
      </c>
      <c r="AG18" s="338"/>
      <c r="AH18" s="327" t="str">
        <f ca="1">IF(AND('Mapa final'!$J$42="Alta",'Mapa final'!$N$42="Catastrófico"),CONCATENATE("R",'Mapa final'!$A$42),"")</f>
        <v/>
      </c>
      <c r="AI18" s="328"/>
      <c r="AJ18" s="328" t="str">
        <f ca="1">IF(AND('Mapa final'!$J$48="Alta",'Mapa final'!$N$48="Catastrófico"),CONCATENATE("R",'Mapa final'!$A$48),"")</f>
        <v/>
      </c>
      <c r="AK18" s="328"/>
      <c r="AL18" s="328" t="str">
        <f ca="1">IF(AND('Mapa final'!$J$54="Alta",'Mapa final'!$N$54="Catastrófico"),CONCATENATE("R",'Mapa final'!$A$54),"")</f>
        <v/>
      </c>
      <c r="AM18" s="329"/>
      <c r="AN18" s="67"/>
      <c r="AO18" s="370"/>
      <c r="AP18" s="371"/>
      <c r="AQ18" s="371"/>
      <c r="AR18" s="371"/>
      <c r="AS18" s="371"/>
      <c r="AT18" s="372"/>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row>
    <row r="19" spans="1:80" ht="15" customHeight="1" x14ac:dyDescent="0.3">
      <c r="A19" s="67"/>
      <c r="B19" s="356"/>
      <c r="C19" s="356"/>
      <c r="D19" s="357"/>
      <c r="E19" s="349"/>
      <c r="F19" s="350"/>
      <c r="G19" s="350"/>
      <c r="H19" s="350"/>
      <c r="I19" s="350"/>
      <c r="J19" s="318"/>
      <c r="K19" s="319"/>
      <c r="L19" s="319"/>
      <c r="M19" s="319"/>
      <c r="N19" s="319"/>
      <c r="O19" s="320"/>
      <c r="P19" s="318"/>
      <c r="Q19" s="319"/>
      <c r="R19" s="319"/>
      <c r="S19" s="319"/>
      <c r="T19" s="319"/>
      <c r="U19" s="320"/>
      <c r="V19" s="336"/>
      <c r="W19" s="337"/>
      <c r="X19" s="337"/>
      <c r="Y19" s="337"/>
      <c r="Z19" s="337"/>
      <c r="AA19" s="338"/>
      <c r="AB19" s="336"/>
      <c r="AC19" s="337"/>
      <c r="AD19" s="337"/>
      <c r="AE19" s="337"/>
      <c r="AF19" s="337"/>
      <c r="AG19" s="338"/>
      <c r="AH19" s="327"/>
      <c r="AI19" s="328"/>
      <c r="AJ19" s="328"/>
      <c r="AK19" s="328"/>
      <c r="AL19" s="328"/>
      <c r="AM19" s="329"/>
      <c r="AN19" s="67"/>
      <c r="AO19" s="370"/>
      <c r="AP19" s="371"/>
      <c r="AQ19" s="371"/>
      <c r="AR19" s="371"/>
      <c r="AS19" s="371"/>
      <c r="AT19" s="372"/>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row>
    <row r="20" spans="1:80" ht="15" customHeight="1" x14ac:dyDescent="0.3">
      <c r="A20" s="67"/>
      <c r="B20" s="356"/>
      <c r="C20" s="356"/>
      <c r="D20" s="357"/>
      <c r="E20" s="349"/>
      <c r="F20" s="350"/>
      <c r="G20" s="350"/>
      <c r="H20" s="350"/>
      <c r="I20" s="350"/>
      <c r="J20" s="318" t="str">
        <f ca="1">IF(AND('Mapa final'!$J$60="Alta",'Mapa final'!$N$60="Leve"),CONCATENATE("R",'Mapa final'!$A$60),"")</f>
        <v/>
      </c>
      <c r="K20" s="319"/>
      <c r="L20" s="319" t="str">
        <f>IF(AND('Mapa final'!$J$66="Alta",'Mapa final'!$N$66="Leve"),CONCATENATE("R",'Mapa final'!$A$66),"")</f>
        <v/>
      </c>
      <c r="M20" s="319"/>
      <c r="N20" s="319" t="str">
        <f>IF(AND('Mapa final'!$J$72="Alta",'Mapa final'!$N$72="Leve"),CONCATENATE("R",'Mapa final'!$A$72),"")</f>
        <v/>
      </c>
      <c r="O20" s="320"/>
      <c r="P20" s="318" t="str">
        <f ca="1">IF(AND('Mapa final'!$J$60="Alta",'Mapa final'!$N$60="Menor"),CONCATENATE("R",'Mapa final'!$A$60),"")</f>
        <v/>
      </c>
      <c r="Q20" s="319"/>
      <c r="R20" s="319" t="str">
        <f>IF(AND('Mapa final'!$J$66="Alta",'Mapa final'!$N$66="Menor"),CONCATENATE("R",'Mapa final'!$A$66),"")</f>
        <v/>
      </c>
      <c r="S20" s="319"/>
      <c r="T20" s="319" t="str">
        <f>IF(AND('Mapa final'!$J$72="Alta",'Mapa final'!$N$72="Menor"),CONCATENATE("R",'Mapa final'!$A$72),"")</f>
        <v/>
      </c>
      <c r="U20" s="320"/>
      <c r="V20" s="336" t="str">
        <f ca="1">IF(AND('Mapa final'!$J$60="Alta",'Mapa final'!$N$60="Moderado"),CONCATENATE("R",'Mapa final'!$A$60),"")</f>
        <v/>
      </c>
      <c r="W20" s="337"/>
      <c r="X20" s="337" t="str">
        <f>IF(AND('Mapa final'!$J$66="Alta",'Mapa final'!$N$66="Moderado"),CONCATENATE("R",'Mapa final'!$A$66),"")</f>
        <v/>
      </c>
      <c r="Y20" s="337"/>
      <c r="Z20" s="337" t="str">
        <f>IF(AND('Mapa final'!$J$72="Alta",'Mapa final'!$N$72="Moderado"),CONCATENATE("R",'Mapa final'!$A$72),"")</f>
        <v/>
      </c>
      <c r="AA20" s="338"/>
      <c r="AB20" s="336" t="str">
        <f ca="1">IF(AND('Mapa final'!$J$60="Alta",'Mapa final'!$N$60="Mayor"),CONCATENATE("R",'Mapa final'!$A$60),"")</f>
        <v/>
      </c>
      <c r="AC20" s="337"/>
      <c r="AD20" s="337" t="str">
        <f>IF(AND('Mapa final'!$J$66="Alta",'Mapa final'!$N$66="Mayor"),CONCATENATE("R",'Mapa final'!$A$66),"")</f>
        <v/>
      </c>
      <c r="AE20" s="337"/>
      <c r="AF20" s="337" t="str">
        <f>IF(AND('Mapa final'!$J$72="Alta",'Mapa final'!$N$72="Mayor"),CONCATENATE("R",'Mapa final'!$A$72),"")</f>
        <v/>
      </c>
      <c r="AG20" s="338"/>
      <c r="AH20" s="327" t="str">
        <f ca="1">IF(AND('Mapa final'!$J$60="Alta",'Mapa final'!$N$60="Catastrófico"),CONCATENATE("R",'Mapa final'!$A$60),"")</f>
        <v/>
      </c>
      <c r="AI20" s="328"/>
      <c r="AJ20" s="328" t="str">
        <f>IF(AND('Mapa final'!$J$66="Alta",'Mapa final'!$N$66="Catastrófico"),CONCATENATE("R",'Mapa final'!$A$66),"")</f>
        <v/>
      </c>
      <c r="AK20" s="328"/>
      <c r="AL20" s="328" t="str">
        <f>IF(AND('Mapa final'!$J$72="Alta",'Mapa final'!$N$72="Catastrófico"),CONCATENATE("R",'Mapa final'!$A$72),"")</f>
        <v/>
      </c>
      <c r="AM20" s="329"/>
      <c r="AN20" s="67"/>
      <c r="AO20" s="370"/>
      <c r="AP20" s="371"/>
      <c r="AQ20" s="371"/>
      <c r="AR20" s="371"/>
      <c r="AS20" s="371"/>
      <c r="AT20" s="372"/>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row>
    <row r="21" spans="1:80" ht="15.75" customHeight="1" thickBot="1" x14ac:dyDescent="0.35">
      <c r="A21" s="67"/>
      <c r="B21" s="356"/>
      <c r="C21" s="356"/>
      <c r="D21" s="357"/>
      <c r="E21" s="352"/>
      <c r="F21" s="353"/>
      <c r="G21" s="353"/>
      <c r="H21" s="353"/>
      <c r="I21" s="353"/>
      <c r="J21" s="321"/>
      <c r="K21" s="322"/>
      <c r="L21" s="322"/>
      <c r="M21" s="322"/>
      <c r="N21" s="322"/>
      <c r="O21" s="323"/>
      <c r="P21" s="321"/>
      <c r="Q21" s="322"/>
      <c r="R21" s="322"/>
      <c r="S21" s="322"/>
      <c r="T21" s="322"/>
      <c r="U21" s="323"/>
      <c r="V21" s="339"/>
      <c r="W21" s="340"/>
      <c r="X21" s="340"/>
      <c r="Y21" s="340"/>
      <c r="Z21" s="340"/>
      <c r="AA21" s="341"/>
      <c r="AB21" s="339"/>
      <c r="AC21" s="340"/>
      <c r="AD21" s="340"/>
      <c r="AE21" s="340"/>
      <c r="AF21" s="340"/>
      <c r="AG21" s="341"/>
      <c r="AH21" s="330"/>
      <c r="AI21" s="331"/>
      <c r="AJ21" s="331"/>
      <c r="AK21" s="331"/>
      <c r="AL21" s="331"/>
      <c r="AM21" s="332"/>
      <c r="AN21" s="67"/>
      <c r="AO21" s="373"/>
      <c r="AP21" s="374"/>
      <c r="AQ21" s="374"/>
      <c r="AR21" s="374"/>
      <c r="AS21" s="374"/>
      <c r="AT21" s="375"/>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row>
    <row r="22" spans="1:80" x14ac:dyDescent="0.3">
      <c r="A22" s="67"/>
      <c r="B22" s="356"/>
      <c r="C22" s="356"/>
      <c r="D22" s="357"/>
      <c r="E22" s="346" t="s">
        <v>112</v>
      </c>
      <c r="F22" s="347"/>
      <c r="G22" s="347"/>
      <c r="H22" s="347"/>
      <c r="I22" s="348"/>
      <c r="J22" s="324" t="str">
        <f ca="1">IF(AND('Mapa final'!$J$10="Media",'Mapa final'!$N$10="Leve"),CONCATENATE("R",'Mapa final'!$A$10),"")</f>
        <v/>
      </c>
      <c r="K22" s="325"/>
      <c r="L22" s="325" t="str">
        <f ca="1">IF(AND('Mapa final'!$J$14="Media",'Mapa final'!$N$14="Leve"),CONCATENATE("R",'Mapa final'!$A$14),"")</f>
        <v/>
      </c>
      <c r="M22" s="325"/>
      <c r="N22" s="325" t="str">
        <f ca="1">IF(AND('Mapa final'!$J$18="Media",'Mapa final'!$N$18="Leve"),CONCATENATE("R",'Mapa final'!$A$18),"")</f>
        <v/>
      </c>
      <c r="O22" s="326"/>
      <c r="P22" s="324" t="str">
        <f ca="1">IF(AND('Mapa final'!$J$10="Media",'Mapa final'!$N$10="Menor"),CONCATENATE("R",'Mapa final'!$A$10),"")</f>
        <v/>
      </c>
      <c r="Q22" s="325"/>
      <c r="R22" s="325" t="str">
        <f ca="1">IF(AND('Mapa final'!$J$14="Media",'Mapa final'!$N$14="Menor"),CONCATENATE("R",'Mapa final'!$A$14),"")</f>
        <v/>
      </c>
      <c r="S22" s="325"/>
      <c r="T22" s="325" t="str">
        <f ca="1">IF(AND('Mapa final'!$J$18="Media",'Mapa final'!$N$18="Menor"),CONCATENATE("R",'Mapa final'!$A$18),"")</f>
        <v/>
      </c>
      <c r="U22" s="326"/>
      <c r="V22" s="324" t="str">
        <f ca="1">IF(AND('Mapa final'!$J$10="Media",'Mapa final'!$N$10="Moderado"),CONCATENATE("R",'Mapa final'!$A$10),"")</f>
        <v/>
      </c>
      <c r="W22" s="325"/>
      <c r="X22" s="325" t="str">
        <f ca="1">IF(AND('Mapa final'!$J$14="Media",'Mapa final'!$N$14="Moderado"),CONCATENATE("R",'Mapa final'!$A$14),"")</f>
        <v/>
      </c>
      <c r="Y22" s="325"/>
      <c r="Z22" s="325" t="str">
        <f ca="1">IF(AND('Mapa final'!$J$18="Media",'Mapa final'!$N$18="Moderado"),CONCATENATE("R",'Mapa final'!$A$18),"")</f>
        <v/>
      </c>
      <c r="AA22" s="326"/>
      <c r="AB22" s="342" t="str">
        <f ca="1">IF(AND('Mapa final'!$J$10="Media",'Mapa final'!$N$10="Mayor"),CONCATENATE("R",'Mapa final'!$A$10),"")</f>
        <v>R1</v>
      </c>
      <c r="AC22" s="343"/>
      <c r="AD22" s="343" t="str">
        <f ca="1">IF(AND('Mapa final'!$J$14="Media",'Mapa final'!$N$14="Mayor"),CONCATENATE("R",'Mapa final'!$A$14),"")</f>
        <v>R2</v>
      </c>
      <c r="AE22" s="343"/>
      <c r="AF22" s="343" t="str">
        <f ca="1">IF(AND('Mapa final'!$J$18="Media",'Mapa final'!$N$18="Mayor"),CONCATENATE("R",'Mapa final'!$A$18),"")</f>
        <v/>
      </c>
      <c r="AG22" s="344"/>
      <c r="AH22" s="333" t="str">
        <f ca="1">IF(AND('Mapa final'!$J$10="Media",'Mapa final'!$N$10="Catastrófico"),CONCATENATE("R",'Mapa final'!$A$10),"")</f>
        <v/>
      </c>
      <c r="AI22" s="334"/>
      <c r="AJ22" s="334" t="str">
        <f ca="1">IF(AND('Mapa final'!$J$14="Media",'Mapa final'!$N$14="Catastrófico"),CONCATENATE("R",'Mapa final'!$A$14),"")</f>
        <v/>
      </c>
      <c r="AK22" s="334"/>
      <c r="AL22" s="334" t="str">
        <f ca="1">IF(AND('Mapa final'!$J$18="Media",'Mapa final'!$N$18="Catastrófico"),CONCATENATE("R",'Mapa final'!$A$18),"")</f>
        <v/>
      </c>
      <c r="AM22" s="335"/>
      <c r="AN22" s="67"/>
      <c r="AO22" s="376" t="s">
        <v>80</v>
      </c>
      <c r="AP22" s="377"/>
      <c r="AQ22" s="377"/>
      <c r="AR22" s="377"/>
      <c r="AS22" s="377"/>
      <c r="AT22" s="378"/>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row>
    <row r="23" spans="1:80" x14ac:dyDescent="0.3">
      <c r="A23" s="67"/>
      <c r="B23" s="356"/>
      <c r="C23" s="356"/>
      <c r="D23" s="357"/>
      <c r="E23" s="349"/>
      <c r="F23" s="350"/>
      <c r="G23" s="350"/>
      <c r="H23" s="350"/>
      <c r="I23" s="351"/>
      <c r="J23" s="318"/>
      <c r="K23" s="319"/>
      <c r="L23" s="319"/>
      <c r="M23" s="319"/>
      <c r="N23" s="319"/>
      <c r="O23" s="320"/>
      <c r="P23" s="318"/>
      <c r="Q23" s="319"/>
      <c r="R23" s="319"/>
      <c r="S23" s="319"/>
      <c r="T23" s="319"/>
      <c r="U23" s="320"/>
      <c r="V23" s="318"/>
      <c r="W23" s="319"/>
      <c r="X23" s="319"/>
      <c r="Y23" s="319"/>
      <c r="Z23" s="319"/>
      <c r="AA23" s="320"/>
      <c r="AB23" s="336"/>
      <c r="AC23" s="337"/>
      <c r="AD23" s="337"/>
      <c r="AE23" s="337"/>
      <c r="AF23" s="337"/>
      <c r="AG23" s="338"/>
      <c r="AH23" s="327"/>
      <c r="AI23" s="328"/>
      <c r="AJ23" s="328"/>
      <c r="AK23" s="328"/>
      <c r="AL23" s="328"/>
      <c r="AM23" s="329"/>
      <c r="AN23" s="67"/>
      <c r="AO23" s="379"/>
      <c r="AP23" s="380"/>
      <c r="AQ23" s="380"/>
      <c r="AR23" s="380"/>
      <c r="AS23" s="380"/>
      <c r="AT23" s="381"/>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row>
    <row r="24" spans="1:80" x14ac:dyDescent="0.3">
      <c r="A24" s="67"/>
      <c r="B24" s="356"/>
      <c r="C24" s="356"/>
      <c r="D24" s="357"/>
      <c r="E24" s="349"/>
      <c r="F24" s="350"/>
      <c r="G24" s="350"/>
      <c r="H24" s="350"/>
      <c r="I24" s="351"/>
      <c r="J24" s="318" t="str">
        <f ca="1">IF(AND('Mapa final'!$J$24="Media",'Mapa final'!$N$24="Leve"),CONCATENATE("R",'Mapa final'!$A$24),"")</f>
        <v/>
      </c>
      <c r="K24" s="319"/>
      <c r="L24" s="319" t="str">
        <f ca="1">IF(AND('Mapa final'!$J$30="Media",'Mapa final'!$N$30="Leve"),CONCATENATE("R",'Mapa final'!$A$30),"")</f>
        <v/>
      </c>
      <c r="M24" s="319"/>
      <c r="N24" s="319" t="str">
        <f ca="1">IF(AND('Mapa final'!$J$36="Media",'Mapa final'!$N$36="Leve"),CONCATENATE("R",'Mapa final'!$A$36),"")</f>
        <v/>
      </c>
      <c r="O24" s="320"/>
      <c r="P24" s="318" t="str">
        <f ca="1">IF(AND('Mapa final'!$J$24="Media",'Mapa final'!$N$24="Menor"),CONCATENATE("R",'Mapa final'!$A$24),"")</f>
        <v/>
      </c>
      <c r="Q24" s="319"/>
      <c r="R24" s="319" t="str">
        <f ca="1">IF(AND('Mapa final'!$J$30="Media",'Mapa final'!$N$30="Menor"),CONCATENATE("R",'Mapa final'!$A$30),"")</f>
        <v/>
      </c>
      <c r="S24" s="319"/>
      <c r="T24" s="319" t="str">
        <f ca="1">IF(AND('Mapa final'!$J$36="Media",'Mapa final'!$N$36="Menor"),CONCATENATE("R",'Mapa final'!$A$36),"")</f>
        <v/>
      </c>
      <c r="U24" s="320"/>
      <c r="V24" s="318" t="str">
        <f ca="1">IF(AND('Mapa final'!$J$24="Media",'Mapa final'!$N$24="Moderado"),CONCATENATE("R",'Mapa final'!$A$24),"")</f>
        <v/>
      </c>
      <c r="W24" s="319"/>
      <c r="X24" s="319" t="str">
        <f ca="1">IF(AND('Mapa final'!$J$30="Media",'Mapa final'!$N$30="Moderado"),CONCATENATE("R",'Mapa final'!$A$30),"")</f>
        <v/>
      </c>
      <c r="Y24" s="319"/>
      <c r="Z24" s="319" t="str">
        <f ca="1">IF(AND('Mapa final'!$J$36="Media",'Mapa final'!$N$36="Moderado"),CONCATENATE("R",'Mapa final'!$A$36),"")</f>
        <v/>
      </c>
      <c r="AA24" s="320"/>
      <c r="AB24" s="336" t="str">
        <f ca="1">IF(AND('Mapa final'!$J$24="Media",'Mapa final'!$N$24="Mayor"),CONCATENATE("R",'Mapa final'!$A$24),"")</f>
        <v/>
      </c>
      <c r="AC24" s="337"/>
      <c r="AD24" s="337" t="str">
        <f ca="1">IF(AND('Mapa final'!$J$30="Media",'Mapa final'!$N$30="Mayor"),CONCATENATE("R",'Mapa final'!$A$30),"")</f>
        <v/>
      </c>
      <c r="AE24" s="337"/>
      <c r="AF24" s="337" t="str">
        <f ca="1">IF(AND('Mapa final'!$J$36="Media",'Mapa final'!$N$36="Mayor"),CONCATENATE("R",'Mapa final'!$A$36),"")</f>
        <v/>
      </c>
      <c r="AG24" s="338"/>
      <c r="AH24" s="327" t="str">
        <f ca="1">IF(AND('Mapa final'!$J$24="Media",'Mapa final'!$N$24="Catastrófico"),CONCATENATE("R",'Mapa final'!$A$24),"")</f>
        <v/>
      </c>
      <c r="AI24" s="328"/>
      <c r="AJ24" s="328" t="str">
        <f ca="1">IF(AND('Mapa final'!$J$30="Media",'Mapa final'!$N$30="Catastrófico"),CONCATENATE("R",'Mapa final'!$A$30),"")</f>
        <v/>
      </c>
      <c r="AK24" s="328"/>
      <c r="AL24" s="328" t="str">
        <f ca="1">IF(AND('Mapa final'!$J$36="Media",'Mapa final'!$N$36="Catastrófico"),CONCATENATE("R",'Mapa final'!$A$36),"")</f>
        <v/>
      </c>
      <c r="AM24" s="329"/>
      <c r="AN24" s="67"/>
      <c r="AO24" s="379"/>
      <c r="AP24" s="380"/>
      <c r="AQ24" s="380"/>
      <c r="AR24" s="380"/>
      <c r="AS24" s="380"/>
      <c r="AT24" s="381"/>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row>
    <row r="25" spans="1:80" x14ac:dyDescent="0.3">
      <c r="A25" s="67"/>
      <c r="B25" s="356"/>
      <c r="C25" s="356"/>
      <c r="D25" s="357"/>
      <c r="E25" s="349"/>
      <c r="F25" s="350"/>
      <c r="G25" s="350"/>
      <c r="H25" s="350"/>
      <c r="I25" s="351"/>
      <c r="J25" s="318"/>
      <c r="K25" s="319"/>
      <c r="L25" s="319"/>
      <c r="M25" s="319"/>
      <c r="N25" s="319"/>
      <c r="O25" s="320"/>
      <c r="P25" s="318"/>
      <c r="Q25" s="319"/>
      <c r="R25" s="319"/>
      <c r="S25" s="319"/>
      <c r="T25" s="319"/>
      <c r="U25" s="320"/>
      <c r="V25" s="318"/>
      <c r="W25" s="319"/>
      <c r="X25" s="319"/>
      <c r="Y25" s="319"/>
      <c r="Z25" s="319"/>
      <c r="AA25" s="320"/>
      <c r="AB25" s="336"/>
      <c r="AC25" s="337"/>
      <c r="AD25" s="337"/>
      <c r="AE25" s="337"/>
      <c r="AF25" s="337"/>
      <c r="AG25" s="338"/>
      <c r="AH25" s="327"/>
      <c r="AI25" s="328"/>
      <c r="AJ25" s="328"/>
      <c r="AK25" s="328"/>
      <c r="AL25" s="328"/>
      <c r="AM25" s="329"/>
      <c r="AN25" s="67"/>
      <c r="AO25" s="379"/>
      <c r="AP25" s="380"/>
      <c r="AQ25" s="380"/>
      <c r="AR25" s="380"/>
      <c r="AS25" s="380"/>
      <c r="AT25" s="381"/>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row>
    <row r="26" spans="1:80" x14ac:dyDescent="0.3">
      <c r="A26" s="67"/>
      <c r="B26" s="356"/>
      <c r="C26" s="356"/>
      <c r="D26" s="357"/>
      <c r="E26" s="349"/>
      <c r="F26" s="350"/>
      <c r="G26" s="350"/>
      <c r="H26" s="350"/>
      <c r="I26" s="351"/>
      <c r="J26" s="318" t="str">
        <f ca="1">IF(AND('Mapa final'!$J$42="Media",'Mapa final'!$N$42="Leve"),CONCATENATE("R",'Mapa final'!$A$42),"")</f>
        <v/>
      </c>
      <c r="K26" s="319"/>
      <c r="L26" s="319" t="str">
        <f ca="1">IF(AND('Mapa final'!$J$48="Media",'Mapa final'!$N$48="Leve"),CONCATENATE("R",'Mapa final'!$A$48),"")</f>
        <v/>
      </c>
      <c r="M26" s="319"/>
      <c r="N26" s="319" t="str">
        <f ca="1">IF(AND('Mapa final'!$J$54="Media",'Mapa final'!$N$54="Leve"),CONCATENATE("R",'Mapa final'!$A$54),"")</f>
        <v/>
      </c>
      <c r="O26" s="320"/>
      <c r="P26" s="318" t="str">
        <f ca="1">IF(AND('Mapa final'!$J$42="Media",'Mapa final'!$N$42="Menor"),CONCATENATE("R",'Mapa final'!$A$42),"")</f>
        <v/>
      </c>
      <c r="Q26" s="319"/>
      <c r="R26" s="319" t="str">
        <f ca="1">IF(AND('Mapa final'!$J$48="Media",'Mapa final'!$N$48="Menor"),CONCATENATE("R",'Mapa final'!$A$48),"")</f>
        <v/>
      </c>
      <c r="S26" s="319"/>
      <c r="T26" s="319" t="str">
        <f ca="1">IF(AND('Mapa final'!$J$54="Media",'Mapa final'!$N$54="Menor"),CONCATENATE("R",'Mapa final'!$A$54),"")</f>
        <v/>
      </c>
      <c r="U26" s="320"/>
      <c r="V26" s="318" t="str">
        <f ca="1">IF(AND('Mapa final'!$J$42="Media",'Mapa final'!$N$42="Moderado"),CONCATENATE("R",'Mapa final'!$A$42),"")</f>
        <v/>
      </c>
      <c r="W26" s="319"/>
      <c r="X26" s="319" t="str">
        <f ca="1">IF(AND('Mapa final'!$J$48="Media",'Mapa final'!$N$48="Moderado"),CONCATENATE("R",'Mapa final'!$A$48),"")</f>
        <v/>
      </c>
      <c r="Y26" s="319"/>
      <c r="Z26" s="319" t="str">
        <f ca="1">IF(AND('Mapa final'!$J$54="Media",'Mapa final'!$N$54="Moderado"),CONCATENATE("R",'Mapa final'!$A$54),"")</f>
        <v/>
      </c>
      <c r="AA26" s="320"/>
      <c r="AB26" s="336" t="str">
        <f ca="1">IF(AND('Mapa final'!$J$42="Media",'Mapa final'!$N$42="Mayor"),CONCATENATE("R",'Mapa final'!$A$42),"")</f>
        <v/>
      </c>
      <c r="AC26" s="337"/>
      <c r="AD26" s="337" t="str">
        <f ca="1">IF(AND('Mapa final'!$J$48="Media",'Mapa final'!$N$48="Mayor"),CONCATENATE("R",'Mapa final'!$A$48),"")</f>
        <v/>
      </c>
      <c r="AE26" s="337"/>
      <c r="AF26" s="337" t="str">
        <f ca="1">IF(AND('Mapa final'!$J$54="Media",'Mapa final'!$N$54="Mayor"),CONCATENATE("R",'Mapa final'!$A$54),"")</f>
        <v/>
      </c>
      <c r="AG26" s="338"/>
      <c r="AH26" s="327" t="str">
        <f ca="1">IF(AND('Mapa final'!$J$42="Media",'Mapa final'!$N$42="Catastrófico"),CONCATENATE("R",'Mapa final'!$A$42),"")</f>
        <v/>
      </c>
      <c r="AI26" s="328"/>
      <c r="AJ26" s="328" t="str">
        <f ca="1">IF(AND('Mapa final'!$J$48="Media",'Mapa final'!$N$48="Catastrófico"),CONCATENATE("R",'Mapa final'!$A$48),"")</f>
        <v/>
      </c>
      <c r="AK26" s="328"/>
      <c r="AL26" s="328" t="str">
        <f ca="1">IF(AND('Mapa final'!$J$54="Media",'Mapa final'!$N$54="Catastrófico"),CONCATENATE("R",'Mapa final'!$A$54),"")</f>
        <v/>
      </c>
      <c r="AM26" s="329"/>
      <c r="AN26" s="67"/>
      <c r="AO26" s="379"/>
      <c r="AP26" s="380"/>
      <c r="AQ26" s="380"/>
      <c r="AR26" s="380"/>
      <c r="AS26" s="380"/>
      <c r="AT26" s="381"/>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row>
    <row r="27" spans="1:80" x14ac:dyDescent="0.3">
      <c r="A27" s="67"/>
      <c r="B27" s="356"/>
      <c r="C27" s="356"/>
      <c r="D27" s="357"/>
      <c r="E27" s="349"/>
      <c r="F27" s="350"/>
      <c r="G27" s="350"/>
      <c r="H27" s="350"/>
      <c r="I27" s="351"/>
      <c r="J27" s="318"/>
      <c r="K27" s="319"/>
      <c r="L27" s="319"/>
      <c r="M27" s="319"/>
      <c r="N27" s="319"/>
      <c r="O27" s="320"/>
      <c r="P27" s="318"/>
      <c r="Q27" s="319"/>
      <c r="R27" s="319"/>
      <c r="S27" s="319"/>
      <c r="T27" s="319"/>
      <c r="U27" s="320"/>
      <c r="V27" s="318"/>
      <c r="W27" s="319"/>
      <c r="X27" s="319"/>
      <c r="Y27" s="319"/>
      <c r="Z27" s="319"/>
      <c r="AA27" s="320"/>
      <c r="AB27" s="336"/>
      <c r="AC27" s="337"/>
      <c r="AD27" s="337"/>
      <c r="AE27" s="337"/>
      <c r="AF27" s="337"/>
      <c r="AG27" s="338"/>
      <c r="AH27" s="327"/>
      <c r="AI27" s="328"/>
      <c r="AJ27" s="328"/>
      <c r="AK27" s="328"/>
      <c r="AL27" s="328"/>
      <c r="AM27" s="329"/>
      <c r="AN27" s="67"/>
      <c r="AO27" s="379"/>
      <c r="AP27" s="380"/>
      <c r="AQ27" s="380"/>
      <c r="AR27" s="380"/>
      <c r="AS27" s="380"/>
      <c r="AT27" s="381"/>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row>
    <row r="28" spans="1:80" x14ac:dyDescent="0.3">
      <c r="A28" s="67"/>
      <c r="B28" s="356"/>
      <c r="C28" s="356"/>
      <c r="D28" s="357"/>
      <c r="E28" s="349"/>
      <c r="F28" s="350"/>
      <c r="G28" s="350"/>
      <c r="H28" s="350"/>
      <c r="I28" s="351"/>
      <c r="J28" s="318" t="str">
        <f ca="1">IF(AND('Mapa final'!$J$60="Media",'Mapa final'!$N$60="Leve"),CONCATENATE("R",'Mapa final'!$A$60),"")</f>
        <v/>
      </c>
      <c r="K28" s="319"/>
      <c r="L28" s="319" t="str">
        <f>IF(AND('Mapa final'!$J$66="Media",'Mapa final'!$N$66="Leve"),CONCATENATE("R",'Mapa final'!$A$66),"")</f>
        <v/>
      </c>
      <c r="M28" s="319"/>
      <c r="N28" s="319" t="str">
        <f>IF(AND('Mapa final'!$J$72="Media",'Mapa final'!$N$72="Leve"),CONCATENATE("R",'Mapa final'!$A$72),"")</f>
        <v/>
      </c>
      <c r="O28" s="320"/>
      <c r="P28" s="318" t="str">
        <f ca="1">IF(AND('Mapa final'!$J$60="Media",'Mapa final'!$N$60="Menor"),CONCATENATE("R",'Mapa final'!$A$60),"")</f>
        <v/>
      </c>
      <c r="Q28" s="319"/>
      <c r="R28" s="319" t="str">
        <f>IF(AND('Mapa final'!$J$66="Media",'Mapa final'!$N$66="Menor"),CONCATENATE("R",'Mapa final'!$A$66),"")</f>
        <v/>
      </c>
      <c r="S28" s="319"/>
      <c r="T28" s="319" t="str">
        <f>IF(AND('Mapa final'!$J$72="Media",'Mapa final'!$N$72="Menor"),CONCATENATE("R",'Mapa final'!$A$72),"")</f>
        <v/>
      </c>
      <c r="U28" s="320"/>
      <c r="V28" s="318" t="str">
        <f ca="1">IF(AND('Mapa final'!$J$60="Media",'Mapa final'!$N$60="Moderado"),CONCATENATE("R",'Mapa final'!$A$60),"")</f>
        <v/>
      </c>
      <c r="W28" s="319"/>
      <c r="X28" s="319" t="str">
        <f>IF(AND('Mapa final'!$J$66="Media",'Mapa final'!$N$66="Moderado"),CONCATENATE("R",'Mapa final'!$A$66),"")</f>
        <v/>
      </c>
      <c r="Y28" s="319"/>
      <c r="Z28" s="319" t="str">
        <f>IF(AND('Mapa final'!$J$72="Media",'Mapa final'!$N$72="Moderado"),CONCATENATE("R",'Mapa final'!$A$72),"")</f>
        <v/>
      </c>
      <c r="AA28" s="320"/>
      <c r="AB28" s="336" t="str">
        <f ca="1">IF(AND('Mapa final'!$J$60="Media",'Mapa final'!$N$60="Mayor"),CONCATENATE("R",'Mapa final'!$A$60),"")</f>
        <v/>
      </c>
      <c r="AC28" s="337"/>
      <c r="AD28" s="337" t="str">
        <f>IF(AND('Mapa final'!$J$66="Media",'Mapa final'!$N$66="Mayor"),CONCATENATE("R",'Mapa final'!$A$66),"")</f>
        <v/>
      </c>
      <c r="AE28" s="337"/>
      <c r="AF28" s="337" t="str">
        <f>IF(AND('Mapa final'!$J$72="Media",'Mapa final'!$N$72="Mayor"),CONCATENATE("R",'Mapa final'!$A$72),"")</f>
        <v/>
      </c>
      <c r="AG28" s="338"/>
      <c r="AH28" s="327" t="str">
        <f ca="1">IF(AND('Mapa final'!$J$60="Media",'Mapa final'!$N$60="Catastrófico"),CONCATENATE("R",'Mapa final'!$A$60),"")</f>
        <v/>
      </c>
      <c r="AI28" s="328"/>
      <c r="AJ28" s="328" t="str">
        <f>IF(AND('Mapa final'!$J$66="Media",'Mapa final'!$N$66="Catastrófico"),CONCATENATE("R",'Mapa final'!$A$66),"")</f>
        <v/>
      </c>
      <c r="AK28" s="328"/>
      <c r="AL28" s="328" t="str">
        <f>IF(AND('Mapa final'!$J$72="Media",'Mapa final'!$N$72="Catastrófico"),CONCATENATE("R",'Mapa final'!$A$72),"")</f>
        <v/>
      </c>
      <c r="AM28" s="329"/>
      <c r="AN28" s="67"/>
      <c r="AO28" s="379"/>
      <c r="AP28" s="380"/>
      <c r="AQ28" s="380"/>
      <c r="AR28" s="380"/>
      <c r="AS28" s="380"/>
      <c r="AT28" s="381"/>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row>
    <row r="29" spans="1:80" ht="15" thickBot="1" x14ac:dyDescent="0.35">
      <c r="A29" s="67"/>
      <c r="B29" s="356"/>
      <c r="C29" s="356"/>
      <c r="D29" s="357"/>
      <c r="E29" s="352"/>
      <c r="F29" s="353"/>
      <c r="G29" s="353"/>
      <c r="H29" s="353"/>
      <c r="I29" s="354"/>
      <c r="J29" s="318"/>
      <c r="K29" s="319"/>
      <c r="L29" s="319"/>
      <c r="M29" s="319"/>
      <c r="N29" s="319"/>
      <c r="O29" s="320"/>
      <c r="P29" s="321"/>
      <c r="Q29" s="322"/>
      <c r="R29" s="322"/>
      <c r="S29" s="322"/>
      <c r="T29" s="322"/>
      <c r="U29" s="323"/>
      <c r="V29" s="321"/>
      <c r="W29" s="322"/>
      <c r="X29" s="322"/>
      <c r="Y29" s="322"/>
      <c r="Z29" s="322"/>
      <c r="AA29" s="323"/>
      <c r="AB29" s="339"/>
      <c r="AC29" s="340"/>
      <c r="AD29" s="340"/>
      <c r="AE29" s="340"/>
      <c r="AF29" s="340"/>
      <c r="AG29" s="341"/>
      <c r="AH29" s="330"/>
      <c r="AI29" s="331"/>
      <c r="AJ29" s="331"/>
      <c r="AK29" s="331"/>
      <c r="AL29" s="331"/>
      <c r="AM29" s="332"/>
      <c r="AN29" s="67"/>
      <c r="AO29" s="382"/>
      <c r="AP29" s="383"/>
      <c r="AQ29" s="383"/>
      <c r="AR29" s="383"/>
      <c r="AS29" s="383"/>
      <c r="AT29" s="384"/>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row>
    <row r="30" spans="1:80" x14ac:dyDescent="0.3">
      <c r="A30" s="67"/>
      <c r="B30" s="356"/>
      <c r="C30" s="356"/>
      <c r="D30" s="357"/>
      <c r="E30" s="346" t="s">
        <v>109</v>
      </c>
      <c r="F30" s="347"/>
      <c r="G30" s="347"/>
      <c r="H30" s="347"/>
      <c r="I30" s="347"/>
      <c r="J30" s="315" t="str">
        <f ca="1">IF(AND('Mapa final'!$J$10="Baja",'Mapa final'!$N$10="Leve"),CONCATENATE("R",'Mapa final'!$A$10),"")</f>
        <v/>
      </c>
      <c r="K30" s="316"/>
      <c r="L30" s="316" t="str">
        <f ca="1">IF(AND('Mapa final'!$J$14="Baja",'Mapa final'!$N$14="Leve"),CONCATENATE("R",'Mapa final'!$A$14),"")</f>
        <v/>
      </c>
      <c r="M30" s="316"/>
      <c r="N30" s="316" t="str">
        <f ca="1">IF(AND('Mapa final'!$J$18="Baja",'Mapa final'!$N$18="Leve"),CONCATENATE("R",'Mapa final'!$A$18),"")</f>
        <v/>
      </c>
      <c r="O30" s="317"/>
      <c r="P30" s="325" t="str">
        <f ca="1">IF(AND('Mapa final'!$J$10="Baja",'Mapa final'!$N$10="Menor"),CONCATENATE("R",'Mapa final'!$A$10),"")</f>
        <v/>
      </c>
      <c r="Q30" s="325"/>
      <c r="R30" s="325" t="str">
        <f ca="1">IF(AND('Mapa final'!$J$14="Baja",'Mapa final'!$N$14="Menor"),CONCATENATE("R",'Mapa final'!$A$14),"")</f>
        <v/>
      </c>
      <c r="S30" s="325"/>
      <c r="T30" s="325" t="str">
        <f ca="1">IF(AND('Mapa final'!$J$18="Baja",'Mapa final'!$N$18="Menor"),CONCATENATE("R",'Mapa final'!$A$18),"")</f>
        <v/>
      </c>
      <c r="U30" s="326"/>
      <c r="V30" s="324" t="str">
        <f ca="1">IF(AND('Mapa final'!$J$10="Baja",'Mapa final'!$N$10="Moderado"),CONCATENATE("R",'Mapa final'!$A$10),"")</f>
        <v/>
      </c>
      <c r="W30" s="325"/>
      <c r="X30" s="325" t="str">
        <f ca="1">IF(AND('Mapa final'!$J$14="Baja",'Mapa final'!$N$14="Moderado"),CONCATENATE("R",'Mapa final'!$A$14),"")</f>
        <v/>
      </c>
      <c r="Y30" s="325"/>
      <c r="Z30" s="325" t="str">
        <f ca="1">IF(AND('Mapa final'!$J$18="Baja",'Mapa final'!$N$18="Moderado"),CONCATENATE("R",'Mapa final'!$A$18),"")</f>
        <v/>
      </c>
      <c r="AA30" s="326"/>
      <c r="AB30" s="342" t="str">
        <f ca="1">IF(AND('Mapa final'!$J$10="Baja",'Mapa final'!$N$10="Mayor"),CONCATENATE("R",'Mapa final'!$A$10),"")</f>
        <v/>
      </c>
      <c r="AC30" s="343"/>
      <c r="AD30" s="343" t="str">
        <f ca="1">IF(AND('Mapa final'!$J$14="Baja",'Mapa final'!$N$14="Mayor"),CONCATENATE("R",'Mapa final'!$A$14),"")</f>
        <v/>
      </c>
      <c r="AE30" s="343"/>
      <c r="AF30" s="343" t="str">
        <f ca="1">IF(AND('Mapa final'!$J$18="Baja",'Mapa final'!$N$18="Mayor"),CONCATENATE("R",'Mapa final'!$A$18),"")</f>
        <v/>
      </c>
      <c r="AG30" s="344"/>
      <c r="AH30" s="333" t="str">
        <f ca="1">IF(AND('Mapa final'!$J$10="Baja",'Mapa final'!$N$10="Catastrófico"),CONCATENATE("R",'Mapa final'!$A$10),"")</f>
        <v/>
      </c>
      <c r="AI30" s="334"/>
      <c r="AJ30" s="334" t="str">
        <f ca="1">IF(AND('Mapa final'!$J$14="Baja",'Mapa final'!$N$14="Catastrófico"),CONCATENATE("R",'Mapa final'!$A$14),"")</f>
        <v/>
      </c>
      <c r="AK30" s="334"/>
      <c r="AL30" s="334" t="str">
        <f ca="1">IF(AND('Mapa final'!$J$18="Baja",'Mapa final'!$N$18="Catastrófico"),CONCATENATE("R",'Mapa final'!$A$18),"")</f>
        <v/>
      </c>
      <c r="AM30" s="335"/>
      <c r="AN30" s="67"/>
      <c r="AO30" s="385" t="s">
        <v>81</v>
      </c>
      <c r="AP30" s="386"/>
      <c r="AQ30" s="386"/>
      <c r="AR30" s="386"/>
      <c r="AS30" s="386"/>
      <c r="AT30" s="387"/>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row>
    <row r="31" spans="1:80" x14ac:dyDescent="0.3">
      <c r="A31" s="67"/>
      <c r="B31" s="356"/>
      <c r="C31" s="356"/>
      <c r="D31" s="357"/>
      <c r="E31" s="349"/>
      <c r="F31" s="350"/>
      <c r="G31" s="350"/>
      <c r="H31" s="350"/>
      <c r="I31" s="350"/>
      <c r="J31" s="309"/>
      <c r="K31" s="310"/>
      <c r="L31" s="310"/>
      <c r="M31" s="310"/>
      <c r="N31" s="310"/>
      <c r="O31" s="311"/>
      <c r="P31" s="319"/>
      <c r="Q31" s="319"/>
      <c r="R31" s="319"/>
      <c r="S31" s="319"/>
      <c r="T31" s="319"/>
      <c r="U31" s="320"/>
      <c r="V31" s="318"/>
      <c r="W31" s="319"/>
      <c r="X31" s="319"/>
      <c r="Y31" s="319"/>
      <c r="Z31" s="319"/>
      <c r="AA31" s="320"/>
      <c r="AB31" s="336"/>
      <c r="AC31" s="337"/>
      <c r="AD31" s="337"/>
      <c r="AE31" s="337"/>
      <c r="AF31" s="337"/>
      <c r="AG31" s="338"/>
      <c r="AH31" s="327"/>
      <c r="AI31" s="328"/>
      <c r="AJ31" s="328"/>
      <c r="AK31" s="328"/>
      <c r="AL31" s="328"/>
      <c r="AM31" s="329"/>
      <c r="AN31" s="67"/>
      <c r="AO31" s="388"/>
      <c r="AP31" s="389"/>
      <c r="AQ31" s="389"/>
      <c r="AR31" s="389"/>
      <c r="AS31" s="389"/>
      <c r="AT31" s="390"/>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row>
    <row r="32" spans="1:80" x14ac:dyDescent="0.3">
      <c r="A32" s="67"/>
      <c r="B32" s="356"/>
      <c r="C32" s="356"/>
      <c r="D32" s="357"/>
      <c r="E32" s="349"/>
      <c r="F32" s="350"/>
      <c r="G32" s="350"/>
      <c r="H32" s="350"/>
      <c r="I32" s="350"/>
      <c r="J32" s="309" t="str">
        <f ca="1">IF(AND('Mapa final'!$J$24="Baja",'Mapa final'!$N$24="Leve"),CONCATENATE("R",'Mapa final'!$A$24),"")</f>
        <v/>
      </c>
      <c r="K32" s="310"/>
      <c r="L32" s="310" t="str">
        <f ca="1">IF(AND('Mapa final'!$J$30="Baja",'Mapa final'!$N$30="Leve"),CONCATENATE("R",'Mapa final'!$A$30),"")</f>
        <v/>
      </c>
      <c r="M32" s="310"/>
      <c r="N32" s="310" t="str">
        <f ca="1">IF(AND('Mapa final'!$J$36="Baja",'Mapa final'!$N$36="Leve"),CONCATENATE("R",'Mapa final'!$A$36),"")</f>
        <v/>
      </c>
      <c r="O32" s="311"/>
      <c r="P32" s="319" t="str">
        <f ca="1">IF(AND('Mapa final'!$J$24="Baja",'Mapa final'!$N$24="Menor"),CONCATENATE("R",'Mapa final'!$A$24),"")</f>
        <v/>
      </c>
      <c r="Q32" s="319"/>
      <c r="R32" s="319" t="str">
        <f ca="1">IF(AND('Mapa final'!$J$30="Baja",'Mapa final'!$N$30="Menor"),CONCATENATE("R",'Mapa final'!$A$30),"")</f>
        <v/>
      </c>
      <c r="S32" s="319"/>
      <c r="T32" s="319" t="str">
        <f ca="1">IF(AND('Mapa final'!$J$36="Baja",'Mapa final'!$N$36="Menor"),CONCATENATE("R",'Mapa final'!$A$36),"")</f>
        <v/>
      </c>
      <c r="U32" s="320"/>
      <c r="V32" s="318" t="str">
        <f ca="1">IF(AND('Mapa final'!$J$24="Baja",'Mapa final'!$N$24="Moderado"),CONCATENATE("R",'Mapa final'!$A$24),"")</f>
        <v/>
      </c>
      <c r="W32" s="319"/>
      <c r="X32" s="319" t="str">
        <f ca="1">IF(AND('Mapa final'!$J$30="Baja",'Mapa final'!$N$30="Moderado"),CONCATENATE("R",'Mapa final'!$A$30),"")</f>
        <v/>
      </c>
      <c r="Y32" s="319"/>
      <c r="Z32" s="319" t="str">
        <f ca="1">IF(AND('Mapa final'!$J$36="Baja",'Mapa final'!$N$36="Moderado"),CONCATENATE("R",'Mapa final'!$A$36),"")</f>
        <v/>
      </c>
      <c r="AA32" s="320"/>
      <c r="AB32" s="336" t="str">
        <f ca="1">IF(AND('Mapa final'!$J$24="Baja",'Mapa final'!$N$24="Mayor"),CONCATENATE("R",'Mapa final'!$A$24),"")</f>
        <v/>
      </c>
      <c r="AC32" s="337"/>
      <c r="AD32" s="337" t="str">
        <f ca="1">IF(AND('Mapa final'!$J$30="Baja",'Mapa final'!$N$30="Mayor"),CONCATENATE("R",'Mapa final'!$A$30),"")</f>
        <v/>
      </c>
      <c r="AE32" s="337"/>
      <c r="AF32" s="337" t="str">
        <f ca="1">IF(AND('Mapa final'!$J$36="Baja",'Mapa final'!$N$36="Mayor"),CONCATENATE("R",'Mapa final'!$A$36),"")</f>
        <v/>
      </c>
      <c r="AG32" s="338"/>
      <c r="AH32" s="327" t="str">
        <f ca="1">IF(AND('Mapa final'!$J$24="Baja",'Mapa final'!$N$24="Catastrófico"),CONCATENATE("R",'Mapa final'!$A$24),"")</f>
        <v/>
      </c>
      <c r="AI32" s="328"/>
      <c r="AJ32" s="328" t="str">
        <f ca="1">IF(AND('Mapa final'!$J$30="Baja",'Mapa final'!$N$30="Catastrófico"),CONCATENATE("R",'Mapa final'!$A$30),"")</f>
        <v/>
      </c>
      <c r="AK32" s="328"/>
      <c r="AL32" s="328" t="str">
        <f ca="1">IF(AND('Mapa final'!$J$36="Baja",'Mapa final'!$N$36="Catastrófico"),CONCATENATE("R",'Mapa final'!$A$36),"")</f>
        <v/>
      </c>
      <c r="AM32" s="329"/>
      <c r="AN32" s="67"/>
      <c r="AO32" s="388"/>
      <c r="AP32" s="389"/>
      <c r="AQ32" s="389"/>
      <c r="AR32" s="389"/>
      <c r="AS32" s="389"/>
      <c r="AT32" s="390"/>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row>
    <row r="33" spans="1:80" x14ac:dyDescent="0.3">
      <c r="A33" s="67"/>
      <c r="B33" s="356"/>
      <c r="C33" s="356"/>
      <c r="D33" s="357"/>
      <c r="E33" s="349"/>
      <c r="F33" s="350"/>
      <c r="G33" s="350"/>
      <c r="H33" s="350"/>
      <c r="I33" s="350"/>
      <c r="J33" s="309"/>
      <c r="K33" s="310"/>
      <c r="L33" s="310"/>
      <c r="M33" s="310"/>
      <c r="N33" s="310"/>
      <c r="O33" s="311"/>
      <c r="P33" s="319"/>
      <c r="Q33" s="319"/>
      <c r="R33" s="319"/>
      <c r="S33" s="319"/>
      <c r="T33" s="319"/>
      <c r="U33" s="320"/>
      <c r="V33" s="318"/>
      <c r="W33" s="319"/>
      <c r="X33" s="319"/>
      <c r="Y33" s="319"/>
      <c r="Z33" s="319"/>
      <c r="AA33" s="320"/>
      <c r="AB33" s="336"/>
      <c r="AC33" s="337"/>
      <c r="AD33" s="337"/>
      <c r="AE33" s="337"/>
      <c r="AF33" s="337"/>
      <c r="AG33" s="338"/>
      <c r="AH33" s="327"/>
      <c r="AI33" s="328"/>
      <c r="AJ33" s="328"/>
      <c r="AK33" s="328"/>
      <c r="AL33" s="328"/>
      <c r="AM33" s="329"/>
      <c r="AN33" s="67"/>
      <c r="AO33" s="388"/>
      <c r="AP33" s="389"/>
      <c r="AQ33" s="389"/>
      <c r="AR33" s="389"/>
      <c r="AS33" s="389"/>
      <c r="AT33" s="390"/>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row>
    <row r="34" spans="1:80" x14ac:dyDescent="0.3">
      <c r="A34" s="67"/>
      <c r="B34" s="356"/>
      <c r="C34" s="356"/>
      <c r="D34" s="357"/>
      <c r="E34" s="349"/>
      <c r="F34" s="350"/>
      <c r="G34" s="350"/>
      <c r="H34" s="350"/>
      <c r="I34" s="350"/>
      <c r="J34" s="309" t="str">
        <f ca="1">IF(AND('Mapa final'!$J$42="Baja",'Mapa final'!$N$42="Leve"),CONCATENATE("R",'Mapa final'!$A$42),"")</f>
        <v/>
      </c>
      <c r="K34" s="310"/>
      <c r="L34" s="310" t="str">
        <f ca="1">IF(AND('Mapa final'!$J$48="Baja",'Mapa final'!$N$48="Leve"),CONCATENATE("R",'Mapa final'!$A$48),"")</f>
        <v/>
      </c>
      <c r="M34" s="310"/>
      <c r="N34" s="310" t="str">
        <f ca="1">IF(AND('Mapa final'!$J$54="Baja",'Mapa final'!$N$54="Leve"),CONCATENATE("R",'Mapa final'!$A$54),"")</f>
        <v/>
      </c>
      <c r="O34" s="311"/>
      <c r="P34" s="319" t="str">
        <f ca="1">IF(AND('Mapa final'!$J$42="Baja",'Mapa final'!$N$42="Menor"),CONCATENATE("R",'Mapa final'!$A$42),"")</f>
        <v/>
      </c>
      <c r="Q34" s="319"/>
      <c r="R34" s="319" t="str">
        <f ca="1">IF(AND('Mapa final'!$J$48="Baja",'Mapa final'!$N$48="Menor"),CONCATENATE("R",'Mapa final'!$A$48),"")</f>
        <v/>
      </c>
      <c r="S34" s="319"/>
      <c r="T34" s="319" t="str">
        <f ca="1">IF(AND('Mapa final'!$J$54="Baja",'Mapa final'!$N$54="Menor"),CONCATENATE("R",'Mapa final'!$A$54),"")</f>
        <v/>
      </c>
      <c r="U34" s="320"/>
      <c r="V34" s="318" t="str">
        <f ca="1">IF(AND('Mapa final'!$J$42="Baja",'Mapa final'!$N$42="Moderado"),CONCATENATE("R",'Mapa final'!$A$42),"")</f>
        <v/>
      </c>
      <c r="W34" s="319"/>
      <c r="X34" s="319" t="str">
        <f ca="1">IF(AND('Mapa final'!$J$48="Baja",'Mapa final'!$N$48="Moderado"),CONCATENATE("R",'Mapa final'!$A$48),"")</f>
        <v/>
      </c>
      <c r="Y34" s="319"/>
      <c r="Z34" s="319" t="str">
        <f ca="1">IF(AND('Mapa final'!$J$54="Baja",'Mapa final'!$N$54="Moderado"),CONCATENATE("R",'Mapa final'!$A$54),"")</f>
        <v/>
      </c>
      <c r="AA34" s="320"/>
      <c r="AB34" s="336" t="str">
        <f ca="1">IF(AND('Mapa final'!$J$42="Baja",'Mapa final'!$N$42="Mayor"),CONCATENATE("R",'Mapa final'!$A$42),"")</f>
        <v/>
      </c>
      <c r="AC34" s="337"/>
      <c r="AD34" s="337" t="str">
        <f ca="1">IF(AND('Mapa final'!$J$48="Baja",'Mapa final'!$N$48="Mayor"),CONCATENATE("R",'Mapa final'!$A$48),"")</f>
        <v/>
      </c>
      <c r="AE34" s="337"/>
      <c r="AF34" s="337" t="str">
        <f ca="1">IF(AND('Mapa final'!$J$54="Baja",'Mapa final'!$N$54="Mayor"),CONCATENATE("R",'Mapa final'!$A$54),"")</f>
        <v/>
      </c>
      <c r="AG34" s="338"/>
      <c r="AH34" s="327" t="str">
        <f ca="1">IF(AND('Mapa final'!$J$42="Baja",'Mapa final'!$N$42="Catastrófico"),CONCATENATE("R",'Mapa final'!$A$42),"")</f>
        <v/>
      </c>
      <c r="AI34" s="328"/>
      <c r="AJ34" s="328" t="str">
        <f ca="1">IF(AND('Mapa final'!$J$48="Baja",'Mapa final'!$N$48="Catastrófico"),CONCATENATE("R",'Mapa final'!$A$48),"")</f>
        <v/>
      </c>
      <c r="AK34" s="328"/>
      <c r="AL34" s="328" t="str">
        <f ca="1">IF(AND('Mapa final'!$J$54="Baja",'Mapa final'!$N$54="Catastrófico"),CONCATENATE("R",'Mapa final'!$A$54),"")</f>
        <v/>
      </c>
      <c r="AM34" s="329"/>
      <c r="AN34" s="67"/>
      <c r="AO34" s="388"/>
      <c r="AP34" s="389"/>
      <c r="AQ34" s="389"/>
      <c r="AR34" s="389"/>
      <c r="AS34" s="389"/>
      <c r="AT34" s="390"/>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row>
    <row r="35" spans="1:80" x14ac:dyDescent="0.3">
      <c r="A35" s="67"/>
      <c r="B35" s="356"/>
      <c r="C35" s="356"/>
      <c r="D35" s="357"/>
      <c r="E35" s="349"/>
      <c r="F35" s="350"/>
      <c r="G35" s="350"/>
      <c r="H35" s="350"/>
      <c r="I35" s="350"/>
      <c r="J35" s="309"/>
      <c r="K35" s="310"/>
      <c r="L35" s="310"/>
      <c r="M35" s="310"/>
      <c r="N35" s="310"/>
      <c r="O35" s="311"/>
      <c r="P35" s="319"/>
      <c r="Q35" s="319"/>
      <c r="R35" s="319"/>
      <c r="S35" s="319"/>
      <c r="T35" s="319"/>
      <c r="U35" s="320"/>
      <c r="V35" s="318"/>
      <c r="W35" s="319"/>
      <c r="X35" s="319"/>
      <c r="Y35" s="319"/>
      <c r="Z35" s="319"/>
      <c r="AA35" s="320"/>
      <c r="AB35" s="336"/>
      <c r="AC35" s="337"/>
      <c r="AD35" s="337"/>
      <c r="AE35" s="337"/>
      <c r="AF35" s="337"/>
      <c r="AG35" s="338"/>
      <c r="AH35" s="327"/>
      <c r="AI35" s="328"/>
      <c r="AJ35" s="328"/>
      <c r="AK35" s="328"/>
      <c r="AL35" s="328"/>
      <c r="AM35" s="329"/>
      <c r="AN35" s="67"/>
      <c r="AO35" s="388"/>
      <c r="AP35" s="389"/>
      <c r="AQ35" s="389"/>
      <c r="AR35" s="389"/>
      <c r="AS35" s="389"/>
      <c r="AT35" s="390"/>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row>
    <row r="36" spans="1:80" x14ac:dyDescent="0.3">
      <c r="A36" s="67"/>
      <c r="B36" s="356"/>
      <c r="C36" s="356"/>
      <c r="D36" s="357"/>
      <c r="E36" s="349"/>
      <c r="F36" s="350"/>
      <c r="G36" s="350"/>
      <c r="H36" s="350"/>
      <c r="I36" s="350"/>
      <c r="J36" s="309" t="str">
        <f ca="1">IF(AND('Mapa final'!$J$60="Baja",'Mapa final'!$N$60="Leve"),CONCATENATE("R",'Mapa final'!$A$60),"")</f>
        <v/>
      </c>
      <c r="K36" s="310"/>
      <c r="L36" s="310" t="str">
        <f>IF(AND('Mapa final'!$J$66="Baja",'Mapa final'!$N$66="Leve"),CONCATENATE("R",'Mapa final'!$A$66),"")</f>
        <v/>
      </c>
      <c r="M36" s="310"/>
      <c r="N36" s="310" t="str">
        <f>IF(AND('Mapa final'!$J$72="Baja",'Mapa final'!$N$72="Leve"),CONCATENATE("R",'Mapa final'!$A$72),"")</f>
        <v/>
      </c>
      <c r="O36" s="311"/>
      <c r="P36" s="319" t="str">
        <f ca="1">IF(AND('Mapa final'!$J$60="Baja",'Mapa final'!$N$60="Menor"),CONCATENATE("R",'Mapa final'!$A$60),"")</f>
        <v/>
      </c>
      <c r="Q36" s="319"/>
      <c r="R36" s="319" t="str">
        <f>IF(AND('Mapa final'!$J$66="Baja",'Mapa final'!$N$66="Menor"),CONCATENATE("R",'Mapa final'!$A$66),"")</f>
        <v/>
      </c>
      <c r="S36" s="319"/>
      <c r="T36" s="319" t="str">
        <f>IF(AND('Mapa final'!$J$72="Baja",'Mapa final'!$N$72="Menor"),CONCATENATE("R",'Mapa final'!$A$72),"")</f>
        <v/>
      </c>
      <c r="U36" s="320"/>
      <c r="V36" s="318" t="str">
        <f ca="1">IF(AND('Mapa final'!$J$60="Baja",'Mapa final'!$N$60="Moderado"),CONCATENATE("R",'Mapa final'!$A$60),"")</f>
        <v/>
      </c>
      <c r="W36" s="319"/>
      <c r="X36" s="319" t="str">
        <f>IF(AND('Mapa final'!$J$66="Baja",'Mapa final'!$N$66="Moderado"),CONCATENATE("R",'Mapa final'!$A$66),"")</f>
        <v/>
      </c>
      <c r="Y36" s="319"/>
      <c r="Z36" s="319" t="str">
        <f>IF(AND('Mapa final'!$J$72="Baja",'Mapa final'!$N$72="Moderado"),CONCATENATE("R",'Mapa final'!$A$72),"")</f>
        <v/>
      </c>
      <c r="AA36" s="320"/>
      <c r="AB36" s="336" t="str">
        <f ca="1">IF(AND('Mapa final'!$J$60="Baja",'Mapa final'!$N$60="Mayor"),CONCATENATE("R",'Mapa final'!$A$60),"")</f>
        <v/>
      </c>
      <c r="AC36" s="337"/>
      <c r="AD36" s="337" t="str">
        <f>IF(AND('Mapa final'!$J$66="Baja",'Mapa final'!$N$66="Mayor"),CONCATENATE("R",'Mapa final'!$A$66),"")</f>
        <v/>
      </c>
      <c r="AE36" s="337"/>
      <c r="AF36" s="337" t="str">
        <f>IF(AND('Mapa final'!$J$72="Baja",'Mapa final'!$N$72="Mayor"),CONCATENATE("R",'Mapa final'!$A$72),"")</f>
        <v/>
      </c>
      <c r="AG36" s="338"/>
      <c r="AH36" s="327" t="str">
        <f ca="1">IF(AND('Mapa final'!$J$60="Baja",'Mapa final'!$N$60="Catastrófico"),CONCATENATE("R",'Mapa final'!$A$60),"")</f>
        <v/>
      </c>
      <c r="AI36" s="328"/>
      <c r="AJ36" s="328" t="str">
        <f>IF(AND('Mapa final'!$J$66="Baja",'Mapa final'!$N$66="Catastrófico"),CONCATENATE("R",'Mapa final'!$A$66),"")</f>
        <v/>
      </c>
      <c r="AK36" s="328"/>
      <c r="AL36" s="328" t="str">
        <f>IF(AND('Mapa final'!$J$72="Baja",'Mapa final'!$N$72="Catastrófico"),CONCATENATE("R",'Mapa final'!$A$72),"")</f>
        <v/>
      </c>
      <c r="AM36" s="329"/>
      <c r="AN36" s="67"/>
      <c r="AO36" s="388"/>
      <c r="AP36" s="389"/>
      <c r="AQ36" s="389"/>
      <c r="AR36" s="389"/>
      <c r="AS36" s="389"/>
      <c r="AT36" s="390"/>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row>
    <row r="37" spans="1:80" ht="15" thickBot="1" x14ac:dyDescent="0.35">
      <c r="A37" s="67"/>
      <c r="B37" s="356"/>
      <c r="C37" s="356"/>
      <c r="D37" s="357"/>
      <c r="E37" s="352"/>
      <c r="F37" s="353"/>
      <c r="G37" s="353"/>
      <c r="H37" s="353"/>
      <c r="I37" s="353"/>
      <c r="J37" s="312"/>
      <c r="K37" s="313"/>
      <c r="L37" s="313"/>
      <c r="M37" s="313"/>
      <c r="N37" s="313"/>
      <c r="O37" s="314"/>
      <c r="P37" s="322"/>
      <c r="Q37" s="322"/>
      <c r="R37" s="322"/>
      <c r="S37" s="322"/>
      <c r="T37" s="322"/>
      <c r="U37" s="323"/>
      <c r="V37" s="321"/>
      <c r="W37" s="322"/>
      <c r="X37" s="322"/>
      <c r="Y37" s="322"/>
      <c r="Z37" s="322"/>
      <c r="AA37" s="323"/>
      <c r="AB37" s="339"/>
      <c r="AC37" s="340"/>
      <c r="AD37" s="340"/>
      <c r="AE37" s="340"/>
      <c r="AF37" s="340"/>
      <c r="AG37" s="341"/>
      <c r="AH37" s="330"/>
      <c r="AI37" s="331"/>
      <c r="AJ37" s="331"/>
      <c r="AK37" s="331"/>
      <c r="AL37" s="331"/>
      <c r="AM37" s="332"/>
      <c r="AN37" s="67"/>
      <c r="AO37" s="391"/>
      <c r="AP37" s="392"/>
      <c r="AQ37" s="392"/>
      <c r="AR37" s="392"/>
      <c r="AS37" s="392"/>
      <c r="AT37" s="393"/>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c r="BY37" s="67"/>
      <c r="BZ37" s="67"/>
      <c r="CA37" s="67"/>
      <c r="CB37" s="67"/>
    </row>
    <row r="38" spans="1:80" x14ac:dyDescent="0.3">
      <c r="A38" s="67"/>
      <c r="B38" s="356"/>
      <c r="C38" s="356"/>
      <c r="D38" s="357"/>
      <c r="E38" s="346" t="s">
        <v>108</v>
      </c>
      <c r="F38" s="347"/>
      <c r="G38" s="347"/>
      <c r="H38" s="347"/>
      <c r="I38" s="348"/>
      <c r="J38" s="315" t="str">
        <f ca="1">IF(AND('Mapa final'!$J$10="Muy Baja",'Mapa final'!$N$10="Leve"),CONCATENATE("R",'Mapa final'!$A$10),"")</f>
        <v/>
      </c>
      <c r="K38" s="316"/>
      <c r="L38" s="316" t="str">
        <f ca="1">IF(AND('Mapa final'!$J$14="Muy Baja",'Mapa final'!$N$14="Leve"),CONCATENATE("R",'Mapa final'!$A$14),"")</f>
        <v/>
      </c>
      <c r="M38" s="316"/>
      <c r="N38" s="316" t="str">
        <f ca="1">IF(AND('Mapa final'!$J$18="Muy Baja",'Mapa final'!$N$18="Leve"),CONCATENATE("R",'Mapa final'!$A$18),"")</f>
        <v/>
      </c>
      <c r="O38" s="317"/>
      <c r="P38" s="315" t="str">
        <f ca="1">IF(AND('Mapa final'!$J$10="Muy Baja",'Mapa final'!$N$10="Menor"),CONCATENATE("R",'Mapa final'!$A$10),"")</f>
        <v/>
      </c>
      <c r="Q38" s="316"/>
      <c r="R38" s="316" t="str">
        <f ca="1">IF(AND('Mapa final'!$J$14="Muy Baja",'Mapa final'!$N$14="Menor"),CONCATENATE("R",'Mapa final'!$A$14),"")</f>
        <v/>
      </c>
      <c r="S38" s="316"/>
      <c r="T38" s="316" t="str">
        <f ca="1">IF(AND('Mapa final'!$J$18="Muy Baja",'Mapa final'!$N$18="Menor"),CONCATENATE("R",'Mapa final'!$A$18),"")</f>
        <v/>
      </c>
      <c r="U38" s="317"/>
      <c r="V38" s="324" t="str">
        <f ca="1">IF(AND('Mapa final'!$J$10="Muy Baja",'Mapa final'!$N$10="Moderado"),CONCATENATE("R",'Mapa final'!$A$10),"")</f>
        <v/>
      </c>
      <c r="W38" s="325"/>
      <c r="X38" s="325" t="str">
        <f ca="1">IF(AND('Mapa final'!$J$14="Muy Baja",'Mapa final'!$N$14="Moderado"),CONCATENATE("R",'Mapa final'!$A$14),"")</f>
        <v/>
      </c>
      <c r="Y38" s="325"/>
      <c r="Z38" s="325" t="str">
        <f ca="1">IF(AND('Mapa final'!$J$18="Muy Baja",'Mapa final'!$N$18="Moderado"),CONCATENATE("R",'Mapa final'!$A$18),"")</f>
        <v/>
      </c>
      <c r="AA38" s="326"/>
      <c r="AB38" s="342" t="str">
        <f ca="1">IF(AND('Mapa final'!$J$10="Muy Baja",'Mapa final'!$N$10="Mayor"),CONCATENATE("R",'Mapa final'!$A$10),"")</f>
        <v/>
      </c>
      <c r="AC38" s="343"/>
      <c r="AD38" s="343" t="str">
        <f ca="1">IF(AND('Mapa final'!$J$14="Muy Baja",'Mapa final'!$N$14="Mayor"),CONCATENATE("R",'Mapa final'!$A$14),"")</f>
        <v/>
      </c>
      <c r="AE38" s="343"/>
      <c r="AF38" s="343" t="str">
        <f ca="1">IF(AND('Mapa final'!$J$18="Muy Baja",'Mapa final'!$N$18="Mayor"),CONCATENATE("R",'Mapa final'!$A$18),"")</f>
        <v/>
      </c>
      <c r="AG38" s="344"/>
      <c r="AH38" s="333" t="str">
        <f ca="1">IF(AND('Mapa final'!$J$10="Muy Baja",'Mapa final'!$N$10="Catastrófico"),CONCATENATE("R",'Mapa final'!$A$10),"")</f>
        <v/>
      </c>
      <c r="AI38" s="334"/>
      <c r="AJ38" s="334" t="str">
        <f ca="1">IF(AND('Mapa final'!$J$14="Muy Baja",'Mapa final'!$N$14="Catastrófico"),CONCATENATE("R",'Mapa final'!$A$14),"")</f>
        <v/>
      </c>
      <c r="AK38" s="334"/>
      <c r="AL38" s="334" t="str">
        <f ca="1">IF(AND('Mapa final'!$J$18="Muy Baja",'Mapa final'!$N$18="Catastrófico"),CONCATENATE("R",'Mapa final'!$A$18),"")</f>
        <v/>
      </c>
      <c r="AM38" s="335"/>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row>
    <row r="39" spans="1:80" x14ac:dyDescent="0.3">
      <c r="A39" s="67"/>
      <c r="B39" s="356"/>
      <c r="C39" s="356"/>
      <c r="D39" s="357"/>
      <c r="E39" s="349"/>
      <c r="F39" s="350"/>
      <c r="G39" s="350"/>
      <c r="H39" s="350"/>
      <c r="I39" s="351"/>
      <c r="J39" s="309"/>
      <c r="K39" s="310"/>
      <c r="L39" s="310"/>
      <c r="M39" s="310"/>
      <c r="N39" s="310"/>
      <c r="O39" s="311"/>
      <c r="P39" s="309"/>
      <c r="Q39" s="310"/>
      <c r="R39" s="310"/>
      <c r="S39" s="310"/>
      <c r="T39" s="310"/>
      <c r="U39" s="311"/>
      <c r="V39" s="318"/>
      <c r="W39" s="319"/>
      <c r="X39" s="319"/>
      <c r="Y39" s="319"/>
      <c r="Z39" s="319"/>
      <c r="AA39" s="320"/>
      <c r="AB39" s="336"/>
      <c r="AC39" s="337"/>
      <c r="AD39" s="337"/>
      <c r="AE39" s="337"/>
      <c r="AF39" s="337"/>
      <c r="AG39" s="338"/>
      <c r="AH39" s="327"/>
      <c r="AI39" s="328"/>
      <c r="AJ39" s="328"/>
      <c r="AK39" s="328"/>
      <c r="AL39" s="328"/>
      <c r="AM39" s="329"/>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row>
    <row r="40" spans="1:80" x14ac:dyDescent="0.3">
      <c r="A40" s="67"/>
      <c r="B40" s="356"/>
      <c r="C40" s="356"/>
      <c r="D40" s="357"/>
      <c r="E40" s="349"/>
      <c r="F40" s="350"/>
      <c r="G40" s="350"/>
      <c r="H40" s="350"/>
      <c r="I40" s="351"/>
      <c r="J40" s="309" t="str">
        <f ca="1">IF(AND('Mapa final'!$J$24="Muy Baja",'Mapa final'!$N$24="Leve"),CONCATENATE("R",'Mapa final'!$A$24),"")</f>
        <v/>
      </c>
      <c r="K40" s="310"/>
      <c r="L40" s="310" t="str">
        <f ca="1">IF(AND('Mapa final'!$J$30="Muy Baja",'Mapa final'!$N$30="Leve"),CONCATENATE("R",'Mapa final'!$A$30),"")</f>
        <v/>
      </c>
      <c r="M40" s="310"/>
      <c r="N40" s="310" t="str">
        <f ca="1">IF(AND('Mapa final'!$J$36="Muy Baja",'Mapa final'!$N$36="Leve"),CONCATENATE("R",'Mapa final'!$A$36),"")</f>
        <v/>
      </c>
      <c r="O40" s="311"/>
      <c r="P40" s="309" t="str">
        <f ca="1">IF(AND('Mapa final'!$J$24="Muy Baja",'Mapa final'!$N$24="Menor"),CONCATENATE("R",'Mapa final'!$A$24),"")</f>
        <v/>
      </c>
      <c r="Q40" s="310"/>
      <c r="R40" s="310" t="str">
        <f ca="1">IF(AND('Mapa final'!$J$30="Muy Baja",'Mapa final'!$N$30="Menor"),CONCATENATE("R",'Mapa final'!$A$30),"")</f>
        <v/>
      </c>
      <c r="S40" s="310"/>
      <c r="T40" s="310" t="str">
        <f ca="1">IF(AND('Mapa final'!$J$36="Muy Baja",'Mapa final'!$N$36="Menor"),CONCATENATE("R",'Mapa final'!$A$36),"")</f>
        <v/>
      </c>
      <c r="U40" s="311"/>
      <c r="V40" s="318" t="str">
        <f ca="1">IF(AND('Mapa final'!$J$24="Muy Baja",'Mapa final'!$N$24="Moderado"),CONCATENATE("R",'Mapa final'!$A$24),"")</f>
        <v/>
      </c>
      <c r="W40" s="319"/>
      <c r="X40" s="319" t="str">
        <f ca="1">IF(AND('Mapa final'!$J$30="Muy Baja",'Mapa final'!$N$30="Moderado"),CONCATENATE("R",'Mapa final'!$A$30),"")</f>
        <v/>
      </c>
      <c r="Y40" s="319"/>
      <c r="Z40" s="319" t="str">
        <f ca="1">IF(AND('Mapa final'!$J$36="Muy Baja",'Mapa final'!$N$36="Moderado"),CONCATENATE("R",'Mapa final'!$A$36),"")</f>
        <v/>
      </c>
      <c r="AA40" s="320"/>
      <c r="AB40" s="336" t="str">
        <f ca="1">IF(AND('Mapa final'!$J$24="Muy Baja",'Mapa final'!$N$24="Mayor"),CONCATENATE("R",'Mapa final'!$A$24),"")</f>
        <v/>
      </c>
      <c r="AC40" s="337"/>
      <c r="AD40" s="337" t="str">
        <f ca="1">IF(AND('Mapa final'!$J$30="Muy Baja",'Mapa final'!$N$30="Mayor"),CONCATENATE("R",'Mapa final'!$A$30),"")</f>
        <v/>
      </c>
      <c r="AE40" s="337"/>
      <c r="AF40" s="337" t="str">
        <f ca="1">IF(AND('Mapa final'!$J$36="Muy Baja",'Mapa final'!$N$36="Mayor"),CONCATENATE("R",'Mapa final'!$A$36),"")</f>
        <v/>
      </c>
      <c r="AG40" s="338"/>
      <c r="AH40" s="327" t="str">
        <f ca="1">IF(AND('Mapa final'!$J$24="Muy Baja",'Mapa final'!$N$24="Catastrófico"),CONCATENATE("R",'Mapa final'!$A$24),"")</f>
        <v/>
      </c>
      <c r="AI40" s="328"/>
      <c r="AJ40" s="328" t="str">
        <f ca="1">IF(AND('Mapa final'!$J$30="Muy Baja",'Mapa final'!$N$30="Catastrófico"),CONCATENATE("R",'Mapa final'!$A$30),"")</f>
        <v/>
      </c>
      <c r="AK40" s="328"/>
      <c r="AL40" s="328" t="str">
        <f ca="1">IF(AND('Mapa final'!$J$36="Muy Baja",'Mapa final'!$N$36="Catastrófico"),CONCATENATE("R",'Mapa final'!$A$36),"")</f>
        <v/>
      </c>
      <c r="AM40" s="329"/>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c r="BZ40" s="67"/>
      <c r="CA40" s="67"/>
      <c r="CB40" s="67"/>
    </row>
    <row r="41" spans="1:80" x14ac:dyDescent="0.3">
      <c r="A41" s="67"/>
      <c r="B41" s="356"/>
      <c r="C41" s="356"/>
      <c r="D41" s="357"/>
      <c r="E41" s="349"/>
      <c r="F41" s="350"/>
      <c r="G41" s="350"/>
      <c r="H41" s="350"/>
      <c r="I41" s="351"/>
      <c r="J41" s="309"/>
      <c r="K41" s="310"/>
      <c r="L41" s="310"/>
      <c r="M41" s="310"/>
      <c r="N41" s="310"/>
      <c r="O41" s="311"/>
      <c r="P41" s="309"/>
      <c r="Q41" s="310"/>
      <c r="R41" s="310"/>
      <c r="S41" s="310"/>
      <c r="T41" s="310"/>
      <c r="U41" s="311"/>
      <c r="V41" s="318"/>
      <c r="W41" s="319"/>
      <c r="X41" s="319"/>
      <c r="Y41" s="319"/>
      <c r="Z41" s="319"/>
      <c r="AA41" s="320"/>
      <c r="AB41" s="336"/>
      <c r="AC41" s="337"/>
      <c r="AD41" s="337"/>
      <c r="AE41" s="337"/>
      <c r="AF41" s="337"/>
      <c r="AG41" s="338"/>
      <c r="AH41" s="327"/>
      <c r="AI41" s="328"/>
      <c r="AJ41" s="328"/>
      <c r="AK41" s="328"/>
      <c r="AL41" s="328"/>
      <c r="AM41" s="329"/>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c r="BY41" s="67"/>
      <c r="BZ41" s="67"/>
      <c r="CA41" s="67"/>
      <c r="CB41" s="67"/>
    </row>
    <row r="42" spans="1:80" x14ac:dyDescent="0.3">
      <c r="A42" s="67"/>
      <c r="B42" s="356"/>
      <c r="C42" s="356"/>
      <c r="D42" s="357"/>
      <c r="E42" s="349"/>
      <c r="F42" s="350"/>
      <c r="G42" s="350"/>
      <c r="H42" s="350"/>
      <c r="I42" s="351"/>
      <c r="J42" s="309" t="str">
        <f ca="1">IF(AND('Mapa final'!$J$42="Muy Baja",'Mapa final'!$N$42="Leve"),CONCATENATE("R",'Mapa final'!$A$42),"")</f>
        <v/>
      </c>
      <c r="K42" s="310"/>
      <c r="L42" s="310" t="str">
        <f ca="1">IF(AND('Mapa final'!$J$48="Muy Baja",'Mapa final'!$N$48="Leve"),CONCATENATE("R",'Mapa final'!$A$48),"")</f>
        <v/>
      </c>
      <c r="M42" s="310"/>
      <c r="N42" s="310" t="str">
        <f ca="1">IF(AND('Mapa final'!$J$54="Muy Baja",'Mapa final'!$N$54="Leve"),CONCATENATE("R",'Mapa final'!$A$54),"")</f>
        <v/>
      </c>
      <c r="O42" s="311"/>
      <c r="P42" s="309" t="str">
        <f ca="1">IF(AND('Mapa final'!$J$42="Muy Baja",'Mapa final'!$N$42="Menor"),CONCATENATE("R",'Mapa final'!$A$42),"")</f>
        <v/>
      </c>
      <c r="Q42" s="310"/>
      <c r="R42" s="310" t="str">
        <f ca="1">IF(AND('Mapa final'!$J$48="Muy Baja",'Mapa final'!$N$48="Menor"),CONCATENATE("R",'Mapa final'!$A$48),"")</f>
        <v/>
      </c>
      <c r="S42" s="310"/>
      <c r="T42" s="310" t="str">
        <f ca="1">IF(AND('Mapa final'!$J$54="Muy Baja",'Mapa final'!$N$54="Menor"),CONCATENATE("R",'Mapa final'!$A$54),"")</f>
        <v/>
      </c>
      <c r="U42" s="311"/>
      <c r="V42" s="318" t="str">
        <f ca="1">IF(AND('Mapa final'!$J$42="Muy Baja",'Mapa final'!$N$42="Moderado"),CONCATENATE("R",'Mapa final'!$A$42),"")</f>
        <v/>
      </c>
      <c r="W42" s="319"/>
      <c r="X42" s="319" t="str">
        <f ca="1">IF(AND('Mapa final'!$J$48="Muy Baja",'Mapa final'!$N$48="Moderado"),CONCATENATE("R",'Mapa final'!$A$48),"")</f>
        <v/>
      </c>
      <c r="Y42" s="319"/>
      <c r="Z42" s="319" t="str">
        <f ca="1">IF(AND('Mapa final'!$J$54="Muy Baja",'Mapa final'!$N$54="Moderado"),CONCATENATE("R",'Mapa final'!$A$54),"")</f>
        <v/>
      </c>
      <c r="AA42" s="320"/>
      <c r="AB42" s="336" t="str">
        <f ca="1">IF(AND('Mapa final'!$J$42="Muy Baja",'Mapa final'!$N$42="Mayor"),CONCATENATE("R",'Mapa final'!$A$42),"")</f>
        <v/>
      </c>
      <c r="AC42" s="337"/>
      <c r="AD42" s="337" t="str">
        <f ca="1">IF(AND('Mapa final'!$J$48="Muy Baja",'Mapa final'!$N$48="Mayor"),CONCATENATE("R",'Mapa final'!$A$48),"")</f>
        <v/>
      </c>
      <c r="AE42" s="337"/>
      <c r="AF42" s="337" t="str">
        <f ca="1">IF(AND('Mapa final'!$J$54="Muy Baja",'Mapa final'!$N$54="Mayor"),CONCATENATE("R",'Mapa final'!$A$54),"")</f>
        <v/>
      </c>
      <c r="AG42" s="338"/>
      <c r="AH42" s="327" t="str">
        <f ca="1">IF(AND('Mapa final'!$J$42="Muy Baja",'Mapa final'!$N$42="Catastrófico"),CONCATENATE("R",'Mapa final'!$A$42),"")</f>
        <v/>
      </c>
      <c r="AI42" s="328"/>
      <c r="AJ42" s="328" t="str">
        <f ca="1">IF(AND('Mapa final'!$J$48="Muy Baja",'Mapa final'!$N$48="Catastrófico"),CONCATENATE("R",'Mapa final'!$A$48),"")</f>
        <v/>
      </c>
      <c r="AK42" s="328"/>
      <c r="AL42" s="328" t="str">
        <f ca="1">IF(AND('Mapa final'!$J$54="Muy Baja",'Mapa final'!$N$54="Catastrófico"),CONCATENATE("R",'Mapa final'!$A$54),"")</f>
        <v/>
      </c>
      <c r="AM42" s="329"/>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c r="BY42" s="67"/>
      <c r="BZ42" s="67"/>
      <c r="CA42" s="67"/>
      <c r="CB42" s="67"/>
    </row>
    <row r="43" spans="1:80" x14ac:dyDescent="0.3">
      <c r="A43" s="67"/>
      <c r="B43" s="356"/>
      <c r="C43" s="356"/>
      <c r="D43" s="357"/>
      <c r="E43" s="349"/>
      <c r="F43" s="350"/>
      <c r="G43" s="350"/>
      <c r="H43" s="350"/>
      <c r="I43" s="351"/>
      <c r="J43" s="309"/>
      <c r="K43" s="310"/>
      <c r="L43" s="310"/>
      <c r="M43" s="310"/>
      <c r="N43" s="310"/>
      <c r="O43" s="311"/>
      <c r="P43" s="309"/>
      <c r="Q43" s="310"/>
      <c r="R43" s="310"/>
      <c r="S43" s="310"/>
      <c r="T43" s="310"/>
      <c r="U43" s="311"/>
      <c r="V43" s="318"/>
      <c r="W43" s="319"/>
      <c r="X43" s="319"/>
      <c r="Y43" s="319"/>
      <c r="Z43" s="319"/>
      <c r="AA43" s="320"/>
      <c r="AB43" s="336"/>
      <c r="AC43" s="337"/>
      <c r="AD43" s="337"/>
      <c r="AE43" s="337"/>
      <c r="AF43" s="337"/>
      <c r="AG43" s="338"/>
      <c r="AH43" s="327"/>
      <c r="AI43" s="328"/>
      <c r="AJ43" s="328"/>
      <c r="AK43" s="328"/>
      <c r="AL43" s="328"/>
      <c r="AM43" s="329"/>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c r="BY43" s="67"/>
      <c r="BZ43" s="67"/>
      <c r="CA43" s="67"/>
      <c r="CB43" s="67"/>
    </row>
    <row r="44" spans="1:80" x14ac:dyDescent="0.3">
      <c r="A44" s="67"/>
      <c r="B44" s="356"/>
      <c r="C44" s="356"/>
      <c r="D44" s="357"/>
      <c r="E44" s="349"/>
      <c r="F44" s="350"/>
      <c r="G44" s="350"/>
      <c r="H44" s="350"/>
      <c r="I44" s="351"/>
      <c r="J44" s="309" t="str">
        <f ca="1">IF(AND('Mapa final'!$J$60="Muy Baja",'Mapa final'!$N$60="Leve"),CONCATENATE("R",'Mapa final'!$A$60),"")</f>
        <v/>
      </c>
      <c r="K44" s="310"/>
      <c r="L44" s="310" t="str">
        <f>IF(AND('Mapa final'!$J$66="Muy Baja",'Mapa final'!$N$66="Leve"),CONCATENATE("R",'Mapa final'!$A$66),"")</f>
        <v/>
      </c>
      <c r="M44" s="310"/>
      <c r="N44" s="310" t="str">
        <f>IF(AND('Mapa final'!$J$72="Muy Baja",'Mapa final'!$N$72="Leve"),CONCATENATE("R",'Mapa final'!$A$72),"")</f>
        <v/>
      </c>
      <c r="O44" s="311"/>
      <c r="P44" s="309" t="str">
        <f ca="1">IF(AND('Mapa final'!$J$60="Muy Baja",'Mapa final'!$N$60="Menor"),CONCATENATE("R",'Mapa final'!$A$60),"")</f>
        <v/>
      </c>
      <c r="Q44" s="310"/>
      <c r="R44" s="310" t="str">
        <f>IF(AND('Mapa final'!$J$66="Muy Baja",'Mapa final'!$N$66="Menor"),CONCATENATE("R",'Mapa final'!$A$66),"")</f>
        <v/>
      </c>
      <c r="S44" s="310"/>
      <c r="T44" s="310" t="str">
        <f>IF(AND('Mapa final'!$J$72="Muy Baja",'Mapa final'!$N$72="Menor"),CONCATENATE("R",'Mapa final'!$A$72),"")</f>
        <v/>
      </c>
      <c r="U44" s="311"/>
      <c r="V44" s="318" t="str">
        <f ca="1">IF(AND('Mapa final'!$J$60="Muy Baja",'Mapa final'!$N$60="Moderado"),CONCATENATE("R",'Mapa final'!$A$60),"")</f>
        <v/>
      </c>
      <c r="W44" s="319"/>
      <c r="X44" s="319" t="str">
        <f>IF(AND('Mapa final'!$J$66="Muy Baja",'Mapa final'!$N$66="Moderado"),CONCATENATE("R",'Mapa final'!$A$66),"")</f>
        <v/>
      </c>
      <c r="Y44" s="319"/>
      <c r="Z44" s="319" t="str">
        <f>IF(AND('Mapa final'!$J$72="Muy Baja",'Mapa final'!$N$72="Moderado"),CONCATENATE("R",'Mapa final'!$A$72),"")</f>
        <v/>
      </c>
      <c r="AA44" s="320"/>
      <c r="AB44" s="336" t="str">
        <f ca="1">IF(AND('Mapa final'!$J$60="Muy Baja",'Mapa final'!$N$60="Mayor"),CONCATENATE("R",'Mapa final'!$A$60),"")</f>
        <v/>
      </c>
      <c r="AC44" s="337"/>
      <c r="AD44" s="337" t="str">
        <f>IF(AND('Mapa final'!$J$66="Muy Baja",'Mapa final'!$N$66="Mayor"),CONCATENATE("R",'Mapa final'!$A$66),"")</f>
        <v/>
      </c>
      <c r="AE44" s="337"/>
      <c r="AF44" s="337" t="str">
        <f>IF(AND('Mapa final'!$J$72="Muy Baja",'Mapa final'!$N$72="Mayor"),CONCATENATE("R",'Mapa final'!$A$72),"")</f>
        <v/>
      </c>
      <c r="AG44" s="338"/>
      <c r="AH44" s="327" t="str">
        <f ca="1">IF(AND('Mapa final'!$J$60="Muy Baja",'Mapa final'!$N$60="Catastrófico"),CONCATENATE("R",'Mapa final'!$A$60),"")</f>
        <v/>
      </c>
      <c r="AI44" s="328"/>
      <c r="AJ44" s="328" t="str">
        <f>IF(AND('Mapa final'!$J$66="Muy Baja",'Mapa final'!$N$66="Catastrófico"),CONCATENATE("R",'Mapa final'!$A$66),"")</f>
        <v/>
      </c>
      <c r="AK44" s="328"/>
      <c r="AL44" s="328" t="str">
        <f>IF(AND('Mapa final'!$J$72="Muy Baja",'Mapa final'!$N$72="Catastrófico"),CONCATENATE("R",'Mapa final'!$A$72),"")</f>
        <v/>
      </c>
      <c r="AM44" s="329"/>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c r="BY44" s="67"/>
      <c r="BZ44" s="67"/>
      <c r="CA44" s="67"/>
      <c r="CB44" s="67"/>
    </row>
    <row r="45" spans="1:80" ht="15" thickBot="1" x14ac:dyDescent="0.35">
      <c r="A45" s="67"/>
      <c r="B45" s="356"/>
      <c r="C45" s="356"/>
      <c r="D45" s="357"/>
      <c r="E45" s="352"/>
      <c r="F45" s="353"/>
      <c r="G45" s="353"/>
      <c r="H45" s="353"/>
      <c r="I45" s="354"/>
      <c r="J45" s="312"/>
      <c r="K45" s="313"/>
      <c r="L45" s="313"/>
      <c r="M45" s="313"/>
      <c r="N45" s="313"/>
      <c r="O45" s="314"/>
      <c r="P45" s="312"/>
      <c r="Q45" s="313"/>
      <c r="R45" s="313"/>
      <c r="S45" s="313"/>
      <c r="T45" s="313"/>
      <c r="U45" s="314"/>
      <c r="V45" s="321"/>
      <c r="W45" s="322"/>
      <c r="X45" s="322"/>
      <c r="Y45" s="322"/>
      <c r="Z45" s="322"/>
      <c r="AA45" s="323"/>
      <c r="AB45" s="339"/>
      <c r="AC45" s="340"/>
      <c r="AD45" s="340"/>
      <c r="AE45" s="340"/>
      <c r="AF45" s="340"/>
      <c r="AG45" s="341"/>
      <c r="AH45" s="330"/>
      <c r="AI45" s="331"/>
      <c r="AJ45" s="331"/>
      <c r="AK45" s="331"/>
      <c r="AL45" s="331"/>
      <c r="AM45" s="332"/>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7"/>
      <c r="BR45" s="67"/>
      <c r="BS45" s="67"/>
      <c r="BT45" s="67"/>
      <c r="BU45" s="67"/>
      <c r="BV45" s="67"/>
      <c r="BW45" s="67"/>
      <c r="BX45" s="67"/>
      <c r="BY45" s="67"/>
      <c r="BZ45" s="67"/>
      <c r="CA45" s="67"/>
      <c r="CB45" s="67"/>
    </row>
    <row r="46" spans="1:80" x14ac:dyDescent="0.3">
      <c r="A46" s="67"/>
      <c r="B46" s="67"/>
      <c r="C46" s="67"/>
      <c r="D46" s="67"/>
      <c r="E46" s="67"/>
      <c r="F46" s="67"/>
      <c r="G46" s="67"/>
      <c r="H46" s="67"/>
      <c r="I46" s="67"/>
      <c r="J46" s="346" t="s">
        <v>107</v>
      </c>
      <c r="K46" s="347"/>
      <c r="L46" s="347"/>
      <c r="M46" s="347"/>
      <c r="N46" s="347"/>
      <c r="O46" s="348"/>
      <c r="P46" s="346" t="s">
        <v>106</v>
      </c>
      <c r="Q46" s="347"/>
      <c r="R46" s="347"/>
      <c r="S46" s="347"/>
      <c r="T46" s="347"/>
      <c r="U46" s="348"/>
      <c r="V46" s="346" t="s">
        <v>105</v>
      </c>
      <c r="W46" s="347"/>
      <c r="X46" s="347"/>
      <c r="Y46" s="347"/>
      <c r="Z46" s="347"/>
      <c r="AA46" s="348"/>
      <c r="AB46" s="346" t="s">
        <v>104</v>
      </c>
      <c r="AC46" s="355"/>
      <c r="AD46" s="347"/>
      <c r="AE46" s="347"/>
      <c r="AF46" s="347"/>
      <c r="AG46" s="348"/>
      <c r="AH46" s="346" t="s">
        <v>103</v>
      </c>
      <c r="AI46" s="347"/>
      <c r="AJ46" s="347"/>
      <c r="AK46" s="347"/>
      <c r="AL46" s="347"/>
      <c r="AM46" s="348"/>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x14ac:dyDescent="0.3">
      <c r="A47" s="67"/>
      <c r="B47" s="67"/>
      <c r="C47" s="67"/>
      <c r="D47" s="67"/>
      <c r="E47" s="67"/>
      <c r="F47" s="67"/>
      <c r="G47" s="67"/>
      <c r="H47" s="67"/>
      <c r="I47" s="67"/>
      <c r="J47" s="349"/>
      <c r="K47" s="350"/>
      <c r="L47" s="350"/>
      <c r="M47" s="350"/>
      <c r="N47" s="350"/>
      <c r="O47" s="351"/>
      <c r="P47" s="349"/>
      <c r="Q47" s="350"/>
      <c r="R47" s="350"/>
      <c r="S47" s="350"/>
      <c r="T47" s="350"/>
      <c r="U47" s="351"/>
      <c r="V47" s="349"/>
      <c r="W47" s="350"/>
      <c r="X47" s="350"/>
      <c r="Y47" s="350"/>
      <c r="Z47" s="350"/>
      <c r="AA47" s="351"/>
      <c r="AB47" s="349"/>
      <c r="AC47" s="350"/>
      <c r="AD47" s="350"/>
      <c r="AE47" s="350"/>
      <c r="AF47" s="350"/>
      <c r="AG47" s="351"/>
      <c r="AH47" s="349"/>
      <c r="AI47" s="350"/>
      <c r="AJ47" s="350"/>
      <c r="AK47" s="350"/>
      <c r="AL47" s="350"/>
      <c r="AM47" s="351"/>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x14ac:dyDescent="0.3">
      <c r="A48" s="67"/>
      <c r="B48" s="67"/>
      <c r="C48" s="67"/>
      <c r="D48" s="67"/>
      <c r="E48" s="67"/>
      <c r="F48" s="67"/>
      <c r="G48" s="67"/>
      <c r="H48" s="67"/>
      <c r="I48" s="67"/>
      <c r="J48" s="349"/>
      <c r="K48" s="350"/>
      <c r="L48" s="350"/>
      <c r="M48" s="350"/>
      <c r="N48" s="350"/>
      <c r="O48" s="351"/>
      <c r="P48" s="349"/>
      <c r="Q48" s="350"/>
      <c r="R48" s="350"/>
      <c r="S48" s="350"/>
      <c r="T48" s="350"/>
      <c r="U48" s="351"/>
      <c r="V48" s="349"/>
      <c r="W48" s="350"/>
      <c r="X48" s="350"/>
      <c r="Y48" s="350"/>
      <c r="Z48" s="350"/>
      <c r="AA48" s="351"/>
      <c r="AB48" s="349"/>
      <c r="AC48" s="350"/>
      <c r="AD48" s="350"/>
      <c r="AE48" s="350"/>
      <c r="AF48" s="350"/>
      <c r="AG48" s="351"/>
      <c r="AH48" s="349"/>
      <c r="AI48" s="350"/>
      <c r="AJ48" s="350"/>
      <c r="AK48" s="350"/>
      <c r="AL48" s="350"/>
      <c r="AM48" s="351"/>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x14ac:dyDescent="0.3">
      <c r="A49" s="67"/>
      <c r="B49" s="67"/>
      <c r="C49" s="67"/>
      <c r="D49" s="67"/>
      <c r="E49" s="67"/>
      <c r="F49" s="67"/>
      <c r="G49" s="67"/>
      <c r="H49" s="67"/>
      <c r="I49" s="67"/>
      <c r="J49" s="349"/>
      <c r="K49" s="350"/>
      <c r="L49" s="350"/>
      <c r="M49" s="350"/>
      <c r="N49" s="350"/>
      <c r="O49" s="351"/>
      <c r="P49" s="349"/>
      <c r="Q49" s="350"/>
      <c r="R49" s="350"/>
      <c r="S49" s="350"/>
      <c r="T49" s="350"/>
      <c r="U49" s="351"/>
      <c r="V49" s="349"/>
      <c r="W49" s="350"/>
      <c r="X49" s="350"/>
      <c r="Y49" s="350"/>
      <c r="Z49" s="350"/>
      <c r="AA49" s="351"/>
      <c r="AB49" s="349"/>
      <c r="AC49" s="350"/>
      <c r="AD49" s="350"/>
      <c r="AE49" s="350"/>
      <c r="AF49" s="350"/>
      <c r="AG49" s="351"/>
      <c r="AH49" s="349"/>
      <c r="AI49" s="350"/>
      <c r="AJ49" s="350"/>
      <c r="AK49" s="350"/>
      <c r="AL49" s="350"/>
      <c r="AM49" s="351"/>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x14ac:dyDescent="0.3">
      <c r="A50" s="67"/>
      <c r="B50" s="67"/>
      <c r="C50" s="67"/>
      <c r="D50" s="67"/>
      <c r="E50" s="67"/>
      <c r="F50" s="67"/>
      <c r="G50" s="67"/>
      <c r="H50" s="67"/>
      <c r="I50" s="67"/>
      <c r="J50" s="349"/>
      <c r="K50" s="350"/>
      <c r="L50" s="350"/>
      <c r="M50" s="350"/>
      <c r="N50" s="350"/>
      <c r="O50" s="351"/>
      <c r="P50" s="349"/>
      <c r="Q50" s="350"/>
      <c r="R50" s="350"/>
      <c r="S50" s="350"/>
      <c r="T50" s="350"/>
      <c r="U50" s="351"/>
      <c r="V50" s="349"/>
      <c r="W50" s="350"/>
      <c r="X50" s="350"/>
      <c r="Y50" s="350"/>
      <c r="Z50" s="350"/>
      <c r="AA50" s="351"/>
      <c r="AB50" s="349"/>
      <c r="AC50" s="350"/>
      <c r="AD50" s="350"/>
      <c r="AE50" s="350"/>
      <c r="AF50" s="350"/>
      <c r="AG50" s="351"/>
      <c r="AH50" s="349"/>
      <c r="AI50" s="350"/>
      <c r="AJ50" s="350"/>
      <c r="AK50" s="350"/>
      <c r="AL50" s="350"/>
      <c r="AM50" s="351"/>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thickBot="1" x14ac:dyDescent="0.35">
      <c r="A51" s="67"/>
      <c r="B51" s="67"/>
      <c r="C51" s="67"/>
      <c r="D51" s="67"/>
      <c r="E51" s="67"/>
      <c r="F51" s="67"/>
      <c r="G51" s="67"/>
      <c r="H51" s="67"/>
      <c r="I51" s="67"/>
      <c r="J51" s="352"/>
      <c r="K51" s="353"/>
      <c r="L51" s="353"/>
      <c r="M51" s="353"/>
      <c r="N51" s="353"/>
      <c r="O51" s="354"/>
      <c r="P51" s="352"/>
      <c r="Q51" s="353"/>
      <c r="R51" s="353"/>
      <c r="S51" s="353"/>
      <c r="T51" s="353"/>
      <c r="U51" s="354"/>
      <c r="V51" s="352"/>
      <c r="W51" s="353"/>
      <c r="X51" s="353"/>
      <c r="Y51" s="353"/>
      <c r="Z51" s="353"/>
      <c r="AA51" s="354"/>
      <c r="AB51" s="352"/>
      <c r="AC51" s="353"/>
      <c r="AD51" s="353"/>
      <c r="AE51" s="353"/>
      <c r="AF51" s="353"/>
      <c r="AG51" s="354"/>
      <c r="AH51" s="352"/>
      <c r="AI51" s="353"/>
      <c r="AJ51" s="353"/>
      <c r="AK51" s="353"/>
      <c r="AL51" s="353"/>
      <c r="AM51" s="354"/>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x14ac:dyDescent="0.3">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3">
      <c r="A53" s="67"/>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3">
      <c r="A54" s="67"/>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x14ac:dyDescent="0.3">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3">
      <c r="A56" s="67"/>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3">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3">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3">
      <c r="A59" s="67"/>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3">
      <c r="A60" s="67"/>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x14ac:dyDescent="0.3">
      <c r="A61" s="67"/>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3">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67"/>
      <c r="BT62" s="67"/>
      <c r="BU62" s="67"/>
      <c r="BV62" s="67"/>
      <c r="BW62" s="67"/>
      <c r="BX62" s="67"/>
      <c r="BY62" s="67"/>
      <c r="BZ62" s="67"/>
      <c r="CA62" s="67"/>
      <c r="CB62" s="67"/>
    </row>
    <row r="63" spans="1:80" x14ac:dyDescent="0.3">
      <c r="A63" s="67"/>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S63" s="67"/>
      <c r="BT63" s="67"/>
      <c r="BU63" s="67"/>
      <c r="BV63" s="67"/>
      <c r="BW63" s="67"/>
      <c r="BX63" s="67"/>
      <c r="BY63" s="67"/>
      <c r="BZ63" s="67"/>
      <c r="CA63" s="67"/>
      <c r="CB63" s="67"/>
    </row>
    <row r="64" spans="1:80" x14ac:dyDescent="0.3">
      <c r="A64" s="67"/>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c r="BM64" s="67"/>
      <c r="BN64" s="67"/>
      <c r="BO64" s="67"/>
      <c r="BP64" s="67"/>
      <c r="BQ64" s="67"/>
      <c r="BR64" s="67"/>
      <c r="BS64" s="67"/>
      <c r="BT64" s="67"/>
      <c r="BU64" s="67"/>
      <c r="BV64" s="67"/>
      <c r="BW64" s="67"/>
      <c r="BX64" s="67"/>
      <c r="BY64" s="67"/>
      <c r="BZ64" s="67"/>
      <c r="CA64" s="67"/>
      <c r="CB64" s="67"/>
    </row>
    <row r="65" spans="1:80" x14ac:dyDescent="0.3">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7"/>
      <c r="BS65" s="67"/>
      <c r="BT65" s="67"/>
      <c r="BU65" s="67"/>
      <c r="BV65" s="67"/>
      <c r="BW65" s="67"/>
      <c r="BX65" s="67"/>
      <c r="BY65" s="67"/>
      <c r="BZ65" s="67"/>
      <c r="CA65" s="67"/>
      <c r="CB65" s="67"/>
    </row>
    <row r="66" spans="1:80"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7"/>
      <c r="BS66" s="67"/>
      <c r="BT66" s="67"/>
      <c r="BU66" s="67"/>
      <c r="BV66" s="67"/>
      <c r="BW66" s="67"/>
      <c r="BX66" s="67"/>
      <c r="BY66" s="67"/>
      <c r="BZ66" s="67"/>
      <c r="CA66" s="67"/>
      <c r="CB66" s="67"/>
    </row>
    <row r="67" spans="1:80" x14ac:dyDescent="0.3">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67"/>
      <c r="BT67" s="67"/>
      <c r="BU67" s="67"/>
      <c r="BV67" s="67"/>
      <c r="BW67" s="67"/>
      <c r="BX67" s="67"/>
      <c r="BY67" s="67"/>
      <c r="BZ67" s="67"/>
      <c r="CA67" s="67"/>
      <c r="CB67" s="67"/>
    </row>
    <row r="68" spans="1:80" x14ac:dyDescent="0.3">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67"/>
      <c r="BR68" s="67"/>
      <c r="BS68" s="67"/>
      <c r="BT68" s="67"/>
      <c r="BU68" s="67"/>
      <c r="BV68" s="67"/>
      <c r="BW68" s="67"/>
      <c r="BX68" s="67"/>
      <c r="BY68" s="67"/>
      <c r="BZ68" s="67"/>
      <c r="CA68" s="67"/>
      <c r="CB68" s="67"/>
    </row>
    <row r="69" spans="1:80" x14ac:dyDescent="0.3">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c r="BI69" s="67"/>
      <c r="BJ69" s="67"/>
      <c r="BK69" s="67"/>
      <c r="BL69" s="67"/>
      <c r="BM69" s="67"/>
      <c r="BN69" s="67"/>
      <c r="BO69" s="67"/>
      <c r="BP69" s="67"/>
      <c r="BQ69" s="67"/>
      <c r="BR69" s="67"/>
      <c r="BS69" s="67"/>
      <c r="BT69" s="67"/>
      <c r="BU69" s="67"/>
      <c r="BV69" s="67"/>
      <c r="BW69" s="67"/>
      <c r="BX69" s="67"/>
      <c r="BY69" s="67"/>
      <c r="BZ69" s="67"/>
      <c r="CA69" s="67"/>
      <c r="CB69" s="67"/>
    </row>
    <row r="70" spans="1:80" x14ac:dyDescent="0.3">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c r="BI70" s="67"/>
      <c r="BJ70" s="67"/>
      <c r="BK70" s="67"/>
      <c r="BL70" s="67"/>
      <c r="BM70" s="67"/>
      <c r="BN70" s="67"/>
      <c r="BO70" s="67"/>
      <c r="BP70" s="67"/>
      <c r="BQ70" s="67"/>
      <c r="BR70" s="67"/>
      <c r="BS70" s="67"/>
      <c r="BT70" s="67"/>
      <c r="BU70" s="67"/>
      <c r="BV70" s="67"/>
      <c r="BW70" s="67"/>
      <c r="BX70" s="67"/>
      <c r="BY70" s="67"/>
      <c r="BZ70" s="67"/>
      <c r="CA70" s="67"/>
      <c r="CB70" s="67"/>
    </row>
    <row r="71" spans="1:80" x14ac:dyDescent="0.3">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c r="BI71" s="67"/>
      <c r="BJ71" s="67"/>
      <c r="BK71" s="67"/>
      <c r="BL71" s="67"/>
      <c r="BM71" s="67"/>
      <c r="BN71" s="67"/>
      <c r="BO71" s="67"/>
      <c r="BP71" s="67"/>
      <c r="BQ71" s="67"/>
      <c r="BR71" s="67"/>
      <c r="BS71" s="67"/>
      <c r="BT71" s="67"/>
      <c r="BU71" s="67"/>
      <c r="BV71" s="67"/>
      <c r="BW71" s="67"/>
      <c r="BX71" s="67"/>
      <c r="BY71" s="67"/>
      <c r="BZ71" s="67"/>
      <c r="CA71" s="67"/>
      <c r="CB71" s="67"/>
    </row>
    <row r="72" spans="1:80" x14ac:dyDescent="0.3">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c r="BI72" s="67"/>
      <c r="BJ72" s="67"/>
      <c r="BK72" s="67"/>
      <c r="BL72" s="67"/>
      <c r="BM72" s="67"/>
      <c r="BN72" s="67"/>
      <c r="BO72" s="67"/>
      <c r="BP72" s="67"/>
      <c r="BQ72" s="67"/>
      <c r="BR72" s="67"/>
      <c r="BS72" s="67"/>
      <c r="BT72" s="67"/>
      <c r="BU72" s="67"/>
      <c r="BV72" s="67"/>
      <c r="BW72" s="67"/>
      <c r="BX72" s="67"/>
      <c r="BY72" s="67"/>
      <c r="BZ72" s="67"/>
      <c r="CA72" s="67"/>
      <c r="CB72" s="67"/>
    </row>
    <row r="73" spans="1:80" x14ac:dyDescent="0.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c r="BI73" s="67"/>
      <c r="BJ73" s="67"/>
      <c r="BK73" s="67"/>
      <c r="BL73" s="67"/>
      <c r="BM73" s="67"/>
      <c r="BN73" s="67"/>
      <c r="BO73" s="67"/>
      <c r="BP73" s="67"/>
      <c r="BQ73" s="67"/>
      <c r="BR73" s="67"/>
      <c r="BS73" s="67"/>
      <c r="BT73" s="67"/>
      <c r="BU73" s="67"/>
      <c r="BV73" s="67"/>
      <c r="BW73" s="67"/>
      <c r="BX73" s="67"/>
      <c r="BY73" s="67"/>
      <c r="BZ73" s="67"/>
      <c r="CA73" s="67"/>
      <c r="CB73" s="67"/>
    </row>
    <row r="74" spans="1:80" x14ac:dyDescent="0.3">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c r="BI74" s="67"/>
      <c r="BJ74" s="67"/>
      <c r="BK74" s="67"/>
      <c r="BL74" s="67"/>
      <c r="BM74" s="67"/>
      <c r="BN74" s="67"/>
      <c r="BO74" s="67"/>
      <c r="BP74" s="67"/>
      <c r="BQ74" s="67"/>
      <c r="BR74" s="67"/>
      <c r="BS74" s="67"/>
      <c r="BT74" s="67"/>
      <c r="BU74" s="67"/>
      <c r="BV74" s="67"/>
      <c r="BW74" s="67"/>
      <c r="BX74" s="67"/>
      <c r="BY74" s="67"/>
      <c r="BZ74" s="67"/>
      <c r="CA74" s="67"/>
      <c r="CB74" s="67"/>
    </row>
    <row r="75" spans="1:80" x14ac:dyDescent="0.3">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c r="BI75" s="67"/>
      <c r="BJ75" s="67"/>
      <c r="BK75" s="67"/>
      <c r="BL75" s="67"/>
      <c r="BM75" s="67"/>
      <c r="BN75" s="67"/>
      <c r="BO75" s="67"/>
      <c r="BP75" s="67"/>
      <c r="BQ75" s="67"/>
      <c r="BR75" s="67"/>
      <c r="BS75" s="67"/>
      <c r="BT75" s="67"/>
      <c r="BU75" s="67"/>
      <c r="BV75" s="67"/>
      <c r="BW75" s="67"/>
      <c r="BX75" s="67"/>
      <c r="BY75" s="67"/>
      <c r="BZ75" s="67"/>
      <c r="CA75" s="67"/>
      <c r="CB75" s="67"/>
    </row>
    <row r="76" spans="1:80" x14ac:dyDescent="0.3">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c r="BI76" s="67"/>
      <c r="BJ76" s="67"/>
      <c r="BK76" s="67"/>
      <c r="BL76" s="67"/>
      <c r="BM76" s="67"/>
      <c r="BN76" s="67"/>
      <c r="BO76" s="67"/>
      <c r="BP76" s="67"/>
      <c r="BQ76" s="67"/>
      <c r="BR76" s="67"/>
      <c r="BS76" s="67"/>
      <c r="BT76" s="67"/>
      <c r="BU76" s="67"/>
      <c r="BV76" s="67"/>
      <c r="BW76" s="67"/>
      <c r="BX76" s="67"/>
      <c r="BY76" s="67"/>
      <c r="BZ76" s="67"/>
      <c r="CA76" s="67"/>
      <c r="CB76" s="67"/>
    </row>
    <row r="77" spans="1:80" x14ac:dyDescent="0.3">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7"/>
      <c r="BR77" s="67"/>
      <c r="BS77" s="67"/>
      <c r="BT77" s="67"/>
      <c r="BU77" s="67"/>
      <c r="BV77" s="67"/>
      <c r="BW77" s="67"/>
      <c r="BX77" s="67"/>
      <c r="BY77" s="67"/>
      <c r="BZ77" s="67"/>
      <c r="CA77" s="67"/>
      <c r="CB77" s="67"/>
    </row>
    <row r="78" spans="1:80" x14ac:dyDescent="0.3">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c r="BI78" s="67"/>
      <c r="BJ78" s="67"/>
      <c r="BK78" s="67"/>
      <c r="BL78" s="67"/>
      <c r="BM78" s="67"/>
      <c r="BN78" s="67"/>
      <c r="BO78" s="67"/>
      <c r="BP78" s="67"/>
      <c r="BQ78" s="67"/>
      <c r="BR78" s="67"/>
      <c r="BS78" s="67"/>
      <c r="BT78" s="67"/>
      <c r="BU78" s="67"/>
      <c r="BV78" s="67"/>
      <c r="BW78" s="67"/>
      <c r="BX78" s="67"/>
      <c r="BY78" s="67"/>
      <c r="BZ78" s="67"/>
      <c r="CA78" s="67"/>
      <c r="CB78" s="67"/>
    </row>
    <row r="79" spans="1:80" x14ac:dyDescent="0.3">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c r="BI79" s="67"/>
      <c r="BJ79" s="67"/>
      <c r="BK79" s="67"/>
    </row>
    <row r="80" spans="1:80" x14ac:dyDescent="0.3">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c r="BI80" s="67"/>
      <c r="BJ80" s="67"/>
      <c r="BK80" s="67"/>
    </row>
    <row r="81" spans="1:63" x14ac:dyDescent="0.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c r="BI81" s="67"/>
      <c r="BJ81" s="67"/>
      <c r="BK81" s="67"/>
    </row>
    <row r="82" spans="1:63" x14ac:dyDescent="0.3">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row>
    <row r="83" spans="1:63" x14ac:dyDescent="0.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c r="BI83" s="67"/>
      <c r="BJ83" s="67"/>
      <c r="BK83" s="67"/>
    </row>
    <row r="84" spans="1:63" x14ac:dyDescent="0.3">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c r="BI84" s="67"/>
      <c r="BJ84" s="67"/>
      <c r="BK84" s="67"/>
    </row>
    <row r="85" spans="1:63" x14ac:dyDescent="0.3">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c r="BI85" s="67"/>
      <c r="BJ85" s="67"/>
      <c r="BK85" s="67"/>
    </row>
    <row r="86" spans="1:63" x14ac:dyDescent="0.3">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c r="BI86" s="67"/>
      <c r="BJ86" s="67"/>
      <c r="BK86" s="67"/>
    </row>
    <row r="87" spans="1:63" x14ac:dyDescent="0.3">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c r="BI87" s="67"/>
      <c r="BJ87" s="67"/>
      <c r="BK87" s="67"/>
    </row>
    <row r="88" spans="1:63" x14ac:dyDescent="0.3">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c r="BI88" s="67"/>
      <c r="BJ88" s="67"/>
      <c r="BK88" s="67"/>
    </row>
    <row r="89" spans="1:63" x14ac:dyDescent="0.3">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c r="BI89" s="67"/>
      <c r="BJ89" s="67"/>
      <c r="BK89" s="67"/>
    </row>
    <row r="90" spans="1:63" x14ac:dyDescent="0.3">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row>
    <row r="91" spans="1:63" x14ac:dyDescent="0.3">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c r="BI91" s="67"/>
      <c r="BJ91" s="67"/>
      <c r="BK91" s="67"/>
    </row>
    <row r="92" spans="1:63" x14ac:dyDescent="0.3">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c r="BI92" s="67"/>
      <c r="BJ92" s="67"/>
      <c r="BK92" s="67"/>
    </row>
    <row r="93" spans="1:63" x14ac:dyDescent="0.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c r="BI93" s="67"/>
      <c r="BJ93" s="67"/>
      <c r="BK93" s="67"/>
    </row>
    <row r="94" spans="1:63" x14ac:dyDescent="0.3">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c r="BI94" s="67"/>
      <c r="BJ94" s="67"/>
      <c r="BK94" s="67"/>
    </row>
    <row r="95" spans="1:63" x14ac:dyDescent="0.3">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c r="BI95" s="67"/>
      <c r="BJ95" s="67"/>
      <c r="BK95" s="67"/>
    </row>
    <row r="96" spans="1:63" x14ac:dyDescent="0.3">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c r="BI96" s="67"/>
      <c r="BJ96" s="67"/>
      <c r="BK96" s="67"/>
    </row>
    <row r="97" spans="1:63" x14ac:dyDescent="0.3">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c r="BI97" s="67"/>
      <c r="BJ97" s="67"/>
      <c r="BK97" s="67"/>
    </row>
    <row r="98" spans="1:63" x14ac:dyDescent="0.3">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c r="BI98" s="67"/>
      <c r="BJ98" s="67"/>
      <c r="BK98" s="67"/>
    </row>
    <row r="99" spans="1:63" x14ac:dyDescent="0.3">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c r="BI99" s="67"/>
      <c r="BJ99" s="67"/>
      <c r="BK99" s="67"/>
    </row>
    <row r="100" spans="1:63" x14ac:dyDescent="0.3">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c r="BI100" s="67"/>
      <c r="BJ100" s="67"/>
      <c r="BK100" s="67"/>
    </row>
    <row r="101" spans="1:63" x14ac:dyDescent="0.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c r="BI101" s="67"/>
      <c r="BJ101" s="67"/>
      <c r="BK101" s="67"/>
    </row>
    <row r="102" spans="1:63" x14ac:dyDescent="0.3">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c r="BI102" s="67"/>
      <c r="BJ102" s="67"/>
      <c r="BK102" s="67"/>
    </row>
    <row r="103" spans="1:63" x14ac:dyDescent="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c r="BI103" s="67"/>
      <c r="BJ103" s="67"/>
      <c r="BK103" s="67"/>
    </row>
    <row r="104" spans="1:63" x14ac:dyDescent="0.3">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c r="BI104" s="67"/>
      <c r="BJ104" s="67"/>
      <c r="BK104" s="67"/>
    </row>
    <row r="105" spans="1:63" x14ac:dyDescent="0.3">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c r="BI105" s="67"/>
      <c r="BJ105" s="67"/>
      <c r="BK105" s="67"/>
    </row>
    <row r="106" spans="1:63" x14ac:dyDescent="0.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c r="BI106" s="67"/>
      <c r="BJ106" s="67"/>
      <c r="BK106" s="67"/>
    </row>
    <row r="107" spans="1:63" x14ac:dyDescent="0.3">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c r="BI107" s="67"/>
      <c r="BJ107" s="67"/>
      <c r="BK107" s="67"/>
    </row>
    <row r="108" spans="1:63" x14ac:dyDescent="0.3">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c r="BI108" s="67"/>
      <c r="BJ108" s="67"/>
      <c r="BK108" s="67"/>
    </row>
    <row r="109" spans="1:63" x14ac:dyDescent="0.3">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c r="BI109" s="67"/>
      <c r="BJ109" s="67"/>
      <c r="BK109" s="67"/>
    </row>
    <row r="110" spans="1:63" x14ac:dyDescent="0.3">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c r="BI110" s="67"/>
      <c r="BJ110" s="67"/>
      <c r="BK110" s="67"/>
    </row>
    <row r="111" spans="1:63" x14ac:dyDescent="0.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c r="BI111" s="67"/>
      <c r="BJ111" s="67"/>
      <c r="BK111" s="67"/>
    </row>
    <row r="112" spans="1:63" x14ac:dyDescent="0.3">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c r="BI112" s="67"/>
      <c r="BJ112" s="67"/>
      <c r="BK112" s="67"/>
    </row>
    <row r="113" spans="1:63" x14ac:dyDescent="0.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c r="BI113" s="67"/>
      <c r="BJ113" s="67"/>
      <c r="BK113" s="67"/>
    </row>
    <row r="114" spans="1:63" x14ac:dyDescent="0.3">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c r="BI114" s="67"/>
      <c r="BJ114" s="67"/>
      <c r="BK114" s="67"/>
    </row>
    <row r="115" spans="1:63" x14ac:dyDescent="0.3">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c r="BI115" s="67"/>
      <c r="BJ115" s="67"/>
      <c r="BK115" s="67"/>
    </row>
    <row r="116" spans="1:63" x14ac:dyDescent="0.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c r="BI116" s="67"/>
      <c r="BJ116" s="67"/>
      <c r="BK116" s="67"/>
    </row>
    <row r="117" spans="1:63" x14ac:dyDescent="0.3">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c r="BI117" s="67"/>
      <c r="BJ117" s="67"/>
      <c r="BK117" s="67"/>
    </row>
    <row r="118" spans="1:63" x14ac:dyDescent="0.3">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c r="BI118" s="67"/>
      <c r="BJ118" s="67"/>
      <c r="BK118" s="67"/>
    </row>
    <row r="119" spans="1:63" x14ac:dyDescent="0.3">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c r="BI119" s="67"/>
      <c r="BJ119" s="67"/>
      <c r="BK119" s="67"/>
    </row>
    <row r="120" spans="1:63" x14ac:dyDescent="0.3">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c r="BI120" s="67"/>
      <c r="BJ120" s="67"/>
      <c r="BK120" s="67"/>
    </row>
    <row r="121" spans="1:63" x14ac:dyDescent="0.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c r="BI121" s="67"/>
      <c r="BJ121" s="67"/>
      <c r="BK121" s="67"/>
    </row>
    <row r="122" spans="1:63" x14ac:dyDescent="0.3">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c r="BI122" s="67"/>
      <c r="BJ122" s="67"/>
      <c r="BK122" s="67"/>
    </row>
    <row r="123" spans="1:63" x14ac:dyDescent="0.3">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c r="BI123" s="67"/>
      <c r="BJ123" s="67"/>
      <c r="BK123" s="67"/>
    </row>
    <row r="124" spans="1:63" x14ac:dyDescent="0.3">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c r="BI124" s="67"/>
      <c r="BJ124" s="67"/>
      <c r="BK124" s="67"/>
    </row>
    <row r="125" spans="1:63" x14ac:dyDescent="0.3">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c r="BI125" s="67"/>
      <c r="BJ125" s="67"/>
      <c r="BK125" s="67"/>
    </row>
    <row r="126" spans="1:63" x14ac:dyDescent="0.3">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c r="BI126" s="67"/>
      <c r="BJ126" s="67"/>
      <c r="BK126" s="67"/>
    </row>
    <row r="127" spans="1:63" x14ac:dyDescent="0.3">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c r="BI127" s="67"/>
      <c r="BJ127" s="67"/>
      <c r="BK127" s="67"/>
    </row>
    <row r="128" spans="1:63" x14ac:dyDescent="0.3">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c r="BI128" s="67"/>
      <c r="BJ128" s="67"/>
      <c r="BK128" s="67"/>
    </row>
    <row r="129" spans="2:63" x14ac:dyDescent="0.3">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c r="BI129" s="67"/>
      <c r="BJ129" s="67"/>
      <c r="BK129" s="67"/>
    </row>
    <row r="130" spans="2:63" x14ac:dyDescent="0.3">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c r="BI130" s="67"/>
      <c r="BJ130" s="67"/>
      <c r="BK130" s="67"/>
    </row>
    <row r="131" spans="2:63" x14ac:dyDescent="0.3">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c r="BI131" s="67"/>
      <c r="BJ131" s="67"/>
      <c r="BK131" s="67"/>
    </row>
    <row r="132" spans="2:63" x14ac:dyDescent="0.3">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c r="BI132" s="67"/>
      <c r="BJ132" s="67"/>
      <c r="BK132" s="67"/>
    </row>
    <row r="133" spans="2:63" x14ac:dyDescent="0.3">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c r="BI133" s="67"/>
      <c r="BJ133" s="67"/>
      <c r="BK133" s="67"/>
    </row>
    <row r="134" spans="2:63" x14ac:dyDescent="0.3">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c r="BI134" s="67"/>
      <c r="BJ134" s="67"/>
      <c r="BK134" s="67"/>
    </row>
    <row r="135" spans="2:63" x14ac:dyDescent="0.3">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c r="BI135" s="67"/>
      <c r="BJ135" s="67"/>
      <c r="BK135" s="67"/>
    </row>
    <row r="136" spans="2:63" x14ac:dyDescent="0.3">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c r="BI136" s="67"/>
      <c r="BJ136" s="67"/>
      <c r="BK136" s="67"/>
    </row>
    <row r="137" spans="2:63" x14ac:dyDescent="0.3">
      <c r="B137" s="67"/>
      <c r="C137" s="67"/>
      <c r="D137" s="67"/>
      <c r="E137" s="67"/>
      <c r="F137" s="67"/>
      <c r="G137" s="67"/>
      <c r="H137" s="67"/>
      <c r="I137" s="67"/>
    </row>
    <row r="138" spans="2:63" x14ac:dyDescent="0.3">
      <c r="B138" s="67"/>
      <c r="C138" s="67"/>
      <c r="D138" s="67"/>
      <c r="E138" s="67"/>
      <c r="F138" s="67"/>
      <c r="G138" s="67"/>
      <c r="H138" s="67"/>
      <c r="I138" s="67"/>
    </row>
    <row r="139" spans="2:63" x14ac:dyDescent="0.3">
      <c r="B139" s="67"/>
      <c r="C139" s="67"/>
      <c r="D139" s="67"/>
      <c r="E139" s="67"/>
      <c r="F139" s="67"/>
      <c r="G139" s="67"/>
      <c r="H139" s="67"/>
      <c r="I139" s="67"/>
    </row>
    <row r="140" spans="2:63" x14ac:dyDescent="0.3">
      <c r="B140" s="67"/>
      <c r="C140" s="67"/>
      <c r="D140" s="67"/>
      <c r="E140" s="67"/>
      <c r="F140" s="67"/>
      <c r="G140" s="67"/>
      <c r="H140" s="67"/>
      <c r="I140" s="67"/>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40" zoomScaleNormal="40" workbookViewId="0"/>
  </sheetViews>
  <sheetFormatPr baseColWidth="10" defaultRowHeight="14.4" x14ac:dyDescent="0.3"/>
  <cols>
    <col min="2" max="18" width="5.6640625" customWidth="1"/>
    <col min="19" max="19" width="8.44140625" customWidth="1"/>
    <col min="20" max="23" width="5.6640625" customWidth="1"/>
    <col min="24" max="24" width="8.5546875" customWidth="1"/>
    <col min="25" max="26" width="5.6640625" customWidth="1"/>
    <col min="27" max="27" width="10.6640625" customWidth="1"/>
    <col min="28" max="28" width="5.6640625" customWidth="1"/>
    <col min="29" max="29" width="7.44140625" customWidth="1"/>
    <col min="30" max="33" width="5.6640625" customWidth="1"/>
    <col min="34" max="34" width="8.5546875" customWidth="1"/>
    <col min="35" max="39" width="5.6640625" customWidth="1"/>
    <col min="41" max="46" width="5.6640625" customWidth="1"/>
  </cols>
  <sheetData>
    <row r="1" spans="1:91"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row>
    <row r="2" spans="1:91" ht="18" customHeight="1" x14ac:dyDescent="0.3">
      <c r="A2" s="67"/>
      <c r="B2" s="423" t="s">
        <v>149</v>
      </c>
      <c r="C2" s="424"/>
      <c r="D2" s="424"/>
      <c r="E2" s="424"/>
      <c r="F2" s="424"/>
      <c r="G2" s="424"/>
      <c r="H2" s="424"/>
      <c r="I2" s="424"/>
      <c r="J2" s="345" t="s">
        <v>2</v>
      </c>
      <c r="K2" s="345"/>
      <c r="L2" s="345"/>
      <c r="M2" s="345"/>
      <c r="N2" s="345"/>
      <c r="O2" s="345"/>
      <c r="P2" s="345"/>
      <c r="Q2" s="345"/>
      <c r="R2" s="345"/>
      <c r="S2" s="345"/>
      <c r="T2" s="345"/>
      <c r="U2" s="345"/>
      <c r="V2" s="345"/>
      <c r="W2" s="345"/>
      <c r="X2" s="345"/>
      <c r="Y2" s="345"/>
      <c r="Z2" s="345"/>
      <c r="AA2" s="345"/>
      <c r="AB2" s="345"/>
      <c r="AC2" s="345"/>
      <c r="AD2" s="345"/>
      <c r="AE2" s="345"/>
      <c r="AF2" s="345"/>
      <c r="AG2" s="345"/>
      <c r="AH2" s="345"/>
      <c r="AI2" s="345"/>
      <c r="AJ2" s="345"/>
      <c r="AK2" s="345"/>
      <c r="AL2" s="345"/>
      <c r="AM2" s="345"/>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row>
    <row r="3" spans="1:91" ht="18.75" customHeight="1" x14ac:dyDescent="0.3">
      <c r="A3" s="67"/>
      <c r="B3" s="424"/>
      <c r="C3" s="424"/>
      <c r="D3" s="424"/>
      <c r="E3" s="424"/>
      <c r="F3" s="424"/>
      <c r="G3" s="424"/>
      <c r="H3" s="424"/>
      <c r="I3" s="424"/>
      <c r="J3" s="345"/>
      <c r="K3" s="345"/>
      <c r="L3" s="345"/>
      <c r="M3" s="345"/>
      <c r="N3" s="345"/>
      <c r="O3" s="345"/>
      <c r="P3" s="345"/>
      <c r="Q3" s="345"/>
      <c r="R3" s="345"/>
      <c r="S3" s="345"/>
      <c r="T3" s="345"/>
      <c r="U3" s="345"/>
      <c r="V3" s="345"/>
      <c r="W3" s="345"/>
      <c r="X3" s="345"/>
      <c r="Y3" s="345"/>
      <c r="Z3" s="345"/>
      <c r="AA3" s="345"/>
      <c r="AB3" s="345"/>
      <c r="AC3" s="345"/>
      <c r="AD3" s="345"/>
      <c r="AE3" s="345"/>
      <c r="AF3" s="345"/>
      <c r="AG3" s="345"/>
      <c r="AH3" s="345"/>
      <c r="AI3" s="345"/>
      <c r="AJ3" s="345"/>
      <c r="AK3" s="345"/>
      <c r="AL3" s="345"/>
      <c r="AM3" s="345"/>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row>
    <row r="4" spans="1:91" ht="15" customHeight="1" x14ac:dyDescent="0.3">
      <c r="A4" s="67"/>
      <c r="B4" s="424"/>
      <c r="C4" s="424"/>
      <c r="D4" s="424"/>
      <c r="E4" s="424"/>
      <c r="F4" s="424"/>
      <c r="G4" s="424"/>
      <c r="H4" s="424"/>
      <c r="I4" s="424"/>
      <c r="J4" s="345"/>
      <c r="K4" s="345"/>
      <c r="L4" s="345"/>
      <c r="M4" s="345"/>
      <c r="N4" s="345"/>
      <c r="O4" s="345"/>
      <c r="P4" s="345"/>
      <c r="Q4" s="345"/>
      <c r="R4" s="345"/>
      <c r="S4" s="345"/>
      <c r="T4" s="345"/>
      <c r="U4" s="345"/>
      <c r="V4" s="345"/>
      <c r="W4" s="345"/>
      <c r="X4" s="345"/>
      <c r="Y4" s="345"/>
      <c r="Z4" s="345"/>
      <c r="AA4" s="345"/>
      <c r="AB4" s="345"/>
      <c r="AC4" s="345"/>
      <c r="AD4" s="345"/>
      <c r="AE4" s="345"/>
      <c r="AF4" s="345"/>
      <c r="AG4" s="345"/>
      <c r="AH4" s="345"/>
      <c r="AI4" s="345"/>
      <c r="AJ4" s="345"/>
      <c r="AK4" s="345"/>
      <c r="AL4" s="345"/>
      <c r="AM4" s="345"/>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row>
    <row r="5" spans="1:91" ht="15" thickBot="1" x14ac:dyDescent="0.3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row>
    <row r="6" spans="1:91" ht="15" customHeight="1" x14ac:dyDescent="0.3">
      <c r="A6" s="67"/>
      <c r="B6" s="356" t="s">
        <v>4</v>
      </c>
      <c r="C6" s="356"/>
      <c r="D6" s="357"/>
      <c r="E6" s="394" t="s">
        <v>111</v>
      </c>
      <c r="F6" s="395"/>
      <c r="G6" s="395"/>
      <c r="H6" s="395"/>
      <c r="I6" s="396"/>
      <c r="J6" s="30" t="str">
        <f ca="1">IF(AND('Mapa final'!$AA$10="Muy Alta",'Mapa final'!$AC$10="Leve"),CONCATENATE("R1C",'Mapa final'!$Q$10),"")</f>
        <v/>
      </c>
      <c r="K6" s="31" t="str">
        <f>IF(AND('Mapa final'!$AA$11="Muy Alta",'Mapa final'!$AC$11="Leve"),CONCATENATE("R1C",'Mapa final'!$Q$11),"")</f>
        <v/>
      </c>
      <c r="L6" s="31" t="str">
        <f>IF(AND('Mapa final'!$AA$12="Muy Alta",'Mapa final'!$AC$12="Leve"),CONCATENATE("R1C",'Mapa final'!$Q$12),"")</f>
        <v/>
      </c>
      <c r="M6" s="31" t="str">
        <f>IF(AND('Mapa final'!$AA$13="Muy Alta",'Mapa final'!$AC$13="Leve"),CONCATENATE("R1C",'Mapa final'!$Q$13),"")</f>
        <v/>
      </c>
      <c r="N6" s="31" t="e">
        <f>IF(AND('Mapa final'!#REF!="Muy Alta",'Mapa final'!#REF!="Leve"),CONCATENATE("R1C",'Mapa final'!#REF!),"")</f>
        <v>#REF!</v>
      </c>
      <c r="O6" s="32" t="e">
        <f>IF(AND('Mapa final'!#REF!="Muy Alta",'Mapa final'!#REF!="Leve"),CONCATENATE("R1C",'Mapa final'!#REF!),"")</f>
        <v>#REF!</v>
      </c>
      <c r="P6" s="30" t="str">
        <f ca="1">IF(AND('Mapa final'!$AA$10="Muy Alta",'Mapa final'!$AC$10="Menor"),CONCATENATE("R1C",'Mapa final'!$Q$10),"")</f>
        <v/>
      </c>
      <c r="Q6" s="31" t="str">
        <f>IF(AND('Mapa final'!$AA$11="Muy Alta",'Mapa final'!$AC$11="Menor"),CONCATENATE("R1C",'Mapa final'!$Q$11),"")</f>
        <v/>
      </c>
      <c r="R6" s="31" t="str">
        <f>IF(AND('Mapa final'!$AA$12="Muy Alta",'Mapa final'!$AC$12="Menor"),CONCATENATE("R1C",'Mapa final'!$Q$12),"")</f>
        <v/>
      </c>
      <c r="S6" s="31" t="str">
        <f>IF(AND('Mapa final'!$AA$13="Muy Alta",'Mapa final'!$AC$13="Menor"),CONCATENATE("R1C",'Mapa final'!$Q$13),"")</f>
        <v/>
      </c>
      <c r="T6" s="31" t="e">
        <f>IF(AND('Mapa final'!#REF!="Muy Alta",'Mapa final'!#REF!="Menor"),CONCATENATE("R1C",'Mapa final'!#REF!),"")</f>
        <v>#REF!</v>
      </c>
      <c r="U6" s="32" t="e">
        <f>IF(AND('Mapa final'!#REF!="Muy Alta",'Mapa final'!#REF!="Menor"),CONCATENATE("R1C",'Mapa final'!#REF!),"")</f>
        <v>#REF!</v>
      </c>
      <c r="V6" s="30" t="str">
        <f ca="1">IF(AND('Mapa final'!$AA$10="Muy Alta",'Mapa final'!$AC$10="Moderado"),CONCATENATE("R1C",'Mapa final'!$Q$10),"")</f>
        <v/>
      </c>
      <c r="W6" s="31" t="str">
        <f>IF(AND('Mapa final'!$AA$11="Muy Alta",'Mapa final'!$AC$11="Moderado"),CONCATENATE("R1C",'Mapa final'!$Q$11),"")</f>
        <v/>
      </c>
      <c r="X6" s="31" t="str">
        <f>IF(AND('Mapa final'!$AA$12="Muy Alta",'Mapa final'!$AC$12="Moderado"),CONCATENATE("R1C",'Mapa final'!$Q$12),"")</f>
        <v/>
      </c>
      <c r="Y6" s="31" t="str">
        <f>IF(AND('Mapa final'!$AA$13="Muy Alta",'Mapa final'!$AC$13="Moderado"),CONCATENATE("R1C",'Mapa final'!$Q$13),"")</f>
        <v/>
      </c>
      <c r="Z6" s="31" t="e">
        <f>IF(AND('Mapa final'!#REF!="Muy Alta",'Mapa final'!#REF!="Moderado"),CONCATENATE("R1C",'Mapa final'!#REF!),"")</f>
        <v>#REF!</v>
      </c>
      <c r="AA6" s="32" t="e">
        <f>IF(AND('Mapa final'!#REF!="Muy Alta",'Mapa final'!#REF!="Moderado"),CONCATENATE("R1C",'Mapa final'!#REF!),"")</f>
        <v>#REF!</v>
      </c>
      <c r="AB6" s="30" t="str">
        <f ca="1">IF(AND('Mapa final'!$AA$10="Muy Alta",'Mapa final'!$AC$10="Mayor"),CONCATENATE("R1C",'Mapa final'!$Q$10),"")</f>
        <v/>
      </c>
      <c r="AC6" s="31" t="str">
        <f>IF(AND('Mapa final'!$AA$11="Muy Alta",'Mapa final'!$AC$11="Mayor"),CONCATENATE("R1C",'Mapa final'!$Q$11),"")</f>
        <v/>
      </c>
      <c r="AD6" s="31" t="str">
        <f>IF(AND('Mapa final'!$AA$12="Muy Alta",'Mapa final'!$AC$12="Mayor"),CONCATENATE("R1C",'Mapa final'!$Q$12),"")</f>
        <v/>
      </c>
      <c r="AE6" s="31" t="str">
        <f>IF(AND('Mapa final'!$AA$13="Muy Alta",'Mapa final'!$AC$13="Mayor"),CONCATENATE("R1C",'Mapa final'!$Q$13),"")</f>
        <v/>
      </c>
      <c r="AF6" s="31" t="e">
        <f>IF(AND('Mapa final'!#REF!="Muy Alta",'Mapa final'!#REF!="Mayor"),CONCATENATE("R1C",'Mapa final'!#REF!),"")</f>
        <v>#REF!</v>
      </c>
      <c r="AG6" s="32" t="e">
        <f>IF(AND('Mapa final'!#REF!="Muy Alta",'Mapa final'!#REF!="Mayor"),CONCATENATE("R1C",'Mapa final'!#REF!),"")</f>
        <v>#REF!</v>
      </c>
      <c r="AH6" s="33" t="str">
        <f ca="1">IF(AND('Mapa final'!$AA$10="Muy Alta",'Mapa final'!$AC$10="Catastrófico"),CONCATENATE("R1C",'Mapa final'!$Q$10),"")</f>
        <v/>
      </c>
      <c r="AI6" s="34" t="str">
        <f>IF(AND('Mapa final'!$AA$11="Muy Alta",'Mapa final'!$AC$11="Catastrófico"),CONCATENATE("R1C",'Mapa final'!$Q$11),"")</f>
        <v/>
      </c>
      <c r="AJ6" s="34" t="str">
        <f>IF(AND('Mapa final'!$AA$12="Muy Alta",'Mapa final'!$AC$12="Catastrófico"),CONCATENATE("R1C",'Mapa final'!$Q$12),"")</f>
        <v/>
      </c>
      <c r="AK6" s="34" t="str">
        <f>IF(AND('Mapa final'!$AA$13="Muy Alta",'Mapa final'!$AC$13="Catastrófico"),CONCATENATE("R1C",'Mapa final'!$Q$13),"")</f>
        <v/>
      </c>
      <c r="AL6" s="34" t="e">
        <f>IF(AND('Mapa final'!#REF!="Muy Alta",'Mapa final'!#REF!="Catastrófico"),CONCATENATE("R1C",'Mapa final'!#REF!),"")</f>
        <v>#REF!</v>
      </c>
      <c r="AM6" s="35" t="e">
        <f>IF(AND('Mapa final'!#REF!="Muy Alta",'Mapa final'!#REF!="Catastrófico"),CONCATENATE("R1C",'Mapa final'!#REF!),"")</f>
        <v>#REF!</v>
      </c>
      <c r="AN6" s="67"/>
      <c r="AO6" s="414" t="s">
        <v>78</v>
      </c>
      <c r="AP6" s="415"/>
      <c r="AQ6" s="415"/>
      <c r="AR6" s="415"/>
      <c r="AS6" s="415"/>
      <c r="AT6" s="416"/>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row>
    <row r="7" spans="1:91" ht="15" customHeight="1" x14ac:dyDescent="0.3">
      <c r="A7" s="67"/>
      <c r="B7" s="356"/>
      <c r="C7" s="356"/>
      <c r="D7" s="357"/>
      <c r="E7" s="397"/>
      <c r="F7" s="398"/>
      <c r="G7" s="398"/>
      <c r="H7" s="398"/>
      <c r="I7" s="399"/>
      <c r="J7" s="36" t="str">
        <f ca="1">IF(AND('Mapa final'!$AA$14="Muy Alta",'Mapa final'!$AC$14="Leve"),CONCATENATE("R2C",'Mapa final'!$Q$14),"")</f>
        <v/>
      </c>
      <c r="K7" s="37" t="str">
        <f ca="1">IF(AND('Mapa final'!$AA$15="Muy Alta",'Mapa final'!$AC$15="Leve"),CONCATENATE("R2C",'Mapa final'!$Q$15),"")</f>
        <v/>
      </c>
      <c r="L7" s="37" t="str">
        <f ca="1">IF(AND('Mapa final'!$AA$16="Muy Alta",'Mapa final'!$AC$16="Leve"),CONCATENATE("R2C",'Mapa final'!$Q$16),"")</f>
        <v/>
      </c>
      <c r="M7" s="37" t="e">
        <f>IF(AND('Mapa final'!#REF!="Muy Alta",'Mapa final'!#REF!="Leve"),CONCATENATE("R2C",'Mapa final'!#REF!),"")</f>
        <v>#REF!</v>
      </c>
      <c r="N7" s="37" t="e">
        <f>IF(AND('Mapa final'!#REF!="Muy Alta",'Mapa final'!#REF!="Leve"),CONCATENATE("R2C",'Mapa final'!#REF!),"")</f>
        <v>#REF!</v>
      </c>
      <c r="O7" s="38" t="str">
        <f>IF(AND('Mapa final'!$AA$17="Muy Alta",'Mapa final'!$AC$17="Leve"),CONCATENATE("R2C",'Mapa final'!$Q$17),"")</f>
        <v/>
      </c>
      <c r="P7" s="36" t="str">
        <f ca="1">IF(AND('Mapa final'!$AA$14="Muy Alta",'Mapa final'!$AC$14="Menor"),CONCATENATE("R2C",'Mapa final'!$Q$14),"")</f>
        <v/>
      </c>
      <c r="Q7" s="37" t="str">
        <f ca="1">IF(AND('Mapa final'!$AA$15="Muy Alta",'Mapa final'!$AC$15="Menor"),CONCATENATE("R2C",'Mapa final'!$Q$15),"")</f>
        <v/>
      </c>
      <c r="R7" s="37" t="str">
        <f ca="1">IF(AND('Mapa final'!$AA$16="Muy Alta",'Mapa final'!$AC$16="Menor"),CONCATENATE("R2C",'Mapa final'!$Q$16),"")</f>
        <v/>
      </c>
      <c r="S7" s="37" t="e">
        <f>IF(AND('Mapa final'!#REF!="Muy Alta",'Mapa final'!#REF!="Menor"),CONCATENATE("R2C",'Mapa final'!#REF!),"")</f>
        <v>#REF!</v>
      </c>
      <c r="T7" s="37" t="e">
        <f>IF(AND('Mapa final'!#REF!="Muy Alta",'Mapa final'!#REF!="Menor"),CONCATENATE("R2C",'Mapa final'!#REF!),"")</f>
        <v>#REF!</v>
      </c>
      <c r="U7" s="38" t="str">
        <f>IF(AND('Mapa final'!$AA$17="Muy Alta",'Mapa final'!$AC$17="Menor"),CONCATENATE("R2C",'Mapa final'!$Q$17),"")</f>
        <v/>
      </c>
      <c r="V7" s="36" t="str">
        <f ca="1">IF(AND('Mapa final'!$AA$14="Muy Alta",'Mapa final'!$AC$14="Moderado"),CONCATENATE("R2C",'Mapa final'!$Q$14),"")</f>
        <v/>
      </c>
      <c r="W7" s="37" t="str">
        <f ca="1">IF(AND('Mapa final'!$AA$15="Muy Alta",'Mapa final'!$AC$15="Moderado"),CONCATENATE("R2C",'Mapa final'!$Q$15),"")</f>
        <v/>
      </c>
      <c r="X7" s="37" t="str">
        <f ca="1">IF(AND('Mapa final'!$AA$16="Muy Alta",'Mapa final'!$AC$16="Moderado"),CONCATENATE("R2C",'Mapa final'!$Q$16),"")</f>
        <v/>
      </c>
      <c r="Y7" s="37" t="e">
        <f>IF(AND('Mapa final'!#REF!="Muy Alta",'Mapa final'!#REF!="Moderado"),CONCATENATE("R2C",'Mapa final'!#REF!),"")</f>
        <v>#REF!</v>
      </c>
      <c r="Z7" s="37" t="e">
        <f>IF(AND('Mapa final'!#REF!="Muy Alta",'Mapa final'!#REF!="Moderado"),CONCATENATE("R2C",'Mapa final'!#REF!),"")</f>
        <v>#REF!</v>
      </c>
      <c r="AA7" s="38" t="str">
        <f>IF(AND('Mapa final'!$AA$17="Muy Alta",'Mapa final'!$AC$17="Moderado"),CONCATENATE("R2C",'Mapa final'!$Q$17),"")</f>
        <v/>
      </c>
      <c r="AB7" s="36" t="str">
        <f ca="1">IF(AND('Mapa final'!$AA$14="Muy Alta",'Mapa final'!$AC$14="Mayor"),CONCATENATE("R2C",'Mapa final'!$Q$14),"")</f>
        <v/>
      </c>
      <c r="AC7" s="37" t="str">
        <f ca="1">IF(AND('Mapa final'!$AA$15="Muy Alta",'Mapa final'!$AC$15="Mayor"),CONCATENATE("R2C",'Mapa final'!$Q$15),"")</f>
        <v/>
      </c>
      <c r="AD7" s="37" t="str">
        <f ca="1">IF(AND('Mapa final'!$AA$16="Muy Alta",'Mapa final'!$AC$16="Mayor"),CONCATENATE("R2C",'Mapa final'!$Q$16),"")</f>
        <v/>
      </c>
      <c r="AE7" s="37" t="e">
        <f>IF(AND('Mapa final'!#REF!="Muy Alta",'Mapa final'!#REF!="Mayor"),CONCATENATE("R2C",'Mapa final'!#REF!),"")</f>
        <v>#REF!</v>
      </c>
      <c r="AF7" s="37" t="e">
        <f>IF(AND('Mapa final'!#REF!="Muy Alta",'Mapa final'!#REF!="Mayor"),CONCATENATE("R2C",'Mapa final'!#REF!),"")</f>
        <v>#REF!</v>
      </c>
      <c r="AG7" s="38" t="str">
        <f>IF(AND('Mapa final'!$AA$17="Muy Alta",'Mapa final'!$AC$17="Mayor"),CONCATENATE("R2C",'Mapa final'!$Q$17),"")</f>
        <v/>
      </c>
      <c r="AH7" s="39" t="str">
        <f ca="1">IF(AND('Mapa final'!$AA$14="Muy Alta",'Mapa final'!$AC$14="Catastrófico"),CONCATENATE("R2C",'Mapa final'!$Q$14),"")</f>
        <v/>
      </c>
      <c r="AI7" s="40" t="str">
        <f ca="1">IF(AND('Mapa final'!$AA$15="Muy Alta",'Mapa final'!$AC$15="Catastrófico"),CONCATENATE("R2C",'Mapa final'!$Q$15),"")</f>
        <v/>
      </c>
      <c r="AJ7" s="40" t="str">
        <f ca="1">IF(AND('Mapa final'!$AA$16="Muy Alta",'Mapa final'!$AC$16="Catastrófico"),CONCATENATE("R2C",'Mapa final'!$Q$16),"")</f>
        <v/>
      </c>
      <c r="AK7" s="40" t="e">
        <f>IF(AND('Mapa final'!#REF!="Muy Alta",'Mapa final'!#REF!="Catastrófico"),CONCATENATE("R2C",'Mapa final'!#REF!),"")</f>
        <v>#REF!</v>
      </c>
      <c r="AL7" s="40" t="e">
        <f>IF(AND('Mapa final'!#REF!="Muy Alta",'Mapa final'!#REF!="Catastrófico"),CONCATENATE("R2C",'Mapa final'!#REF!),"")</f>
        <v>#REF!</v>
      </c>
      <c r="AM7" s="41" t="str">
        <f>IF(AND('Mapa final'!$AA$17="Muy Alta",'Mapa final'!$AC$17="Catastrófico"),CONCATENATE("R2C",'Mapa final'!$Q$17),"")</f>
        <v/>
      </c>
      <c r="AN7" s="67"/>
      <c r="AO7" s="417"/>
      <c r="AP7" s="418"/>
      <c r="AQ7" s="418"/>
      <c r="AR7" s="418"/>
      <c r="AS7" s="418"/>
      <c r="AT7" s="419"/>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row>
    <row r="8" spans="1:91" ht="15" customHeight="1" x14ac:dyDescent="0.3">
      <c r="A8" s="67"/>
      <c r="B8" s="356"/>
      <c r="C8" s="356"/>
      <c r="D8" s="357"/>
      <c r="E8" s="397"/>
      <c r="F8" s="398"/>
      <c r="G8" s="398"/>
      <c r="H8" s="398"/>
      <c r="I8" s="399"/>
      <c r="J8" s="36" t="str">
        <f>IF(AND('Mapa final'!$AA$18="Muy Alta",'Mapa final'!$AC$18="Leve"),CONCATENATE("R3C",'Mapa final'!$Q$18),"")</f>
        <v/>
      </c>
      <c r="K8" s="37" t="str">
        <f>IF(AND('Mapa final'!$AA$19="Muy Alta",'Mapa final'!$AC$19="Leve"),CONCATENATE("R3C",'Mapa final'!$Q$19),"")</f>
        <v/>
      </c>
      <c r="L8" s="37" t="str">
        <f>IF(AND('Mapa final'!$AA$20="Muy Alta",'Mapa final'!$AC$20="Leve"),CONCATENATE("R3C",'Mapa final'!$Q$20),"")</f>
        <v/>
      </c>
      <c r="M8" s="37" t="str">
        <f>IF(AND('Mapa final'!$AA$21="Muy Alta",'Mapa final'!$AC$21="Leve"),CONCATENATE("R3C",'Mapa final'!$Q$21),"")</f>
        <v/>
      </c>
      <c r="N8" s="37" t="str">
        <f>IF(AND('Mapa final'!$AA$22="Muy Alta",'Mapa final'!$AC$22="Leve"),CONCATENATE("R3C",'Mapa final'!$Q$22),"")</f>
        <v/>
      </c>
      <c r="O8" s="38" t="str">
        <f>IF(AND('Mapa final'!$AA$23="Muy Alta",'Mapa final'!$AC$23="Leve"),CONCATENATE("R3C",'Mapa final'!$Q$23),"")</f>
        <v/>
      </c>
      <c r="P8" s="36" t="str">
        <f>IF(AND('Mapa final'!$AA$18="Muy Alta",'Mapa final'!$AC$18="Menor"),CONCATENATE("R3C",'Mapa final'!$Q$18),"")</f>
        <v/>
      </c>
      <c r="Q8" s="37" t="str">
        <f>IF(AND('Mapa final'!$AA$19="Muy Alta",'Mapa final'!$AC$19="Menor"),CONCATENATE("R3C",'Mapa final'!$Q$19),"")</f>
        <v/>
      </c>
      <c r="R8" s="37" t="str">
        <f>IF(AND('Mapa final'!$AA$20="Muy Alta",'Mapa final'!$AC$20="Menor"),CONCATENATE("R3C",'Mapa final'!$Q$20),"")</f>
        <v/>
      </c>
      <c r="S8" s="37" t="str">
        <f>IF(AND('Mapa final'!$AA$21="Muy Alta",'Mapa final'!$AC$21="Menor"),CONCATENATE("R3C",'Mapa final'!$Q$21),"")</f>
        <v/>
      </c>
      <c r="T8" s="37" t="str">
        <f>IF(AND('Mapa final'!$AA$22="Muy Alta",'Mapa final'!$AC$22="Menor"),CONCATENATE("R3C",'Mapa final'!$Q$22),"")</f>
        <v/>
      </c>
      <c r="U8" s="38" t="str">
        <f>IF(AND('Mapa final'!$AA$23="Muy Alta",'Mapa final'!$AC$23="Menor"),CONCATENATE("R3C",'Mapa final'!$Q$23),"")</f>
        <v/>
      </c>
      <c r="V8" s="36" t="str">
        <f>IF(AND('Mapa final'!$AA$18="Muy Alta",'Mapa final'!$AC$18="Moderado"),CONCATENATE("R3C",'Mapa final'!$Q$18),"")</f>
        <v/>
      </c>
      <c r="W8" s="37" t="str">
        <f>IF(AND('Mapa final'!$AA$19="Muy Alta",'Mapa final'!$AC$19="Moderado"),CONCATENATE("R3C",'Mapa final'!$Q$19),"")</f>
        <v/>
      </c>
      <c r="X8" s="37" t="str">
        <f>IF(AND('Mapa final'!$AA$20="Muy Alta",'Mapa final'!$AC$20="Moderado"),CONCATENATE("R3C",'Mapa final'!$Q$20),"")</f>
        <v/>
      </c>
      <c r="Y8" s="37" t="str">
        <f>IF(AND('Mapa final'!$AA$21="Muy Alta",'Mapa final'!$AC$21="Moderado"),CONCATENATE("R3C",'Mapa final'!$Q$21),"")</f>
        <v/>
      </c>
      <c r="Z8" s="37" t="str">
        <f>IF(AND('Mapa final'!$AA$22="Muy Alta",'Mapa final'!$AC$22="Moderado"),CONCATENATE("R3C",'Mapa final'!$Q$22),"")</f>
        <v/>
      </c>
      <c r="AA8" s="38" t="str">
        <f>IF(AND('Mapa final'!$AA$23="Muy Alta",'Mapa final'!$AC$23="Moderado"),CONCATENATE("R3C",'Mapa final'!$Q$23),"")</f>
        <v/>
      </c>
      <c r="AB8" s="36" t="str">
        <f>IF(AND('Mapa final'!$AA$18="Muy Alta",'Mapa final'!$AC$18="Mayor"),CONCATENATE("R3C",'Mapa final'!$Q$18),"")</f>
        <v/>
      </c>
      <c r="AC8" s="37" t="str">
        <f>IF(AND('Mapa final'!$AA$19="Muy Alta",'Mapa final'!$AC$19="Mayor"),CONCATENATE("R3C",'Mapa final'!$Q$19),"")</f>
        <v/>
      </c>
      <c r="AD8" s="37" t="str">
        <f>IF(AND('Mapa final'!$AA$20="Muy Alta",'Mapa final'!$AC$20="Mayor"),CONCATENATE("R3C",'Mapa final'!$Q$20),"")</f>
        <v/>
      </c>
      <c r="AE8" s="37" t="str">
        <f>IF(AND('Mapa final'!$AA$21="Muy Alta",'Mapa final'!$AC$21="Mayor"),CONCATENATE("R3C",'Mapa final'!$Q$21),"")</f>
        <v/>
      </c>
      <c r="AF8" s="37" t="str">
        <f>IF(AND('Mapa final'!$AA$22="Muy Alta",'Mapa final'!$AC$22="Mayor"),CONCATENATE("R3C",'Mapa final'!$Q$22),"")</f>
        <v/>
      </c>
      <c r="AG8" s="38" t="str">
        <f>IF(AND('Mapa final'!$AA$23="Muy Alta",'Mapa final'!$AC$23="Mayor"),CONCATENATE("R3C",'Mapa final'!$Q$23),"")</f>
        <v/>
      </c>
      <c r="AH8" s="39" t="str">
        <f>IF(AND('Mapa final'!$AA$18="Muy Alta",'Mapa final'!$AC$18="Catastrófico"),CONCATENATE("R3C",'Mapa final'!$Q$18),"")</f>
        <v/>
      </c>
      <c r="AI8" s="40" t="str">
        <f>IF(AND('Mapa final'!$AA$19="Muy Alta",'Mapa final'!$AC$19="Catastrófico"),CONCATENATE("R3C",'Mapa final'!$Q$19),"")</f>
        <v/>
      </c>
      <c r="AJ8" s="40" t="str">
        <f>IF(AND('Mapa final'!$AA$20="Muy Alta",'Mapa final'!$AC$20="Catastrófico"),CONCATENATE("R3C",'Mapa final'!$Q$20),"")</f>
        <v/>
      </c>
      <c r="AK8" s="40" t="str">
        <f>IF(AND('Mapa final'!$AA$21="Muy Alta",'Mapa final'!$AC$21="Catastrófico"),CONCATENATE("R3C",'Mapa final'!$Q$21),"")</f>
        <v/>
      </c>
      <c r="AL8" s="40" t="str">
        <f>IF(AND('Mapa final'!$AA$22="Muy Alta",'Mapa final'!$AC$22="Catastrófico"),CONCATENATE("R3C",'Mapa final'!$Q$22),"")</f>
        <v/>
      </c>
      <c r="AM8" s="41" t="str">
        <f>IF(AND('Mapa final'!$AA$23="Muy Alta",'Mapa final'!$AC$23="Catastrófico"),CONCATENATE("R3C",'Mapa final'!$Q$23),"")</f>
        <v/>
      </c>
      <c r="AN8" s="67"/>
      <c r="AO8" s="417"/>
      <c r="AP8" s="418"/>
      <c r="AQ8" s="418"/>
      <c r="AR8" s="418"/>
      <c r="AS8" s="418"/>
      <c r="AT8" s="419"/>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row>
    <row r="9" spans="1:91" ht="15" customHeight="1" x14ac:dyDescent="0.3">
      <c r="A9" s="67"/>
      <c r="B9" s="356"/>
      <c r="C9" s="356"/>
      <c r="D9" s="357"/>
      <c r="E9" s="397"/>
      <c r="F9" s="398"/>
      <c r="G9" s="398"/>
      <c r="H9" s="398"/>
      <c r="I9" s="399"/>
      <c r="J9" s="36" t="str">
        <f>IF(AND('Mapa final'!$AA$24="Muy Alta",'Mapa final'!$AC$24="Leve"),CONCATENATE("R4C",'Mapa final'!$Q$24),"")</f>
        <v/>
      </c>
      <c r="K9" s="37" t="str">
        <f>IF(AND('Mapa final'!$AA$25="Muy Alta",'Mapa final'!$AC$25="Leve"),CONCATENATE("R4C",'Mapa final'!$Q$25),"")</f>
        <v/>
      </c>
      <c r="L9" s="37" t="str">
        <f>IF(AND('Mapa final'!$AA$26="Muy Alta",'Mapa final'!$AC$26="Leve"),CONCATENATE("R4C",'Mapa final'!$Q$26),"")</f>
        <v/>
      </c>
      <c r="M9" s="37" t="str">
        <f>IF(AND('Mapa final'!$AA$27="Muy Alta",'Mapa final'!$AC$27="Leve"),CONCATENATE("R4C",'Mapa final'!$Q$27),"")</f>
        <v/>
      </c>
      <c r="N9" s="37" t="str">
        <f>IF(AND('Mapa final'!$AA$28="Muy Alta",'Mapa final'!$AC$28="Leve"),CONCATENATE("R4C",'Mapa final'!$Q$28),"")</f>
        <v/>
      </c>
      <c r="O9" s="38" t="str">
        <f>IF(AND('Mapa final'!$AA$29="Muy Alta",'Mapa final'!$AC$29="Leve"),CONCATENATE("R4C",'Mapa final'!$Q$29),"")</f>
        <v/>
      </c>
      <c r="P9" s="36" t="str">
        <f>IF(AND('Mapa final'!$AA$24="Muy Alta",'Mapa final'!$AC$24="Menor"),CONCATENATE("R4C",'Mapa final'!$Q$24),"")</f>
        <v/>
      </c>
      <c r="Q9" s="37" t="str">
        <f>IF(AND('Mapa final'!$AA$25="Muy Alta",'Mapa final'!$AC$25="Menor"),CONCATENATE("R4C",'Mapa final'!$Q$25),"")</f>
        <v/>
      </c>
      <c r="R9" s="37" t="str">
        <f>IF(AND('Mapa final'!$AA$26="Muy Alta",'Mapa final'!$AC$26="Menor"),CONCATENATE("R4C",'Mapa final'!$Q$26),"")</f>
        <v/>
      </c>
      <c r="S9" s="37" t="str">
        <f>IF(AND('Mapa final'!$AA$27="Muy Alta",'Mapa final'!$AC$27="Menor"),CONCATENATE("R4C",'Mapa final'!$Q$27),"")</f>
        <v/>
      </c>
      <c r="T9" s="37" t="str">
        <f>IF(AND('Mapa final'!$AA$28="Muy Alta",'Mapa final'!$AC$28="Menor"),CONCATENATE("R4C",'Mapa final'!$Q$28),"")</f>
        <v/>
      </c>
      <c r="U9" s="38" t="str">
        <f>IF(AND('Mapa final'!$AA$29="Muy Alta",'Mapa final'!$AC$29="Menor"),CONCATENATE("R4C",'Mapa final'!$Q$29),"")</f>
        <v/>
      </c>
      <c r="V9" s="36" t="str">
        <f>IF(AND('Mapa final'!$AA$24="Muy Alta",'Mapa final'!$AC$24="Moderado"),CONCATENATE("R4C",'Mapa final'!$Q$24),"")</f>
        <v/>
      </c>
      <c r="W9" s="37" t="str">
        <f>IF(AND('Mapa final'!$AA$25="Muy Alta",'Mapa final'!$AC$25="Moderado"),CONCATENATE("R4C",'Mapa final'!$Q$25),"")</f>
        <v/>
      </c>
      <c r="X9" s="37" t="str">
        <f>IF(AND('Mapa final'!$AA$26="Muy Alta",'Mapa final'!$AC$26="Moderado"),CONCATENATE("R4C",'Mapa final'!$Q$26),"")</f>
        <v/>
      </c>
      <c r="Y9" s="37" t="str">
        <f>IF(AND('Mapa final'!$AA$27="Muy Alta",'Mapa final'!$AC$27="Moderado"),CONCATENATE("R4C",'Mapa final'!$Q$27),"")</f>
        <v/>
      </c>
      <c r="Z9" s="37" t="str">
        <f>IF(AND('Mapa final'!$AA$28="Muy Alta",'Mapa final'!$AC$28="Moderado"),CONCATENATE("R4C",'Mapa final'!$Q$28),"")</f>
        <v/>
      </c>
      <c r="AA9" s="38" t="str">
        <f>IF(AND('Mapa final'!$AA$29="Muy Alta",'Mapa final'!$AC$29="Moderado"),CONCATENATE("R4C",'Mapa final'!$Q$29),"")</f>
        <v/>
      </c>
      <c r="AB9" s="36" t="str">
        <f>IF(AND('Mapa final'!$AA$24="Muy Alta",'Mapa final'!$AC$24="Mayor"),CONCATENATE("R4C",'Mapa final'!$Q$24),"")</f>
        <v/>
      </c>
      <c r="AC9" s="37" t="str">
        <f>IF(AND('Mapa final'!$AA$25="Muy Alta",'Mapa final'!$AC$25="Mayor"),CONCATENATE("R4C",'Mapa final'!$Q$25),"")</f>
        <v/>
      </c>
      <c r="AD9" s="37" t="str">
        <f>IF(AND('Mapa final'!$AA$26="Muy Alta",'Mapa final'!$AC$26="Mayor"),CONCATENATE("R4C",'Mapa final'!$Q$26),"")</f>
        <v/>
      </c>
      <c r="AE9" s="37" t="str">
        <f>IF(AND('Mapa final'!$AA$27="Muy Alta",'Mapa final'!$AC$27="Mayor"),CONCATENATE("R4C",'Mapa final'!$Q$27),"")</f>
        <v/>
      </c>
      <c r="AF9" s="37" t="str">
        <f>IF(AND('Mapa final'!$AA$28="Muy Alta",'Mapa final'!$AC$28="Mayor"),CONCATENATE("R4C",'Mapa final'!$Q$28),"")</f>
        <v/>
      </c>
      <c r="AG9" s="38" t="str">
        <f>IF(AND('Mapa final'!$AA$29="Muy Alta",'Mapa final'!$AC$29="Mayor"),CONCATENATE("R4C",'Mapa final'!$Q$29),"")</f>
        <v/>
      </c>
      <c r="AH9" s="39" t="str">
        <f>IF(AND('Mapa final'!$AA$24="Muy Alta",'Mapa final'!$AC$24="Catastrófico"),CONCATENATE("R4C",'Mapa final'!$Q$24),"")</f>
        <v/>
      </c>
      <c r="AI9" s="40" t="str">
        <f>IF(AND('Mapa final'!$AA$25="Muy Alta",'Mapa final'!$AC$25="Catastrófico"),CONCATENATE("R4C",'Mapa final'!$Q$25),"")</f>
        <v/>
      </c>
      <c r="AJ9" s="40" t="str">
        <f>IF(AND('Mapa final'!$AA$26="Muy Alta",'Mapa final'!$AC$26="Catastrófico"),CONCATENATE("R4C",'Mapa final'!$Q$26),"")</f>
        <v/>
      </c>
      <c r="AK9" s="40" t="str">
        <f>IF(AND('Mapa final'!$AA$27="Muy Alta",'Mapa final'!$AC$27="Catastrófico"),CONCATENATE("R4C",'Mapa final'!$Q$27),"")</f>
        <v/>
      </c>
      <c r="AL9" s="40" t="str">
        <f>IF(AND('Mapa final'!$AA$28="Muy Alta",'Mapa final'!$AC$28="Catastrófico"),CONCATENATE("R4C",'Mapa final'!$Q$28),"")</f>
        <v/>
      </c>
      <c r="AM9" s="41" t="str">
        <f>IF(AND('Mapa final'!$AA$29="Muy Alta",'Mapa final'!$AC$29="Catastrófico"),CONCATENATE("R4C",'Mapa final'!$Q$29),"")</f>
        <v/>
      </c>
      <c r="AN9" s="67"/>
      <c r="AO9" s="417"/>
      <c r="AP9" s="418"/>
      <c r="AQ9" s="418"/>
      <c r="AR9" s="418"/>
      <c r="AS9" s="418"/>
      <c r="AT9" s="419"/>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row>
    <row r="10" spans="1:91" ht="15" customHeight="1" x14ac:dyDescent="0.3">
      <c r="A10" s="67"/>
      <c r="B10" s="356"/>
      <c r="C10" s="356"/>
      <c r="D10" s="357"/>
      <c r="E10" s="397"/>
      <c r="F10" s="398"/>
      <c r="G10" s="398"/>
      <c r="H10" s="398"/>
      <c r="I10" s="399"/>
      <c r="J10" s="36" t="str">
        <f>IF(AND('Mapa final'!$AA$30="Muy Alta",'Mapa final'!$AC$30="Leve"),CONCATENATE("R5C",'Mapa final'!$Q$30),"")</f>
        <v/>
      </c>
      <c r="K10" s="37" t="str">
        <f>IF(AND('Mapa final'!$AA$31="Muy Alta",'Mapa final'!$AC$31="Leve"),CONCATENATE("R5C",'Mapa final'!$Q$31),"")</f>
        <v/>
      </c>
      <c r="L10" s="37" t="str">
        <f>IF(AND('Mapa final'!$AA$32="Muy Alta",'Mapa final'!$AC$32="Leve"),CONCATENATE("R5C",'Mapa final'!$Q$32),"")</f>
        <v/>
      </c>
      <c r="M10" s="37" t="str">
        <f>IF(AND('Mapa final'!$AA$33="Muy Alta",'Mapa final'!$AC$33="Leve"),CONCATENATE("R5C",'Mapa final'!$Q$33),"")</f>
        <v/>
      </c>
      <c r="N10" s="37" t="str">
        <f>IF(AND('Mapa final'!$AA$34="Muy Alta",'Mapa final'!$AC$34="Leve"),CONCATENATE("R5C",'Mapa final'!$Q$34),"")</f>
        <v/>
      </c>
      <c r="O10" s="38" t="str">
        <f>IF(AND('Mapa final'!$AA$35="Muy Alta",'Mapa final'!$AC$35="Leve"),CONCATENATE("R5C",'Mapa final'!$Q$35),"")</f>
        <v/>
      </c>
      <c r="P10" s="36" t="str">
        <f>IF(AND('Mapa final'!$AA$30="Muy Alta",'Mapa final'!$AC$30="Menor"),CONCATENATE("R5C",'Mapa final'!$Q$30),"")</f>
        <v/>
      </c>
      <c r="Q10" s="37" t="str">
        <f>IF(AND('Mapa final'!$AA$31="Muy Alta",'Mapa final'!$AC$31="Menor"),CONCATENATE("R5C",'Mapa final'!$Q$31),"")</f>
        <v/>
      </c>
      <c r="R10" s="37" t="str">
        <f>IF(AND('Mapa final'!$AA$32="Muy Alta",'Mapa final'!$AC$32="Menor"),CONCATENATE("R5C",'Mapa final'!$Q$32),"")</f>
        <v/>
      </c>
      <c r="S10" s="37" t="str">
        <f>IF(AND('Mapa final'!$AA$33="Muy Alta",'Mapa final'!$AC$33="Menor"),CONCATENATE("R5C",'Mapa final'!$Q$33),"")</f>
        <v/>
      </c>
      <c r="T10" s="37" t="str">
        <f>IF(AND('Mapa final'!$AA$34="Muy Alta",'Mapa final'!$AC$34="Menor"),CONCATENATE("R5C",'Mapa final'!$Q$34),"")</f>
        <v/>
      </c>
      <c r="U10" s="38" t="str">
        <f>IF(AND('Mapa final'!$AA$35="Muy Alta",'Mapa final'!$AC$35="Menor"),CONCATENATE("R5C",'Mapa final'!$Q$35),"")</f>
        <v/>
      </c>
      <c r="V10" s="36" t="str">
        <f>IF(AND('Mapa final'!$AA$30="Muy Alta",'Mapa final'!$AC$30="Moderado"),CONCATENATE("R5C",'Mapa final'!$Q$30),"")</f>
        <v/>
      </c>
      <c r="W10" s="37" t="str">
        <f>IF(AND('Mapa final'!$AA$31="Muy Alta",'Mapa final'!$AC$31="Moderado"),CONCATENATE("R5C",'Mapa final'!$Q$31),"")</f>
        <v/>
      </c>
      <c r="X10" s="37" t="str">
        <f>IF(AND('Mapa final'!$AA$32="Muy Alta",'Mapa final'!$AC$32="Moderado"),CONCATENATE("R5C",'Mapa final'!$Q$32),"")</f>
        <v/>
      </c>
      <c r="Y10" s="37" t="str">
        <f>IF(AND('Mapa final'!$AA$33="Muy Alta",'Mapa final'!$AC$33="Moderado"),CONCATENATE("R5C",'Mapa final'!$Q$33),"")</f>
        <v/>
      </c>
      <c r="Z10" s="37" t="str">
        <f>IF(AND('Mapa final'!$AA$34="Muy Alta",'Mapa final'!$AC$34="Moderado"),CONCATENATE("R5C",'Mapa final'!$Q$34),"")</f>
        <v/>
      </c>
      <c r="AA10" s="38" t="str">
        <f>IF(AND('Mapa final'!$AA$35="Muy Alta",'Mapa final'!$AC$35="Moderado"),CONCATENATE("R5C",'Mapa final'!$Q$35),"")</f>
        <v/>
      </c>
      <c r="AB10" s="36" t="str">
        <f>IF(AND('Mapa final'!$AA$30="Muy Alta",'Mapa final'!$AC$30="Mayor"),CONCATENATE("R5C",'Mapa final'!$Q$30),"")</f>
        <v/>
      </c>
      <c r="AC10" s="37" t="str">
        <f>IF(AND('Mapa final'!$AA$31="Muy Alta",'Mapa final'!$AC$31="Mayor"),CONCATENATE("R5C",'Mapa final'!$Q$31),"")</f>
        <v/>
      </c>
      <c r="AD10" s="37" t="str">
        <f>IF(AND('Mapa final'!$AA$32="Muy Alta",'Mapa final'!$AC$32="Mayor"),CONCATENATE("R5C",'Mapa final'!$Q$32),"")</f>
        <v/>
      </c>
      <c r="AE10" s="37" t="str">
        <f>IF(AND('Mapa final'!$AA$33="Muy Alta",'Mapa final'!$AC$33="Mayor"),CONCATENATE("R5C",'Mapa final'!$Q$33),"")</f>
        <v/>
      </c>
      <c r="AF10" s="37" t="str">
        <f>IF(AND('Mapa final'!$AA$34="Muy Alta",'Mapa final'!$AC$34="Mayor"),CONCATENATE("R5C",'Mapa final'!$Q$34),"")</f>
        <v/>
      </c>
      <c r="AG10" s="38" t="str">
        <f>IF(AND('Mapa final'!$AA$35="Muy Alta",'Mapa final'!$AC$35="Mayor"),CONCATENATE("R5C",'Mapa final'!$Q$35),"")</f>
        <v/>
      </c>
      <c r="AH10" s="39" t="str">
        <f>IF(AND('Mapa final'!$AA$30="Muy Alta",'Mapa final'!$AC$30="Catastrófico"),CONCATENATE("R5C",'Mapa final'!$Q$30),"")</f>
        <v/>
      </c>
      <c r="AI10" s="40" t="str">
        <f>IF(AND('Mapa final'!$AA$31="Muy Alta",'Mapa final'!$AC$31="Catastrófico"),CONCATENATE("R5C",'Mapa final'!$Q$31),"")</f>
        <v/>
      </c>
      <c r="AJ10" s="40" t="str">
        <f>IF(AND('Mapa final'!$AA$32="Muy Alta",'Mapa final'!$AC$32="Catastrófico"),CONCATENATE("R5C",'Mapa final'!$Q$32),"")</f>
        <v/>
      </c>
      <c r="AK10" s="40" t="str">
        <f>IF(AND('Mapa final'!$AA$33="Muy Alta",'Mapa final'!$AC$33="Catastrófico"),CONCATENATE("R5C",'Mapa final'!$Q$33),"")</f>
        <v/>
      </c>
      <c r="AL10" s="40" t="str">
        <f>IF(AND('Mapa final'!$AA$34="Muy Alta",'Mapa final'!$AC$34="Catastrófico"),CONCATENATE("R5C",'Mapa final'!$Q$34),"")</f>
        <v/>
      </c>
      <c r="AM10" s="41" t="str">
        <f>IF(AND('Mapa final'!$AA$35="Muy Alta",'Mapa final'!$AC$35="Catastrófico"),CONCATENATE("R5C",'Mapa final'!$Q$35),"")</f>
        <v/>
      </c>
      <c r="AN10" s="67"/>
      <c r="AO10" s="417"/>
      <c r="AP10" s="418"/>
      <c r="AQ10" s="418"/>
      <c r="AR10" s="418"/>
      <c r="AS10" s="418"/>
      <c r="AT10" s="419"/>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row>
    <row r="11" spans="1:91" ht="15" customHeight="1" x14ac:dyDescent="0.3">
      <c r="A11" s="67"/>
      <c r="B11" s="356"/>
      <c r="C11" s="356"/>
      <c r="D11" s="357"/>
      <c r="E11" s="397"/>
      <c r="F11" s="398"/>
      <c r="G11" s="398"/>
      <c r="H11" s="398"/>
      <c r="I11" s="399"/>
      <c r="J11" s="36" t="str">
        <f>IF(AND('Mapa final'!$AA$36="Muy Alta",'Mapa final'!$AC$36="Leve"),CONCATENATE("R6C",'Mapa final'!$Q$36),"")</f>
        <v/>
      </c>
      <c r="K11" s="37" t="str">
        <f>IF(AND('Mapa final'!$AA$37="Muy Alta",'Mapa final'!$AC$37="Leve"),CONCATENATE("R6C",'Mapa final'!$Q$37),"")</f>
        <v/>
      </c>
      <c r="L11" s="37" t="str">
        <f>IF(AND('Mapa final'!$AA$38="Muy Alta",'Mapa final'!$AC$38="Leve"),CONCATENATE("R6C",'Mapa final'!$Q$38),"")</f>
        <v/>
      </c>
      <c r="M11" s="37" t="str">
        <f>IF(AND('Mapa final'!$AA$39="Muy Alta",'Mapa final'!$AC$39="Leve"),CONCATENATE("R6C",'Mapa final'!$Q$39),"")</f>
        <v/>
      </c>
      <c r="N11" s="37" t="str">
        <f>IF(AND('Mapa final'!$AA$40="Muy Alta",'Mapa final'!$AC$40="Leve"),CONCATENATE("R6C",'Mapa final'!$Q$40),"")</f>
        <v/>
      </c>
      <c r="O11" s="38" t="str">
        <f>IF(AND('Mapa final'!$AA$41="Muy Alta",'Mapa final'!$AC$41="Leve"),CONCATENATE("R6C",'Mapa final'!$Q$41),"")</f>
        <v/>
      </c>
      <c r="P11" s="36" t="str">
        <f>IF(AND('Mapa final'!$AA$36="Muy Alta",'Mapa final'!$AC$36="Menor"),CONCATENATE("R6C",'Mapa final'!$Q$36),"")</f>
        <v/>
      </c>
      <c r="Q11" s="37" t="str">
        <f>IF(AND('Mapa final'!$AA$37="Muy Alta",'Mapa final'!$AC$37="Menor"),CONCATENATE("R6C",'Mapa final'!$Q$37),"")</f>
        <v/>
      </c>
      <c r="R11" s="37" t="str">
        <f>IF(AND('Mapa final'!$AA$38="Muy Alta",'Mapa final'!$AC$38="Menor"),CONCATENATE("R6C",'Mapa final'!$Q$38),"")</f>
        <v/>
      </c>
      <c r="S11" s="37" t="str">
        <f>IF(AND('Mapa final'!$AA$39="Muy Alta",'Mapa final'!$AC$39="Menor"),CONCATENATE("R6C",'Mapa final'!$Q$39),"")</f>
        <v/>
      </c>
      <c r="T11" s="37" t="str">
        <f>IF(AND('Mapa final'!$AA$40="Muy Alta",'Mapa final'!$AC$40="Menor"),CONCATENATE("R6C",'Mapa final'!$Q$40),"")</f>
        <v/>
      </c>
      <c r="U11" s="38" t="str">
        <f>IF(AND('Mapa final'!$AA$41="Muy Alta",'Mapa final'!$AC$41="Menor"),CONCATENATE("R6C",'Mapa final'!$Q$41),"")</f>
        <v/>
      </c>
      <c r="V11" s="36" t="str">
        <f>IF(AND('Mapa final'!$AA$36="Muy Alta",'Mapa final'!$AC$36="Moderado"),CONCATENATE("R6C",'Mapa final'!$Q$36),"")</f>
        <v/>
      </c>
      <c r="W11" s="37" t="str">
        <f>IF(AND('Mapa final'!$AA$37="Muy Alta",'Mapa final'!$AC$37="Moderado"),CONCATENATE("R6C",'Mapa final'!$Q$37),"")</f>
        <v/>
      </c>
      <c r="X11" s="37" t="str">
        <f>IF(AND('Mapa final'!$AA$38="Muy Alta",'Mapa final'!$AC$38="Moderado"),CONCATENATE("R6C",'Mapa final'!$Q$38),"")</f>
        <v/>
      </c>
      <c r="Y11" s="37" t="str">
        <f>IF(AND('Mapa final'!$AA$39="Muy Alta",'Mapa final'!$AC$39="Moderado"),CONCATENATE("R6C",'Mapa final'!$Q$39),"")</f>
        <v/>
      </c>
      <c r="Z11" s="37" t="str">
        <f>IF(AND('Mapa final'!$AA$40="Muy Alta",'Mapa final'!$AC$40="Moderado"),CONCATENATE("R6C",'Mapa final'!$Q$40),"")</f>
        <v/>
      </c>
      <c r="AA11" s="38" t="str">
        <f>IF(AND('Mapa final'!$AA$41="Muy Alta",'Mapa final'!$AC$41="Moderado"),CONCATENATE("R6C",'Mapa final'!$Q$41),"")</f>
        <v/>
      </c>
      <c r="AB11" s="36" t="str">
        <f>IF(AND('Mapa final'!$AA$36="Muy Alta",'Mapa final'!$AC$36="Mayor"),CONCATENATE("R6C",'Mapa final'!$Q$36),"")</f>
        <v/>
      </c>
      <c r="AC11" s="37" t="str">
        <f>IF(AND('Mapa final'!$AA$37="Muy Alta",'Mapa final'!$AC$37="Mayor"),CONCATENATE("R6C",'Mapa final'!$Q$37),"")</f>
        <v/>
      </c>
      <c r="AD11" s="37" t="str">
        <f>IF(AND('Mapa final'!$AA$38="Muy Alta",'Mapa final'!$AC$38="Mayor"),CONCATENATE("R6C",'Mapa final'!$Q$38),"")</f>
        <v/>
      </c>
      <c r="AE11" s="37" t="str">
        <f>IF(AND('Mapa final'!$AA$39="Muy Alta",'Mapa final'!$AC$39="Mayor"),CONCATENATE("R6C",'Mapa final'!$Q$39),"")</f>
        <v/>
      </c>
      <c r="AF11" s="37" t="str">
        <f>IF(AND('Mapa final'!$AA$40="Muy Alta",'Mapa final'!$AC$40="Mayor"),CONCATENATE("R6C",'Mapa final'!$Q$40),"")</f>
        <v/>
      </c>
      <c r="AG11" s="38" t="str">
        <f>IF(AND('Mapa final'!$AA$41="Muy Alta",'Mapa final'!$AC$41="Mayor"),CONCATENATE("R6C",'Mapa final'!$Q$41),"")</f>
        <v/>
      </c>
      <c r="AH11" s="39" t="str">
        <f>IF(AND('Mapa final'!$AA$36="Muy Alta",'Mapa final'!$AC$36="Catastrófico"),CONCATENATE("R6C",'Mapa final'!$Q$36),"")</f>
        <v/>
      </c>
      <c r="AI11" s="40" t="str">
        <f>IF(AND('Mapa final'!$AA$37="Muy Alta",'Mapa final'!$AC$37="Catastrófico"),CONCATENATE("R6C",'Mapa final'!$Q$37),"")</f>
        <v/>
      </c>
      <c r="AJ11" s="40" t="str">
        <f>IF(AND('Mapa final'!$AA$38="Muy Alta",'Mapa final'!$AC$38="Catastrófico"),CONCATENATE("R6C",'Mapa final'!$Q$38),"")</f>
        <v/>
      </c>
      <c r="AK11" s="40" t="str">
        <f>IF(AND('Mapa final'!$AA$39="Muy Alta",'Mapa final'!$AC$39="Catastrófico"),CONCATENATE("R6C",'Mapa final'!$Q$39),"")</f>
        <v/>
      </c>
      <c r="AL11" s="40" t="str">
        <f>IF(AND('Mapa final'!$AA$40="Muy Alta",'Mapa final'!$AC$40="Catastrófico"),CONCATENATE("R6C",'Mapa final'!$Q$40),"")</f>
        <v/>
      </c>
      <c r="AM11" s="41" t="str">
        <f>IF(AND('Mapa final'!$AA$41="Muy Alta",'Mapa final'!$AC$41="Catastrófico"),CONCATENATE("R6C",'Mapa final'!$Q$41),"")</f>
        <v/>
      </c>
      <c r="AN11" s="67"/>
      <c r="AO11" s="417"/>
      <c r="AP11" s="418"/>
      <c r="AQ11" s="418"/>
      <c r="AR11" s="418"/>
      <c r="AS11" s="418"/>
      <c r="AT11" s="419"/>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row>
    <row r="12" spans="1:91" ht="15" customHeight="1" x14ac:dyDescent="0.3">
      <c r="A12" s="67"/>
      <c r="B12" s="356"/>
      <c r="C12" s="356"/>
      <c r="D12" s="357"/>
      <c r="E12" s="397"/>
      <c r="F12" s="398"/>
      <c r="G12" s="398"/>
      <c r="H12" s="398"/>
      <c r="I12" s="399"/>
      <c r="J12" s="36" t="str">
        <f>IF(AND('Mapa final'!$AA$42="Muy Alta",'Mapa final'!$AC$42="Leve"),CONCATENATE("R7C",'Mapa final'!$Q$42),"")</f>
        <v/>
      </c>
      <c r="K12" s="37" t="str">
        <f>IF(AND('Mapa final'!$AA$43="Muy Alta",'Mapa final'!$AC$43="Leve"),CONCATENATE("R7C",'Mapa final'!$Q$43),"")</f>
        <v/>
      </c>
      <c r="L12" s="37" t="str">
        <f>IF(AND('Mapa final'!$AA$44="Muy Alta",'Mapa final'!$AC$44="Leve"),CONCATENATE("R7C",'Mapa final'!$Q$44),"")</f>
        <v/>
      </c>
      <c r="M12" s="37" t="str">
        <f>IF(AND('Mapa final'!$AA$45="Muy Alta",'Mapa final'!$AC$45="Leve"),CONCATENATE("R7C",'Mapa final'!$Q$45),"")</f>
        <v/>
      </c>
      <c r="N12" s="37" t="str">
        <f>IF(AND('Mapa final'!$AA$46="Muy Alta",'Mapa final'!$AC$46="Leve"),CONCATENATE("R7C",'Mapa final'!$Q$46),"")</f>
        <v/>
      </c>
      <c r="O12" s="38" t="str">
        <f>IF(AND('Mapa final'!$AA$47="Muy Alta",'Mapa final'!$AC$47="Leve"),CONCATENATE("R7C",'Mapa final'!$Q$47),"")</f>
        <v/>
      </c>
      <c r="P12" s="36" t="str">
        <f>IF(AND('Mapa final'!$AA$42="Muy Alta",'Mapa final'!$AC$42="Menor"),CONCATENATE("R7C",'Mapa final'!$Q$42),"")</f>
        <v/>
      </c>
      <c r="Q12" s="37" t="str">
        <f>IF(AND('Mapa final'!$AA$43="Muy Alta",'Mapa final'!$AC$43="Menor"),CONCATENATE("R7C",'Mapa final'!$Q$43),"")</f>
        <v/>
      </c>
      <c r="R12" s="37" t="str">
        <f>IF(AND('Mapa final'!$AA$44="Muy Alta",'Mapa final'!$AC$44="Menor"),CONCATENATE("R7C",'Mapa final'!$Q$44),"")</f>
        <v/>
      </c>
      <c r="S12" s="37" t="str">
        <f>IF(AND('Mapa final'!$AA$45="Muy Alta",'Mapa final'!$AC$45="Menor"),CONCATENATE("R7C",'Mapa final'!$Q$45),"")</f>
        <v/>
      </c>
      <c r="T12" s="37" t="str">
        <f>IF(AND('Mapa final'!$AA$46="Muy Alta",'Mapa final'!$AC$46="Menor"),CONCATENATE("R7C",'Mapa final'!$Q$46),"")</f>
        <v/>
      </c>
      <c r="U12" s="38" t="str">
        <f>IF(AND('Mapa final'!$AA$47="Muy Alta",'Mapa final'!$AC$47="Menor"),CONCATENATE("R7C",'Mapa final'!$Q$47),"")</f>
        <v/>
      </c>
      <c r="V12" s="36" t="str">
        <f>IF(AND('Mapa final'!$AA$42="Muy Alta",'Mapa final'!$AC$42="Moderado"),CONCATENATE("R7C",'Mapa final'!$Q$42),"")</f>
        <v/>
      </c>
      <c r="W12" s="37" t="str">
        <f>IF(AND('Mapa final'!$AA$43="Muy Alta",'Mapa final'!$AC$43="Moderado"),CONCATENATE("R7C",'Mapa final'!$Q$43),"")</f>
        <v/>
      </c>
      <c r="X12" s="37" t="str">
        <f>IF(AND('Mapa final'!$AA$44="Muy Alta",'Mapa final'!$AC$44="Moderado"),CONCATENATE("R7C",'Mapa final'!$Q$44),"")</f>
        <v/>
      </c>
      <c r="Y12" s="37" t="str">
        <f>IF(AND('Mapa final'!$AA$45="Muy Alta",'Mapa final'!$AC$45="Moderado"),CONCATENATE("R7C",'Mapa final'!$Q$45),"")</f>
        <v/>
      </c>
      <c r="Z12" s="37" t="str">
        <f>IF(AND('Mapa final'!$AA$46="Muy Alta",'Mapa final'!$AC$46="Moderado"),CONCATENATE("R7C",'Mapa final'!$Q$46),"")</f>
        <v/>
      </c>
      <c r="AA12" s="38" t="str">
        <f>IF(AND('Mapa final'!$AA$47="Muy Alta",'Mapa final'!$AC$47="Moderado"),CONCATENATE("R7C",'Mapa final'!$Q$47),"")</f>
        <v/>
      </c>
      <c r="AB12" s="36" t="str">
        <f>IF(AND('Mapa final'!$AA$42="Muy Alta",'Mapa final'!$AC$42="Mayor"),CONCATENATE("R7C",'Mapa final'!$Q$42),"")</f>
        <v/>
      </c>
      <c r="AC12" s="37" t="str">
        <f>IF(AND('Mapa final'!$AA$43="Muy Alta",'Mapa final'!$AC$43="Mayor"),CONCATENATE("R7C",'Mapa final'!$Q$43),"")</f>
        <v/>
      </c>
      <c r="AD12" s="37" t="str">
        <f>IF(AND('Mapa final'!$AA$44="Muy Alta",'Mapa final'!$AC$44="Mayor"),CONCATENATE("R7C",'Mapa final'!$Q$44),"")</f>
        <v/>
      </c>
      <c r="AE12" s="37" t="str">
        <f>IF(AND('Mapa final'!$AA$45="Muy Alta",'Mapa final'!$AC$45="Mayor"),CONCATENATE("R7C",'Mapa final'!$Q$45),"")</f>
        <v/>
      </c>
      <c r="AF12" s="37" t="str">
        <f>IF(AND('Mapa final'!$AA$46="Muy Alta",'Mapa final'!$AC$46="Mayor"),CONCATENATE("R7C",'Mapa final'!$Q$46),"")</f>
        <v/>
      </c>
      <c r="AG12" s="38" t="str">
        <f>IF(AND('Mapa final'!$AA$47="Muy Alta",'Mapa final'!$AC$47="Mayor"),CONCATENATE("R7C",'Mapa final'!$Q$47),"")</f>
        <v/>
      </c>
      <c r="AH12" s="39" t="str">
        <f>IF(AND('Mapa final'!$AA$42="Muy Alta",'Mapa final'!$AC$42="Catastrófico"),CONCATENATE("R7C",'Mapa final'!$Q$42),"")</f>
        <v/>
      </c>
      <c r="AI12" s="40" t="str">
        <f>IF(AND('Mapa final'!$AA$43="Muy Alta",'Mapa final'!$AC$43="Catastrófico"),CONCATENATE("R7C",'Mapa final'!$Q$43),"")</f>
        <v/>
      </c>
      <c r="AJ12" s="40" t="str">
        <f>IF(AND('Mapa final'!$AA$44="Muy Alta",'Mapa final'!$AC$44="Catastrófico"),CONCATENATE("R7C",'Mapa final'!$Q$44),"")</f>
        <v/>
      </c>
      <c r="AK12" s="40" t="str">
        <f>IF(AND('Mapa final'!$AA$45="Muy Alta",'Mapa final'!$AC$45="Catastrófico"),CONCATENATE("R7C",'Mapa final'!$Q$45),"")</f>
        <v/>
      </c>
      <c r="AL12" s="40" t="str">
        <f>IF(AND('Mapa final'!$AA$46="Muy Alta",'Mapa final'!$AC$46="Catastrófico"),CONCATENATE("R7C",'Mapa final'!$Q$46),"")</f>
        <v/>
      </c>
      <c r="AM12" s="41" t="str">
        <f>IF(AND('Mapa final'!$AA$47="Muy Alta",'Mapa final'!$AC$47="Catastrófico"),CONCATENATE("R7C",'Mapa final'!$Q$47),"")</f>
        <v/>
      </c>
      <c r="AN12" s="67"/>
      <c r="AO12" s="417"/>
      <c r="AP12" s="418"/>
      <c r="AQ12" s="418"/>
      <c r="AR12" s="418"/>
      <c r="AS12" s="418"/>
      <c r="AT12" s="419"/>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row>
    <row r="13" spans="1:91" ht="15" customHeight="1" x14ac:dyDescent="0.3">
      <c r="A13" s="67"/>
      <c r="B13" s="356"/>
      <c r="C13" s="356"/>
      <c r="D13" s="357"/>
      <c r="E13" s="397"/>
      <c r="F13" s="398"/>
      <c r="G13" s="398"/>
      <c r="H13" s="398"/>
      <c r="I13" s="399"/>
      <c r="J13" s="36" t="str">
        <f>IF(AND('Mapa final'!$AA$48="Muy Alta",'Mapa final'!$AC$48="Leve"),CONCATENATE("R8C",'Mapa final'!$Q$48),"")</f>
        <v/>
      </c>
      <c r="K13" s="37" t="str">
        <f>IF(AND('Mapa final'!$AA$49="Muy Alta",'Mapa final'!$AC$49="Leve"),CONCATENATE("R8C",'Mapa final'!$Q$49),"")</f>
        <v/>
      </c>
      <c r="L13" s="37" t="str">
        <f>IF(AND('Mapa final'!$AA$50="Muy Alta",'Mapa final'!$AC$50="Leve"),CONCATENATE("R8C",'Mapa final'!$Q$50),"")</f>
        <v/>
      </c>
      <c r="M13" s="37" t="str">
        <f>IF(AND('Mapa final'!$AA$51="Muy Alta",'Mapa final'!$AC$51="Leve"),CONCATENATE("R8C",'Mapa final'!$Q$51),"")</f>
        <v/>
      </c>
      <c r="N13" s="37" t="str">
        <f>IF(AND('Mapa final'!$AA$52="Muy Alta",'Mapa final'!$AC$52="Leve"),CONCATENATE("R8C",'Mapa final'!$Q$52),"")</f>
        <v/>
      </c>
      <c r="O13" s="38" t="str">
        <f>IF(AND('Mapa final'!$AA$53="Muy Alta",'Mapa final'!$AC$53="Leve"),CONCATENATE("R8C",'Mapa final'!$Q$53),"")</f>
        <v/>
      </c>
      <c r="P13" s="36" t="str">
        <f>IF(AND('Mapa final'!$AA$48="Muy Alta",'Mapa final'!$AC$48="Menor"),CONCATENATE("R8C",'Mapa final'!$Q$48),"")</f>
        <v/>
      </c>
      <c r="Q13" s="37" t="str">
        <f>IF(AND('Mapa final'!$AA$49="Muy Alta",'Mapa final'!$AC$49="Menor"),CONCATENATE("R8C",'Mapa final'!$Q$49),"")</f>
        <v/>
      </c>
      <c r="R13" s="37" t="str">
        <f>IF(AND('Mapa final'!$AA$50="Muy Alta",'Mapa final'!$AC$50="Menor"),CONCATENATE("R8C",'Mapa final'!$Q$50),"")</f>
        <v/>
      </c>
      <c r="S13" s="37" t="str">
        <f>IF(AND('Mapa final'!$AA$51="Muy Alta",'Mapa final'!$AC$51="Menor"),CONCATENATE("R8C",'Mapa final'!$Q$51),"")</f>
        <v/>
      </c>
      <c r="T13" s="37" t="str">
        <f>IF(AND('Mapa final'!$AA$52="Muy Alta",'Mapa final'!$AC$52="Menor"),CONCATENATE("R8C",'Mapa final'!$Q$52),"")</f>
        <v/>
      </c>
      <c r="U13" s="38" t="str">
        <f>IF(AND('Mapa final'!$AA$53="Muy Alta",'Mapa final'!$AC$53="Menor"),CONCATENATE("R8C",'Mapa final'!$Q$53),"")</f>
        <v/>
      </c>
      <c r="V13" s="36" t="str">
        <f>IF(AND('Mapa final'!$AA$48="Muy Alta",'Mapa final'!$AC$48="Moderado"),CONCATENATE("R8C",'Mapa final'!$Q$48),"")</f>
        <v/>
      </c>
      <c r="W13" s="37" t="str">
        <f>IF(AND('Mapa final'!$AA$49="Muy Alta",'Mapa final'!$AC$49="Moderado"),CONCATENATE("R8C",'Mapa final'!$Q$49),"")</f>
        <v/>
      </c>
      <c r="X13" s="37" t="str">
        <f>IF(AND('Mapa final'!$AA$50="Muy Alta",'Mapa final'!$AC$50="Moderado"),CONCATENATE("R8C",'Mapa final'!$Q$50),"")</f>
        <v/>
      </c>
      <c r="Y13" s="37" t="str">
        <f>IF(AND('Mapa final'!$AA$51="Muy Alta",'Mapa final'!$AC$51="Moderado"),CONCATENATE("R8C",'Mapa final'!$Q$51),"")</f>
        <v/>
      </c>
      <c r="Z13" s="37" t="str">
        <f>IF(AND('Mapa final'!$AA$52="Muy Alta",'Mapa final'!$AC$52="Moderado"),CONCATENATE("R8C",'Mapa final'!$Q$52),"")</f>
        <v/>
      </c>
      <c r="AA13" s="38" t="str">
        <f>IF(AND('Mapa final'!$AA$53="Muy Alta",'Mapa final'!$AC$53="Moderado"),CONCATENATE("R8C",'Mapa final'!$Q$53),"")</f>
        <v/>
      </c>
      <c r="AB13" s="36" t="str">
        <f>IF(AND('Mapa final'!$AA$48="Muy Alta",'Mapa final'!$AC$48="Mayor"),CONCATENATE("R8C",'Mapa final'!$Q$48),"")</f>
        <v/>
      </c>
      <c r="AC13" s="37" t="str">
        <f>IF(AND('Mapa final'!$AA$49="Muy Alta",'Mapa final'!$AC$49="Mayor"),CONCATENATE("R8C",'Mapa final'!$Q$49),"")</f>
        <v/>
      </c>
      <c r="AD13" s="37" t="str">
        <f>IF(AND('Mapa final'!$AA$50="Muy Alta",'Mapa final'!$AC$50="Mayor"),CONCATENATE("R8C",'Mapa final'!$Q$50),"")</f>
        <v/>
      </c>
      <c r="AE13" s="37" t="str">
        <f>IF(AND('Mapa final'!$AA$51="Muy Alta",'Mapa final'!$AC$51="Mayor"),CONCATENATE("R8C",'Mapa final'!$Q$51),"")</f>
        <v/>
      </c>
      <c r="AF13" s="37" t="str">
        <f>IF(AND('Mapa final'!$AA$52="Muy Alta",'Mapa final'!$AC$52="Mayor"),CONCATENATE("R8C",'Mapa final'!$Q$52),"")</f>
        <v/>
      </c>
      <c r="AG13" s="38" t="str">
        <f>IF(AND('Mapa final'!$AA$53="Muy Alta",'Mapa final'!$AC$53="Mayor"),CONCATENATE("R8C",'Mapa final'!$Q$53),"")</f>
        <v/>
      </c>
      <c r="AH13" s="39" t="str">
        <f>IF(AND('Mapa final'!$AA$48="Muy Alta",'Mapa final'!$AC$48="Catastrófico"),CONCATENATE("R8C",'Mapa final'!$Q$48),"")</f>
        <v/>
      </c>
      <c r="AI13" s="40" t="str">
        <f>IF(AND('Mapa final'!$AA$49="Muy Alta",'Mapa final'!$AC$49="Catastrófico"),CONCATENATE("R8C",'Mapa final'!$Q$49),"")</f>
        <v/>
      </c>
      <c r="AJ13" s="40" t="str">
        <f>IF(AND('Mapa final'!$AA$50="Muy Alta",'Mapa final'!$AC$50="Catastrófico"),CONCATENATE("R8C",'Mapa final'!$Q$50),"")</f>
        <v/>
      </c>
      <c r="AK13" s="40" t="str">
        <f>IF(AND('Mapa final'!$AA$51="Muy Alta",'Mapa final'!$AC$51="Catastrófico"),CONCATENATE("R8C",'Mapa final'!$Q$51),"")</f>
        <v/>
      </c>
      <c r="AL13" s="40" t="str">
        <f>IF(AND('Mapa final'!$AA$52="Muy Alta",'Mapa final'!$AC$52="Catastrófico"),CONCATENATE("R8C",'Mapa final'!$Q$52),"")</f>
        <v/>
      </c>
      <c r="AM13" s="41" t="str">
        <f>IF(AND('Mapa final'!$AA$53="Muy Alta",'Mapa final'!$AC$53="Catastrófico"),CONCATENATE("R8C",'Mapa final'!$Q$53),"")</f>
        <v/>
      </c>
      <c r="AN13" s="67"/>
      <c r="AO13" s="417"/>
      <c r="AP13" s="418"/>
      <c r="AQ13" s="418"/>
      <c r="AR13" s="418"/>
      <c r="AS13" s="418"/>
      <c r="AT13" s="419"/>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row>
    <row r="14" spans="1:91" ht="15" customHeight="1" x14ac:dyDescent="0.3">
      <c r="A14" s="67"/>
      <c r="B14" s="356"/>
      <c r="C14" s="356"/>
      <c r="D14" s="357"/>
      <c r="E14" s="397"/>
      <c r="F14" s="398"/>
      <c r="G14" s="398"/>
      <c r="H14" s="398"/>
      <c r="I14" s="399"/>
      <c r="J14" s="36" t="str">
        <f>IF(AND('Mapa final'!$AA$54="Muy Alta",'Mapa final'!$AC$54="Leve"),CONCATENATE("R9C",'Mapa final'!$Q$54),"")</f>
        <v/>
      </c>
      <c r="K14" s="37" t="str">
        <f>IF(AND('Mapa final'!$AA$55="Muy Alta",'Mapa final'!$AC$55="Leve"),CONCATENATE("R9C",'Mapa final'!$Q$55),"")</f>
        <v/>
      </c>
      <c r="L14" s="37" t="str">
        <f>IF(AND('Mapa final'!$AA$56="Muy Alta",'Mapa final'!$AC$56="Leve"),CONCATENATE("R9C",'Mapa final'!$Q$56),"")</f>
        <v/>
      </c>
      <c r="M14" s="37" t="str">
        <f>IF(AND('Mapa final'!$AA$57="Muy Alta",'Mapa final'!$AC$57="Leve"),CONCATENATE("R9C",'Mapa final'!$Q$57),"")</f>
        <v/>
      </c>
      <c r="N14" s="37" t="str">
        <f>IF(AND('Mapa final'!$AA$58="Muy Alta",'Mapa final'!$AC$58="Leve"),CONCATENATE("R9C",'Mapa final'!$Q$58),"")</f>
        <v/>
      </c>
      <c r="O14" s="38" t="str">
        <f>IF(AND('Mapa final'!$AA$59="Muy Alta",'Mapa final'!$AC$59="Leve"),CONCATENATE("R9C",'Mapa final'!$Q$59),"")</f>
        <v/>
      </c>
      <c r="P14" s="36" t="str">
        <f>IF(AND('Mapa final'!$AA$54="Muy Alta",'Mapa final'!$AC$54="Menor"),CONCATENATE("R9C",'Mapa final'!$Q$54),"")</f>
        <v/>
      </c>
      <c r="Q14" s="37" t="str">
        <f>IF(AND('Mapa final'!$AA$55="Muy Alta",'Mapa final'!$AC$55="Menor"),CONCATENATE("R9C",'Mapa final'!$Q$55),"")</f>
        <v/>
      </c>
      <c r="R14" s="37" t="str">
        <f>IF(AND('Mapa final'!$AA$56="Muy Alta",'Mapa final'!$AC$56="Menor"),CONCATENATE("R9C",'Mapa final'!$Q$56),"")</f>
        <v/>
      </c>
      <c r="S14" s="37" t="str">
        <f>IF(AND('Mapa final'!$AA$57="Muy Alta",'Mapa final'!$AC$57="Menor"),CONCATENATE("R9C",'Mapa final'!$Q$57),"")</f>
        <v/>
      </c>
      <c r="T14" s="37" t="str">
        <f>IF(AND('Mapa final'!$AA$58="Muy Alta",'Mapa final'!$AC$58="Menor"),CONCATENATE("R9C",'Mapa final'!$Q$58),"")</f>
        <v/>
      </c>
      <c r="U14" s="38" t="str">
        <f>IF(AND('Mapa final'!$AA$59="Muy Alta",'Mapa final'!$AC$59="Menor"),CONCATENATE("R9C",'Mapa final'!$Q$59),"")</f>
        <v/>
      </c>
      <c r="V14" s="36" t="str">
        <f>IF(AND('Mapa final'!$AA$54="Muy Alta",'Mapa final'!$AC$54="Moderado"),CONCATENATE("R9C",'Mapa final'!$Q$54),"")</f>
        <v/>
      </c>
      <c r="W14" s="37" t="str">
        <f>IF(AND('Mapa final'!$AA$55="Muy Alta",'Mapa final'!$AC$55="Moderado"),CONCATENATE("R9C",'Mapa final'!$Q$55),"")</f>
        <v/>
      </c>
      <c r="X14" s="37" t="str">
        <f>IF(AND('Mapa final'!$AA$56="Muy Alta",'Mapa final'!$AC$56="Moderado"),CONCATENATE("R9C",'Mapa final'!$Q$56),"")</f>
        <v/>
      </c>
      <c r="Y14" s="37" t="str">
        <f>IF(AND('Mapa final'!$AA$57="Muy Alta",'Mapa final'!$AC$57="Moderado"),CONCATENATE("R9C",'Mapa final'!$Q$57),"")</f>
        <v/>
      </c>
      <c r="Z14" s="37" t="str">
        <f>IF(AND('Mapa final'!$AA$58="Muy Alta",'Mapa final'!$AC$58="Moderado"),CONCATENATE("R9C",'Mapa final'!$Q$58),"")</f>
        <v/>
      </c>
      <c r="AA14" s="38" t="str">
        <f>IF(AND('Mapa final'!$AA$59="Muy Alta",'Mapa final'!$AC$59="Moderado"),CONCATENATE("R9C",'Mapa final'!$Q$59),"")</f>
        <v/>
      </c>
      <c r="AB14" s="36" t="str">
        <f>IF(AND('Mapa final'!$AA$54="Muy Alta",'Mapa final'!$AC$54="Mayor"),CONCATENATE("R9C",'Mapa final'!$Q$54),"")</f>
        <v/>
      </c>
      <c r="AC14" s="37" t="str">
        <f>IF(AND('Mapa final'!$AA$55="Muy Alta",'Mapa final'!$AC$55="Mayor"),CONCATENATE("R9C",'Mapa final'!$Q$55),"")</f>
        <v/>
      </c>
      <c r="AD14" s="37" t="str">
        <f>IF(AND('Mapa final'!$AA$56="Muy Alta",'Mapa final'!$AC$56="Mayor"),CONCATENATE("R9C",'Mapa final'!$Q$56),"")</f>
        <v/>
      </c>
      <c r="AE14" s="37" t="str">
        <f>IF(AND('Mapa final'!$AA$57="Muy Alta",'Mapa final'!$AC$57="Mayor"),CONCATENATE("R9C",'Mapa final'!$Q$57),"")</f>
        <v/>
      </c>
      <c r="AF14" s="37" t="str">
        <f>IF(AND('Mapa final'!$AA$58="Muy Alta",'Mapa final'!$AC$58="Mayor"),CONCATENATE("R9C",'Mapa final'!$Q$58),"")</f>
        <v/>
      </c>
      <c r="AG14" s="38" t="str">
        <f>IF(AND('Mapa final'!$AA$59="Muy Alta",'Mapa final'!$AC$59="Mayor"),CONCATENATE("R9C",'Mapa final'!$Q$59),"")</f>
        <v/>
      </c>
      <c r="AH14" s="39" t="str">
        <f>IF(AND('Mapa final'!$AA$54="Muy Alta",'Mapa final'!$AC$54="Catastrófico"),CONCATENATE("R9C",'Mapa final'!$Q$54),"")</f>
        <v/>
      </c>
      <c r="AI14" s="40" t="str">
        <f>IF(AND('Mapa final'!$AA$55="Muy Alta",'Mapa final'!$AC$55="Catastrófico"),CONCATENATE("R9C",'Mapa final'!$Q$55),"")</f>
        <v/>
      </c>
      <c r="AJ14" s="40" t="str">
        <f>IF(AND('Mapa final'!$AA$56="Muy Alta",'Mapa final'!$AC$56="Catastrófico"),CONCATENATE("R9C",'Mapa final'!$Q$56),"")</f>
        <v/>
      </c>
      <c r="AK14" s="40" t="str">
        <f>IF(AND('Mapa final'!$AA$57="Muy Alta",'Mapa final'!$AC$57="Catastrófico"),CONCATENATE("R9C",'Mapa final'!$Q$57),"")</f>
        <v/>
      </c>
      <c r="AL14" s="40" t="str">
        <f>IF(AND('Mapa final'!$AA$58="Muy Alta",'Mapa final'!$AC$58="Catastrófico"),CONCATENATE("R9C",'Mapa final'!$Q$58),"")</f>
        <v/>
      </c>
      <c r="AM14" s="41" t="str">
        <f>IF(AND('Mapa final'!$AA$59="Muy Alta",'Mapa final'!$AC$59="Catastrófico"),CONCATENATE("R9C",'Mapa final'!$Q$59),"")</f>
        <v/>
      </c>
      <c r="AN14" s="67"/>
      <c r="AO14" s="417"/>
      <c r="AP14" s="418"/>
      <c r="AQ14" s="418"/>
      <c r="AR14" s="418"/>
      <c r="AS14" s="418"/>
      <c r="AT14" s="419"/>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row>
    <row r="15" spans="1:91" ht="15.75" customHeight="1" thickBot="1" x14ac:dyDescent="0.35">
      <c r="A15" s="67"/>
      <c r="B15" s="356"/>
      <c r="C15" s="356"/>
      <c r="D15" s="357"/>
      <c r="E15" s="400"/>
      <c r="F15" s="401"/>
      <c r="G15" s="401"/>
      <c r="H15" s="401"/>
      <c r="I15" s="402"/>
      <c r="J15" s="42" t="str">
        <f>IF(AND('Mapa final'!$AA$60="Muy Alta",'Mapa final'!$AC$60="Leve"),CONCATENATE("R10C",'Mapa final'!$Q$60),"")</f>
        <v/>
      </c>
      <c r="K15" s="43" t="str">
        <f>IF(AND('Mapa final'!$AA$61="Muy Alta",'Mapa final'!$AC$61="Leve"),CONCATENATE("R10C",'Mapa final'!$Q$61),"")</f>
        <v/>
      </c>
      <c r="L15" s="43" t="str">
        <f>IF(AND('Mapa final'!$AA$62="Muy Alta",'Mapa final'!$AC$62="Leve"),CONCATENATE("R10C",'Mapa final'!$Q$62),"")</f>
        <v/>
      </c>
      <c r="M15" s="43" t="str">
        <f>IF(AND('Mapa final'!$AA$63="Muy Alta",'Mapa final'!$AC$63="Leve"),CONCATENATE("R10C",'Mapa final'!$Q$63),"")</f>
        <v/>
      </c>
      <c r="N15" s="43" t="str">
        <f>IF(AND('Mapa final'!$AA$64="Muy Alta",'Mapa final'!$AC$64="Leve"),CONCATENATE("R10C",'Mapa final'!$Q$64),"")</f>
        <v/>
      </c>
      <c r="O15" s="44" t="str">
        <f>IF(AND('Mapa final'!$AA$65="Muy Alta",'Mapa final'!$AC$65="Leve"),CONCATENATE("R10C",'Mapa final'!$Q$65),"")</f>
        <v/>
      </c>
      <c r="P15" s="36" t="str">
        <f>IF(AND('Mapa final'!$AA$60="Muy Alta",'Mapa final'!$AC$60="Menor"),CONCATENATE("R10C",'Mapa final'!$Q$60),"")</f>
        <v/>
      </c>
      <c r="Q15" s="37" t="str">
        <f>IF(AND('Mapa final'!$AA$61="Muy Alta",'Mapa final'!$AC$61="Menor"),CONCATENATE("R10C",'Mapa final'!$Q$61),"")</f>
        <v/>
      </c>
      <c r="R15" s="37" t="str">
        <f>IF(AND('Mapa final'!$AA$62="Muy Alta",'Mapa final'!$AC$62="Menor"),CONCATENATE("R10C",'Mapa final'!$Q$62),"")</f>
        <v/>
      </c>
      <c r="S15" s="37" t="str">
        <f>IF(AND('Mapa final'!$AA$63="Muy Alta",'Mapa final'!$AC$63="Menor"),CONCATENATE("R10C",'Mapa final'!$Q$63),"")</f>
        <v/>
      </c>
      <c r="T15" s="37" t="str">
        <f>IF(AND('Mapa final'!$AA$64="Muy Alta",'Mapa final'!$AC$64="Menor"),CONCATENATE("R10C",'Mapa final'!$Q$64),"")</f>
        <v/>
      </c>
      <c r="U15" s="38" t="str">
        <f>IF(AND('Mapa final'!$AA$65="Muy Alta",'Mapa final'!$AC$65="Menor"),CONCATENATE("R10C",'Mapa final'!$Q$65),"")</f>
        <v/>
      </c>
      <c r="V15" s="42" t="str">
        <f>IF(AND('Mapa final'!$AA$60="Muy Alta",'Mapa final'!$AC$60="Moderado"),CONCATENATE("R10C",'Mapa final'!$Q$60),"")</f>
        <v/>
      </c>
      <c r="W15" s="43" t="str">
        <f>IF(AND('Mapa final'!$AA$61="Muy Alta",'Mapa final'!$AC$61="Moderado"),CONCATENATE("R10C",'Mapa final'!$Q$61),"")</f>
        <v/>
      </c>
      <c r="X15" s="43" t="str">
        <f>IF(AND('Mapa final'!$AA$62="Muy Alta",'Mapa final'!$AC$62="Moderado"),CONCATENATE("R10C",'Mapa final'!$Q$62),"")</f>
        <v/>
      </c>
      <c r="Y15" s="43" t="str">
        <f>IF(AND('Mapa final'!$AA$63="Muy Alta",'Mapa final'!$AC$63="Moderado"),CONCATENATE("R10C",'Mapa final'!$Q$63),"")</f>
        <v/>
      </c>
      <c r="Z15" s="43" t="str">
        <f>IF(AND('Mapa final'!$AA$64="Muy Alta",'Mapa final'!$AC$64="Moderado"),CONCATENATE("R10C",'Mapa final'!$Q$64),"")</f>
        <v/>
      </c>
      <c r="AA15" s="44" t="str">
        <f>IF(AND('Mapa final'!$AA$65="Muy Alta",'Mapa final'!$AC$65="Moderado"),CONCATENATE("R10C",'Mapa final'!$Q$65),"")</f>
        <v/>
      </c>
      <c r="AB15" s="36" t="str">
        <f>IF(AND('Mapa final'!$AA$60="Muy Alta",'Mapa final'!$AC$60="Mayor"),CONCATENATE("R10C",'Mapa final'!$Q$60),"")</f>
        <v/>
      </c>
      <c r="AC15" s="37" t="str">
        <f>IF(AND('Mapa final'!$AA$61="Muy Alta",'Mapa final'!$AC$61="Mayor"),CONCATENATE("R10C",'Mapa final'!$Q$61),"")</f>
        <v/>
      </c>
      <c r="AD15" s="37" t="str">
        <f>IF(AND('Mapa final'!$AA$62="Muy Alta",'Mapa final'!$AC$62="Mayor"),CONCATENATE("R10C",'Mapa final'!$Q$62),"")</f>
        <v/>
      </c>
      <c r="AE15" s="37" t="str">
        <f>IF(AND('Mapa final'!$AA$63="Muy Alta",'Mapa final'!$AC$63="Mayor"),CONCATENATE("R10C",'Mapa final'!$Q$63),"")</f>
        <v/>
      </c>
      <c r="AF15" s="37" t="str">
        <f>IF(AND('Mapa final'!$AA$64="Muy Alta",'Mapa final'!$AC$64="Mayor"),CONCATENATE("R10C",'Mapa final'!$Q$64),"")</f>
        <v/>
      </c>
      <c r="AG15" s="38" t="str">
        <f>IF(AND('Mapa final'!$AA$65="Muy Alta",'Mapa final'!$AC$65="Mayor"),CONCATENATE("R10C",'Mapa final'!$Q$65),"")</f>
        <v/>
      </c>
      <c r="AH15" s="45" t="str">
        <f>IF(AND('Mapa final'!$AA$60="Muy Alta",'Mapa final'!$AC$60="Catastrófico"),CONCATENATE("R10C",'Mapa final'!$Q$60),"")</f>
        <v/>
      </c>
      <c r="AI15" s="46" t="str">
        <f>IF(AND('Mapa final'!$AA$61="Muy Alta",'Mapa final'!$AC$61="Catastrófico"),CONCATENATE("R10C",'Mapa final'!$Q$61),"")</f>
        <v/>
      </c>
      <c r="AJ15" s="46" t="str">
        <f>IF(AND('Mapa final'!$AA$62="Muy Alta",'Mapa final'!$AC$62="Catastrófico"),CONCATENATE("R10C",'Mapa final'!$Q$62),"")</f>
        <v/>
      </c>
      <c r="AK15" s="46" t="str">
        <f>IF(AND('Mapa final'!$AA$63="Muy Alta",'Mapa final'!$AC$63="Catastrófico"),CONCATENATE("R10C",'Mapa final'!$Q$63),"")</f>
        <v/>
      </c>
      <c r="AL15" s="46" t="str">
        <f>IF(AND('Mapa final'!$AA$64="Muy Alta",'Mapa final'!$AC$64="Catastrófico"),CONCATENATE("R10C",'Mapa final'!$Q$64),"")</f>
        <v/>
      </c>
      <c r="AM15" s="47" t="str">
        <f>IF(AND('Mapa final'!$AA$65="Muy Alta",'Mapa final'!$AC$65="Catastrófico"),CONCATENATE("R10C",'Mapa final'!$Q$65),"")</f>
        <v/>
      </c>
      <c r="AN15" s="67"/>
      <c r="AO15" s="420"/>
      <c r="AP15" s="421"/>
      <c r="AQ15" s="421"/>
      <c r="AR15" s="421"/>
      <c r="AS15" s="421"/>
      <c r="AT15" s="422"/>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row>
    <row r="16" spans="1:91" ht="15" customHeight="1" x14ac:dyDescent="0.3">
      <c r="A16" s="67"/>
      <c r="B16" s="356"/>
      <c r="C16" s="356"/>
      <c r="D16" s="357"/>
      <c r="E16" s="394" t="s">
        <v>110</v>
      </c>
      <c r="F16" s="395"/>
      <c r="G16" s="395"/>
      <c r="H16" s="395"/>
      <c r="I16" s="395"/>
      <c r="J16" s="48" t="str">
        <f ca="1">IF(AND('Mapa final'!$AA$10="Alta",'Mapa final'!$AC$10="Leve"),CONCATENATE("R1C",'Mapa final'!$Q$10),"")</f>
        <v/>
      </c>
      <c r="K16" s="49" t="str">
        <f>IF(AND('Mapa final'!$AA$11="Alta",'Mapa final'!$AC$11="Leve"),CONCATENATE("R1C",'Mapa final'!$Q$11),"")</f>
        <v/>
      </c>
      <c r="L16" s="49" t="str">
        <f>IF(AND('Mapa final'!$AA$12="Alta",'Mapa final'!$AC$12="Leve"),CONCATENATE("R1C",'Mapa final'!$Q$12),"")</f>
        <v/>
      </c>
      <c r="M16" s="49" t="str">
        <f>IF(AND('Mapa final'!$AA$13="Alta",'Mapa final'!$AC$13="Leve"),CONCATENATE("R1C",'Mapa final'!$Q$13),"")</f>
        <v/>
      </c>
      <c r="N16" s="49" t="e">
        <f>IF(AND('Mapa final'!#REF!="Alta",'Mapa final'!#REF!="Leve"),CONCATENATE("R1C",'Mapa final'!#REF!),"")</f>
        <v>#REF!</v>
      </c>
      <c r="O16" s="50" t="e">
        <f>IF(AND('Mapa final'!#REF!="Alta",'Mapa final'!#REF!="Leve"),CONCATENATE("R1C",'Mapa final'!#REF!),"")</f>
        <v>#REF!</v>
      </c>
      <c r="P16" s="48" t="str">
        <f ca="1">IF(AND('Mapa final'!$AA$10="Alta",'Mapa final'!$AC$10="Menor"),CONCATENATE("R1C",'Mapa final'!$Q$10),"")</f>
        <v/>
      </c>
      <c r="Q16" s="49" t="str">
        <f>IF(AND('Mapa final'!$AA$11="Alta",'Mapa final'!$AC$11="Menor"),CONCATENATE("R1C",'Mapa final'!$Q$11),"")</f>
        <v/>
      </c>
      <c r="R16" s="49" t="str">
        <f>IF(AND('Mapa final'!$AA$12="Alta",'Mapa final'!$AC$12="Menor"),CONCATENATE("R1C",'Mapa final'!$Q$12),"")</f>
        <v/>
      </c>
      <c r="S16" s="49" t="str">
        <f>IF(AND('Mapa final'!$AA$13="Alta",'Mapa final'!$AC$13="Menor"),CONCATENATE("R1C",'Mapa final'!$Q$13),"")</f>
        <v/>
      </c>
      <c r="T16" s="49" t="e">
        <f>IF(AND('Mapa final'!#REF!="Alta",'Mapa final'!#REF!="Menor"),CONCATENATE("R1C",'Mapa final'!#REF!),"")</f>
        <v>#REF!</v>
      </c>
      <c r="U16" s="50" t="e">
        <f>IF(AND('Mapa final'!#REF!="Alta",'Mapa final'!#REF!="Menor"),CONCATENATE("R1C",'Mapa final'!#REF!),"")</f>
        <v>#REF!</v>
      </c>
      <c r="V16" s="30" t="str">
        <f ca="1">IF(AND('Mapa final'!$AA$10="Alta",'Mapa final'!$AC$10="Moderado"),CONCATENATE("R1C",'Mapa final'!$Q$10),"")</f>
        <v/>
      </c>
      <c r="W16" s="31" t="str">
        <f>IF(AND('Mapa final'!$AA$11="Alta",'Mapa final'!$AC$11="Moderado"),CONCATENATE("R1C",'Mapa final'!$Q$11),"")</f>
        <v/>
      </c>
      <c r="X16" s="31" t="str">
        <f>IF(AND('Mapa final'!$AA$12="Alta",'Mapa final'!$AC$12="Moderado"),CONCATENATE("R1C",'Mapa final'!$Q$12),"")</f>
        <v/>
      </c>
      <c r="Y16" s="31" t="str">
        <f>IF(AND('Mapa final'!$AA$13="Alta",'Mapa final'!$AC$13="Moderado"),CONCATENATE("R1C",'Mapa final'!$Q$13),"")</f>
        <v/>
      </c>
      <c r="Z16" s="31" t="e">
        <f>IF(AND('Mapa final'!#REF!="Alta",'Mapa final'!#REF!="Moderado"),CONCATENATE("R1C",'Mapa final'!#REF!),"")</f>
        <v>#REF!</v>
      </c>
      <c r="AA16" s="32" t="e">
        <f>IF(AND('Mapa final'!#REF!="Alta",'Mapa final'!#REF!="Moderado"),CONCATENATE("R1C",'Mapa final'!#REF!),"")</f>
        <v>#REF!</v>
      </c>
      <c r="AB16" s="30" t="str">
        <f ca="1">IF(AND('Mapa final'!$AA$10="Alta",'Mapa final'!$AC$10="Mayor"),CONCATENATE("R1C",'Mapa final'!$Q$10),"")</f>
        <v/>
      </c>
      <c r="AC16" s="31" t="str">
        <f>IF(AND('Mapa final'!$AA$11="Alta",'Mapa final'!$AC$11="Mayor"),CONCATENATE("R1C",'Mapa final'!$Q$11),"")</f>
        <v/>
      </c>
      <c r="AD16" s="31" t="str">
        <f>IF(AND('Mapa final'!$AA$12="Alta",'Mapa final'!$AC$12="Mayor"),CONCATENATE("R1C",'Mapa final'!$Q$12),"")</f>
        <v/>
      </c>
      <c r="AE16" s="31" t="str">
        <f>IF(AND('Mapa final'!$AA$13="Alta",'Mapa final'!$AC$13="Mayor"),CONCATENATE("R1C",'Mapa final'!$Q$13),"")</f>
        <v/>
      </c>
      <c r="AF16" s="31" t="e">
        <f>IF(AND('Mapa final'!#REF!="Alta",'Mapa final'!#REF!="Mayor"),CONCATENATE("R1C",'Mapa final'!#REF!),"")</f>
        <v>#REF!</v>
      </c>
      <c r="AG16" s="32" t="e">
        <f>IF(AND('Mapa final'!#REF!="Alta",'Mapa final'!#REF!="Mayor"),CONCATENATE("R1C",'Mapa final'!#REF!),"")</f>
        <v>#REF!</v>
      </c>
      <c r="AH16" s="33" t="str">
        <f ca="1">IF(AND('Mapa final'!$AA$10="Alta",'Mapa final'!$AC$10="Catastrófico"),CONCATENATE("R1C",'Mapa final'!$Q$10),"")</f>
        <v/>
      </c>
      <c r="AI16" s="34" t="str">
        <f>IF(AND('Mapa final'!$AA$11="Alta",'Mapa final'!$AC$11="Catastrófico"),CONCATENATE("R1C",'Mapa final'!$Q$11),"")</f>
        <v/>
      </c>
      <c r="AJ16" s="34" t="str">
        <f>IF(AND('Mapa final'!$AA$12="Alta",'Mapa final'!$AC$12="Catastrófico"),CONCATENATE("R1C",'Mapa final'!$Q$12),"")</f>
        <v/>
      </c>
      <c r="AK16" s="34" t="str">
        <f>IF(AND('Mapa final'!$AA$13="Alta",'Mapa final'!$AC$13="Catastrófico"),CONCATENATE("R1C",'Mapa final'!$Q$13),"")</f>
        <v/>
      </c>
      <c r="AL16" s="34" t="e">
        <f>IF(AND('Mapa final'!#REF!="Alta",'Mapa final'!#REF!="Catastrófico"),CONCATENATE("R1C",'Mapa final'!#REF!),"")</f>
        <v>#REF!</v>
      </c>
      <c r="AM16" s="35" t="e">
        <f>IF(AND('Mapa final'!#REF!="Alta",'Mapa final'!#REF!="Catastrófico"),CONCATENATE("R1C",'Mapa final'!#REF!),"")</f>
        <v>#REF!</v>
      </c>
      <c r="AN16" s="67"/>
      <c r="AO16" s="404" t="s">
        <v>79</v>
      </c>
      <c r="AP16" s="405"/>
      <c r="AQ16" s="405"/>
      <c r="AR16" s="405"/>
      <c r="AS16" s="405"/>
      <c r="AT16" s="406"/>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row>
    <row r="17" spans="1:76" ht="15" customHeight="1" x14ac:dyDescent="0.3">
      <c r="A17" s="67"/>
      <c r="B17" s="356"/>
      <c r="C17" s="356"/>
      <c r="D17" s="357"/>
      <c r="E17" s="413"/>
      <c r="F17" s="398"/>
      <c r="G17" s="398"/>
      <c r="H17" s="398"/>
      <c r="I17" s="398"/>
      <c r="J17" s="51" t="str">
        <f ca="1">IF(AND('Mapa final'!$AA$14="Alta",'Mapa final'!$AC$14="Leve"),CONCATENATE("R2C",'Mapa final'!$Q$14),"")</f>
        <v/>
      </c>
      <c r="K17" s="52" t="str">
        <f ca="1">IF(AND('Mapa final'!$AA$15="Alta",'Mapa final'!$AC$15="Leve"),CONCATENATE("R2C",'Mapa final'!$Q$15),"")</f>
        <v/>
      </c>
      <c r="L17" s="52" t="str">
        <f ca="1">IF(AND('Mapa final'!$AA$16="Alta",'Mapa final'!$AC$16="Leve"),CONCATENATE("R2C",'Mapa final'!$Q$16),"")</f>
        <v/>
      </c>
      <c r="M17" s="52" t="e">
        <f>IF(AND('Mapa final'!#REF!="Alta",'Mapa final'!#REF!="Leve"),CONCATENATE("R2C",'Mapa final'!#REF!),"")</f>
        <v>#REF!</v>
      </c>
      <c r="N17" s="52" t="e">
        <f>IF(AND('Mapa final'!#REF!="Alta",'Mapa final'!#REF!="Leve"),CONCATENATE("R2C",'Mapa final'!#REF!),"")</f>
        <v>#REF!</v>
      </c>
      <c r="O17" s="53" t="str">
        <f>IF(AND('Mapa final'!$AA$17="Alta",'Mapa final'!$AC$17="Leve"),CONCATENATE("R2C",'Mapa final'!$Q$17),"")</f>
        <v/>
      </c>
      <c r="P17" s="51" t="str">
        <f ca="1">IF(AND('Mapa final'!$AA$14="Alta",'Mapa final'!$AC$14="Menor"),CONCATENATE("R2C",'Mapa final'!$Q$14),"")</f>
        <v/>
      </c>
      <c r="Q17" s="52" t="str">
        <f ca="1">IF(AND('Mapa final'!$AA$15="Alta",'Mapa final'!$AC$15="Menor"),CONCATENATE("R2C",'Mapa final'!$Q$15),"")</f>
        <v/>
      </c>
      <c r="R17" s="52" t="str">
        <f ca="1">IF(AND('Mapa final'!$AA$16="Alta",'Mapa final'!$AC$16="Menor"),CONCATENATE("R2C",'Mapa final'!$Q$16),"")</f>
        <v/>
      </c>
      <c r="S17" s="52" t="e">
        <f>IF(AND('Mapa final'!#REF!="Alta",'Mapa final'!#REF!="Menor"),CONCATENATE("R2C",'Mapa final'!#REF!),"")</f>
        <v>#REF!</v>
      </c>
      <c r="T17" s="52" t="e">
        <f>IF(AND('Mapa final'!#REF!="Alta",'Mapa final'!#REF!="Menor"),CONCATENATE("R2C",'Mapa final'!#REF!),"")</f>
        <v>#REF!</v>
      </c>
      <c r="U17" s="53" t="str">
        <f>IF(AND('Mapa final'!$AA$17="Alta",'Mapa final'!$AC$17="Menor"),CONCATENATE("R2C",'Mapa final'!$Q$17),"")</f>
        <v/>
      </c>
      <c r="V17" s="36" t="str">
        <f ca="1">IF(AND('Mapa final'!$AA$14="Alta",'Mapa final'!$AC$14="Moderado"),CONCATENATE("R2C",'Mapa final'!$Q$14),"")</f>
        <v/>
      </c>
      <c r="W17" s="37" t="str">
        <f ca="1">IF(AND('Mapa final'!$AA$15="Alta",'Mapa final'!$AC$15="Moderado"),CONCATENATE("R2C",'Mapa final'!$Q$15),"")</f>
        <v/>
      </c>
      <c r="X17" s="37" t="str">
        <f ca="1">IF(AND('Mapa final'!$AA$16="Alta",'Mapa final'!$AC$16="Moderado"),CONCATENATE("R2C",'Mapa final'!$Q$16),"")</f>
        <v/>
      </c>
      <c r="Y17" s="37" t="e">
        <f>IF(AND('Mapa final'!#REF!="Alta",'Mapa final'!#REF!="Moderado"),CONCATENATE("R2C",'Mapa final'!#REF!),"")</f>
        <v>#REF!</v>
      </c>
      <c r="Z17" s="37" t="e">
        <f>IF(AND('Mapa final'!#REF!="Alta",'Mapa final'!#REF!="Moderado"),CONCATENATE("R2C",'Mapa final'!#REF!),"")</f>
        <v>#REF!</v>
      </c>
      <c r="AA17" s="38" t="str">
        <f>IF(AND('Mapa final'!$AA$17="Alta",'Mapa final'!$AC$17="Moderado"),CONCATENATE("R2C",'Mapa final'!$Q$17),"")</f>
        <v/>
      </c>
      <c r="AB17" s="36" t="str">
        <f ca="1">IF(AND('Mapa final'!$AA$14="Alta",'Mapa final'!$AC$14="Mayor"),CONCATENATE("R2C",'Mapa final'!$Q$14),"")</f>
        <v/>
      </c>
      <c r="AC17" s="37" t="str">
        <f ca="1">IF(AND('Mapa final'!$AA$15="Alta",'Mapa final'!$AC$15="Mayor"),CONCATENATE("R2C",'Mapa final'!$Q$15),"")</f>
        <v/>
      </c>
      <c r="AD17" s="37" t="str">
        <f ca="1">IF(AND('Mapa final'!$AA$16="Alta",'Mapa final'!$AC$16="Mayor"),CONCATENATE("R2C",'Mapa final'!$Q$16),"")</f>
        <v/>
      </c>
      <c r="AE17" s="37" t="e">
        <f>IF(AND('Mapa final'!#REF!="Alta",'Mapa final'!#REF!="Mayor"),CONCATENATE("R2C",'Mapa final'!#REF!),"")</f>
        <v>#REF!</v>
      </c>
      <c r="AF17" s="37" t="e">
        <f>IF(AND('Mapa final'!#REF!="Alta",'Mapa final'!#REF!="Mayor"),CONCATENATE("R2C",'Mapa final'!#REF!),"")</f>
        <v>#REF!</v>
      </c>
      <c r="AG17" s="38" t="str">
        <f>IF(AND('Mapa final'!$AA$17="Alta",'Mapa final'!$AC$17="Mayor"),CONCATENATE("R2C",'Mapa final'!$Q$17),"")</f>
        <v/>
      </c>
      <c r="AH17" s="39" t="str">
        <f ca="1">IF(AND('Mapa final'!$AA$14="Alta",'Mapa final'!$AC$14="Catastrófico"),CONCATENATE("R2C",'Mapa final'!$Q$14),"")</f>
        <v/>
      </c>
      <c r="AI17" s="40" t="str">
        <f ca="1">IF(AND('Mapa final'!$AA$15="Alta",'Mapa final'!$AC$15="Catastrófico"),CONCATENATE("R2C",'Mapa final'!$Q$15),"")</f>
        <v/>
      </c>
      <c r="AJ17" s="40" t="str">
        <f ca="1">IF(AND('Mapa final'!$AA$16="Alta",'Mapa final'!$AC$16="Catastrófico"),CONCATENATE("R2C",'Mapa final'!$Q$16),"")</f>
        <v/>
      </c>
      <c r="AK17" s="40" t="e">
        <f>IF(AND('Mapa final'!#REF!="Alta",'Mapa final'!#REF!="Catastrófico"),CONCATENATE("R2C",'Mapa final'!#REF!),"")</f>
        <v>#REF!</v>
      </c>
      <c r="AL17" s="40" t="e">
        <f>IF(AND('Mapa final'!#REF!="Alta",'Mapa final'!#REF!="Catastrófico"),CONCATENATE("R2C",'Mapa final'!#REF!),"")</f>
        <v>#REF!</v>
      </c>
      <c r="AM17" s="41" t="str">
        <f>IF(AND('Mapa final'!$AA$17="Alta",'Mapa final'!$AC$17="Catastrófico"),CONCATENATE("R2C",'Mapa final'!$Q$17),"")</f>
        <v/>
      </c>
      <c r="AN17" s="67"/>
      <c r="AO17" s="407"/>
      <c r="AP17" s="408"/>
      <c r="AQ17" s="408"/>
      <c r="AR17" s="408"/>
      <c r="AS17" s="408"/>
      <c r="AT17" s="409"/>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row>
    <row r="18" spans="1:76" ht="15" customHeight="1" x14ac:dyDescent="0.3">
      <c r="A18" s="67"/>
      <c r="B18" s="356"/>
      <c r="C18" s="356"/>
      <c r="D18" s="357"/>
      <c r="E18" s="397"/>
      <c r="F18" s="398"/>
      <c r="G18" s="398"/>
      <c r="H18" s="398"/>
      <c r="I18" s="398"/>
      <c r="J18" s="51" t="str">
        <f>IF(AND('Mapa final'!$AA$18="Alta",'Mapa final'!$AC$18="Leve"),CONCATENATE("R3C",'Mapa final'!$Q$18),"")</f>
        <v/>
      </c>
      <c r="K18" s="52" t="str">
        <f>IF(AND('Mapa final'!$AA$19="Alta",'Mapa final'!$AC$19="Leve"),CONCATENATE("R3C",'Mapa final'!$Q$19),"")</f>
        <v/>
      </c>
      <c r="L18" s="52" t="str">
        <f>IF(AND('Mapa final'!$AA$20="Alta",'Mapa final'!$AC$20="Leve"),CONCATENATE("R3C",'Mapa final'!$Q$20),"")</f>
        <v/>
      </c>
      <c r="M18" s="52" t="str">
        <f>IF(AND('Mapa final'!$AA$21="Alta",'Mapa final'!$AC$21="Leve"),CONCATENATE("R3C",'Mapa final'!$Q$21),"")</f>
        <v/>
      </c>
      <c r="N18" s="52" t="str">
        <f>IF(AND('Mapa final'!$AA$22="Alta",'Mapa final'!$AC$22="Leve"),CONCATENATE("R3C",'Mapa final'!$Q$22),"")</f>
        <v/>
      </c>
      <c r="O18" s="53" t="str">
        <f>IF(AND('Mapa final'!$AA$23="Alta",'Mapa final'!$AC$23="Leve"),CONCATENATE("R3C",'Mapa final'!$Q$23),"")</f>
        <v/>
      </c>
      <c r="P18" s="51" t="str">
        <f>IF(AND('Mapa final'!$AA$18="Alta",'Mapa final'!$AC$18="Menor"),CONCATENATE("R3C",'Mapa final'!$Q$18),"")</f>
        <v/>
      </c>
      <c r="Q18" s="52" t="str">
        <f>IF(AND('Mapa final'!$AA$19="Alta",'Mapa final'!$AC$19="Menor"),CONCATENATE("R3C",'Mapa final'!$Q$19),"")</f>
        <v/>
      </c>
      <c r="R18" s="52" t="str">
        <f>IF(AND('Mapa final'!$AA$20="Alta",'Mapa final'!$AC$20="Menor"),CONCATENATE("R3C",'Mapa final'!$Q$20),"")</f>
        <v/>
      </c>
      <c r="S18" s="52" t="str">
        <f>IF(AND('Mapa final'!$AA$21="Alta",'Mapa final'!$AC$21="Menor"),CONCATENATE("R3C",'Mapa final'!$Q$21),"")</f>
        <v/>
      </c>
      <c r="T18" s="52" t="str">
        <f>IF(AND('Mapa final'!$AA$22="Alta",'Mapa final'!$AC$22="Menor"),CONCATENATE("R3C",'Mapa final'!$Q$22),"")</f>
        <v/>
      </c>
      <c r="U18" s="53" t="str">
        <f>IF(AND('Mapa final'!$AA$23="Alta",'Mapa final'!$AC$23="Menor"),CONCATENATE("R3C",'Mapa final'!$Q$23),"")</f>
        <v/>
      </c>
      <c r="V18" s="36" t="str">
        <f>IF(AND('Mapa final'!$AA$18="Alta",'Mapa final'!$AC$18="Moderado"),CONCATENATE("R3C",'Mapa final'!$Q$18),"")</f>
        <v/>
      </c>
      <c r="W18" s="37" t="str">
        <f>IF(AND('Mapa final'!$AA$19="Alta",'Mapa final'!$AC$19="Moderado"),CONCATENATE("R3C",'Mapa final'!$Q$19),"")</f>
        <v/>
      </c>
      <c r="X18" s="37" t="str">
        <f>IF(AND('Mapa final'!$AA$20="Alta",'Mapa final'!$AC$20="Moderado"),CONCATENATE("R3C",'Mapa final'!$Q$20),"")</f>
        <v/>
      </c>
      <c r="Y18" s="37" t="str">
        <f>IF(AND('Mapa final'!$AA$21="Alta",'Mapa final'!$AC$21="Moderado"),CONCATENATE("R3C",'Mapa final'!$Q$21),"")</f>
        <v/>
      </c>
      <c r="Z18" s="37" t="str">
        <f>IF(AND('Mapa final'!$AA$22="Alta",'Mapa final'!$AC$22="Moderado"),CONCATENATE("R3C",'Mapa final'!$Q$22),"")</f>
        <v/>
      </c>
      <c r="AA18" s="38" t="str">
        <f>IF(AND('Mapa final'!$AA$23="Alta",'Mapa final'!$AC$23="Moderado"),CONCATENATE("R3C",'Mapa final'!$Q$23),"")</f>
        <v/>
      </c>
      <c r="AB18" s="36" t="str">
        <f>IF(AND('Mapa final'!$AA$18="Alta",'Mapa final'!$AC$18="Mayor"),CONCATENATE("R3C",'Mapa final'!$Q$18),"")</f>
        <v/>
      </c>
      <c r="AC18" s="37" t="str">
        <f>IF(AND('Mapa final'!$AA$19="Alta",'Mapa final'!$AC$19="Mayor"),CONCATENATE("R3C",'Mapa final'!$Q$19),"")</f>
        <v/>
      </c>
      <c r="AD18" s="37" t="str">
        <f>IF(AND('Mapa final'!$AA$20="Alta",'Mapa final'!$AC$20="Mayor"),CONCATENATE("R3C",'Mapa final'!$Q$20),"")</f>
        <v/>
      </c>
      <c r="AE18" s="37" t="str">
        <f>IF(AND('Mapa final'!$AA$21="Alta",'Mapa final'!$AC$21="Mayor"),CONCATENATE("R3C",'Mapa final'!$Q$21),"")</f>
        <v/>
      </c>
      <c r="AF18" s="37" t="str">
        <f>IF(AND('Mapa final'!$AA$22="Alta",'Mapa final'!$AC$22="Mayor"),CONCATENATE("R3C",'Mapa final'!$Q$22),"")</f>
        <v/>
      </c>
      <c r="AG18" s="38" t="str">
        <f>IF(AND('Mapa final'!$AA$23="Alta",'Mapa final'!$AC$23="Mayor"),CONCATENATE("R3C",'Mapa final'!$Q$23),"")</f>
        <v/>
      </c>
      <c r="AH18" s="39" t="str">
        <f>IF(AND('Mapa final'!$AA$18="Alta",'Mapa final'!$AC$18="Catastrófico"),CONCATENATE("R3C",'Mapa final'!$Q$18),"")</f>
        <v/>
      </c>
      <c r="AI18" s="40" t="str">
        <f>IF(AND('Mapa final'!$AA$19="Alta",'Mapa final'!$AC$19="Catastrófico"),CONCATENATE("R3C",'Mapa final'!$Q$19),"")</f>
        <v/>
      </c>
      <c r="AJ18" s="40" t="str">
        <f>IF(AND('Mapa final'!$AA$20="Alta",'Mapa final'!$AC$20="Catastrófico"),CONCATENATE("R3C",'Mapa final'!$Q$20),"")</f>
        <v/>
      </c>
      <c r="AK18" s="40" t="str">
        <f>IF(AND('Mapa final'!$AA$21="Alta",'Mapa final'!$AC$21="Catastrófico"),CONCATENATE("R3C",'Mapa final'!$Q$21),"")</f>
        <v/>
      </c>
      <c r="AL18" s="40" t="str">
        <f>IF(AND('Mapa final'!$AA$22="Alta",'Mapa final'!$AC$22="Catastrófico"),CONCATENATE("R3C",'Mapa final'!$Q$22),"")</f>
        <v/>
      </c>
      <c r="AM18" s="41" t="str">
        <f>IF(AND('Mapa final'!$AA$23="Alta",'Mapa final'!$AC$23="Catastrófico"),CONCATENATE("R3C",'Mapa final'!$Q$23),"")</f>
        <v/>
      </c>
      <c r="AN18" s="67"/>
      <c r="AO18" s="407"/>
      <c r="AP18" s="408"/>
      <c r="AQ18" s="408"/>
      <c r="AR18" s="408"/>
      <c r="AS18" s="408"/>
      <c r="AT18" s="409"/>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row>
    <row r="19" spans="1:76" ht="15" customHeight="1" x14ac:dyDescent="0.3">
      <c r="A19" s="67"/>
      <c r="B19" s="356"/>
      <c r="C19" s="356"/>
      <c r="D19" s="357"/>
      <c r="E19" s="397"/>
      <c r="F19" s="398"/>
      <c r="G19" s="398"/>
      <c r="H19" s="398"/>
      <c r="I19" s="398"/>
      <c r="J19" s="51" t="str">
        <f>IF(AND('Mapa final'!$AA$24="Alta",'Mapa final'!$AC$24="Leve"),CONCATENATE("R4C",'Mapa final'!$Q$24),"")</f>
        <v/>
      </c>
      <c r="K19" s="52" t="str">
        <f>IF(AND('Mapa final'!$AA$25="Alta",'Mapa final'!$AC$25="Leve"),CONCATENATE("R4C",'Mapa final'!$Q$25),"")</f>
        <v/>
      </c>
      <c r="L19" s="52" t="str">
        <f>IF(AND('Mapa final'!$AA$26="Alta",'Mapa final'!$AC$26="Leve"),CONCATENATE("R4C",'Mapa final'!$Q$26),"")</f>
        <v/>
      </c>
      <c r="M19" s="52" t="str">
        <f>IF(AND('Mapa final'!$AA$27="Alta",'Mapa final'!$AC$27="Leve"),CONCATENATE("R4C",'Mapa final'!$Q$27),"")</f>
        <v/>
      </c>
      <c r="N19" s="52" t="str">
        <f>IF(AND('Mapa final'!$AA$28="Alta",'Mapa final'!$AC$28="Leve"),CONCATENATE("R4C",'Mapa final'!$Q$28),"")</f>
        <v/>
      </c>
      <c r="O19" s="53" t="str">
        <f>IF(AND('Mapa final'!$AA$29="Alta",'Mapa final'!$AC$29="Leve"),CONCATENATE("R4C",'Mapa final'!$Q$29),"")</f>
        <v/>
      </c>
      <c r="P19" s="51" t="str">
        <f>IF(AND('Mapa final'!$AA$24="Alta",'Mapa final'!$AC$24="Menor"),CONCATENATE("R4C",'Mapa final'!$Q$24),"")</f>
        <v/>
      </c>
      <c r="Q19" s="52" t="str">
        <f>IF(AND('Mapa final'!$AA$25="Alta",'Mapa final'!$AC$25="Menor"),CONCATENATE("R4C",'Mapa final'!$Q$25),"")</f>
        <v/>
      </c>
      <c r="R19" s="52" t="str">
        <f>IF(AND('Mapa final'!$AA$26="Alta",'Mapa final'!$AC$26="Menor"),CONCATENATE("R4C",'Mapa final'!$Q$26),"")</f>
        <v/>
      </c>
      <c r="S19" s="52" t="str">
        <f>IF(AND('Mapa final'!$AA$27="Alta",'Mapa final'!$AC$27="Menor"),CONCATENATE("R4C",'Mapa final'!$Q$27),"")</f>
        <v/>
      </c>
      <c r="T19" s="52" t="str">
        <f>IF(AND('Mapa final'!$AA$28="Alta",'Mapa final'!$AC$28="Menor"),CONCATENATE("R4C",'Mapa final'!$Q$28),"")</f>
        <v/>
      </c>
      <c r="U19" s="53" t="str">
        <f>IF(AND('Mapa final'!$AA$29="Alta",'Mapa final'!$AC$29="Menor"),CONCATENATE("R4C",'Mapa final'!$Q$29),"")</f>
        <v/>
      </c>
      <c r="V19" s="36" t="str">
        <f>IF(AND('Mapa final'!$AA$24="Alta",'Mapa final'!$AC$24="Moderado"),CONCATENATE("R4C",'Mapa final'!$Q$24),"")</f>
        <v/>
      </c>
      <c r="W19" s="37" t="str">
        <f>IF(AND('Mapa final'!$AA$25="Alta",'Mapa final'!$AC$25="Moderado"),CONCATENATE("R4C",'Mapa final'!$Q$25),"")</f>
        <v/>
      </c>
      <c r="X19" s="37" t="str">
        <f>IF(AND('Mapa final'!$AA$26="Alta",'Mapa final'!$AC$26="Moderado"),CONCATENATE("R4C",'Mapa final'!$Q$26),"")</f>
        <v/>
      </c>
      <c r="Y19" s="37" t="str">
        <f>IF(AND('Mapa final'!$AA$27="Alta",'Mapa final'!$AC$27="Moderado"),CONCATENATE("R4C",'Mapa final'!$Q$27),"")</f>
        <v/>
      </c>
      <c r="Z19" s="37" t="str">
        <f>IF(AND('Mapa final'!$AA$28="Alta",'Mapa final'!$AC$28="Moderado"),CONCATENATE("R4C",'Mapa final'!$Q$28),"")</f>
        <v/>
      </c>
      <c r="AA19" s="38" t="str">
        <f>IF(AND('Mapa final'!$AA$29="Alta",'Mapa final'!$AC$29="Moderado"),CONCATENATE("R4C",'Mapa final'!$Q$29),"")</f>
        <v/>
      </c>
      <c r="AB19" s="36" t="str">
        <f>IF(AND('Mapa final'!$AA$24="Alta",'Mapa final'!$AC$24="Mayor"),CONCATENATE("R4C",'Mapa final'!$Q$24),"")</f>
        <v/>
      </c>
      <c r="AC19" s="37" t="str">
        <f>IF(AND('Mapa final'!$AA$25="Alta",'Mapa final'!$AC$25="Mayor"),CONCATENATE("R4C",'Mapa final'!$Q$25),"")</f>
        <v/>
      </c>
      <c r="AD19" s="37" t="str">
        <f>IF(AND('Mapa final'!$AA$26="Alta",'Mapa final'!$AC$26="Mayor"),CONCATENATE("R4C",'Mapa final'!$Q$26),"")</f>
        <v/>
      </c>
      <c r="AE19" s="37" t="str">
        <f>IF(AND('Mapa final'!$AA$27="Alta",'Mapa final'!$AC$27="Mayor"),CONCATENATE("R4C",'Mapa final'!$Q$27),"")</f>
        <v/>
      </c>
      <c r="AF19" s="37" t="str">
        <f>IF(AND('Mapa final'!$AA$28="Alta",'Mapa final'!$AC$28="Mayor"),CONCATENATE("R4C",'Mapa final'!$Q$28),"")</f>
        <v/>
      </c>
      <c r="AG19" s="38" t="str">
        <f>IF(AND('Mapa final'!$AA$29="Alta",'Mapa final'!$AC$29="Mayor"),CONCATENATE("R4C",'Mapa final'!$Q$29),"")</f>
        <v/>
      </c>
      <c r="AH19" s="39" t="str">
        <f>IF(AND('Mapa final'!$AA$24="Alta",'Mapa final'!$AC$24="Catastrófico"),CONCATENATE("R4C",'Mapa final'!$Q$24),"")</f>
        <v/>
      </c>
      <c r="AI19" s="40" t="str">
        <f>IF(AND('Mapa final'!$AA$25="Alta",'Mapa final'!$AC$25="Catastrófico"),CONCATENATE("R4C",'Mapa final'!$Q$25),"")</f>
        <v/>
      </c>
      <c r="AJ19" s="40" t="str">
        <f>IF(AND('Mapa final'!$AA$26="Alta",'Mapa final'!$AC$26="Catastrófico"),CONCATENATE("R4C",'Mapa final'!$Q$26),"")</f>
        <v/>
      </c>
      <c r="AK19" s="40" t="str">
        <f>IF(AND('Mapa final'!$AA$27="Alta",'Mapa final'!$AC$27="Catastrófico"),CONCATENATE("R4C",'Mapa final'!$Q$27),"")</f>
        <v/>
      </c>
      <c r="AL19" s="40" t="str">
        <f>IF(AND('Mapa final'!$AA$28="Alta",'Mapa final'!$AC$28="Catastrófico"),CONCATENATE("R4C",'Mapa final'!$Q$28),"")</f>
        <v/>
      </c>
      <c r="AM19" s="41" t="str">
        <f>IF(AND('Mapa final'!$AA$29="Alta",'Mapa final'!$AC$29="Catastrófico"),CONCATENATE("R4C",'Mapa final'!$Q$29),"")</f>
        <v/>
      </c>
      <c r="AN19" s="67"/>
      <c r="AO19" s="407"/>
      <c r="AP19" s="408"/>
      <c r="AQ19" s="408"/>
      <c r="AR19" s="408"/>
      <c r="AS19" s="408"/>
      <c r="AT19" s="409"/>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row>
    <row r="20" spans="1:76" ht="15" customHeight="1" x14ac:dyDescent="0.3">
      <c r="A20" s="67"/>
      <c r="B20" s="356"/>
      <c r="C20" s="356"/>
      <c r="D20" s="357"/>
      <c r="E20" s="397"/>
      <c r="F20" s="398"/>
      <c r="G20" s="398"/>
      <c r="H20" s="398"/>
      <c r="I20" s="398"/>
      <c r="J20" s="51" t="str">
        <f>IF(AND('Mapa final'!$AA$30="Alta",'Mapa final'!$AC$30="Leve"),CONCATENATE("R5C",'Mapa final'!$Q$30),"")</f>
        <v/>
      </c>
      <c r="K20" s="52" t="str">
        <f>IF(AND('Mapa final'!$AA$31="Alta",'Mapa final'!$AC$31="Leve"),CONCATENATE("R5C",'Mapa final'!$Q$31),"")</f>
        <v/>
      </c>
      <c r="L20" s="52" t="str">
        <f>IF(AND('Mapa final'!$AA$32="Alta",'Mapa final'!$AC$32="Leve"),CONCATENATE("R5C",'Mapa final'!$Q$32),"")</f>
        <v/>
      </c>
      <c r="M20" s="52" t="str">
        <f>IF(AND('Mapa final'!$AA$33="Alta",'Mapa final'!$AC$33="Leve"),CONCATENATE("R5C",'Mapa final'!$Q$33),"")</f>
        <v/>
      </c>
      <c r="N20" s="52" t="str">
        <f>IF(AND('Mapa final'!$AA$34="Alta",'Mapa final'!$AC$34="Leve"),CONCATENATE("R5C",'Mapa final'!$Q$34),"")</f>
        <v/>
      </c>
      <c r="O20" s="53" t="str">
        <f>IF(AND('Mapa final'!$AA$35="Alta",'Mapa final'!$AC$35="Leve"),CONCATENATE("R5C",'Mapa final'!$Q$35),"")</f>
        <v/>
      </c>
      <c r="P20" s="51" t="str">
        <f>IF(AND('Mapa final'!$AA$30="Alta",'Mapa final'!$AC$30="Menor"),CONCATENATE("R5C",'Mapa final'!$Q$30),"")</f>
        <v/>
      </c>
      <c r="Q20" s="52" t="str">
        <f>IF(AND('Mapa final'!$AA$31="Alta",'Mapa final'!$AC$31="Menor"),CONCATENATE("R5C",'Mapa final'!$Q$31),"")</f>
        <v/>
      </c>
      <c r="R20" s="52" t="str">
        <f>IF(AND('Mapa final'!$AA$32="Alta",'Mapa final'!$AC$32="Menor"),CONCATENATE("R5C",'Mapa final'!$Q$32),"")</f>
        <v/>
      </c>
      <c r="S20" s="52" t="str">
        <f>IF(AND('Mapa final'!$AA$33="Alta",'Mapa final'!$AC$33="Menor"),CONCATENATE("R5C",'Mapa final'!$Q$33),"")</f>
        <v/>
      </c>
      <c r="T20" s="52" t="str">
        <f>IF(AND('Mapa final'!$AA$34="Alta",'Mapa final'!$AC$34="Menor"),CONCATENATE("R5C",'Mapa final'!$Q$34),"")</f>
        <v/>
      </c>
      <c r="U20" s="53" t="str">
        <f>IF(AND('Mapa final'!$AA$35="Alta",'Mapa final'!$AC$35="Menor"),CONCATENATE("R5C",'Mapa final'!$Q$35),"")</f>
        <v/>
      </c>
      <c r="V20" s="36" t="str">
        <f>IF(AND('Mapa final'!$AA$30="Alta",'Mapa final'!$AC$30="Moderado"),CONCATENATE("R5C",'Mapa final'!$Q$30),"")</f>
        <v/>
      </c>
      <c r="W20" s="37" t="str">
        <f>IF(AND('Mapa final'!$AA$31="Alta",'Mapa final'!$AC$31="Moderado"),CONCATENATE("R5C",'Mapa final'!$Q$31),"")</f>
        <v/>
      </c>
      <c r="X20" s="37" t="str">
        <f>IF(AND('Mapa final'!$AA$32="Alta",'Mapa final'!$AC$32="Moderado"),CONCATENATE("R5C",'Mapa final'!$Q$32),"")</f>
        <v/>
      </c>
      <c r="Y20" s="37" t="str">
        <f>IF(AND('Mapa final'!$AA$33="Alta",'Mapa final'!$AC$33="Moderado"),CONCATENATE("R5C",'Mapa final'!$Q$33),"")</f>
        <v/>
      </c>
      <c r="Z20" s="37" t="str">
        <f>IF(AND('Mapa final'!$AA$34="Alta",'Mapa final'!$AC$34="Moderado"),CONCATENATE("R5C",'Mapa final'!$Q$34),"")</f>
        <v/>
      </c>
      <c r="AA20" s="38" t="str">
        <f>IF(AND('Mapa final'!$AA$35="Alta",'Mapa final'!$AC$35="Moderado"),CONCATENATE("R5C",'Mapa final'!$Q$35),"")</f>
        <v/>
      </c>
      <c r="AB20" s="36" t="str">
        <f>IF(AND('Mapa final'!$AA$30="Alta",'Mapa final'!$AC$30="Mayor"),CONCATENATE("R5C",'Mapa final'!$Q$30),"")</f>
        <v/>
      </c>
      <c r="AC20" s="37" t="str">
        <f>IF(AND('Mapa final'!$AA$31="Alta",'Mapa final'!$AC$31="Mayor"),CONCATENATE("R5C",'Mapa final'!$Q$31),"")</f>
        <v/>
      </c>
      <c r="AD20" s="37" t="str">
        <f>IF(AND('Mapa final'!$AA$32="Alta",'Mapa final'!$AC$32="Mayor"),CONCATENATE("R5C",'Mapa final'!$Q$32),"")</f>
        <v/>
      </c>
      <c r="AE20" s="37" t="str">
        <f>IF(AND('Mapa final'!$AA$33="Alta",'Mapa final'!$AC$33="Mayor"),CONCATENATE("R5C",'Mapa final'!$Q$33),"")</f>
        <v/>
      </c>
      <c r="AF20" s="37" t="str">
        <f>IF(AND('Mapa final'!$AA$34="Alta",'Mapa final'!$AC$34="Mayor"),CONCATENATE("R5C",'Mapa final'!$Q$34),"")</f>
        <v/>
      </c>
      <c r="AG20" s="38" t="str">
        <f>IF(AND('Mapa final'!$AA$35="Alta",'Mapa final'!$AC$35="Mayor"),CONCATENATE("R5C",'Mapa final'!$Q$35),"")</f>
        <v/>
      </c>
      <c r="AH20" s="39" t="str">
        <f>IF(AND('Mapa final'!$AA$30="Alta",'Mapa final'!$AC$30="Catastrófico"),CONCATENATE("R5C",'Mapa final'!$Q$30),"")</f>
        <v/>
      </c>
      <c r="AI20" s="40" t="str">
        <f>IF(AND('Mapa final'!$AA$31="Alta",'Mapa final'!$AC$31="Catastrófico"),CONCATENATE("R5C",'Mapa final'!$Q$31),"")</f>
        <v/>
      </c>
      <c r="AJ20" s="40" t="str">
        <f>IF(AND('Mapa final'!$AA$32="Alta",'Mapa final'!$AC$32="Catastrófico"),CONCATENATE("R5C",'Mapa final'!$Q$32),"")</f>
        <v/>
      </c>
      <c r="AK20" s="40" t="str">
        <f>IF(AND('Mapa final'!$AA$33="Alta",'Mapa final'!$AC$33="Catastrófico"),CONCATENATE("R5C",'Mapa final'!$Q$33),"")</f>
        <v/>
      </c>
      <c r="AL20" s="40" t="str">
        <f>IF(AND('Mapa final'!$AA$34="Alta",'Mapa final'!$AC$34="Catastrófico"),CONCATENATE("R5C",'Mapa final'!$Q$34),"")</f>
        <v/>
      </c>
      <c r="AM20" s="41" t="str">
        <f>IF(AND('Mapa final'!$AA$35="Alta",'Mapa final'!$AC$35="Catastrófico"),CONCATENATE("R5C",'Mapa final'!$Q$35),"")</f>
        <v/>
      </c>
      <c r="AN20" s="67"/>
      <c r="AO20" s="407"/>
      <c r="AP20" s="408"/>
      <c r="AQ20" s="408"/>
      <c r="AR20" s="408"/>
      <c r="AS20" s="408"/>
      <c r="AT20" s="409"/>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row>
    <row r="21" spans="1:76" ht="15" customHeight="1" x14ac:dyDescent="0.3">
      <c r="A21" s="67"/>
      <c r="B21" s="356"/>
      <c r="C21" s="356"/>
      <c r="D21" s="357"/>
      <c r="E21" s="397"/>
      <c r="F21" s="398"/>
      <c r="G21" s="398"/>
      <c r="H21" s="398"/>
      <c r="I21" s="398"/>
      <c r="J21" s="51" t="str">
        <f>IF(AND('Mapa final'!$AA$36="Alta",'Mapa final'!$AC$36="Leve"),CONCATENATE("R6C",'Mapa final'!$Q$36),"")</f>
        <v/>
      </c>
      <c r="K21" s="52" t="str">
        <f>IF(AND('Mapa final'!$AA$37="Alta",'Mapa final'!$AC$37="Leve"),CONCATENATE("R6C",'Mapa final'!$Q$37),"")</f>
        <v/>
      </c>
      <c r="L21" s="52" t="str">
        <f>IF(AND('Mapa final'!$AA$38="Alta",'Mapa final'!$AC$38="Leve"),CONCATENATE("R6C",'Mapa final'!$Q$38),"")</f>
        <v/>
      </c>
      <c r="M21" s="52" t="str">
        <f>IF(AND('Mapa final'!$AA$39="Alta",'Mapa final'!$AC$39="Leve"),CONCATENATE("R6C",'Mapa final'!$Q$39),"")</f>
        <v/>
      </c>
      <c r="N21" s="52" t="str">
        <f>IF(AND('Mapa final'!$AA$40="Alta",'Mapa final'!$AC$40="Leve"),CONCATENATE("R6C",'Mapa final'!$Q$40),"")</f>
        <v/>
      </c>
      <c r="O21" s="53" t="str">
        <f>IF(AND('Mapa final'!$AA$41="Alta",'Mapa final'!$AC$41="Leve"),CONCATENATE("R6C",'Mapa final'!$Q$41),"")</f>
        <v/>
      </c>
      <c r="P21" s="51" t="str">
        <f>IF(AND('Mapa final'!$AA$36="Alta",'Mapa final'!$AC$36="Menor"),CONCATENATE("R6C",'Mapa final'!$Q$36),"")</f>
        <v/>
      </c>
      <c r="Q21" s="52" t="str">
        <f>IF(AND('Mapa final'!$AA$37="Alta",'Mapa final'!$AC$37="Menor"),CONCATENATE("R6C",'Mapa final'!$Q$37),"")</f>
        <v/>
      </c>
      <c r="R21" s="52" t="str">
        <f>IF(AND('Mapa final'!$AA$38="Alta",'Mapa final'!$AC$38="Menor"),CONCATENATE("R6C",'Mapa final'!$Q$38),"")</f>
        <v/>
      </c>
      <c r="S21" s="52" t="str">
        <f>IF(AND('Mapa final'!$AA$39="Alta",'Mapa final'!$AC$39="Menor"),CONCATENATE("R6C",'Mapa final'!$Q$39),"")</f>
        <v/>
      </c>
      <c r="T21" s="52" t="str">
        <f>IF(AND('Mapa final'!$AA$40="Alta",'Mapa final'!$AC$40="Menor"),CONCATENATE("R6C",'Mapa final'!$Q$40),"")</f>
        <v/>
      </c>
      <c r="U21" s="53" t="str">
        <f>IF(AND('Mapa final'!$AA$41="Alta",'Mapa final'!$AC$41="Menor"),CONCATENATE("R6C",'Mapa final'!$Q$41),"")</f>
        <v/>
      </c>
      <c r="V21" s="36" t="str">
        <f>IF(AND('Mapa final'!$AA$36="Alta",'Mapa final'!$AC$36="Moderado"),CONCATENATE("R6C",'Mapa final'!$Q$36),"")</f>
        <v/>
      </c>
      <c r="W21" s="37" t="str">
        <f>IF(AND('Mapa final'!$AA$37="Alta",'Mapa final'!$AC$37="Moderado"),CONCATENATE("R6C",'Mapa final'!$Q$37),"")</f>
        <v/>
      </c>
      <c r="X21" s="37" t="str">
        <f>IF(AND('Mapa final'!$AA$38="Alta",'Mapa final'!$AC$38="Moderado"),CONCATENATE("R6C",'Mapa final'!$Q$38),"")</f>
        <v/>
      </c>
      <c r="Y21" s="37" t="str">
        <f>IF(AND('Mapa final'!$AA$39="Alta",'Mapa final'!$AC$39="Moderado"),CONCATENATE("R6C",'Mapa final'!$Q$39),"")</f>
        <v/>
      </c>
      <c r="Z21" s="37" t="str">
        <f>IF(AND('Mapa final'!$AA$40="Alta",'Mapa final'!$AC$40="Moderado"),CONCATENATE("R6C",'Mapa final'!$Q$40),"")</f>
        <v/>
      </c>
      <c r="AA21" s="38" t="str">
        <f>IF(AND('Mapa final'!$AA$41="Alta",'Mapa final'!$AC$41="Moderado"),CONCATENATE("R6C",'Mapa final'!$Q$41),"")</f>
        <v/>
      </c>
      <c r="AB21" s="36" t="str">
        <f>IF(AND('Mapa final'!$AA$36="Alta",'Mapa final'!$AC$36="Mayor"),CONCATENATE("R6C",'Mapa final'!$Q$36),"")</f>
        <v/>
      </c>
      <c r="AC21" s="37" t="str">
        <f>IF(AND('Mapa final'!$AA$37="Alta",'Mapa final'!$AC$37="Mayor"),CONCATENATE("R6C",'Mapa final'!$Q$37),"")</f>
        <v/>
      </c>
      <c r="AD21" s="37" t="str">
        <f>IF(AND('Mapa final'!$AA$38="Alta",'Mapa final'!$AC$38="Mayor"),CONCATENATE("R6C",'Mapa final'!$Q$38),"")</f>
        <v/>
      </c>
      <c r="AE21" s="37" t="str">
        <f>IF(AND('Mapa final'!$AA$39="Alta",'Mapa final'!$AC$39="Mayor"),CONCATENATE("R6C",'Mapa final'!$Q$39),"")</f>
        <v/>
      </c>
      <c r="AF21" s="37" t="str">
        <f>IF(AND('Mapa final'!$AA$40="Alta",'Mapa final'!$AC$40="Mayor"),CONCATENATE("R6C",'Mapa final'!$Q$40),"")</f>
        <v/>
      </c>
      <c r="AG21" s="38" t="str">
        <f>IF(AND('Mapa final'!$AA$41="Alta",'Mapa final'!$AC$41="Mayor"),CONCATENATE("R6C",'Mapa final'!$Q$41),"")</f>
        <v/>
      </c>
      <c r="AH21" s="39" t="str">
        <f>IF(AND('Mapa final'!$AA$36="Alta",'Mapa final'!$AC$36="Catastrófico"),CONCATENATE("R6C",'Mapa final'!$Q$36),"")</f>
        <v/>
      </c>
      <c r="AI21" s="40" t="str">
        <f>IF(AND('Mapa final'!$AA$37="Alta",'Mapa final'!$AC$37="Catastrófico"),CONCATENATE("R6C",'Mapa final'!$Q$37),"")</f>
        <v/>
      </c>
      <c r="AJ21" s="40" t="str">
        <f>IF(AND('Mapa final'!$AA$38="Alta",'Mapa final'!$AC$38="Catastrófico"),CONCATENATE("R6C",'Mapa final'!$Q$38),"")</f>
        <v/>
      </c>
      <c r="AK21" s="40" t="str">
        <f>IF(AND('Mapa final'!$AA$39="Alta",'Mapa final'!$AC$39="Catastrófico"),CONCATENATE("R6C",'Mapa final'!$Q$39),"")</f>
        <v/>
      </c>
      <c r="AL21" s="40" t="str">
        <f>IF(AND('Mapa final'!$AA$40="Alta",'Mapa final'!$AC$40="Catastrófico"),CONCATENATE("R6C",'Mapa final'!$Q$40),"")</f>
        <v/>
      </c>
      <c r="AM21" s="41" t="str">
        <f>IF(AND('Mapa final'!$AA$41="Alta",'Mapa final'!$AC$41="Catastrófico"),CONCATENATE("R6C",'Mapa final'!$Q$41),"")</f>
        <v/>
      </c>
      <c r="AN21" s="67"/>
      <c r="AO21" s="407"/>
      <c r="AP21" s="408"/>
      <c r="AQ21" s="408"/>
      <c r="AR21" s="408"/>
      <c r="AS21" s="408"/>
      <c r="AT21" s="409"/>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row>
    <row r="22" spans="1:76" ht="15" customHeight="1" x14ac:dyDescent="0.3">
      <c r="A22" s="67"/>
      <c r="B22" s="356"/>
      <c r="C22" s="356"/>
      <c r="D22" s="357"/>
      <c r="E22" s="397"/>
      <c r="F22" s="398"/>
      <c r="G22" s="398"/>
      <c r="H22" s="398"/>
      <c r="I22" s="398"/>
      <c r="J22" s="51" t="str">
        <f>IF(AND('Mapa final'!$AA$42="Alta",'Mapa final'!$AC$42="Leve"),CONCATENATE("R7C",'Mapa final'!$Q$42),"")</f>
        <v/>
      </c>
      <c r="K22" s="52" t="str">
        <f>IF(AND('Mapa final'!$AA$43="Alta",'Mapa final'!$AC$43="Leve"),CONCATENATE("R7C",'Mapa final'!$Q$43),"")</f>
        <v/>
      </c>
      <c r="L22" s="52" t="str">
        <f>IF(AND('Mapa final'!$AA$44="Alta",'Mapa final'!$AC$44="Leve"),CONCATENATE("R7C",'Mapa final'!$Q$44),"")</f>
        <v/>
      </c>
      <c r="M22" s="52" t="str">
        <f>IF(AND('Mapa final'!$AA$45="Alta",'Mapa final'!$AC$45="Leve"),CONCATENATE("R7C",'Mapa final'!$Q$45),"")</f>
        <v/>
      </c>
      <c r="N22" s="52" t="str">
        <f>IF(AND('Mapa final'!$AA$46="Alta",'Mapa final'!$AC$46="Leve"),CONCATENATE("R7C",'Mapa final'!$Q$46),"")</f>
        <v/>
      </c>
      <c r="O22" s="53" t="str">
        <f>IF(AND('Mapa final'!$AA$47="Alta",'Mapa final'!$AC$47="Leve"),CONCATENATE("R7C",'Mapa final'!$Q$47),"")</f>
        <v/>
      </c>
      <c r="P22" s="51" t="str">
        <f>IF(AND('Mapa final'!$AA$42="Alta",'Mapa final'!$AC$42="Menor"),CONCATENATE("R7C",'Mapa final'!$Q$42),"")</f>
        <v/>
      </c>
      <c r="Q22" s="52" t="str">
        <f>IF(AND('Mapa final'!$AA$43="Alta",'Mapa final'!$AC$43="Menor"),CONCATENATE("R7C",'Mapa final'!$Q$43),"")</f>
        <v/>
      </c>
      <c r="R22" s="52" t="str">
        <f>IF(AND('Mapa final'!$AA$44="Alta",'Mapa final'!$AC$44="Menor"),CONCATENATE("R7C",'Mapa final'!$Q$44),"")</f>
        <v/>
      </c>
      <c r="S22" s="52" t="str">
        <f>IF(AND('Mapa final'!$AA$45="Alta",'Mapa final'!$AC$45="Menor"),CONCATENATE("R7C",'Mapa final'!$Q$45),"")</f>
        <v/>
      </c>
      <c r="T22" s="52" t="str">
        <f>IF(AND('Mapa final'!$AA$46="Alta",'Mapa final'!$AC$46="Menor"),CONCATENATE("R7C",'Mapa final'!$Q$46),"")</f>
        <v/>
      </c>
      <c r="U22" s="53" t="str">
        <f>IF(AND('Mapa final'!$AA$47="Alta",'Mapa final'!$AC$47="Menor"),CONCATENATE("R7C",'Mapa final'!$Q$47),"")</f>
        <v/>
      </c>
      <c r="V22" s="36" t="str">
        <f>IF(AND('Mapa final'!$AA$42="Alta",'Mapa final'!$AC$42="Moderado"),CONCATENATE("R7C",'Mapa final'!$Q$42),"")</f>
        <v/>
      </c>
      <c r="W22" s="37" t="str">
        <f>IF(AND('Mapa final'!$AA$43="Alta",'Mapa final'!$AC$43="Moderado"),CONCATENATE("R7C",'Mapa final'!$Q$43),"")</f>
        <v/>
      </c>
      <c r="X22" s="37" t="str">
        <f>IF(AND('Mapa final'!$AA$44="Alta",'Mapa final'!$AC$44="Moderado"),CONCATENATE("R7C",'Mapa final'!$Q$44),"")</f>
        <v/>
      </c>
      <c r="Y22" s="37" t="str">
        <f>IF(AND('Mapa final'!$AA$45="Alta",'Mapa final'!$AC$45="Moderado"),CONCATENATE("R7C",'Mapa final'!$Q$45),"")</f>
        <v/>
      </c>
      <c r="Z22" s="37" t="str">
        <f>IF(AND('Mapa final'!$AA$46="Alta",'Mapa final'!$AC$46="Moderado"),CONCATENATE("R7C",'Mapa final'!$Q$46),"")</f>
        <v/>
      </c>
      <c r="AA22" s="38" t="str">
        <f>IF(AND('Mapa final'!$AA$47="Alta",'Mapa final'!$AC$47="Moderado"),CONCATENATE("R7C",'Mapa final'!$Q$47),"")</f>
        <v/>
      </c>
      <c r="AB22" s="36" t="str">
        <f>IF(AND('Mapa final'!$AA$42="Alta",'Mapa final'!$AC$42="Mayor"),CONCATENATE("R7C",'Mapa final'!$Q$42),"")</f>
        <v/>
      </c>
      <c r="AC22" s="37" t="str">
        <f>IF(AND('Mapa final'!$AA$43="Alta",'Mapa final'!$AC$43="Mayor"),CONCATENATE("R7C",'Mapa final'!$Q$43),"")</f>
        <v/>
      </c>
      <c r="AD22" s="37" t="str">
        <f>IF(AND('Mapa final'!$AA$44="Alta",'Mapa final'!$AC$44="Mayor"),CONCATENATE("R7C",'Mapa final'!$Q$44),"")</f>
        <v/>
      </c>
      <c r="AE22" s="37" t="str">
        <f>IF(AND('Mapa final'!$AA$45="Alta",'Mapa final'!$AC$45="Mayor"),CONCATENATE("R7C",'Mapa final'!$Q$45),"")</f>
        <v/>
      </c>
      <c r="AF22" s="37" t="str">
        <f>IF(AND('Mapa final'!$AA$46="Alta",'Mapa final'!$AC$46="Mayor"),CONCATENATE("R7C",'Mapa final'!$Q$46),"")</f>
        <v/>
      </c>
      <c r="AG22" s="38" t="str">
        <f>IF(AND('Mapa final'!$AA$47="Alta",'Mapa final'!$AC$47="Mayor"),CONCATENATE("R7C",'Mapa final'!$Q$47),"")</f>
        <v/>
      </c>
      <c r="AH22" s="39" t="str">
        <f>IF(AND('Mapa final'!$AA$42="Alta",'Mapa final'!$AC$42="Catastrófico"),CONCATENATE("R7C",'Mapa final'!$Q$42),"")</f>
        <v/>
      </c>
      <c r="AI22" s="40" t="str">
        <f>IF(AND('Mapa final'!$AA$43="Alta",'Mapa final'!$AC$43="Catastrófico"),CONCATENATE("R7C",'Mapa final'!$Q$43),"")</f>
        <v/>
      </c>
      <c r="AJ22" s="40" t="str">
        <f>IF(AND('Mapa final'!$AA$44="Alta",'Mapa final'!$AC$44="Catastrófico"),CONCATENATE("R7C",'Mapa final'!$Q$44),"")</f>
        <v/>
      </c>
      <c r="AK22" s="40" t="str">
        <f>IF(AND('Mapa final'!$AA$45="Alta",'Mapa final'!$AC$45="Catastrófico"),CONCATENATE("R7C",'Mapa final'!$Q$45),"")</f>
        <v/>
      </c>
      <c r="AL22" s="40" t="str">
        <f>IF(AND('Mapa final'!$AA$46="Alta",'Mapa final'!$AC$46="Catastrófico"),CONCATENATE("R7C",'Mapa final'!$Q$46),"")</f>
        <v/>
      </c>
      <c r="AM22" s="41" t="str">
        <f>IF(AND('Mapa final'!$AA$47="Alta",'Mapa final'!$AC$47="Catastrófico"),CONCATENATE("R7C",'Mapa final'!$Q$47),"")</f>
        <v/>
      </c>
      <c r="AN22" s="67"/>
      <c r="AO22" s="407"/>
      <c r="AP22" s="408"/>
      <c r="AQ22" s="408"/>
      <c r="AR22" s="408"/>
      <c r="AS22" s="408"/>
      <c r="AT22" s="409"/>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row>
    <row r="23" spans="1:76" ht="15" customHeight="1" x14ac:dyDescent="0.3">
      <c r="A23" s="67"/>
      <c r="B23" s="356"/>
      <c r="C23" s="356"/>
      <c r="D23" s="357"/>
      <c r="E23" s="397"/>
      <c r="F23" s="398"/>
      <c r="G23" s="398"/>
      <c r="H23" s="398"/>
      <c r="I23" s="398"/>
      <c r="J23" s="51" t="str">
        <f>IF(AND('Mapa final'!$AA$48="Alta",'Mapa final'!$AC$48="Leve"),CONCATENATE("R8C",'Mapa final'!$Q$48),"")</f>
        <v/>
      </c>
      <c r="K23" s="52" t="str">
        <f>IF(AND('Mapa final'!$AA$49="Alta",'Mapa final'!$AC$49="Leve"),CONCATENATE("R8C",'Mapa final'!$Q$49),"")</f>
        <v/>
      </c>
      <c r="L23" s="52" t="str">
        <f>IF(AND('Mapa final'!$AA$50="Alta",'Mapa final'!$AC$50="Leve"),CONCATENATE("R8C",'Mapa final'!$Q$50),"")</f>
        <v/>
      </c>
      <c r="M23" s="52" t="str">
        <f>IF(AND('Mapa final'!$AA$51="Alta",'Mapa final'!$AC$51="Leve"),CONCATENATE("R8C",'Mapa final'!$Q$51),"")</f>
        <v/>
      </c>
      <c r="N23" s="52" t="str">
        <f>IF(AND('Mapa final'!$AA$52="Alta",'Mapa final'!$AC$52="Leve"),CONCATENATE("R8C",'Mapa final'!$Q$52),"")</f>
        <v/>
      </c>
      <c r="O23" s="53" t="str">
        <f>IF(AND('Mapa final'!$AA$53="Alta",'Mapa final'!$AC$53="Leve"),CONCATENATE("R8C",'Mapa final'!$Q$53),"")</f>
        <v/>
      </c>
      <c r="P23" s="51" t="str">
        <f>IF(AND('Mapa final'!$AA$48="Alta",'Mapa final'!$AC$48="Menor"),CONCATENATE("R8C",'Mapa final'!$Q$48),"")</f>
        <v/>
      </c>
      <c r="Q23" s="52" t="str">
        <f>IF(AND('Mapa final'!$AA$49="Alta",'Mapa final'!$AC$49="Menor"),CONCATENATE("R8C",'Mapa final'!$Q$49),"")</f>
        <v/>
      </c>
      <c r="R23" s="52" t="str">
        <f>IF(AND('Mapa final'!$AA$50="Alta",'Mapa final'!$AC$50="Menor"),CONCATENATE("R8C",'Mapa final'!$Q$50),"")</f>
        <v/>
      </c>
      <c r="S23" s="52" t="str">
        <f>IF(AND('Mapa final'!$AA$51="Alta",'Mapa final'!$AC$51="Menor"),CONCATENATE("R8C",'Mapa final'!$Q$51),"")</f>
        <v/>
      </c>
      <c r="T23" s="52" t="str">
        <f>IF(AND('Mapa final'!$AA$52="Alta",'Mapa final'!$AC$52="Menor"),CONCATENATE("R8C",'Mapa final'!$Q$52),"")</f>
        <v/>
      </c>
      <c r="U23" s="53" t="str">
        <f>IF(AND('Mapa final'!$AA$53="Alta",'Mapa final'!$AC$53="Menor"),CONCATENATE("R8C",'Mapa final'!$Q$53),"")</f>
        <v/>
      </c>
      <c r="V23" s="36" t="str">
        <f>IF(AND('Mapa final'!$AA$48="Alta",'Mapa final'!$AC$48="Moderado"),CONCATENATE("R8C",'Mapa final'!$Q$48),"")</f>
        <v/>
      </c>
      <c r="W23" s="37" t="str">
        <f>IF(AND('Mapa final'!$AA$49="Alta",'Mapa final'!$AC$49="Moderado"),CONCATENATE("R8C",'Mapa final'!$Q$49),"")</f>
        <v/>
      </c>
      <c r="X23" s="37" t="str">
        <f>IF(AND('Mapa final'!$AA$50="Alta",'Mapa final'!$AC$50="Moderado"),CONCATENATE("R8C",'Mapa final'!$Q$50),"")</f>
        <v/>
      </c>
      <c r="Y23" s="37" t="str">
        <f>IF(AND('Mapa final'!$AA$51="Alta",'Mapa final'!$AC$51="Moderado"),CONCATENATE("R8C",'Mapa final'!$Q$51),"")</f>
        <v/>
      </c>
      <c r="Z23" s="37" t="str">
        <f>IF(AND('Mapa final'!$AA$52="Alta",'Mapa final'!$AC$52="Moderado"),CONCATENATE("R8C",'Mapa final'!$Q$52),"")</f>
        <v/>
      </c>
      <c r="AA23" s="38" t="str">
        <f>IF(AND('Mapa final'!$AA$53="Alta",'Mapa final'!$AC$53="Moderado"),CONCATENATE("R8C",'Mapa final'!$Q$53),"")</f>
        <v/>
      </c>
      <c r="AB23" s="36" t="str">
        <f>IF(AND('Mapa final'!$AA$48="Alta",'Mapa final'!$AC$48="Mayor"),CONCATENATE("R8C",'Mapa final'!$Q$48),"")</f>
        <v/>
      </c>
      <c r="AC23" s="37" t="str">
        <f>IF(AND('Mapa final'!$AA$49="Alta",'Mapa final'!$AC$49="Mayor"),CONCATENATE("R8C",'Mapa final'!$Q$49),"")</f>
        <v/>
      </c>
      <c r="AD23" s="37" t="str">
        <f>IF(AND('Mapa final'!$AA$50="Alta",'Mapa final'!$AC$50="Mayor"),CONCATENATE("R8C",'Mapa final'!$Q$50),"")</f>
        <v/>
      </c>
      <c r="AE23" s="37" t="str">
        <f>IF(AND('Mapa final'!$AA$51="Alta",'Mapa final'!$AC$51="Mayor"),CONCATENATE("R8C",'Mapa final'!$Q$51),"")</f>
        <v/>
      </c>
      <c r="AF23" s="37" t="str">
        <f>IF(AND('Mapa final'!$AA$52="Alta",'Mapa final'!$AC$52="Mayor"),CONCATENATE("R8C",'Mapa final'!$Q$52),"")</f>
        <v/>
      </c>
      <c r="AG23" s="38" t="str">
        <f>IF(AND('Mapa final'!$AA$53="Alta",'Mapa final'!$AC$53="Mayor"),CONCATENATE("R8C",'Mapa final'!$Q$53),"")</f>
        <v/>
      </c>
      <c r="AH23" s="39" t="str">
        <f>IF(AND('Mapa final'!$AA$48="Alta",'Mapa final'!$AC$48="Catastrófico"),CONCATENATE("R8C",'Mapa final'!$Q$48),"")</f>
        <v/>
      </c>
      <c r="AI23" s="40" t="str">
        <f>IF(AND('Mapa final'!$AA$49="Alta",'Mapa final'!$AC$49="Catastrófico"),CONCATENATE("R8C",'Mapa final'!$Q$49),"")</f>
        <v/>
      </c>
      <c r="AJ23" s="40" t="str">
        <f>IF(AND('Mapa final'!$AA$50="Alta",'Mapa final'!$AC$50="Catastrófico"),CONCATENATE("R8C",'Mapa final'!$Q$50),"")</f>
        <v/>
      </c>
      <c r="AK23" s="40" t="str">
        <f>IF(AND('Mapa final'!$AA$51="Alta",'Mapa final'!$AC$51="Catastrófico"),CONCATENATE("R8C",'Mapa final'!$Q$51),"")</f>
        <v/>
      </c>
      <c r="AL23" s="40" t="str">
        <f>IF(AND('Mapa final'!$AA$52="Alta",'Mapa final'!$AC$52="Catastrófico"),CONCATENATE("R8C",'Mapa final'!$Q$52),"")</f>
        <v/>
      </c>
      <c r="AM23" s="41" t="str">
        <f>IF(AND('Mapa final'!$AA$53="Alta",'Mapa final'!$AC$53="Catastrófico"),CONCATENATE("R8C",'Mapa final'!$Q$53),"")</f>
        <v/>
      </c>
      <c r="AN23" s="67"/>
      <c r="AO23" s="407"/>
      <c r="AP23" s="408"/>
      <c r="AQ23" s="408"/>
      <c r="AR23" s="408"/>
      <c r="AS23" s="408"/>
      <c r="AT23" s="409"/>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row>
    <row r="24" spans="1:76" ht="15" customHeight="1" x14ac:dyDescent="0.3">
      <c r="A24" s="67"/>
      <c r="B24" s="356"/>
      <c r="C24" s="356"/>
      <c r="D24" s="357"/>
      <c r="E24" s="397"/>
      <c r="F24" s="398"/>
      <c r="G24" s="398"/>
      <c r="H24" s="398"/>
      <c r="I24" s="398"/>
      <c r="J24" s="51" t="str">
        <f>IF(AND('Mapa final'!$AA$54="Alta",'Mapa final'!$AC$54="Leve"),CONCATENATE("R9C",'Mapa final'!$Q$54),"")</f>
        <v/>
      </c>
      <c r="K24" s="52" t="str">
        <f>IF(AND('Mapa final'!$AA$55="Alta",'Mapa final'!$AC$55="Leve"),CONCATENATE("R9C",'Mapa final'!$Q$55),"")</f>
        <v/>
      </c>
      <c r="L24" s="52" t="str">
        <f>IF(AND('Mapa final'!$AA$56="Alta",'Mapa final'!$AC$56="Leve"),CONCATENATE("R9C",'Mapa final'!$Q$56),"")</f>
        <v/>
      </c>
      <c r="M24" s="52" t="str">
        <f>IF(AND('Mapa final'!$AA$57="Alta",'Mapa final'!$AC$57="Leve"),CONCATENATE("R9C",'Mapa final'!$Q$57),"")</f>
        <v/>
      </c>
      <c r="N24" s="52" t="str">
        <f>IF(AND('Mapa final'!$AA$58="Alta",'Mapa final'!$AC$58="Leve"),CONCATENATE("R9C",'Mapa final'!$Q$58),"")</f>
        <v/>
      </c>
      <c r="O24" s="53" t="str">
        <f>IF(AND('Mapa final'!$AA$59="Alta",'Mapa final'!$AC$59="Leve"),CONCATENATE("R9C",'Mapa final'!$Q$59),"")</f>
        <v/>
      </c>
      <c r="P24" s="51" t="str">
        <f>IF(AND('Mapa final'!$AA$54="Alta",'Mapa final'!$AC$54="Menor"),CONCATENATE("R9C",'Mapa final'!$Q$54),"")</f>
        <v/>
      </c>
      <c r="Q24" s="52" t="str">
        <f>IF(AND('Mapa final'!$AA$55="Alta",'Mapa final'!$AC$55="Menor"),CONCATENATE("R9C",'Mapa final'!$Q$55),"")</f>
        <v/>
      </c>
      <c r="R24" s="52" t="str">
        <f>IF(AND('Mapa final'!$AA$56="Alta",'Mapa final'!$AC$56="Menor"),CONCATENATE("R9C",'Mapa final'!$Q$56),"")</f>
        <v/>
      </c>
      <c r="S24" s="52" t="str">
        <f>IF(AND('Mapa final'!$AA$57="Alta",'Mapa final'!$AC$57="Menor"),CONCATENATE("R9C",'Mapa final'!$Q$57),"")</f>
        <v/>
      </c>
      <c r="T24" s="52" t="str">
        <f>IF(AND('Mapa final'!$AA$58="Alta",'Mapa final'!$AC$58="Menor"),CONCATENATE("R9C",'Mapa final'!$Q$58),"")</f>
        <v/>
      </c>
      <c r="U24" s="53" t="str">
        <f>IF(AND('Mapa final'!$AA$59="Alta",'Mapa final'!$AC$59="Menor"),CONCATENATE("R9C",'Mapa final'!$Q$59),"")</f>
        <v/>
      </c>
      <c r="V24" s="36" t="str">
        <f>IF(AND('Mapa final'!$AA$54="Alta",'Mapa final'!$AC$54="Moderado"),CONCATENATE("R9C",'Mapa final'!$Q$54),"")</f>
        <v/>
      </c>
      <c r="W24" s="37" t="str">
        <f>IF(AND('Mapa final'!$AA$55="Alta",'Mapa final'!$AC$55="Moderado"),CONCATENATE("R9C",'Mapa final'!$Q$55),"")</f>
        <v/>
      </c>
      <c r="X24" s="37" t="str">
        <f>IF(AND('Mapa final'!$AA$56="Alta",'Mapa final'!$AC$56="Moderado"),CONCATENATE("R9C",'Mapa final'!$Q$56),"")</f>
        <v/>
      </c>
      <c r="Y24" s="37" t="str">
        <f>IF(AND('Mapa final'!$AA$57="Alta",'Mapa final'!$AC$57="Moderado"),CONCATENATE("R9C",'Mapa final'!$Q$57),"")</f>
        <v/>
      </c>
      <c r="Z24" s="37" t="str">
        <f>IF(AND('Mapa final'!$AA$58="Alta",'Mapa final'!$AC$58="Moderado"),CONCATENATE("R9C",'Mapa final'!$Q$58),"")</f>
        <v/>
      </c>
      <c r="AA24" s="38" t="str">
        <f>IF(AND('Mapa final'!$AA$59="Alta",'Mapa final'!$AC$59="Moderado"),CONCATENATE("R9C",'Mapa final'!$Q$59),"")</f>
        <v/>
      </c>
      <c r="AB24" s="36" t="str">
        <f>IF(AND('Mapa final'!$AA$54="Alta",'Mapa final'!$AC$54="Mayor"),CONCATENATE("R9C",'Mapa final'!$Q$54),"")</f>
        <v/>
      </c>
      <c r="AC24" s="37" t="str">
        <f>IF(AND('Mapa final'!$AA$55="Alta",'Mapa final'!$AC$55="Mayor"),CONCATENATE("R9C",'Mapa final'!$Q$55),"")</f>
        <v/>
      </c>
      <c r="AD24" s="37" t="str">
        <f>IF(AND('Mapa final'!$AA$56="Alta",'Mapa final'!$AC$56="Mayor"),CONCATENATE("R9C",'Mapa final'!$Q$56),"")</f>
        <v/>
      </c>
      <c r="AE24" s="37" t="str">
        <f>IF(AND('Mapa final'!$AA$57="Alta",'Mapa final'!$AC$57="Mayor"),CONCATENATE("R9C",'Mapa final'!$Q$57),"")</f>
        <v/>
      </c>
      <c r="AF24" s="37" t="str">
        <f>IF(AND('Mapa final'!$AA$58="Alta",'Mapa final'!$AC$58="Mayor"),CONCATENATE("R9C",'Mapa final'!$Q$58),"")</f>
        <v/>
      </c>
      <c r="AG24" s="38" t="str">
        <f>IF(AND('Mapa final'!$AA$59="Alta",'Mapa final'!$AC$59="Mayor"),CONCATENATE("R9C",'Mapa final'!$Q$59),"")</f>
        <v/>
      </c>
      <c r="AH24" s="39" t="str">
        <f>IF(AND('Mapa final'!$AA$54="Alta",'Mapa final'!$AC$54="Catastrófico"),CONCATENATE("R9C",'Mapa final'!$Q$54),"")</f>
        <v/>
      </c>
      <c r="AI24" s="40" t="str">
        <f>IF(AND('Mapa final'!$AA$55="Alta",'Mapa final'!$AC$55="Catastrófico"),CONCATENATE("R9C",'Mapa final'!$Q$55),"")</f>
        <v/>
      </c>
      <c r="AJ24" s="40" t="str">
        <f>IF(AND('Mapa final'!$AA$56="Alta",'Mapa final'!$AC$56="Catastrófico"),CONCATENATE("R9C",'Mapa final'!$Q$56),"")</f>
        <v/>
      </c>
      <c r="AK24" s="40" t="str">
        <f>IF(AND('Mapa final'!$AA$57="Alta",'Mapa final'!$AC$57="Catastrófico"),CONCATENATE("R9C",'Mapa final'!$Q$57),"")</f>
        <v/>
      </c>
      <c r="AL24" s="40" t="str">
        <f>IF(AND('Mapa final'!$AA$58="Alta",'Mapa final'!$AC$58="Catastrófico"),CONCATENATE("R9C",'Mapa final'!$Q$58),"")</f>
        <v/>
      </c>
      <c r="AM24" s="41" t="str">
        <f>IF(AND('Mapa final'!$AA$59="Alta",'Mapa final'!$AC$59="Catastrófico"),CONCATENATE("R9C",'Mapa final'!$Q$59),"")</f>
        <v/>
      </c>
      <c r="AN24" s="67"/>
      <c r="AO24" s="407"/>
      <c r="AP24" s="408"/>
      <c r="AQ24" s="408"/>
      <c r="AR24" s="408"/>
      <c r="AS24" s="408"/>
      <c r="AT24" s="409"/>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row>
    <row r="25" spans="1:76" ht="15.75" customHeight="1" thickBot="1" x14ac:dyDescent="0.35">
      <c r="A25" s="67"/>
      <c r="B25" s="356"/>
      <c r="C25" s="356"/>
      <c r="D25" s="357"/>
      <c r="E25" s="400"/>
      <c r="F25" s="401"/>
      <c r="G25" s="401"/>
      <c r="H25" s="401"/>
      <c r="I25" s="401"/>
      <c r="J25" s="54" t="str">
        <f>IF(AND('Mapa final'!$AA$60="Alta",'Mapa final'!$AC$60="Leve"),CONCATENATE("R10C",'Mapa final'!$Q$60),"")</f>
        <v/>
      </c>
      <c r="K25" s="55" t="str">
        <f>IF(AND('Mapa final'!$AA$61="Alta",'Mapa final'!$AC$61="Leve"),CONCATENATE("R10C",'Mapa final'!$Q$61),"")</f>
        <v/>
      </c>
      <c r="L25" s="55" t="str">
        <f>IF(AND('Mapa final'!$AA$62="Alta",'Mapa final'!$AC$62="Leve"),CONCATENATE("R10C",'Mapa final'!$Q$62),"")</f>
        <v/>
      </c>
      <c r="M25" s="55" t="str">
        <f>IF(AND('Mapa final'!$AA$63="Alta",'Mapa final'!$AC$63="Leve"),CONCATENATE("R10C",'Mapa final'!$Q$63),"")</f>
        <v/>
      </c>
      <c r="N25" s="55" t="str">
        <f>IF(AND('Mapa final'!$AA$64="Alta",'Mapa final'!$AC$64="Leve"),CONCATENATE("R10C",'Mapa final'!$Q$64),"")</f>
        <v/>
      </c>
      <c r="O25" s="56" t="str">
        <f>IF(AND('Mapa final'!$AA$65="Alta",'Mapa final'!$AC$65="Leve"),CONCATENATE("R10C",'Mapa final'!$Q$65),"")</f>
        <v/>
      </c>
      <c r="P25" s="54" t="str">
        <f>IF(AND('Mapa final'!$AA$60="Alta",'Mapa final'!$AC$60="Menor"),CONCATENATE("R10C",'Mapa final'!$Q$60),"")</f>
        <v/>
      </c>
      <c r="Q25" s="55" t="str">
        <f>IF(AND('Mapa final'!$AA$61="Alta",'Mapa final'!$AC$61="Menor"),CONCATENATE("R10C",'Mapa final'!$Q$61),"")</f>
        <v/>
      </c>
      <c r="R25" s="55" t="str">
        <f>IF(AND('Mapa final'!$AA$62="Alta",'Mapa final'!$AC$62="Menor"),CONCATENATE("R10C",'Mapa final'!$Q$62),"")</f>
        <v/>
      </c>
      <c r="S25" s="55" t="str">
        <f>IF(AND('Mapa final'!$AA$63="Alta",'Mapa final'!$AC$63="Menor"),CONCATENATE("R10C",'Mapa final'!$Q$63),"")</f>
        <v/>
      </c>
      <c r="T25" s="55" t="str">
        <f>IF(AND('Mapa final'!$AA$64="Alta",'Mapa final'!$AC$64="Menor"),CONCATENATE("R10C",'Mapa final'!$Q$64),"")</f>
        <v/>
      </c>
      <c r="U25" s="56" t="str">
        <f>IF(AND('Mapa final'!$AA$65="Alta",'Mapa final'!$AC$65="Menor"),CONCATENATE("R10C",'Mapa final'!$Q$65),"")</f>
        <v/>
      </c>
      <c r="V25" s="42" t="str">
        <f>IF(AND('Mapa final'!$AA$60="Alta",'Mapa final'!$AC$60="Moderado"),CONCATENATE("R10C",'Mapa final'!$Q$60),"")</f>
        <v/>
      </c>
      <c r="W25" s="43" t="str">
        <f>IF(AND('Mapa final'!$AA$61="Alta",'Mapa final'!$AC$61="Moderado"),CONCATENATE("R10C",'Mapa final'!$Q$61),"")</f>
        <v/>
      </c>
      <c r="X25" s="43" t="str">
        <f>IF(AND('Mapa final'!$AA$62="Alta",'Mapa final'!$AC$62="Moderado"),CONCATENATE("R10C",'Mapa final'!$Q$62),"")</f>
        <v/>
      </c>
      <c r="Y25" s="43" t="str">
        <f>IF(AND('Mapa final'!$AA$63="Alta",'Mapa final'!$AC$63="Moderado"),CONCATENATE("R10C",'Mapa final'!$Q$63),"")</f>
        <v/>
      </c>
      <c r="Z25" s="43" t="str">
        <f>IF(AND('Mapa final'!$AA$64="Alta",'Mapa final'!$AC$64="Moderado"),CONCATENATE("R10C",'Mapa final'!$Q$64),"")</f>
        <v/>
      </c>
      <c r="AA25" s="44" t="str">
        <f>IF(AND('Mapa final'!$AA$65="Alta",'Mapa final'!$AC$65="Moderado"),CONCATENATE("R10C",'Mapa final'!$Q$65),"")</f>
        <v/>
      </c>
      <c r="AB25" s="42" t="str">
        <f>IF(AND('Mapa final'!$AA$60="Alta",'Mapa final'!$AC$60="Mayor"),CONCATENATE("R10C",'Mapa final'!$Q$60),"")</f>
        <v/>
      </c>
      <c r="AC25" s="43" t="str">
        <f>IF(AND('Mapa final'!$AA$61="Alta",'Mapa final'!$AC$61="Mayor"),CONCATENATE("R10C",'Mapa final'!$Q$61),"")</f>
        <v/>
      </c>
      <c r="AD25" s="43" t="str">
        <f>IF(AND('Mapa final'!$AA$62="Alta",'Mapa final'!$AC$62="Mayor"),CONCATENATE("R10C",'Mapa final'!$Q$62),"")</f>
        <v/>
      </c>
      <c r="AE25" s="43" t="str">
        <f>IF(AND('Mapa final'!$AA$63="Alta",'Mapa final'!$AC$63="Mayor"),CONCATENATE("R10C",'Mapa final'!$Q$63),"")</f>
        <v/>
      </c>
      <c r="AF25" s="43" t="str">
        <f>IF(AND('Mapa final'!$AA$64="Alta",'Mapa final'!$AC$64="Mayor"),CONCATENATE("R10C",'Mapa final'!$Q$64),"")</f>
        <v/>
      </c>
      <c r="AG25" s="44" t="str">
        <f>IF(AND('Mapa final'!$AA$65="Alta",'Mapa final'!$AC$65="Mayor"),CONCATENATE("R10C",'Mapa final'!$Q$65),"")</f>
        <v/>
      </c>
      <c r="AH25" s="45" t="str">
        <f>IF(AND('Mapa final'!$AA$60="Alta",'Mapa final'!$AC$60="Catastrófico"),CONCATENATE("R10C",'Mapa final'!$Q$60),"")</f>
        <v/>
      </c>
      <c r="AI25" s="46" t="str">
        <f>IF(AND('Mapa final'!$AA$61="Alta",'Mapa final'!$AC$61="Catastrófico"),CONCATENATE("R10C",'Mapa final'!$Q$61),"")</f>
        <v/>
      </c>
      <c r="AJ25" s="46" t="str">
        <f>IF(AND('Mapa final'!$AA$62="Alta",'Mapa final'!$AC$62="Catastrófico"),CONCATENATE("R10C",'Mapa final'!$Q$62),"")</f>
        <v/>
      </c>
      <c r="AK25" s="46" t="str">
        <f>IF(AND('Mapa final'!$AA$63="Alta",'Mapa final'!$AC$63="Catastrófico"),CONCATENATE("R10C",'Mapa final'!$Q$63),"")</f>
        <v/>
      </c>
      <c r="AL25" s="46" t="str">
        <f>IF(AND('Mapa final'!$AA$64="Alta",'Mapa final'!$AC$64="Catastrófico"),CONCATENATE("R10C",'Mapa final'!$Q$64),"")</f>
        <v/>
      </c>
      <c r="AM25" s="47" t="str">
        <f>IF(AND('Mapa final'!$AA$65="Alta",'Mapa final'!$AC$65="Catastrófico"),CONCATENATE("R10C",'Mapa final'!$Q$65),"")</f>
        <v/>
      </c>
      <c r="AN25" s="67"/>
      <c r="AO25" s="410"/>
      <c r="AP25" s="411"/>
      <c r="AQ25" s="411"/>
      <c r="AR25" s="411"/>
      <c r="AS25" s="411"/>
      <c r="AT25" s="412"/>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row>
    <row r="26" spans="1:76" ht="15" customHeight="1" x14ac:dyDescent="0.3">
      <c r="A26" s="67"/>
      <c r="B26" s="356"/>
      <c r="C26" s="356"/>
      <c r="D26" s="357"/>
      <c r="E26" s="394" t="s">
        <v>112</v>
      </c>
      <c r="F26" s="395"/>
      <c r="G26" s="395"/>
      <c r="H26" s="395"/>
      <c r="I26" s="396"/>
      <c r="J26" s="48" t="str">
        <f ca="1">IF(AND('Mapa final'!$AA$10="Media",'Mapa final'!$AC$10="Leve"),CONCATENATE("R1C",'Mapa final'!$Q$10),"")</f>
        <v/>
      </c>
      <c r="K26" s="49" t="str">
        <f>IF(AND('Mapa final'!$AA$11="Media",'Mapa final'!$AC$11="Leve"),CONCATENATE("R1C",'Mapa final'!$Q$11),"")</f>
        <v/>
      </c>
      <c r="L26" s="49" t="str">
        <f>IF(AND('Mapa final'!$AA$12="Media",'Mapa final'!$AC$12="Leve"),CONCATENATE("R1C",'Mapa final'!$Q$12),"")</f>
        <v/>
      </c>
      <c r="M26" s="49" t="str">
        <f>IF(AND('Mapa final'!$AA$13="Media",'Mapa final'!$AC$13="Leve"),CONCATENATE("R1C",'Mapa final'!$Q$13),"")</f>
        <v/>
      </c>
      <c r="N26" s="49" t="e">
        <f>IF(AND('Mapa final'!#REF!="Media",'Mapa final'!#REF!="Leve"),CONCATENATE("R1C",'Mapa final'!#REF!),"")</f>
        <v>#REF!</v>
      </c>
      <c r="O26" s="50" t="e">
        <f>IF(AND('Mapa final'!#REF!="Media",'Mapa final'!#REF!="Leve"),CONCATENATE("R1C",'Mapa final'!#REF!),"")</f>
        <v>#REF!</v>
      </c>
      <c r="P26" s="48" t="str">
        <f ca="1">IF(AND('Mapa final'!$AA$10="Media",'Mapa final'!$AC$10="Menor"),CONCATENATE("R1C",'Mapa final'!$Q$10),"")</f>
        <v/>
      </c>
      <c r="Q26" s="49" t="str">
        <f>IF(AND('Mapa final'!$AA$11="Media",'Mapa final'!$AC$11="Menor"),CONCATENATE("R1C",'Mapa final'!$Q$11),"")</f>
        <v/>
      </c>
      <c r="R26" s="49" t="str">
        <f>IF(AND('Mapa final'!$AA$12="Media",'Mapa final'!$AC$12="Menor"),CONCATENATE("R1C",'Mapa final'!$Q$12),"")</f>
        <v/>
      </c>
      <c r="S26" s="49" t="str">
        <f>IF(AND('Mapa final'!$AA$13="Media",'Mapa final'!$AC$13="Menor"),CONCATENATE("R1C",'Mapa final'!$Q$13),"")</f>
        <v/>
      </c>
      <c r="T26" s="49" t="e">
        <f>IF(AND('Mapa final'!#REF!="Media",'Mapa final'!#REF!="Menor"),CONCATENATE("R1C",'Mapa final'!#REF!),"")</f>
        <v>#REF!</v>
      </c>
      <c r="U26" s="50" t="e">
        <f>IF(AND('Mapa final'!#REF!="Media",'Mapa final'!#REF!="Menor"),CONCATENATE("R1C",'Mapa final'!#REF!),"")</f>
        <v>#REF!</v>
      </c>
      <c r="V26" s="48" t="str">
        <f ca="1">IF(AND('Mapa final'!$AA$10="Media",'Mapa final'!$AC$10="Moderado"),CONCATENATE("R1C",'Mapa final'!$Q$10),"")</f>
        <v/>
      </c>
      <c r="W26" s="49" t="str">
        <f>IF(AND('Mapa final'!$AA$11="Media",'Mapa final'!$AC$11="Moderado"),CONCATENATE("R1C",'Mapa final'!$Q$11),"")</f>
        <v/>
      </c>
      <c r="X26" s="49" t="str">
        <f>IF(AND('Mapa final'!$AA$12="Media",'Mapa final'!$AC$12="Moderado"),CONCATENATE("R1C",'Mapa final'!$Q$12),"")</f>
        <v/>
      </c>
      <c r="Y26" s="49" t="str">
        <f>IF(AND('Mapa final'!$AA$13="Media",'Mapa final'!$AC$13="Moderado"),CONCATENATE("R1C",'Mapa final'!$Q$13),"")</f>
        <v/>
      </c>
      <c r="Z26" s="49" t="e">
        <f>IF(AND('Mapa final'!#REF!="Media",'Mapa final'!#REF!="Moderado"),CONCATENATE("R1C",'Mapa final'!#REF!),"")</f>
        <v>#REF!</v>
      </c>
      <c r="AA26" s="50" t="e">
        <f>IF(AND('Mapa final'!#REF!="Media",'Mapa final'!#REF!="Moderado"),CONCATENATE("R1C",'Mapa final'!#REF!),"")</f>
        <v>#REF!</v>
      </c>
      <c r="AB26" s="30" t="str">
        <f ca="1">IF(AND('Mapa final'!$AA$10="Media",'Mapa final'!$AC$10="Mayor"),CONCATENATE("R1C",'Mapa final'!$Q$10),"")</f>
        <v/>
      </c>
      <c r="AC26" s="31" t="str">
        <f>IF(AND('Mapa final'!$AA$11="Media",'Mapa final'!$AC$11="Mayor"),CONCATENATE("R1C",'Mapa final'!$Q$11),"")</f>
        <v/>
      </c>
      <c r="AD26" s="31" t="str">
        <f>IF(AND('Mapa final'!$AA$12="Media",'Mapa final'!$AC$12="Mayor"),CONCATENATE("R1C",'Mapa final'!$Q$12),"")</f>
        <v/>
      </c>
      <c r="AE26" s="31" t="str">
        <f>IF(AND('Mapa final'!$AA$13="Media",'Mapa final'!$AC$13="Mayor"),CONCATENATE("R1C",'Mapa final'!$Q$13),"")</f>
        <v/>
      </c>
      <c r="AF26" s="31" t="e">
        <f>IF(AND('Mapa final'!#REF!="Media",'Mapa final'!#REF!="Mayor"),CONCATENATE("R1C",'Mapa final'!#REF!),"")</f>
        <v>#REF!</v>
      </c>
      <c r="AG26" s="32" t="e">
        <f>IF(AND('Mapa final'!#REF!="Media",'Mapa final'!#REF!="Mayor"),CONCATENATE("R1C",'Mapa final'!#REF!),"")</f>
        <v>#REF!</v>
      </c>
      <c r="AH26" s="33" t="str">
        <f ca="1">IF(AND('Mapa final'!$AA$10="Media",'Mapa final'!$AC$10="Catastrófico"),CONCATENATE("R1C",'Mapa final'!$Q$10),"")</f>
        <v/>
      </c>
      <c r="AI26" s="34" t="str">
        <f>IF(AND('Mapa final'!$AA$11="Media",'Mapa final'!$AC$11="Catastrófico"),CONCATENATE("R1C",'Mapa final'!$Q$11),"")</f>
        <v/>
      </c>
      <c r="AJ26" s="34" t="str">
        <f>IF(AND('Mapa final'!$AA$12="Media",'Mapa final'!$AC$12="Catastrófico"),CONCATENATE("R1C",'Mapa final'!$Q$12),"")</f>
        <v/>
      </c>
      <c r="AK26" s="34" t="str">
        <f>IF(AND('Mapa final'!$AA$13="Media",'Mapa final'!$AC$13="Catastrófico"),CONCATENATE("R1C",'Mapa final'!$Q$13),"")</f>
        <v/>
      </c>
      <c r="AL26" s="34" t="e">
        <f>IF(AND('Mapa final'!#REF!="Media",'Mapa final'!#REF!="Catastrófico"),CONCATENATE("R1C",'Mapa final'!#REF!),"")</f>
        <v>#REF!</v>
      </c>
      <c r="AM26" s="35" t="e">
        <f>IF(AND('Mapa final'!#REF!="Media",'Mapa final'!#REF!="Catastrófico"),CONCATENATE("R1C",'Mapa final'!#REF!),"")</f>
        <v>#REF!</v>
      </c>
      <c r="AN26" s="67"/>
      <c r="AO26" s="434" t="s">
        <v>80</v>
      </c>
      <c r="AP26" s="435"/>
      <c r="AQ26" s="435"/>
      <c r="AR26" s="435"/>
      <c r="AS26" s="435"/>
      <c r="AT26" s="436"/>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row>
    <row r="27" spans="1:76" ht="15" customHeight="1" x14ac:dyDescent="0.3">
      <c r="A27" s="67"/>
      <c r="B27" s="356"/>
      <c r="C27" s="356"/>
      <c r="D27" s="357"/>
      <c r="E27" s="413"/>
      <c r="F27" s="398"/>
      <c r="G27" s="398"/>
      <c r="H27" s="398"/>
      <c r="I27" s="399"/>
      <c r="J27" s="51" t="str">
        <f ca="1">IF(AND('Mapa final'!$AA$14="Media",'Mapa final'!$AC$14="Leve"),CONCATENATE("R2C",'Mapa final'!$Q$14),"")</f>
        <v/>
      </c>
      <c r="K27" s="52" t="str">
        <f ca="1">IF(AND('Mapa final'!$AA$15="Media",'Mapa final'!$AC$15="Leve"),CONCATENATE("R2C",'Mapa final'!$Q$15),"")</f>
        <v/>
      </c>
      <c r="L27" s="52" t="str">
        <f ca="1">IF(AND('Mapa final'!$AA$16="Media",'Mapa final'!$AC$16="Leve"),CONCATENATE("R2C",'Mapa final'!$Q$16),"")</f>
        <v/>
      </c>
      <c r="M27" s="52" t="e">
        <f>IF(AND('Mapa final'!#REF!="Media",'Mapa final'!#REF!="Leve"),CONCATENATE("R2C",'Mapa final'!#REF!),"")</f>
        <v>#REF!</v>
      </c>
      <c r="N27" s="52" t="e">
        <f>IF(AND('Mapa final'!#REF!="Media",'Mapa final'!#REF!="Leve"),CONCATENATE("R2C",'Mapa final'!#REF!),"")</f>
        <v>#REF!</v>
      </c>
      <c r="O27" s="53" t="str">
        <f>IF(AND('Mapa final'!$AA$17="Media",'Mapa final'!$AC$17="Leve"),CONCATENATE("R2C",'Mapa final'!$Q$17),"")</f>
        <v/>
      </c>
      <c r="P27" s="51" t="str">
        <f ca="1">IF(AND('Mapa final'!$AA$14="Media",'Mapa final'!$AC$14="Menor"),CONCATENATE("R2C",'Mapa final'!$Q$14),"")</f>
        <v/>
      </c>
      <c r="Q27" s="52" t="str">
        <f ca="1">IF(AND('Mapa final'!$AA$15="Media",'Mapa final'!$AC$15="Menor"),CONCATENATE("R2C",'Mapa final'!$Q$15),"")</f>
        <v/>
      </c>
      <c r="R27" s="52" t="str">
        <f ca="1">IF(AND('Mapa final'!$AA$16="Media",'Mapa final'!$AC$16="Menor"),CONCATENATE("R2C",'Mapa final'!$Q$16),"")</f>
        <v/>
      </c>
      <c r="S27" s="52" t="e">
        <f>IF(AND('Mapa final'!#REF!="Media",'Mapa final'!#REF!="Menor"),CONCATENATE("R2C",'Mapa final'!#REF!),"")</f>
        <v>#REF!</v>
      </c>
      <c r="T27" s="52" t="e">
        <f>IF(AND('Mapa final'!#REF!="Media",'Mapa final'!#REF!="Menor"),CONCATENATE("R2C",'Mapa final'!#REF!),"")</f>
        <v>#REF!</v>
      </c>
      <c r="U27" s="53" t="str">
        <f>IF(AND('Mapa final'!$AA$17="Media",'Mapa final'!$AC$17="Menor"),CONCATENATE("R2C",'Mapa final'!$Q$17),"")</f>
        <v/>
      </c>
      <c r="V27" s="51" t="str">
        <f ca="1">IF(AND('Mapa final'!$AA$14="Media",'Mapa final'!$AC$14="Moderado"),CONCATENATE("R2C",'Mapa final'!$Q$14),"")</f>
        <v/>
      </c>
      <c r="W27" s="52" t="str">
        <f ca="1">IF(AND('Mapa final'!$AA$15="Media",'Mapa final'!$AC$15="Moderado"),CONCATENATE("R2C",'Mapa final'!$Q$15),"")</f>
        <v/>
      </c>
      <c r="X27" s="52" t="str">
        <f ca="1">IF(AND('Mapa final'!$AA$16="Media",'Mapa final'!$AC$16="Moderado"),CONCATENATE("R2C",'Mapa final'!$Q$16),"")</f>
        <v/>
      </c>
      <c r="Y27" s="52" t="e">
        <f>IF(AND('Mapa final'!#REF!="Media",'Mapa final'!#REF!="Moderado"),CONCATENATE("R2C",'Mapa final'!#REF!),"")</f>
        <v>#REF!</v>
      </c>
      <c r="Z27" s="52" t="e">
        <f>IF(AND('Mapa final'!#REF!="Media",'Mapa final'!#REF!="Moderado"),CONCATENATE("R2C",'Mapa final'!#REF!),"")</f>
        <v>#REF!</v>
      </c>
      <c r="AA27" s="53" t="str">
        <f>IF(AND('Mapa final'!$AA$17="Media",'Mapa final'!$AC$17="Moderado"),CONCATENATE("R2C",'Mapa final'!$Q$17),"")</f>
        <v/>
      </c>
      <c r="AB27" s="36" t="str">
        <f ca="1">IF(AND('Mapa final'!$AA$14="Media",'Mapa final'!$AC$14="Mayor"),CONCATENATE("R2C",'Mapa final'!$Q$14),"")</f>
        <v/>
      </c>
      <c r="AC27" s="37" t="str">
        <f ca="1">IF(AND('Mapa final'!$AA$15="Media",'Mapa final'!$AC$15="Mayor"),CONCATENATE("R2C",'Mapa final'!$Q$15),"")</f>
        <v/>
      </c>
      <c r="AD27" s="37" t="str">
        <f ca="1">IF(AND('Mapa final'!$AA$16="Media",'Mapa final'!$AC$16="Mayor"),CONCATENATE("R2C",'Mapa final'!$Q$16),"")</f>
        <v/>
      </c>
      <c r="AE27" s="37" t="e">
        <f>IF(AND('Mapa final'!#REF!="Media",'Mapa final'!#REF!="Mayor"),CONCATENATE("R2C",'Mapa final'!#REF!),"")</f>
        <v>#REF!</v>
      </c>
      <c r="AF27" s="37" t="e">
        <f>IF(AND('Mapa final'!#REF!="Media",'Mapa final'!#REF!="Mayor"),CONCATENATE("R2C",'Mapa final'!#REF!),"")</f>
        <v>#REF!</v>
      </c>
      <c r="AG27" s="38" t="str">
        <f>IF(AND('Mapa final'!$AA$17="Media",'Mapa final'!$AC$17="Mayor"),CONCATENATE("R2C",'Mapa final'!$Q$17),"")</f>
        <v/>
      </c>
      <c r="AH27" s="39" t="str">
        <f ca="1">IF(AND('Mapa final'!$AA$14="Media",'Mapa final'!$AC$14="Catastrófico"),CONCATENATE("R2C",'Mapa final'!$Q$14),"")</f>
        <v/>
      </c>
      <c r="AI27" s="40" t="str">
        <f ca="1">IF(AND('Mapa final'!$AA$15="Media",'Mapa final'!$AC$15="Catastrófico"),CONCATENATE("R2C",'Mapa final'!$Q$15),"")</f>
        <v/>
      </c>
      <c r="AJ27" s="40" t="str">
        <f ca="1">IF(AND('Mapa final'!$AA$16="Media",'Mapa final'!$AC$16="Catastrófico"),CONCATENATE("R2C",'Mapa final'!$Q$16),"")</f>
        <v/>
      </c>
      <c r="AK27" s="40" t="e">
        <f>IF(AND('Mapa final'!#REF!="Media",'Mapa final'!#REF!="Catastrófico"),CONCATENATE("R2C",'Mapa final'!#REF!),"")</f>
        <v>#REF!</v>
      </c>
      <c r="AL27" s="40" t="e">
        <f>IF(AND('Mapa final'!#REF!="Media",'Mapa final'!#REF!="Catastrófico"),CONCATENATE("R2C",'Mapa final'!#REF!),"")</f>
        <v>#REF!</v>
      </c>
      <c r="AM27" s="41" t="str">
        <f>IF(AND('Mapa final'!$AA$17="Media",'Mapa final'!$AC$17="Catastrófico"),CONCATENATE("R2C",'Mapa final'!$Q$17),"")</f>
        <v/>
      </c>
      <c r="AN27" s="67"/>
      <c r="AO27" s="437"/>
      <c r="AP27" s="438"/>
      <c r="AQ27" s="438"/>
      <c r="AR27" s="438"/>
      <c r="AS27" s="438"/>
      <c r="AT27" s="439"/>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row>
    <row r="28" spans="1:76" ht="15" customHeight="1" x14ac:dyDescent="0.3">
      <c r="A28" s="67"/>
      <c r="B28" s="356"/>
      <c r="C28" s="356"/>
      <c r="D28" s="357"/>
      <c r="E28" s="397"/>
      <c r="F28" s="398"/>
      <c r="G28" s="398"/>
      <c r="H28" s="398"/>
      <c r="I28" s="399"/>
      <c r="J28" s="51" t="str">
        <f>IF(AND('Mapa final'!$AA$18="Media",'Mapa final'!$AC$18="Leve"),CONCATENATE("R3C",'Mapa final'!$Q$18),"")</f>
        <v/>
      </c>
      <c r="K28" s="52" t="str">
        <f>IF(AND('Mapa final'!$AA$19="Media",'Mapa final'!$AC$19="Leve"),CONCATENATE("R3C",'Mapa final'!$Q$19),"")</f>
        <v/>
      </c>
      <c r="L28" s="52" t="str">
        <f>IF(AND('Mapa final'!$AA$20="Media",'Mapa final'!$AC$20="Leve"),CONCATENATE("R3C",'Mapa final'!$Q$20),"")</f>
        <v/>
      </c>
      <c r="M28" s="52" t="str">
        <f>IF(AND('Mapa final'!$AA$21="Media",'Mapa final'!$AC$21="Leve"),CONCATENATE("R3C",'Mapa final'!$Q$21),"")</f>
        <v/>
      </c>
      <c r="N28" s="52" t="str">
        <f>IF(AND('Mapa final'!$AA$22="Media",'Mapa final'!$AC$22="Leve"),CONCATENATE("R3C",'Mapa final'!$Q$22),"")</f>
        <v/>
      </c>
      <c r="O28" s="53" t="str">
        <f>IF(AND('Mapa final'!$AA$23="Media",'Mapa final'!$AC$23="Leve"),CONCATENATE("R3C",'Mapa final'!$Q$23),"")</f>
        <v/>
      </c>
      <c r="P28" s="51" t="str">
        <f>IF(AND('Mapa final'!$AA$18="Media",'Mapa final'!$AC$18="Menor"),CONCATENATE("R3C",'Mapa final'!$Q$18),"")</f>
        <v/>
      </c>
      <c r="Q28" s="52" t="str">
        <f>IF(AND('Mapa final'!$AA$19="Media",'Mapa final'!$AC$19="Menor"),CONCATENATE("R3C",'Mapa final'!$Q$19),"")</f>
        <v/>
      </c>
      <c r="R28" s="52" t="str">
        <f>IF(AND('Mapa final'!$AA$20="Media",'Mapa final'!$AC$20="Menor"),CONCATENATE("R3C",'Mapa final'!$Q$20),"")</f>
        <v/>
      </c>
      <c r="S28" s="52" t="str">
        <f>IF(AND('Mapa final'!$AA$21="Media",'Mapa final'!$AC$21="Menor"),CONCATENATE("R3C",'Mapa final'!$Q$21),"")</f>
        <v/>
      </c>
      <c r="T28" s="52" t="str">
        <f>IF(AND('Mapa final'!$AA$22="Media",'Mapa final'!$AC$22="Menor"),CONCATENATE("R3C",'Mapa final'!$Q$22),"")</f>
        <v/>
      </c>
      <c r="U28" s="53" t="str">
        <f>IF(AND('Mapa final'!$AA$23="Media",'Mapa final'!$AC$23="Menor"),CONCATENATE("R3C",'Mapa final'!$Q$23),"")</f>
        <v/>
      </c>
      <c r="V28" s="51" t="str">
        <f>IF(AND('Mapa final'!$AA$18="Media",'Mapa final'!$AC$18="Moderado"),CONCATENATE("R3C",'Mapa final'!$Q$18),"")</f>
        <v/>
      </c>
      <c r="W28" s="52" t="str">
        <f>IF(AND('Mapa final'!$AA$19="Media",'Mapa final'!$AC$19="Moderado"),CONCATENATE("R3C",'Mapa final'!$Q$19),"")</f>
        <v/>
      </c>
      <c r="X28" s="52" t="str">
        <f>IF(AND('Mapa final'!$AA$20="Media",'Mapa final'!$AC$20="Moderado"),CONCATENATE("R3C",'Mapa final'!$Q$20),"")</f>
        <v/>
      </c>
      <c r="Y28" s="52" t="str">
        <f>IF(AND('Mapa final'!$AA$21="Media",'Mapa final'!$AC$21="Moderado"),CONCATENATE("R3C",'Mapa final'!$Q$21),"")</f>
        <v/>
      </c>
      <c r="Z28" s="52" t="str">
        <f>IF(AND('Mapa final'!$AA$22="Media",'Mapa final'!$AC$22="Moderado"),CONCATENATE("R3C",'Mapa final'!$Q$22),"")</f>
        <v/>
      </c>
      <c r="AA28" s="53" t="str">
        <f>IF(AND('Mapa final'!$AA$23="Media",'Mapa final'!$AC$23="Moderado"),CONCATENATE("R3C",'Mapa final'!$Q$23),"")</f>
        <v/>
      </c>
      <c r="AB28" s="36" t="str">
        <f>IF(AND('Mapa final'!$AA$18="Media",'Mapa final'!$AC$18="Mayor"),CONCATENATE("R3C",'Mapa final'!$Q$18),"")</f>
        <v/>
      </c>
      <c r="AC28" s="37" t="str">
        <f>IF(AND('Mapa final'!$AA$19="Media",'Mapa final'!$AC$19="Mayor"),CONCATENATE("R3C",'Mapa final'!$Q$19),"")</f>
        <v/>
      </c>
      <c r="AD28" s="37" t="str">
        <f>IF(AND('Mapa final'!$AA$20="Media",'Mapa final'!$AC$20="Mayor"),CONCATENATE("R3C",'Mapa final'!$Q$20),"")</f>
        <v/>
      </c>
      <c r="AE28" s="37" t="str">
        <f>IF(AND('Mapa final'!$AA$21="Media",'Mapa final'!$AC$21="Mayor"),CONCATENATE("R3C",'Mapa final'!$Q$21),"")</f>
        <v/>
      </c>
      <c r="AF28" s="37" t="str">
        <f>IF(AND('Mapa final'!$AA$22="Media",'Mapa final'!$AC$22="Mayor"),CONCATENATE("R3C",'Mapa final'!$Q$22),"")</f>
        <v/>
      </c>
      <c r="AG28" s="38" t="str">
        <f>IF(AND('Mapa final'!$AA$23="Media",'Mapa final'!$AC$23="Mayor"),CONCATENATE("R3C",'Mapa final'!$Q$23),"")</f>
        <v/>
      </c>
      <c r="AH28" s="39" t="str">
        <f>IF(AND('Mapa final'!$AA$18="Media",'Mapa final'!$AC$18="Catastrófico"),CONCATENATE("R3C",'Mapa final'!$Q$18),"")</f>
        <v/>
      </c>
      <c r="AI28" s="40" t="str">
        <f>IF(AND('Mapa final'!$AA$19="Media",'Mapa final'!$AC$19="Catastrófico"),CONCATENATE("R3C",'Mapa final'!$Q$19),"")</f>
        <v/>
      </c>
      <c r="AJ28" s="40" t="str">
        <f>IF(AND('Mapa final'!$AA$20="Media",'Mapa final'!$AC$20="Catastrófico"),CONCATENATE("R3C",'Mapa final'!$Q$20),"")</f>
        <v/>
      </c>
      <c r="AK28" s="40" t="str">
        <f>IF(AND('Mapa final'!$AA$21="Media",'Mapa final'!$AC$21="Catastrófico"),CONCATENATE("R3C",'Mapa final'!$Q$21),"")</f>
        <v/>
      </c>
      <c r="AL28" s="40" t="str">
        <f>IF(AND('Mapa final'!$AA$22="Media",'Mapa final'!$AC$22="Catastrófico"),CONCATENATE("R3C",'Mapa final'!$Q$22),"")</f>
        <v/>
      </c>
      <c r="AM28" s="41" t="str">
        <f>IF(AND('Mapa final'!$AA$23="Media",'Mapa final'!$AC$23="Catastrófico"),CONCATENATE("R3C",'Mapa final'!$Q$23),"")</f>
        <v/>
      </c>
      <c r="AN28" s="67"/>
      <c r="AO28" s="437"/>
      <c r="AP28" s="438"/>
      <c r="AQ28" s="438"/>
      <c r="AR28" s="438"/>
      <c r="AS28" s="438"/>
      <c r="AT28" s="439"/>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row>
    <row r="29" spans="1:76" ht="15" customHeight="1" x14ac:dyDescent="0.3">
      <c r="A29" s="67"/>
      <c r="B29" s="356"/>
      <c r="C29" s="356"/>
      <c r="D29" s="357"/>
      <c r="E29" s="397"/>
      <c r="F29" s="398"/>
      <c r="G29" s="398"/>
      <c r="H29" s="398"/>
      <c r="I29" s="399"/>
      <c r="J29" s="51" t="str">
        <f>IF(AND('Mapa final'!$AA$24="Media",'Mapa final'!$AC$24="Leve"),CONCATENATE("R4C",'Mapa final'!$Q$24),"")</f>
        <v/>
      </c>
      <c r="K29" s="52" t="str">
        <f>IF(AND('Mapa final'!$AA$25="Media",'Mapa final'!$AC$25="Leve"),CONCATENATE("R4C",'Mapa final'!$Q$25),"")</f>
        <v/>
      </c>
      <c r="L29" s="52" t="str">
        <f>IF(AND('Mapa final'!$AA$26="Media",'Mapa final'!$AC$26="Leve"),CONCATENATE("R4C",'Mapa final'!$Q$26),"")</f>
        <v/>
      </c>
      <c r="M29" s="52" t="str">
        <f>IF(AND('Mapa final'!$AA$27="Media",'Mapa final'!$AC$27="Leve"),CONCATENATE("R4C",'Mapa final'!$Q$27),"")</f>
        <v/>
      </c>
      <c r="N29" s="52" t="str">
        <f>IF(AND('Mapa final'!$AA$28="Media",'Mapa final'!$AC$28="Leve"),CONCATENATE("R4C",'Mapa final'!$Q$28),"")</f>
        <v/>
      </c>
      <c r="O29" s="53" t="str">
        <f>IF(AND('Mapa final'!$AA$29="Media",'Mapa final'!$AC$29="Leve"),CONCATENATE("R4C",'Mapa final'!$Q$29),"")</f>
        <v/>
      </c>
      <c r="P29" s="51" t="str">
        <f>IF(AND('Mapa final'!$AA$24="Media",'Mapa final'!$AC$24="Menor"),CONCATENATE("R4C",'Mapa final'!$Q$24),"")</f>
        <v/>
      </c>
      <c r="Q29" s="52" t="str">
        <f>IF(AND('Mapa final'!$AA$25="Media",'Mapa final'!$AC$25="Menor"),CONCATENATE("R4C",'Mapa final'!$Q$25),"")</f>
        <v/>
      </c>
      <c r="R29" s="52" t="str">
        <f>IF(AND('Mapa final'!$AA$26="Media",'Mapa final'!$AC$26="Menor"),CONCATENATE("R4C",'Mapa final'!$Q$26),"")</f>
        <v/>
      </c>
      <c r="S29" s="52" t="str">
        <f>IF(AND('Mapa final'!$AA$27="Media",'Mapa final'!$AC$27="Menor"),CONCATENATE("R4C",'Mapa final'!$Q$27),"")</f>
        <v/>
      </c>
      <c r="T29" s="52" t="str">
        <f>IF(AND('Mapa final'!$AA$28="Media",'Mapa final'!$AC$28="Menor"),CONCATENATE("R4C",'Mapa final'!$Q$28),"")</f>
        <v/>
      </c>
      <c r="U29" s="53" t="str">
        <f>IF(AND('Mapa final'!$AA$29="Media",'Mapa final'!$AC$29="Menor"),CONCATENATE("R4C",'Mapa final'!$Q$29),"")</f>
        <v/>
      </c>
      <c r="V29" s="51" t="str">
        <f>IF(AND('Mapa final'!$AA$24="Media",'Mapa final'!$AC$24="Moderado"),CONCATENATE("R4C",'Mapa final'!$Q$24),"")</f>
        <v/>
      </c>
      <c r="W29" s="52" t="str">
        <f>IF(AND('Mapa final'!$AA$25="Media",'Mapa final'!$AC$25="Moderado"),CONCATENATE("R4C",'Mapa final'!$Q$25),"")</f>
        <v/>
      </c>
      <c r="X29" s="52" t="str">
        <f>IF(AND('Mapa final'!$AA$26="Media",'Mapa final'!$AC$26="Moderado"),CONCATENATE("R4C",'Mapa final'!$Q$26),"")</f>
        <v/>
      </c>
      <c r="Y29" s="52" t="str">
        <f>IF(AND('Mapa final'!$AA$27="Media",'Mapa final'!$AC$27="Moderado"),CONCATENATE("R4C",'Mapa final'!$Q$27),"")</f>
        <v/>
      </c>
      <c r="Z29" s="52" t="str">
        <f>IF(AND('Mapa final'!$AA$28="Media",'Mapa final'!$AC$28="Moderado"),CONCATENATE("R4C",'Mapa final'!$Q$28),"")</f>
        <v/>
      </c>
      <c r="AA29" s="53" t="str">
        <f>IF(AND('Mapa final'!$AA$29="Media",'Mapa final'!$AC$29="Moderado"),CONCATENATE("R4C",'Mapa final'!$Q$29),"")</f>
        <v/>
      </c>
      <c r="AB29" s="36" t="str">
        <f>IF(AND('Mapa final'!$AA$24="Media",'Mapa final'!$AC$24="Mayor"),CONCATENATE("R4C",'Mapa final'!$Q$24),"")</f>
        <v/>
      </c>
      <c r="AC29" s="37" t="str">
        <f>IF(AND('Mapa final'!$AA$25="Media",'Mapa final'!$AC$25="Mayor"),CONCATENATE("R4C",'Mapa final'!$Q$25),"")</f>
        <v/>
      </c>
      <c r="AD29" s="37" t="str">
        <f>IF(AND('Mapa final'!$AA$26="Media",'Mapa final'!$AC$26="Mayor"),CONCATENATE("R4C",'Mapa final'!$Q$26),"")</f>
        <v/>
      </c>
      <c r="AE29" s="37" t="str">
        <f>IF(AND('Mapa final'!$AA$27="Media",'Mapa final'!$AC$27="Mayor"),CONCATENATE("R4C",'Mapa final'!$Q$27),"")</f>
        <v/>
      </c>
      <c r="AF29" s="37" t="str">
        <f>IF(AND('Mapa final'!$AA$28="Media",'Mapa final'!$AC$28="Mayor"),CONCATENATE("R4C",'Mapa final'!$Q$28),"")</f>
        <v/>
      </c>
      <c r="AG29" s="38" t="str">
        <f>IF(AND('Mapa final'!$AA$29="Media",'Mapa final'!$AC$29="Mayor"),CONCATENATE("R4C",'Mapa final'!$Q$29),"")</f>
        <v/>
      </c>
      <c r="AH29" s="39" t="str">
        <f>IF(AND('Mapa final'!$AA$24="Media",'Mapa final'!$AC$24="Catastrófico"),CONCATENATE("R4C",'Mapa final'!$Q$24),"")</f>
        <v/>
      </c>
      <c r="AI29" s="40" t="str">
        <f>IF(AND('Mapa final'!$AA$25="Media",'Mapa final'!$AC$25="Catastrófico"),CONCATENATE("R4C",'Mapa final'!$Q$25),"")</f>
        <v/>
      </c>
      <c r="AJ29" s="40" t="str">
        <f>IF(AND('Mapa final'!$AA$26="Media",'Mapa final'!$AC$26="Catastrófico"),CONCATENATE("R4C",'Mapa final'!$Q$26),"")</f>
        <v/>
      </c>
      <c r="AK29" s="40" t="str">
        <f>IF(AND('Mapa final'!$AA$27="Media",'Mapa final'!$AC$27="Catastrófico"),CONCATENATE("R4C",'Mapa final'!$Q$27),"")</f>
        <v/>
      </c>
      <c r="AL29" s="40" t="str">
        <f>IF(AND('Mapa final'!$AA$28="Media",'Mapa final'!$AC$28="Catastrófico"),CONCATENATE("R4C",'Mapa final'!$Q$28),"")</f>
        <v/>
      </c>
      <c r="AM29" s="41" t="str">
        <f>IF(AND('Mapa final'!$AA$29="Media",'Mapa final'!$AC$29="Catastrófico"),CONCATENATE("R4C",'Mapa final'!$Q$29),"")</f>
        <v/>
      </c>
      <c r="AN29" s="67"/>
      <c r="AO29" s="437"/>
      <c r="AP29" s="438"/>
      <c r="AQ29" s="438"/>
      <c r="AR29" s="438"/>
      <c r="AS29" s="438"/>
      <c r="AT29" s="439"/>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row>
    <row r="30" spans="1:76" ht="15" customHeight="1" x14ac:dyDescent="0.3">
      <c r="A30" s="67"/>
      <c r="B30" s="356"/>
      <c r="C30" s="356"/>
      <c r="D30" s="357"/>
      <c r="E30" s="397"/>
      <c r="F30" s="398"/>
      <c r="G30" s="398"/>
      <c r="H30" s="398"/>
      <c r="I30" s="399"/>
      <c r="J30" s="51" t="str">
        <f>IF(AND('Mapa final'!$AA$30="Media",'Mapa final'!$AC$30="Leve"),CONCATENATE("R5C",'Mapa final'!$Q$30),"")</f>
        <v/>
      </c>
      <c r="K30" s="52" t="str">
        <f>IF(AND('Mapa final'!$AA$31="Media",'Mapa final'!$AC$31="Leve"),CONCATENATE("R5C",'Mapa final'!$Q$31),"")</f>
        <v/>
      </c>
      <c r="L30" s="52" t="str">
        <f>IF(AND('Mapa final'!$AA$32="Media",'Mapa final'!$AC$32="Leve"),CONCATENATE("R5C",'Mapa final'!$Q$32),"")</f>
        <v/>
      </c>
      <c r="M30" s="52" t="str">
        <f>IF(AND('Mapa final'!$AA$33="Media",'Mapa final'!$AC$33="Leve"),CONCATENATE("R5C",'Mapa final'!$Q$33),"")</f>
        <v/>
      </c>
      <c r="N30" s="52" t="str">
        <f>IF(AND('Mapa final'!$AA$34="Media",'Mapa final'!$AC$34="Leve"),CONCATENATE("R5C",'Mapa final'!$Q$34),"")</f>
        <v/>
      </c>
      <c r="O30" s="53" t="str">
        <f>IF(AND('Mapa final'!$AA$35="Media",'Mapa final'!$AC$35="Leve"),CONCATENATE("R5C",'Mapa final'!$Q$35),"")</f>
        <v/>
      </c>
      <c r="P30" s="51" t="str">
        <f>IF(AND('Mapa final'!$AA$30="Media",'Mapa final'!$AC$30="Menor"),CONCATENATE("R5C",'Mapa final'!$Q$30),"")</f>
        <v/>
      </c>
      <c r="Q30" s="52" t="str">
        <f>IF(AND('Mapa final'!$AA$31="Media",'Mapa final'!$AC$31="Menor"),CONCATENATE("R5C",'Mapa final'!$Q$31),"")</f>
        <v/>
      </c>
      <c r="R30" s="52" t="str">
        <f>IF(AND('Mapa final'!$AA$32="Media",'Mapa final'!$AC$32="Menor"),CONCATENATE("R5C",'Mapa final'!$Q$32),"")</f>
        <v/>
      </c>
      <c r="S30" s="52" t="str">
        <f>IF(AND('Mapa final'!$AA$33="Media",'Mapa final'!$AC$33="Menor"),CONCATENATE("R5C",'Mapa final'!$Q$33),"")</f>
        <v/>
      </c>
      <c r="T30" s="52" t="str">
        <f>IF(AND('Mapa final'!$AA$34="Media",'Mapa final'!$AC$34="Menor"),CONCATENATE("R5C",'Mapa final'!$Q$34),"")</f>
        <v/>
      </c>
      <c r="U30" s="53" t="str">
        <f>IF(AND('Mapa final'!$AA$35="Media",'Mapa final'!$AC$35="Menor"),CONCATENATE("R5C",'Mapa final'!$Q$35),"")</f>
        <v/>
      </c>
      <c r="V30" s="51" t="str">
        <f>IF(AND('Mapa final'!$AA$30="Media",'Mapa final'!$AC$30="Moderado"),CONCATENATE("R5C",'Mapa final'!$Q$30),"")</f>
        <v/>
      </c>
      <c r="W30" s="52" t="str">
        <f>IF(AND('Mapa final'!$AA$31="Media",'Mapa final'!$AC$31="Moderado"),CONCATENATE("R5C",'Mapa final'!$Q$31),"")</f>
        <v/>
      </c>
      <c r="X30" s="52" t="str">
        <f>IF(AND('Mapa final'!$AA$32="Media",'Mapa final'!$AC$32="Moderado"),CONCATENATE("R5C",'Mapa final'!$Q$32),"")</f>
        <v/>
      </c>
      <c r="Y30" s="52" t="str">
        <f>IF(AND('Mapa final'!$AA$33="Media",'Mapa final'!$AC$33="Moderado"),CONCATENATE("R5C",'Mapa final'!$Q$33),"")</f>
        <v/>
      </c>
      <c r="Z30" s="52" t="str">
        <f>IF(AND('Mapa final'!$AA$34="Media",'Mapa final'!$AC$34="Moderado"),CONCATENATE("R5C",'Mapa final'!$Q$34),"")</f>
        <v/>
      </c>
      <c r="AA30" s="53" t="str">
        <f>IF(AND('Mapa final'!$AA$35="Media",'Mapa final'!$AC$35="Moderado"),CONCATENATE("R5C",'Mapa final'!$Q$35),"")</f>
        <v/>
      </c>
      <c r="AB30" s="36" t="str">
        <f>IF(AND('Mapa final'!$AA$30="Media",'Mapa final'!$AC$30="Mayor"),CONCATENATE("R5C",'Mapa final'!$Q$30),"")</f>
        <v/>
      </c>
      <c r="AC30" s="37" t="str">
        <f>IF(AND('Mapa final'!$AA$31="Media",'Mapa final'!$AC$31="Mayor"),CONCATENATE("R5C",'Mapa final'!$Q$31),"")</f>
        <v/>
      </c>
      <c r="AD30" s="37" t="str">
        <f>IF(AND('Mapa final'!$AA$32="Media",'Mapa final'!$AC$32="Mayor"),CONCATENATE("R5C",'Mapa final'!$Q$32),"")</f>
        <v/>
      </c>
      <c r="AE30" s="37" t="str">
        <f>IF(AND('Mapa final'!$AA$33="Media",'Mapa final'!$AC$33="Mayor"),CONCATENATE("R5C",'Mapa final'!$Q$33),"")</f>
        <v/>
      </c>
      <c r="AF30" s="37" t="str">
        <f>IF(AND('Mapa final'!$AA$34="Media",'Mapa final'!$AC$34="Mayor"),CONCATENATE("R5C",'Mapa final'!$Q$34),"")</f>
        <v/>
      </c>
      <c r="AG30" s="38" t="str">
        <f>IF(AND('Mapa final'!$AA$35="Media",'Mapa final'!$AC$35="Mayor"),CONCATENATE("R5C",'Mapa final'!$Q$35),"")</f>
        <v/>
      </c>
      <c r="AH30" s="39" t="str">
        <f>IF(AND('Mapa final'!$AA$30="Media",'Mapa final'!$AC$30="Catastrófico"),CONCATENATE("R5C",'Mapa final'!$Q$30),"")</f>
        <v/>
      </c>
      <c r="AI30" s="40" t="str">
        <f>IF(AND('Mapa final'!$AA$31="Media",'Mapa final'!$AC$31="Catastrófico"),CONCATENATE("R5C",'Mapa final'!$Q$31),"")</f>
        <v/>
      </c>
      <c r="AJ30" s="40" t="str">
        <f>IF(AND('Mapa final'!$AA$32="Media",'Mapa final'!$AC$32="Catastrófico"),CONCATENATE("R5C",'Mapa final'!$Q$32),"")</f>
        <v/>
      </c>
      <c r="AK30" s="40" t="str">
        <f>IF(AND('Mapa final'!$AA$33="Media",'Mapa final'!$AC$33="Catastrófico"),CONCATENATE("R5C",'Mapa final'!$Q$33),"")</f>
        <v/>
      </c>
      <c r="AL30" s="40" t="str">
        <f>IF(AND('Mapa final'!$AA$34="Media",'Mapa final'!$AC$34="Catastrófico"),CONCATENATE("R5C",'Mapa final'!$Q$34),"")</f>
        <v/>
      </c>
      <c r="AM30" s="41" t="str">
        <f>IF(AND('Mapa final'!$AA$35="Media",'Mapa final'!$AC$35="Catastrófico"),CONCATENATE("R5C",'Mapa final'!$Q$35),"")</f>
        <v/>
      </c>
      <c r="AN30" s="67"/>
      <c r="AO30" s="437"/>
      <c r="AP30" s="438"/>
      <c r="AQ30" s="438"/>
      <c r="AR30" s="438"/>
      <c r="AS30" s="438"/>
      <c r="AT30" s="439"/>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row>
    <row r="31" spans="1:76" ht="15" customHeight="1" x14ac:dyDescent="0.3">
      <c r="A31" s="67"/>
      <c r="B31" s="356"/>
      <c r="C31" s="356"/>
      <c r="D31" s="357"/>
      <c r="E31" s="397"/>
      <c r="F31" s="398"/>
      <c r="G31" s="398"/>
      <c r="H31" s="398"/>
      <c r="I31" s="399"/>
      <c r="J31" s="51" t="str">
        <f>IF(AND('Mapa final'!$AA$36="Media",'Mapa final'!$AC$36="Leve"),CONCATENATE("R6C",'Mapa final'!$Q$36),"")</f>
        <v/>
      </c>
      <c r="K31" s="52" t="str">
        <f>IF(AND('Mapa final'!$AA$37="Media",'Mapa final'!$AC$37="Leve"),CONCATENATE("R6C",'Mapa final'!$Q$37),"")</f>
        <v/>
      </c>
      <c r="L31" s="52" t="str">
        <f>IF(AND('Mapa final'!$AA$38="Media",'Mapa final'!$AC$38="Leve"),CONCATENATE("R6C",'Mapa final'!$Q$38),"")</f>
        <v/>
      </c>
      <c r="M31" s="52" t="str">
        <f>IF(AND('Mapa final'!$AA$39="Media",'Mapa final'!$AC$39="Leve"),CONCATENATE("R6C",'Mapa final'!$Q$39),"")</f>
        <v/>
      </c>
      <c r="N31" s="52" t="str">
        <f>IF(AND('Mapa final'!$AA$40="Media",'Mapa final'!$AC$40="Leve"),CONCATENATE("R6C",'Mapa final'!$Q$40),"")</f>
        <v/>
      </c>
      <c r="O31" s="53" t="str">
        <f>IF(AND('Mapa final'!$AA$41="Media",'Mapa final'!$AC$41="Leve"),CONCATENATE("R6C",'Mapa final'!$Q$41),"")</f>
        <v/>
      </c>
      <c r="P31" s="51" t="str">
        <f>IF(AND('Mapa final'!$AA$36="Media",'Mapa final'!$AC$36="Menor"),CONCATENATE("R6C",'Mapa final'!$Q$36),"")</f>
        <v/>
      </c>
      <c r="Q31" s="52" t="str">
        <f>IF(AND('Mapa final'!$AA$37="Media",'Mapa final'!$AC$37="Menor"),CONCATENATE("R6C",'Mapa final'!$Q$37),"")</f>
        <v/>
      </c>
      <c r="R31" s="52" t="str">
        <f>IF(AND('Mapa final'!$AA$38="Media",'Mapa final'!$AC$38="Menor"),CONCATENATE("R6C",'Mapa final'!$Q$38),"")</f>
        <v/>
      </c>
      <c r="S31" s="52" t="str">
        <f>IF(AND('Mapa final'!$AA$39="Media",'Mapa final'!$AC$39="Menor"),CONCATENATE("R6C",'Mapa final'!$Q$39),"")</f>
        <v/>
      </c>
      <c r="T31" s="52" t="str">
        <f>IF(AND('Mapa final'!$AA$40="Media",'Mapa final'!$AC$40="Menor"),CONCATENATE("R6C",'Mapa final'!$Q$40),"")</f>
        <v/>
      </c>
      <c r="U31" s="53" t="str">
        <f>IF(AND('Mapa final'!$AA$41="Media",'Mapa final'!$AC$41="Menor"),CONCATENATE("R6C",'Mapa final'!$Q$41),"")</f>
        <v/>
      </c>
      <c r="V31" s="51" t="str">
        <f>IF(AND('Mapa final'!$AA$36="Media",'Mapa final'!$AC$36="Moderado"),CONCATENATE("R6C",'Mapa final'!$Q$36),"")</f>
        <v/>
      </c>
      <c r="W31" s="52" t="str">
        <f>IF(AND('Mapa final'!$AA$37="Media",'Mapa final'!$AC$37="Moderado"),CONCATENATE("R6C",'Mapa final'!$Q$37),"")</f>
        <v/>
      </c>
      <c r="X31" s="52" t="str">
        <f>IF(AND('Mapa final'!$AA$38="Media",'Mapa final'!$AC$38="Moderado"),CONCATENATE("R6C",'Mapa final'!$Q$38),"")</f>
        <v/>
      </c>
      <c r="Y31" s="52" t="str">
        <f>IF(AND('Mapa final'!$AA$39="Media",'Mapa final'!$AC$39="Moderado"),CONCATENATE("R6C",'Mapa final'!$Q$39),"")</f>
        <v/>
      </c>
      <c r="Z31" s="52" t="str">
        <f>IF(AND('Mapa final'!$AA$40="Media",'Mapa final'!$AC$40="Moderado"),CONCATENATE("R6C",'Mapa final'!$Q$40),"")</f>
        <v/>
      </c>
      <c r="AA31" s="53" t="str">
        <f>IF(AND('Mapa final'!$AA$41="Media",'Mapa final'!$AC$41="Moderado"),CONCATENATE("R6C",'Mapa final'!$Q$41),"")</f>
        <v/>
      </c>
      <c r="AB31" s="36" t="str">
        <f>IF(AND('Mapa final'!$AA$36="Media",'Mapa final'!$AC$36="Mayor"),CONCATENATE("R6C",'Mapa final'!$Q$36),"")</f>
        <v/>
      </c>
      <c r="AC31" s="37" t="str">
        <f>IF(AND('Mapa final'!$AA$37="Media",'Mapa final'!$AC$37="Mayor"),CONCATENATE("R6C",'Mapa final'!$Q$37),"")</f>
        <v/>
      </c>
      <c r="AD31" s="37" t="str">
        <f>IF(AND('Mapa final'!$AA$38="Media",'Mapa final'!$AC$38="Mayor"),CONCATENATE("R6C",'Mapa final'!$Q$38),"")</f>
        <v/>
      </c>
      <c r="AE31" s="37" t="str">
        <f>IF(AND('Mapa final'!$AA$39="Media",'Mapa final'!$AC$39="Mayor"),CONCATENATE("R6C",'Mapa final'!$Q$39),"")</f>
        <v/>
      </c>
      <c r="AF31" s="37" t="str">
        <f>IF(AND('Mapa final'!$AA$40="Media",'Mapa final'!$AC$40="Mayor"),CONCATENATE("R6C",'Mapa final'!$Q$40),"")</f>
        <v/>
      </c>
      <c r="AG31" s="38" t="str">
        <f>IF(AND('Mapa final'!$AA$41="Media",'Mapa final'!$AC$41="Mayor"),CONCATENATE("R6C",'Mapa final'!$Q$41),"")</f>
        <v/>
      </c>
      <c r="AH31" s="39" t="str">
        <f>IF(AND('Mapa final'!$AA$36="Media",'Mapa final'!$AC$36="Catastrófico"),CONCATENATE("R6C",'Mapa final'!$Q$36),"")</f>
        <v/>
      </c>
      <c r="AI31" s="40" t="str">
        <f>IF(AND('Mapa final'!$AA$37="Media",'Mapa final'!$AC$37="Catastrófico"),CONCATENATE("R6C",'Mapa final'!$Q$37),"")</f>
        <v/>
      </c>
      <c r="AJ31" s="40" t="str">
        <f>IF(AND('Mapa final'!$AA$38="Media",'Mapa final'!$AC$38="Catastrófico"),CONCATENATE("R6C",'Mapa final'!$Q$38),"")</f>
        <v/>
      </c>
      <c r="AK31" s="40" t="str">
        <f>IF(AND('Mapa final'!$AA$39="Media",'Mapa final'!$AC$39="Catastrófico"),CONCATENATE("R6C",'Mapa final'!$Q$39),"")</f>
        <v/>
      </c>
      <c r="AL31" s="40" t="str">
        <f>IF(AND('Mapa final'!$AA$40="Media",'Mapa final'!$AC$40="Catastrófico"),CONCATENATE("R6C",'Mapa final'!$Q$40),"")</f>
        <v/>
      </c>
      <c r="AM31" s="41" t="str">
        <f>IF(AND('Mapa final'!$AA$41="Media",'Mapa final'!$AC$41="Catastrófico"),CONCATENATE("R6C",'Mapa final'!$Q$41),"")</f>
        <v/>
      </c>
      <c r="AN31" s="67"/>
      <c r="AO31" s="437"/>
      <c r="AP31" s="438"/>
      <c r="AQ31" s="438"/>
      <c r="AR31" s="438"/>
      <c r="AS31" s="438"/>
      <c r="AT31" s="439"/>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row>
    <row r="32" spans="1:76" ht="15" customHeight="1" x14ac:dyDescent="0.3">
      <c r="A32" s="67"/>
      <c r="B32" s="356"/>
      <c r="C32" s="356"/>
      <c r="D32" s="357"/>
      <c r="E32" s="397"/>
      <c r="F32" s="398"/>
      <c r="G32" s="398"/>
      <c r="H32" s="398"/>
      <c r="I32" s="399"/>
      <c r="J32" s="51" t="str">
        <f>IF(AND('Mapa final'!$AA$42="Media",'Mapa final'!$AC$42="Leve"),CONCATENATE("R7C",'Mapa final'!$Q$42),"")</f>
        <v/>
      </c>
      <c r="K32" s="52" t="str">
        <f>IF(AND('Mapa final'!$AA$43="Media",'Mapa final'!$AC$43="Leve"),CONCATENATE("R7C",'Mapa final'!$Q$43),"")</f>
        <v/>
      </c>
      <c r="L32" s="52" t="str">
        <f>IF(AND('Mapa final'!$AA$44="Media",'Mapa final'!$AC$44="Leve"),CONCATENATE("R7C",'Mapa final'!$Q$44),"")</f>
        <v/>
      </c>
      <c r="M32" s="52" t="str">
        <f>IF(AND('Mapa final'!$AA$45="Media",'Mapa final'!$AC$45="Leve"),CONCATENATE("R7C",'Mapa final'!$Q$45),"")</f>
        <v/>
      </c>
      <c r="N32" s="52" t="str">
        <f>IF(AND('Mapa final'!$AA$46="Media",'Mapa final'!$AC$46="Leve"),CONCATENATE("R7C",'Mapa final'!$Q$46),"")</f>
        <v/>
      </c>
      <c r="O32" s="53" t="str">
        <f>IF(AND('Mapa final'!$AA$47="Media",'Mapa final'!$AC$47="Leve"),CONCATENATE("R7C",'Mapa final'!$Q$47),"")</f>
        <v/>
      </c>
      <c r="P32" s="51" t="str">
        <f>IF(AND('Mapa final'!$AA$42="Media",'Mapa final'!$AC$42="Menor"),CONCATENATE("R7C",'Mapa final'!$Q$42),"")</f>
        <v/>
      </c>
      <c r="Q32" s="52" t="str">
        <f>IF(AND('Mapa final'!$AA$43="Media",'Mapa final'!$AC$43="Menor"),CONCATENATE("R7C",'Mapa final'!$Q$43),"")</f>
        <v/>
      </c>
      <c r="R32" s="52" t="str">
        <f>IF(AND('Mapa final'!$AA$44="Media",'Mapa final'!$AC$44="Menor"),CONCATENATE("R7C",'Mapa final'!$Q$44),"")</f>
        <v/>
      </c>
      <c r="S32" s="52" t="str">
        <f>IF(AND('Mapa final'!$AA$45="Media",'Mapa final'!$AC$45="Menor"),CONCATENATE("R7C",'Mapa final'!$Q$45),"")</f>
        <v/>
      </c>
      <c r="T32" s="52" t="str">
        <f>IF(AND('Mapa final'!$AA$46="Media",'Mapa final'!$AC$46="Menor"),CONCATENATE("R7C",'Mapa final'!$Q$46),"")</f>
        <v/>
      </c>
      <c r="U32" s="53" t="str">
        <f>IF(AND('Mapa final'!$AA$47="Media",'Mapa final'!$AC$47="Menor"),CONCATENATE("R7C",'Mapa final'!$Q$47),"")</f>
        <v/>
      </c>
      <c r="V32" s="51" t="str">
        <f>IF(AND('Mapa final'!$AA$42="Media",'Mapa final'!$AC$42="Moderado"),CONCATENATE("R7C",'Mapa final'!$Q$42),"")</f>
        <v/>
      </c>
      <c r="W32" s="52" t="str">
        <f>IF(AND('Mapa final'!$AA$43="Media",'Mapa final'!$AC$43="Moderado"),CONCATENATE("R7C",'Mapa final'!$Q$43),"")</f>
        <v/>
      </c>
      <c r="X32" s="52" t="str">
        <f>IF(AND('Mapa final'!$AA$44="Media",'Mapa final'!$AC$44="Moderado"),CONCATENATE("R7C",'Mapa final'!$Q$44),"")</f>
        <v/>
      </c>
      <c r="Y32" s="52" t="str">
        <f>IF(AND('Mapa final'!$AA$45="Media",'Mapa final'!$AC$45="Moderado"),CONCATENATE("R7C",'Mapa final'!$Q$45),"")</f>
        <v/>
      </c>
      <c r="Z32" s="52" t="str">
        <f>IF(AND('Mapa final'!$AA$46="Media",'Mapa final'!$AC$46="Moderado"),CONCATENATE("R7C",'Mapa final'!$Q$46),"")</f>
        <v/>
      </c>
      <c r="AA32" s="53" t="str">
        <f>IF(AND('Mapa final'!$AA$47="Media",'Mapa final'!$AC$47="Moderado"),CONCATENATE("R7C",'Mapa final'!$Q$47),"")</f>
        <v/>
      </c>
      <c r="AB32" s="36" t="str">
        <f>IF(AND('Mapa final'!$AA$42="Media",'Mapa final'!$AC$42="Mayor"),CONCATENATE("R7C",'Mapa final'!$Q$42),"")</f>
        <v/>
      </c>
      <c r="AC32" s="37" t="str">
        <f>IF(AND('Mapa final'!$AA$43="Media",'Mapa final'!$AC$43="Mayor"),CONCATENATE("R7C",'Mapa final'!$Q$43),"")</f>
        <v/>
      </c>
      <c r="AD32" s="37" t="str">
        <f>IF(AND('Mapa final'!$AA$44="Media",'Mapa final'!$AC$44="Mayor"),CONCATENATE("R7C",'Mapa final'!$Q$44),"")</f>
        <v/>
      </c>
      <c r="AE32" s="37" t="str">
        <f>IF(AND('Mapa final'!$AA$45="Media",'Mapa final'!$AC$45="Mayor"),CONCATENATE("R7C",'Mapa final'!$Q$45),"")</f>
        <v/>
      </c>
      <c r="AF32" s="37" t="str">
        <f>IF(AND('Mapa final'!$AA$46="Media",'Mapa final'!$AC$46="Mayor"),CONCATENATE("R7C",'Mapa final'!$Q$46),"")</f>
        <v/>
      </c>
      <c r="AG32" s="38" t="str">
        <f>IF(AND('Mapa final'!$AA$47="Media",'Mapa final'!$AC$47="Mayor"),CONCATENATE("R7C",'Mapa final'!$Q$47),"")</f>
        <v/>
      </c>
      <c r="AH32" s="39" t="str">
        <f>IF(AND('Mapa final'!$AA$42="Media",'Mapa final'!$AC$42="Catastrófico"),CONCATENATE("R7C",'Mapa final'!$Q$42),"")</f>
        <v/>
      </c>
      <c r="AI32" s="40" t="str">
        <f>IF(AND('Mapa final'!$AA$43="Media",'Mapa final'!$AC$43="Catastrófico"),CONCATENATE("R7C",'Mapa final'!$Q$43),"")</f>
        <v/>
      </c>
      <c r="AJ32" s="40" t="str">
        <f>IF(AND('Mapa final'!$AA$44="Media",'Mapa final'!$AC$44="Catastrófico"),CONCATENATE("R7C",'Mapa final'!$Q$44),"")</f>
        <v/>
      </c>
      <c r="AK32" s="40" t="str">
        <f>IF(AND('Mapa final'!$AA$45="Media",'Mapa final'!$AC$45="Catastrófico"),CONCATENATE("R7C",'Mapa final'!$Q$45),"")</f>
        <v/>
      </c>
      <c r="AL32" s="40" t="str">
        <f>IF(AND('Mapa final'!$AA$46="Media",'Mapa final'!$AC$46="Catastrófico"),CONCATENATE("R7C",'Mapa final'!$Q$46),"")</f>
        <v/>
      </c>
      <c r="AM32" s="41" t="str">
        <f>IF(AND('Mapa final'!$AA$47="Media",'Mapa final'!$AC$47="Catastrófico"),CONCATENATE("R7C",'Mapa final'!$Q$47),"")</f>
        <v/>
      </c>
      <c r="AN32" s="67"/>
      <c r="AO32" s="437"/>
      <c r="AP32" s="438"/>
      <c r="AQ32" s="438"/>
      <c r="AR32" s="438"/>
      <c r="AS32" s="438"/>
      <c r="AT32" s="439"/>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row>
    <row r="33" spans="1:80" ht="15" customHeight="1" x14ac:dyDescent="0.3">
      <c r="A33" s="67"/>
      <c r="B33" s="356"/>
      <c r="C33" s="356"/>
      <c r="D33" s="357"/>
      <c r="E33" s="397"/>
      <c r="F33" s="398"/>
      <c r="G33" s="398"/>
      <c r="H33" s="398"/>
      <c r="I33" s="399"/>
      <c r="J33" s="51" t="str">
        <f>IF(AND('Mapa final'!$AA$48="Media",'Mapa final'!$AC$48="Leve"),CONCATENATE("R8C",'Mapa final'!$Q$48),"")</f>
        <v/>
      </c>
      <c r="K33" s="52" t="str">
        <f>IF(AND('Mapa final'!$AA$49="Media",'Mapa final'!$AC$49="Leve"),CONCATENATE("R8C",'Mapa final'!$Q$49),"")</f>
        <v/>
      </c>
      <c r="L33" s="52" t="str">
        <f>IF(AND('Mapa final'!$AA$50="Media",'Mapa final'!$AC$50="Leve"),CONCATENATE("R8C",'Mapa final'!$Q$50),"")</f>
        <v/>
      </c>
      <c r="M33" s="52" t="str">
        <f>IF(AND('Mapa final'!$AA$51="Media",'Mapa final'!$AC$51="Leve"),CONCATENATE("R8C",'Mapa final'!$Q$51),"")</f>
        <v/>
      </c>
      <c r="N33" s="52" t="str">
        <f>IF(AND('Mapa final'!$AA$52="Media",'Mapa final'!$AC$52="Leve"),CONCATENATE("R8C",'Mapa final'!$Q$52),"")</f>
        <v/>
      </c>
      <c r="O33" s="53" t="str">
        <f>IF(AND('Mapa final'!$AA$53="Media",'Mapa final'!$AC$53="Leve"),CONCATENATE("R8C",'Mapa final'!$Q$53),"")</f>
        <v/>
      </c>
      <c r="P33" s="51" t="str">
        <f>IF(AND('Mapa final'!$AA$48="Media",'Mapa final'!$AC$48="Menor"),CONCATENATE("R8C",'Mapa final'!$Q$48),"")</f>
        <v/>
      </c>
      <c r="Q33" s="52" t="str">
        <f>IF(AND('Mapa final'!$AA$49="Media",'Mapa final'!$AC$49="Menor"),CONCATENATE("R8C",'Mapa final'!$Q$49),"")</f>
        <v/>
      </c>
      <c r="R33" s="52" t="str">
        <f>IF(AND('Mapa final'!$AA$50="Media",'Mapa final'!$AC$50="Menor"),CONCATENATE("R8C",'Mapa final'!$Q$50),"")</f>
        <v/>
      </c>
      <c r="S33" s="52" t="str">
        <f>IF(AND('Mapa final'!$AA$51="Media",'Mapa final'!$AC$51="Menor"),CONCATENATE("R8C",'Mapa final'!$Q$51),"")</f>
        <v/>
      </c>
      <c r="T33" s="52" t="str">
        <f>IF(AND('Mapa final'!$AA$52="Media",'Mapa final'!$AC$52="Menor"),CONCATENATE("R8C",'Mapa final'!$Q$52),"")</f>
        <v/>
      </c>
      <c r="U33" s="53" t="str">
        <f>IF(AND('Mapa final'!$AA$53="Media",'Mapa final'!$AC$53="Menor"),CONCATENATE("R8C",'Mapa final'!$Q$53),"")</f>
        <v/>
      </c>
      <c r="V33" s="51" t="str">
        <f>IF(AND('Mapa final'!$AA$48="Media",'Mapa final'!$AC$48="Moderado"),CONCATENATE("R8C",'Mapa final'!$Q$48),"")</f>
        <v/>
      </c>
      <c r="W33" s="52" t="str">
        <f>IF(AND('Mapa final'!$AA$49="Media",'Mapa final'!$AC$49="Moderado"),CONCATENATE("R8C",'Mapa final'!$Q$49),"")</f>
        <v/>
      </c>
      <c r="X33" s="52" t="str">
        <f>IF(AND('Mapa final'!$AA$50="Media",'Mapa final'!$AC$50="Moderado"),CONCATENATE("R8C",'Mapa final'!$Q$50),"")</f>
        <v/>
      </c>
      <c r="Y33" s="52" t="str">
        <f>IF(AND('Mapa final'!$AA$51="Media",'Mapa final'!$AC$51="Moderado"),CONCATENATE("R8C",'Mapa final'!$Q$51),"")</f>
        <v/>
      </c>
      <c r="Z33" s="52" t="str">
        <f>IF(AND('Mapa final'!$AA$52="Media",'Mapa final'!$AC$52="Moderado"),CONCATENATE("R8C",'Mapa final'!$Q$52),"")</f>
        <v/>
      </c>
      <c r="AA33" s="53" t="str">
        <f>IF(AND('Mapa final'!$AA$53="Media",'Mapa final'!$AC$53="Moderado"),CONCATENATE("R8C",'Mapa final'!$Q$53),"")</f>
        <v/>
      </c>
      <c r="AB33" s="36" t="str">
        <f>IF(AND('Mapa final'!$AA$48="Media",'Mapa final'!$AC$48="Mayor"),CONCATENATE("R8C",'Mapa final'!$Q$48),"")</f>
        <v/>
      </c>
      <c r="AC33" s="37" t="str">
        <f>IF(AND('Mapa final'!$AA$49="Media",'Mapa final'!$AC$49="Mayor"),CONCATENATE("R8C",'Mapa final'!$Q$49),"")</f>
        <v/>
      </c>
      <c r="AD33" s="37" t="str">
        <f>IF(AND('Mapa final'!$AA$50="Media",'Mapa final'!$AC$50="Mayor"),CONCATENATE("R8C",'Mapa final'!$Q$50),"")</f>
        <v/>
      </c>
      <c r="AE33" s="37" t="str">
        <f>IF(AND('Mapa final'!$AA$51="Media",'Mapa final'!$AC$51="Mayor"),CONCATENATE("R8C",'Mapa final'!$Q$51),"")</f>
        <v/>
      </c>
      <c r="AF33" s="37" t="str">
        <f>IF(AND('Mapa final'!$AA$52="Media",'Mapa final'!$AC$52="Mayor"),CONCATENATE("R8C",'Mapa final'!$Q$52),"")</f>
        <v/>
      </c>
      <c r="AG33" s="38" t="str">
        <f>IF(AND('Mapa final'!$AA$53="Media",'Mapa final'!$AC$53="Mayor"),CONCATENATE("R8C",'Mapa final'!$Q$53),"")</f>
        <v/>
      </c>
      <c r="AH33" s="39" t="str">
        <f>IF(AND('Mapa final'!$AA$48="Media",'Mapa final'!$AC$48="Catastrófico"),CONCATENATE("R8C",'Mapa final'!$Q$48),"")</f>
        <v/>
      </c>
      <c r="AI33" s="40" t="str">
        <f>IF(AND('Mapa final'!$AA$49="Media",'Mapa final'!$AC$49="Catastrófico"),CONCATENATE("R8C",'Mapa final'!$Q$49),"")</f>
        <v/>
      </c>
      <c r="AJ33" s="40" t="str">
        <f>IF(AND('Mapa final'!$AA$50="Media",'Mapa final'!$AC$50="Catastrófico"),CONCATENATE("R8C",'Mapa final'!$Q$50),"")</f>
        <v/>
      </c>
      <c r="AK33" s="40" t="str">
        <f>IF(AND('Mapa final'!$AA$51="Media",'Mapa final'!$AC$51="Catastrófico"),CONCATENATE("R8C",'Mapa final'!$Q$51),"")</f>
        <v/>
      </c>
      <c r="AL33" s="40" t="str">
        <f>IF(AND('Mapa final'!$AA$52="Media",'Mapa final'!$AC$52="Catastrófico"),CONCATENATE("R8C",'Mapa final'!$Q$52),"")</f>
        <v/>
      </c>
      <c r="AM33" s="41" t="str">
        <f>IF(AND('Mapa final'!$AA$53="Media",'Mapa final'!$AC$53="Catastrófico"),CONCATENATE("R8C",'Mapa final'!$Q$53),"")</f>
        <v/>
      </c>
      <c r="AN33" s="67"/>
      <c r="AO33" s="437"/>
      <c r="AP33" s="438"/>
      <c r="AQ33" s="438"/>
      <c r="AR33" s="438"/>
      <c r="AS33" s="438"/>
      <c r="AT33" s="439"/>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row>
    <row r="34" spans="1:80" ht="15" customHeight="1" x14ac:dyDescent="0.3">
      <c r="A34" s="67"/>
      <c r="B34" s="356"/>
      <c r="C34" s="356"/>
      <c r="D34" s="357"/>
      <c r="E34" s="397"/>
      <c r="F34" s="398"/>
      <c r="G34" s="398"/>
      <c r="H34" s="398"/>
      <c r="I34" s="399"/>
      <c r="J34" s="51" t="str">
        <f>IF(AND('Mapa final'!$AA$54="Media",'Mapa final'!$AC$54="Leve"),CONCATENATE("R9C",'Mapa final'!$Q$54),"")</f>
        <v/>
      </c>
      <c r="K34" s="52" t="str">
        <f>IF(AND('Mapa final'!$AA$55="Media",'Mapa final'!$AC$55="Leve"),CONCATENATE("R9C",'Mapa final'!$Q$55),"")</f>
        <v/>
      </c>
      <c r="L34" s="52" t="str">
        <f>IF(AND('Mapa final'!$AA$56="Media",'Mapa final'!$AC$56="Leve"),CONCATENATE("R9C",'Mapa final'!$Q$56),"")</f>
        <v/>
      </c>
      <c r="M34" s="52" t="str">
        <f>IF(AND('Mapa final'!$AA$57="Media",'Mapa final'!$AC$57="Leve"),CONCATENATE("R9C",'Mapa final'!$Q$57),"")</f>
        <v/>
      </c>
      <c r="N34" s="52" t="str">
        <f>IF(AND('Mapa final'!$AA$58="Media",'Mapa final'!$AC$58="Leve"),CONCATENATE("R9C",'Mapa final'!$Q$58),"")</f>
        <v/>
      </c>
      <c r="O34" s="53" t="str">
        <f>IF(AND('Mapa final'!$AA$59="Media",'Mapa final'!$AC$59="Leve"),CONCATENATE("R9C",'Mapa final'!$Q$59),"")</f>
        <v/>
      </c>
      <c r="P34" s="51" t="str">
        <f>IF(AND('Mapa final'!$AA$54="Media",'Mapa final'!$AC$54="Menor"),CONCATENATE("R9C",'Mapa final'!$Q$54),"")</f>
        <v/>
      </c>
      <c r="Q34" s="52" t="str">
        <f>IF(AND('Mapa final'!$AA$55="Media",'Mapa final'!$AC$55="Menor"),CONCATENATE("R9C",'Mapa final'!$Q$55),"")</f>
        <v/>
      </c>
      <c r="R34" s="52" t="str">
        <f>IF(AND('Mapa final'!$AA$56="Media",'Mapa final'!$AC$56="Menor"),CONCATENATE("R9C",'Mapa final'!$Q$56),"")</f>
        <v/>
      </c>
      <c r="S34" s="52" t="str">
        <f>IF(AND('Mapa final'!$AA$57="Media",'Mapa final'!$AC$57="Menor"),CONCATENATE("R9C",'Mapa final'!$Q$57),"")</f>
        <v/>
      </c>
      <c r="T34" s="52" t="str">
        <f>IF(AND('Mapa final'!$AA$58="Media",'Mapa final'!$AC$58="Menor"),CONCATENATE("R9C",'Mapa final'!$Q$58),"")</f>
        <v/>
      </c>
      <c r="U34" s="53" t="str">
        <f>IF(AND('Mapa final'!$AA$59="Media",'Mapa final'!$AC$59="Menor"),CONCATENATE("R9C",'Mapa final'!$Q$59),"")</f>
        <v/>
      </c>
      <c r="V34" s="51" t="str">
        <f>IF(AND('Mapa final'!$AA$54="Media",'Mapa final'!$AC$54="Moderado"),CONCATENATE("R9C",'Mapa final'!$Q$54),"")</f>
        <v/>
      </c>
      <c r="W34" s="52" t="str">
        <f>IF(AND('Mapa final'!$AA$55="Media",'Mapa final'!$AC$55="Moderado"),CONCATENATE("R9C",'Mapa final'!$Q$55),"")</f>
        <v/>
      </c>
      <c r="X34" s="52" t="str">
        <f>IF(AND('Mapa final'!$AA$56="Media",'Mapa final'!$AC$56="Moderado"),CONCATENATE("R9C",'Mapa final'!$Q$56),"")</f>
        <v/>
      </c>
      <c r="Y34" s="52" t="str">
        <f>IF(AND('Mapa final'!$AA$57="Media",'Mapa final'!$AC$57="Moderado"),CONCATENATE("R9C",'Mapa final'!$Q$57),"")</f>
        <v/>
      </c>
      <c r="Z34" s="52" t="str">
        <f>IF(AND('Mapa final'!$AA$58="Media",'Mapa final'!$AC$58="Moderado"),CONCATENATE("R9C",'Mapa final'!$Q$58),"")</f>
        <v/>
      </c>
      <c r="AA34" s="53" t="str">
        <f>IF(AND('Mapa final'!$AA$59="Media",'Mapa final'!$AC$59="Moderado"),CONCATENATE("R9C",'Mapa final'!$Q$59),"")</f>
        <v/>
      </c>
      <c r="AB34" s="36" t="str">
        <f>IF(AND('Mapa final'!$AA$54="Media",'Mapa final'!$AC$54="Mayor"),CONCATENATE("R9C",'Mapa final'!$Q$54),"")</f>
        <v/>
      </c>
      <c r="AC34" s="37" t="str">
        <f>IF(AND('Mapa final'!$AA$55="Media",'Mapa final'!$AC$55="Mayor"),CONCATENATE("R9C",'Mapa final'!$Q$55),"")</f>
        <v/>
      </c>
      <c r="AD34" s="37" t="str">
        <f>IF(AND('Mapa final'!$AA$56="Media",'Mapa final'!$AC$56="Mayor"),CONCATENATE("R9C",'Mapa final'!$Q$56),"")</f>
        <v/>
      </c>
      <c r="AE34" s="37" t="str">
        <f>IF(AND('Mapa final'!$AA$57="Media",'Mapa final'!$AC$57="Mayor"),CONCATENATE("R9C",'Mapa final'!$Q$57),"")</f>
        <v/>
      </c>
      <c r="AF34" s="37" t="str">
        <f>IF(AND('Mapa final'!$AA$58="Media",'Mapa final'!$AC$58="Mayor"),CONCATENATE("R9C",'Mapa final'!$Q$58),"")</f>
        <v/>
      </c>
      <c r="AG34" s="38" t="str">
        <f>IF(AND('Mapa final'!$AA$59="Media",'Mapa final'!$AC$59="Mayor"),CONCATENATE("R9C",'Mapa final'!$Q$59),"")</f>
        <v/>
      </c>
      <c r="AH34" s="39" t="str">
        <f>IF(AND('Mapa final'!$AA$54="Media",'Mapa final'!$AC$54="Catastrófico"),CONCATENATE("R9C",'Mapa final'!$Q$54),"")</f>
        <v/>
      </c>
      <c r="AI34" s="40" t="str">
        <f>IF(AND('Mapa final'!$AA$55="Media",'Mapa final'!$AC$55="Catastrófico"),CONCATENATE("R9C",'Mapa final'!$Q$55),"")</f>
        <v/>
      </c>
      <c r="AJ34" s="40" t="str">
        <f>IF(AND('Mapa final'!$AA$56="Media",'Mapa final'!$AC$56="Catastrófico"),CONCATENATE("R9C",'Mapa final'!$Q$56),"")</f>
        <v/>
      </c>
      <c r="AK34" s="40" t="str">
        <f>IF(AND('Mapa final'!$AA$57="Media",'Mapa final'!$AC$57="Catastrófico"),CONCATENATE("R9C",'Mapa final'!$Q$57),"")</f>
        <v/>
      </c>
      <c r="AL34" s="40" t="str">
        <f>IF(AND('Mapa final'!$AA$58="Media",'Mapa final'!$AC$58="Catastrófico"),CONCATENATE("R9C",'Mapa final'!$Q$58),"")</f>
        <v/>
      </c>
      <c r="AM34" s="41" t="str">
        <f>IF(AND('Mapa final'!$AA$59="Media",'Mapa final'!$AC$59="Catastrófico"),CONCATENATE("R9C",'Mapa final'!$Q$59),"")</f>
        <v/>
      </c>
      <c r="AN34" s="67"/>
      <c r="AO34" s="437"/>
      <c r="AP34" s="438"/>
      <c r="AQ34" s="438"/>
      <c r="AR34" s="438"/>
      <c r="AS34" s="438"/>
      <c r="AT34" s="439"/>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row>
    <row r="35" spans="1:80" ht="15.75" customHeight="1" thickBot="1" x14ac:dyDescent="0.35">
      <c r="A35" s="67"/>
      <c r="B35" s="356"/>
      <c r="C35" s="356"/>
      <c r="D35" s="357"/>
      <c r="E35" s="400"/>
      <c r="F35" s="401"/>
      <c r="G35" s="401"/>
      <c r="H35" s="401"/>
      <c r="I35" s="402"/>
      <c r="J35" s="51" t="str">
        <f>IF(AND('Mapa final'!$AA$60="Media",'Mapa final'!$AC$60="Leve"),CONCATENATE("R10C",'Mapa final'!$Q$60),"")</f>
        <v/>
      </c>
      <c r="K35" s="52" t="str">
        <f>IF(AND('Mapa final'!$AA$61="Media",'Mapa final'!$AC$61="Leve"),CONCATENATE("R10C",'Mapa final'!$Q$61),"")</f>
        <v/>
      </c>
      <c r="L35" s="52" t="str">
        <f>IF(AND('Mapa final'!$AA$62="Media",'Mapa final'!$AC$62="Leve"),CONCATENATE("R10C",'Mapa final'!$Q$62),"")</f>
        <v/>
      </c>
      <c r="M35" s="52" t="str">
        <f>IF(AND('Mapa final'!$AA$63="Media",'Mapa final'!$AC$63="Leve"),CONCATENATE("R10C",'Mapa final'!$Q$63),"")</f>
        <v/>
      </c>
      <c r="N35" s="52" t="str">
        <f>IF(AND('Mapa final'!$AA$64="Media",'Mapa final'!$AC$64="Leve"),CONCATENATE("R10C",'Mapa final'!$Q$64),"")</f>
        <v/>
      </c>
      <c r="O35" s="53" t="str">
        <f>IF(AND('Mapa final'!$AA$65="Media",'Mapa final'!$AC$65="Leve"),CONCATENATE("R10C",'Mapa final'!$Q$65),"")</f>
        <v/>
      </c>
      <c r="P35" s="51" t="str">
        <f>IF(AND('Mapa final'!$AA$60="Media",'Mapa final'!$AC$60="Menor"),CONCATENATE("R10C",'Mapa final'!$Q$60),"")</f>
        <v/>
      </c>
      <c r="Q35" s="52" t="str">
        <f>IF(AND('Mapa final'!$AA$61="Media",'Mapa final'!$AC$61="Menor"),CONCATENATE("R10C",'Mapa final'!$Q$61),"")</f>
        <v/>
      </c>
      <c r="R35" s="52" t="str">
        <f>IF(AND('Mapa final'!$AA$62="Media",'Mapa final'!$AC$62="Menor"),CONCATENATE("R10C",'Mapa final'!$Q$62),"")</f>
        <v/>
      </c>
      <c r="S35" s="52" t="str">
        <f>IF(AND('Mapa final'!$AA$63="Media",'Mapa final'!$AC$63="Menor"),CONCATENATE("R10C",'Mapa final'!$Q$63),"")</f>
        <v/>
      </c>
      <c r="T35" s="52" t="str">
        <f>IF(AND('Mapa final'!$AA$64="Media",'Mapa final'!$AC$64="Menor"),CONCATENATE("R10C",'Mapa final'!$Q$64),"")</f>
        <v/>
      </c>
      <c r="U35" s="53" t="str">
        <f>IF(AND('Mapa final'!$AA$65="Media",'Mapa final'!$AC$65="Menor"),CONCATENATE("R10C",'Mapa final'!$Q$65),"")</f>
        <v/>
      </c>
      <c r="V35" s="51" t="str">
        <f>IF(AND('Mapa final'!$AA$60="Media",'Mapa final'!$AC$60="Moderado"),CONCATENATE("R10C",'Mapa final'!$Q$60),"")</f>
        <v/>
      </c>
      <c r="W35" s="52" t="str">
        <f>IF(AND('Mapa final'!$AA$61="Media",'Mapa final'!$AC$61="Moderado"),CONCATENATE("R10C",'Mapa final'!$Q$61),"")</f>
        <v/>
      </c>
      <c r="X35" s="52" t="str">
        <f>IF(AND('Mapa final'!$AA$62="Media",'Mapa final'!$AC$62="Moderado"),CONCATENATE("R10C",'Mapa final'!$Q$62),"")</f>
        <v/>
      </c>
      <c r="Y35" s="52" t="str">
        <f>IF(AND('Mapa final'!$AA$63="Media",'Mapa final'!$AC$63="Moderado"),CONCATENATE("R10C",'Mapa final'!$Q$63),"")</f>
        <v/>
      </c>
      <c r="Z35" s="52" t="str">
        <f>IF(AND('Mapa final'!$AA$64="Media",'Mapa final'!$AC$64="Moderado"),CONCATENATE("R10C",'Mapa final'!$Q$64),"")</f>
        <v/>
      </c>
      <c r="AA35" s="53" t="str">
        <f>IF(AND('Mapa final'!$AA$65="Media",'Mapa final'!$AC$65="Moderado"),CONCATENATE("R10C",'Mapa final'!$Q$65),"")</f>
        <v/>
      </c>
      <c r="AB35" s="42" t="str">
        <f>IF(AND('Mapa final'!$AA$60="Media",'Mapa final'!$AC$60="Mayor"),CONCATENATE("R10C",'Mapa final'!$Q$60),"")</f>
        <v/>
      </c>
      <c r="AC35" s="43" t="str">
        <f>IF(AND('Mapa final'!$AA$61="Media",'Mapa final'!$AC$61="Mayor"),CONCATENATE("R10C",'Mapa final'!$Q$61),"")</f>
        <v/>
      </c>
      <c r="AD35" s="43" t="str">
        <f>IF(AND('Mapa final'!$AA$62="Media",'Mapa final'!$AC$62="Mayor"),CONCATENATE("R10C",'Mapa final'!$Q$62),"")</f>
        <v/>
      </c>
      <c r="AE35" s="43" t="str">
        <f>IF(AND('Mapa final'!$AA$63="Media",'Mapa final'!$AC$63="Mayor"),CONCATENATE("R10C",'Mapa final'!$Q$63),"")</f>
        <v/>
      </c>
      <c r="AF35" s="43" t="str">
        <f>IF(AND('Mapa final'!$AA$64="Media",'Mapa final'!$AC$64="Mayor"),CONCATENATE("R10C",'Mapa final'!$Q$64),"")</f>
        <v/>
      </c>
      <c r="AG35" s="44" t="str">
        <f>IF(AND('Mapa final'!$AA$65="Media",'Mapa final'!$AC$65="Mayor"),CONCATENATE("R10C",'Mapa final'!$Q$65),"")</f>
        <v/>
      </c>
      <c r="AH35" s="45" t="str">
        <f>IF(AND('Mapa final'!$AA$60="Media",'Mapa final'!$AC$60="Catastrófico"),CONCATENATE("R10C",'Mapa final'!$Q$60),"")</f>
        <v/>
      </c>
      <c r="AI35" s="46" t="str">
        <f>IF(AND('Mapa final'!$AA$61="Media",'Mapa final'!$AC$61="Catastrófico"),CONCATENATE("R10C",'Mapa final'!$Q$61),"")</f>
        <v/>
      </c>
      <c r="AJ35" s="46" t="str">
        <f>IF(AND('Mapa final'!$AA$62="Media",'Mapa final'!$AC$62="Catastrófico"),CONCATENATE("R10C",'Mapa final'!$Q$62),"")</f>
        <v/>
      </c>
      <c r="AK35" s="46" t="str">
        <f>IF(AND('Mapa final'!$AA$63="Media",'Mapa final'!$AC$63="Catastrófico"),CONCATENATE("R10C",'Mapa final'!$Q$63),"")</f>
        <v/>
      </c>
      <c r="AL35" s="46" t="str">
        <f>IF(AND('Mapa final'!$AA$64="Media",'Mapa final'!$AC$64="Catastrófico"),CONCATENATE("R10C",'Mapa final'!$Q$64),"")</f>
        <v/>
      </c>
      <c r="AM35" s="47" t="str">
        <f>IF(AND('Mapa final'!$AA$65="Media",'Mapa final'!$AC$65="Catastrófico"),CONCATENATE("R10C",'Mapa final'!$Q$65),"")</f>
        <v/>
      </c>
      <c r="AN35" s="67"/>
      <c r="AO35" s="440"/>
      <c r="AP35" s="441"/>
      <c r="AQ35" s="441"/>
      <c r="AR35" s="441"/>
      <c r="AS35" s="441"/>
      <c r="AT35" s="442"/>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row>
    <row r="36" spans="1:80" ht="15" customHeight="1" x14ac:dyDescent="0.3">
      <c r="A36" s="67"/>
      <c r="B36" s="356"/>
      <c r="C36" s="356"/>
      <c r="D36" s="357"/>
      <c r="E36" s="394" t="s">
        <v>109</v>
      </c>
      <c r="F36" s="395"/>
      <c r="G36" s="395"/>
      <c r="H36" s="395"/>
      <c r="I36" s="395"/>
      <c r="J36" s="57" t="str">
        <f ca="1">IF(AND('Mapa final'!$AA$10="Baja",'Mapa final'!$AC$10="Leve"),CONCATENATE("R1C",'Mapa final'!$Q$10),"")</f>
        <v/>
      </c>
      <c r="K36" s="58" t="str">
        <f>IF(AND('Mapa final'!$AA$11="Baja",'Mapa final'!$AC$11="Leve"),CONCATENATE("R1C",'Mapa final'!$Q$11),"")</f>
        <v/>
      </c>
      <c r="L36" s="58" t="str">
        <f>IF(AND('Mapa final'!$AA$12="Baja",'Mapa final'!$AC$12="Leve"),CONCATENATE("R1C",'Mapa final'!$Q$12),"")</f>
        <v/>
      </c>
      <c r="M36" s="58" t="str">
        <f>IF(AND('Mapa final'!$AA$13="Baja",'Mapa final'!$AC$13="Leve"),CONCATENATE("R1C",'Mapa final'!$Q$13),"")</f>
        <v/>
      </c>
      <c r="N36" s="58" t="e">
        <f>IF(AND('Mapa final'!#REF!="Baja",'Mapa final'!#REF!="Leve"),CONCATENATE("R1C",'Mapa final'!#REF!),"")</f>
        <v>#REF!</v>
      </c>
      <c r="O36" s="59" t="e">
        <f>IF(AND('Mapa final'!#REF!="Baja",'Mapa final'!#REF!="Leve"),CONCATENATE("R1C",'Mapa final'!#REF!),"")</f>
        <v>#REF!</v>
      </c>
      <c r="P36" s="48" t="str">
        <f ca="1">IF(AND('Mapa final'!$AA$10="Baja",'Mapa final'!$AC$10="Menor"),CONCATENATE("R1C",'Mapa final'!$Q$10),"")</f>
        <v/>
      </c>
      <c r="Q36" s="49" t="str">
        <f>IF(AND('Mapa final'!$AA$11="Baja",'Mapa final'!$AC$11="Menor"),CONCATENATE("R1C",'Mapa final'!$Q$11),"")</f>
        <v/>
      </c>
      <c r="R36" s="49" t="str">
        <f>IF(AND('Mapa final'!$AA$12="Baja",'Mapa final'!$AC$12="Menor"),CONCATENATE("R1C",'Mapa final'!$Q$12),"")</f>
        <v/>
      </c>
      <c r="S36" s="49" t="str">
        <f>IF(AND('Mapa final'!$AA$13="Baja",'Mapa final'!$AC$13="Menor"),CONCATENATE("R1C",'Mapa final'!$Q$13),"")</f>
        <v/>
      </c>
      <c r="T36" s="49" t="e">
        <f>IF(AND('Mapa final'!#REF!="Baja",'Mapa final'!#REF!="Menor"),CONCATENATE("R1C",'Mapa final'!#REF!),"")</f>
        <v>#REF!</v>
      </c>
      <c r="U36" s="50" t="e">
        <f>IF(AND('Mapa final'!#REF!="Baja",'Mapa final'!#REF!="Menor"),CONCATENATE("R1C",'Mapa final'!#REF!),"")</f>
        <v>#REF!</v>
      </c>
      <c r="V36" s="48" t="str">
        <f ca="1">IF(AND('Mapa final'!$AA$10="Baja",'Mapa final'!$AC$10="Moderado"),CONCATENATE("R1C",'Mapa final'!$Q$10),"")</f>
        <v/>
      </c>
      <c r="W36" s="49" t="str">
        <f>IF(AND('Mapa final'!$AA$11="Baja",'Mapa final'!$AC$11="Moderado"),CONCATENATE("R1C",'Mapa final'!$Q$11),"")</f>
        <v/>
      </c>
      <c r="X36" s="49" t="str">
        <f>IF(AND('Mapa final'!$AA$12="Baja",'Mapa final'!$AC$12="Moderado"),CONCATENATE("R1C",'Mapa final'!$Q$12),"")</f>
        <v/>
      </c>
      <c r="Y36" s="49" t="str">
        <f>IF(AND('Mapa final'!$AA$13="Baja",'Mapa final'!$AC$13="Moderado"),CONCATENATE("R1C",'Mapa final'!$Q$13),"")</f>
        <v/>
      </c>
      <c r="Z36" s="49" t="e">
        <f>IF(AND('Mapa final'!#REF!="Baja",'Mapa final'!#REF!="Moderado"),CONCATENATE("R1C",'Mapa final'!#REF!),"")</f>
        <v>#REF!</v>
      </c>
      <c r="AA36" s="50" t="e">
        <f>IF(AND('Mapa final'!#REF!="Baja",'Mapa final'!#REF!="Moderado"),CONCATENATE("R1C",'Mapa final'!#REF!),"")</f>
        <v>#REF!</v>
      </c>
      <c r="AB36" s="30" t="str">
        <f ca="1">IF(AND('Mapa final'!$AA$10="Baja",'Mapa final'!$AC$10="Mayor"),CONCATENATE("R1C",'Mapa final'!$Q$10),"")</f>
        <v>R1C1</v>
      </c>
      <c r="AC36" s="31" t="str">
        <f>IF(AND('Mapa final'!$AA$11="Baja",'Mapa final'!$AC$11="Mayor"),CONCATENATE("R1C",'Mapa final'!$Q$11),"")</f>
        <v/>
      </c>
      <c r="AD36" s="31" t="str">
        <f>IF(AND('Mapa final'!$AA$12="Baja",'Mapa final'!$AC$12="Mayor"),CONCATENATE("R1C",'Mapa final'!$Q$12),"")</f>
        <v/>
      </c>
      <c r="AE36" s="31" t="str">
        <f>IF(AND('Mapa final'!$AA$13="Baja",'Mapa final'!$AC$13="Mayor"),CONCATENATE("R1C",'Mapa final'!$Q$13),"")</f>
        <v/>
      </c>
      <c r="AF36" s="31" t="e">
        <f>IF(AND('Mapa final'!#REF!="Baja",'Mapa final'!#REF!="Mayor"),CONCATENATE("R1C",'Mapa final'!#REF!),"")</f>
        <v>#REF!</v>
      </c>
      <c r="AG36" s="32" t="e">
        <f>IF(AND('Mapa final'!#REF!="Baja",'Mapa final'!#REF!="Mayor"),CONCATENATE("R1C",'Mapa final'!#REF!),"")</f>
        <v>#REF!</v>
      </c>
      <c r="AH36" s="33" t="str">
        <f ca="1">IF(AND('Mapa final'!$AA$10="Baja",'Mapa final'!$AC$10="Catastrófico"),CONCATENATE("R1C",'Mapa final'!$Q$10),"")</f>
        <v/>
      </c>
      <c r="AI36" s="34" t="str">
        <f>IF(AND('Mapa final'!$AA$11="Baja",'Mapa final'!$AC$11="Catastrófico"),CONCATENATE("R1C",'Mapa final'!$Q$11),"")</f>
        <v/>
      </c>
      <c r="AJ36" s="34" t="str">
        <f>IF(AND('Mapa final'!$AA$12="Baja",'Mapa final'!$AC$12="Catastrófico"),CONCATENATE("R1C",'Mapa final'!$Q$12),"")</f>
        <v/>
      </c>
      <c r="AK36" s="34" t="str">
        <f>IF(AND('Mapa final'!$AA$13="Baja",'Mapa final'!$AC$13="Catastrófico"),CONCATENATE("R1C",'Mapa final'!$Q$13),"")</f>
        <v/>
      </c>
      <c r="AL36" s="34" t="e">
        <f>IF(AND('Mapa final'!#REF!="Baja",'Mapa final'!#REF!="Catastrófico"),CONCATENATE("R1C",'Mapa final'!#REF!),"")</f>
        <v>#REF!</v>
      </c>
      <c r="AM36" s="35" t="e">
        <f>IF(AND('Mapa final'!#REF!="Baja",'Mapa final'!#REF!="Catastrófico"),CONCATENATE("R1C",'Mapa final'!#REF!),"")</f>
        <v>#REF!</v>
      </c>
      <c r="AN36" s="67"/>
      <c r="AO36" s="425" t="s">
        <v>81</v>
      </c>
      <c r="AP36" s="426"/>
      <c r="AQ36" s="426"/>
      <c r="AR36" s="426"/>
      <c r="AS36" s="426"/>
      <c r="AT36" s="427"/>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row>
    <row r="37" spans="1:80" ht="15" customHeight="1" x14ac:dyDescent="0.3">
      <c r="A37" s="67"/>
      <c r="B37" s="356"/>
      <c r="C37" s="356"/>
      <c r="D37" s="357"/>
      <c r="E37" s="413"/>
      <c r="F37" s="398"/>
      <c r="G37" s="398"/>
      <c r="H37" s="398"/>
      <c r="I37" s="398"/>
      <c r="J37" s="60" t="str">
        <f ca="1">IF(AND('Mapa final'!$AA$14="Baja",'Mapa final'!$AC$14="Leve"),CONCATENATE("R2C",'Mapa final'!$Q$14),"")</f>
        <v/>
      </c>
      <c r="K37" s="61" t="str">
        <f ca="1">IF(AND('Mapa final'!$AA$15="Baja",'Mapa final'!$AC$15="Leve"),CONCATENATE("R2C",'Mapa final'!$Q$15),"")</f>
        <v/>
      </c>
      <c r="L37" s="61" t="str">
        <f ca="1">IF(AND('Mapa final'!$AA$16="Baja",'Mapa final'!$AC$16="Leve"),CONCATENATE("R2C",'Mapa final'!$Q$16),"")</f>
        <v/>
      </c>
      <c r="M37" s="61" t="e">
        <f>IF(AND('Mapa final'!#REF!="Baja",'Mapa final'!#REF!="Leve"),CONCATENATE("R2C",'Mapa final'!#REF!),"")</f>
        <v>#REF!</v>
      </c>
      <c r="N37" s="61" t="e">
        <f>IF(AND('Mapa final'!#REF!="Baja",'Mapa final'!#REF!="Leve"),CONCATENATE("R2C",'Mapa final'!#REF!),"")</f>
        <v>#REF!</v>
      </c>
      <c r="O37" s="62" t="str">
        <f>IF(AND('Mapa final'!$AA$17="Baja",'Mapa final'!$AC$17="Leve"),CONCATENATE("R2C",'Mapa final'!$Q$17),"")</f>
        <v/>
      </c>
      <c r="P37" s="51" t="str">
        <f ca="1">IF(AND('Mapa final'!$AA$14="Baja",'Mapa final'!$AC$14="Menor"),CONCATENATE("R2C",'Mapa final'!$Q$14),"")</f>
        <v/>
      </c>
      <c r="Q37" s="52" t="str">
        <f ca="1">IF(AND('Mapa final'!$AA$15="Baja",'Mapa final'!$AC$15="Menor"),CONCATENATE("R2C",'Mapa final'!$Q$15),"")</f>
        <v/>
      </c>
      <c r="R37" s="52" t="str">
        <f ca="1">IF(AND('Mapa final'!$AA$16="Baja",'Mapa final'!$AC$16="Menor"),CONCATENATE("R2C",'Mapa final'!$Q$16),"")</f>
        <v/>
      </c>
      <c r="S37" s="52" t="e">
        <f>IF(AND('Mapa final'!#REF!="Baja",'Mapa final'!#REF!="Menor"),CONCATENATE("R2C",'Mapa final'!#REF!),"")</f>
        <v>#REF!</v>
      </c>
      <c r="T37" s="52" t="e">
        <f>IF(AND('Mapa final'!#REF!="Baja",'Mapa final'!#REF!="Menor"),CONCATENATE("R2C",'Mapa final'!#REF!),"")</f>
        <v>#REF!</v>
      </c>
      <c r="U37" s="53" t="str">
        <f>IF(AND('Mapa final'!$AA$17="Baja",'Mapa final'!$AC$17="Menor"),CONCATENATE("R2C",'Mapa final'!$Q$17),"")</f>
        <v/>
      </c>
      <c r="V37" s="51" t="str">
        <f ca="1">IF(AND('Mapa final'!$AA$14="Baja",'Mapa final'!$AC$14="Moderado"),CONCATENATE("R2C",'Mapa final'!$Q$14),"")</f>
        <v/>
      </c>
      <c r="W37" s="52" t="str">
        <f ca="1">IF(AND('Mapa final'!$AA$15="Baja",'Mapa final'!$AC$15="Moderado"),CONCATENATE("R2C",'Mapa final'!$Q$15),"")</f>
        <v/>
      </c>
      <c r="X37" s="52" t="str">
        <f ca="1">IF(AND('Mapa final'!$AA$16="Baja",'Mapa final'!$AC$16="Moderado"),CONCATENATE("R2C",'Mapa final'!$Q$16),"")</f>
        <v/>
      </c>
      <c r="Y37" s="52" t="e">
        <f>IF(AND('Mapa final'!#REF!="Baja",'Mapa final'!#REF!="Moderado"),CONCATENATE("R2C",'Mapa final'!#REF!),"")</f>
        <v>#REF!</v>
      </c>
      <c r="Z37" s="52" t="e">
        <f>IF(AND('Mapa final'!#REF!="Baja",'Mapa final'!#REF!="Moderado"),CONCATENATE("R2C",'Mapa final'!#REF!),"")</f>
        <v>#REF!</v>
      </c>
      <c r="AA37" s="53" t="str">
        <f>IF(AND('Mapa final'!$AA$17="Baja",'Mapa final'!$AC$17="Moderado"),CONCATENATE("R2C",'Mapa final'!$Q$17),"")</f>
        <v/>
      </c>
      <c r="AB37" s="36" t="str">
        <f ca="1">IF(AND('Mapa final'!$AA$14="Baja",'Mapa final'!$AC$14="Mayor"),CONCATENATE("R2C",'Mapa final'!$Q$14),"")</f>
        <v>R2C1</v>
      </c>
      <c r="AC37" s="37" t="str">
        <f ca="1">IF(AND('Mapa final'!$AA$15="Baja",'Mapa final'!$AC$15="Mayor"),CONCATENATE("R2C",'Mapa final'!$Q$15),"")</f>
        <v>R2C2</v>
      </c>
      <c r="AD37" s="37" t="str">
        <f ca="1">IF(AND('Mapa final'!$AA$16="Baja",'Mapa final'!$AC$16="Mayor"),CONCATENATE("R2C",'Mapa final'!$Q$16),"")</f>
        <v/>
      </c>
      <c r="AE37" s="37" t="e">
        <f>IF(AND('Mapa final'!#REF!="Baja",'Mapa final'!#REF!="Mayor"),CONCATENATE("R2C",'Mapa final'!#REF!),"")</f>
        <v>#REF!</v>
      </c>
      <c r="AF37" s="37" t="e">
        <f>IF(AND('Mapa final'!#REF!="Baja",'Mapa final'!#REF!="Mayor"),CONCATENATE("R2C",'Mapa final'!#REF!),"")</f>
        <v>#REF!</v>
      </c>
      <c r="AG37" s="38" t="str">
        <f>IF(AND('Mapa final'!$AA$17="Baja",'Mapa final'!$AC$17="Mayor"),CONCATENATE("R2C",'Mapa final'!$Q$17),"")</f>
        <v/>
      </c>
      <c r="AH37" s="39" t="str">
        <f ca="1">IF(AND('Mapa final'!$AA$14="Baja",'Mapa final'!$AC$14="Catastrófico"),CONCATENATE("R2C",'Mapa final'!$Q$14),"")</f>
        <v/>
      </c>
      <c r="AI37" s="40" t="str">
        <f ca="1">IF(AND('Mapa final'!$AA$15="Baja",'Mapa final'!$AC$15="Catastrófico"),CONCATENATE("R2C",'Mapa final'!$Q$15),"")</f>
        <v/>
      </c>
      <c r="AJ37" s="40" t="str">
        <f ca="1">IF(AND('Mapa final'!$AA$16="Baja",'Mapa final'!$AC$16="Catastrófico"),CONCATENATE("R2C",'Mapa final'!$Q$16),"")</f>
        <v/>
      </c>
      <c r="AK37" s="40" t="e">
        <f>IF(AND('Mapa final'!#REF!="Baja",'Mapa final'!#REF!="Catastrófico"),CONCATENATE("R2C",'Mapa final'!#REF!),"")</f>
        <v>#REF!</v>
      </c>
      <c r="AL37" s="40" t="e">
        <f>IF(AND('Mapa final'!#REF!="Baja",'Mapa final'!#REF!="Catastrófico"),CONCATENATE("R2C",'Mapa final'!#REF!),"")</f>
        <v>#REF!</v>
      </c>
      <c r="AM37" s="41" t="str">
        <f>IF(AND('Mapa final'!$AA$17="Baja",'Mapa final'!$AC$17="Catastrófico"),CONCATENATE("R2C",'Mapa final'!$Q$17),"")</f>
        <v/>
      </c>
      <c r="AN37" s="67"/>
      <c r="AO37" s="428"/>
      <c r="AP37" s="429"/>
      <c r="AQ37" s="429"/>
      <c r="AR37" s="429"/>
      <c r="AS37" s="429"/>
      <c r="AT37" s="430"/>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row>
    <row r="38" spans="1:80" ht="15" customHeight="1" x14ac:dyDescent="0.3">
      <c r="A38" s="67"/>
      <c r="B38" s="356"/>
      <c r="C38" s="356"/>
      <c r="D38" s="357"/>
      <c r="E38" s="397"/>
      <c r="F38" s="398"/>
      <c r="G38" s="398"/>
      <c r="H38" s="398"/>
      <c r="I38" s="398"/>
      <c r="J38" s="60" t="str">
        <f>IF(AND('Mapa final'!$AA$18="Baja",'Mapa final'!$AC$18="Leve"),CONCATENATE("R3C",'Mapa final'!$Q$18),"")</f>
        <v/>
      </c>
      <c r="K38" s="61" t="str">
        <f>IF(AND('Mapa final'!$AA$19="Baja",'Mapa final'!$AC$19="Leve"),CONCATENATE("R3C",'Mapa final'!$Q$19),"")</f>
        <v/>
      </c>
      <c r="L38" s="61" t="str">
        <f>IF(AND('Mapa final'!$AA$20="Baja",'Mapa final'!$AC$20="Leve"),CONCATENATE("R3C",'Mapa final'!$Q$20),"")</f>
        <v/>
      </c>
      <c r="M38" s="61" t="str">
        <f>IF(AND('Mapa final'!$AA$21="Baja",'Mapa final'!$AC$21="Leve"),CONCATENATE("R3C",'Mapa final'!$Q$21),"")</f>
        <v/>
      </c>
      <c r="N38" s="61" t="str">
        <f>IF(AND('Mapa final'!$AA$22="Baja",'Mapa final'!$AC$22="Leve"),CONCATENATE("R3C",'Mapa final'!$Q$22),"")</f>
        <v/>
      </c>
      <c r="O38" s="62" t="str">
        <f>IF(AND('Mapa final'!$AA$23="Baja",'Mapa final'!$AC$23="Leve"),CONCATENATE("R3C",'Mapa final'!$Q$23),"")</f>
        <v/>
      </c>
      <c r="P38" s="51" t="str">
        <f>IF(AND('Mapa final'!$AA$18="Baja",'Mapa final'!$AC$18="Menor"),CONCATENATE("R3C",'Mapa final'!$Q$18),"")</f>
        <v/>
      </c>
      <c r="Q38" s="52" t="str">
        <f>IF(AND('Mapa final'!$AA$19="Baja",'Mapa final'!$AC$19="Menor"),CONCATENATE("R3C",'Mapa final'!$Q$19),"")</f>
        <v/>
      </c>
      <c r="R38" s="52" t="str">
        <f>IF(AND('Mapa final'!$AA$20="Baja",'Mapa final'!$AC$20="Menor"),CONCATENATE("R3C",'Mapa final'!$Q$20),"")</f>
        <v/>
      </c>
      <c r="S38" s="52" t="str">
        <f>IF(AND('Mapa final'!$AA$21="Baja",'Mapa final'!$AC$21="Menor"),CONCATENATE("R3C",'Mapa final'!$Q$21),"")</f>
        <v/>
      </c>
      <c r="T38" s="52" t="str">
        <f>IF(AND('Mapa final'!$AA$22="Baja",'Mapa final'!$AC$22="Menor"),CONCATENATE("R3C",'Mapa final'!$Q$22),"")</f>
        <v/>
      </c>
      <c r="U38" s="53" t="str">
        <f>IF(AND('Mapa final'!$AA$23="Baja",'Mapa final'!$AC$23="Menor"),CONCATENATE("R3C",'Mapa final'!$Q$23),"")</f>
        <v/>
      </c>
      <c r="V38" s="51" t="str">
        <f>IF(AND('Mapa final'!$AA$18="Baja",'Mapa final'!$AC$18="Moderado"),CONCATENATE("R3C",'Mapa final'!$Q$18),"")</f>
        <v/>
      </c>
      <c r="W38" s="52" t="str">
        <f>IF(AND('Mapa final'!$AA$19="Baja",'Mapa final'!$AC$19="Moderado"),CONCATENATE("R3C",'Mapa final'!$Q$19),"")</f>
        <v/>
      </c>
      <c r="X38" s="52" t="str">
        <f>IF(AND('Mapa final'!$AA$20="Baja",'Mapa final'!$AC$20="Moderado"),CONCATENATE("R3C",'Mapa final'!$Q$20),"")</f>
        <v/>
      </c>
      <c r="Y38" s="52" t="str">
        <f>IF(AND('Mapa final'!$AA$21="Baja",'Mapa final'!$AC$21="Moderado"),CONCATENATE("R3C",'Mapa final'!$Q$21),"")</f>
        <v/>
      </c>
      <c r="Z38" s="52" t="str">
        <f>IF(AND('Mapa final'!$AA$22="Baja",'Mapa final'!$AC$22="Moderado"),CONCATENATE("R3C",'Mapa final'!$Q$22),"")</f>
        <v/>
      </c>
      <c r="AA38" s="53" t="str">
        <f>IF(AND('Mapa final'!$AA$23="Baja",'Mapa final'!$AC$23="Moderado"),CONCATENATE("R3C",'Mapa final'!$Q$23),"")</f>
        <v/>
      </c>
      <c r="AB38" s="36" t="str">
        <f>IF(AND('Mapa final'!$AA$18="Baja",'Mapa final'!$AC$18="Mayor"),CONCATENATE("R3C",'Mapa final'!$Q$18),"")</f>
        <v/>
      </c>
      <c r="AC38" s="37" t="str">
        <f>IF(AND('Mapa final'!$AA$19="Baja",'Mapa final'!$AC$19="Mayor"),CONCATENATE("R3C",'Mapa final'!$Q$19),"")</f>
        <v/>
      </c>
      <c r="AD38" s="37" t="str">
        <f>IF(AND('Mapa final'!$AA$20="Baja",'Mapa final'!$AC$20="Mayor"),CONCATENATE("R3C",'Mapa final'!$Q$20),"")</f>
        <v/>
      </c>
      <c r="AE38" s="37" t="str">
        <f>IF(AND('Mapa final'!$AA$21="Baja",'Mapa final'!$AC$21="Mayor"),CONCATENATE("R3C",'Mapa final'!$Q$21),"")</f>
        <v/>
      </c>
      <c r="AF38" s="37" t="str">
        <f>IF(AND('Mapa final'!$AA$22="Baja",'Mapa final'!$AC$22="Mayor"),CONCATENATE("R3C",'Mapa final'!$Q$22),"")</f>
        <v/>
      </c>
      <c r="AG38" s="38" t="str">
        <f>IF(AND('Mapa final'!$AA$23="Baja",'Mapa final'!$AC$23="Mayor"),CONCATENATE("R3C",'Mapa final'!$Q$23),"")</f>
        <v/>
      </c>
      <c r="AH38" s="39" t="str">
        <f>IF(AND('Mapa final'!$AA$18="Baja",'Mapa final'!$AC$18="Catastrófico"),CONCATENATE("R3C",'Mapa final'!$Q$18),"")</f>
        <v/>
      </c>
      <c r="AI38" s="40" t="str">
        <f>IF(AND('Mapa final'!$AA$19="Baja",'Mapa final'!$AC$19="Catastrófico"),CONCATENATE("R3C",'Mapa final'!$Q$19),"")</f>
        <v/>
      </c>
      <c r="AJ38" s="40" t="str">
        <f>IF(AND('Mapa final'!$AA$20="Baja",'Mapa final'!$AC$20="Catastrófico"),CONCATENATE("R3C",'Mapa final'!$Q$20),"")</f>
        <v/>
      </c>
      <c r="AK38" s="40" t="str">
        <f>IF(AND('Mapa final'!$AA$21="Baja",'Mapa final'!$AC$21="Catastrófico"),CONCATENATE("R3C",'Mapa final'!$Q$21),"")</f>
        <v/>
      </c>
      <c r="AL38" s="40" t="str">
        <f>IF(AND('Mapa final'!$AA$22="Baja",'Mapa final'!$AC$22="Catastrófico"),CONCATENATE("R3C",'Mapa final'!$Q$22),"")</f>
        <v/>
      </c>
      <c r="AM38" s="41" t="str">
        <f>IF(AND('Mapa final'!$AA$23="Baja",'Mapa final'!$AC$23="Catastrófico"),CONCATENATE("R3C",'Mapa final'!$Q$23),"")</f>
        <v/>
      </c>
      <c r="AN38" s="67"/>
      <c r="AO38" s="428"/>
      <c r="AP38" s="429"/>
      <c r="AQ38" s="429"/>
      <c r="AR38" s="429"/>
      <c r="AS38" s="429"/>
      <c r="AT38" s="430"/>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row>
    <row r="39" spans="1:80" ht="15" customHeight="1" x14ac:dyDescent="0.3">
      <c r="A39" s="67"/>
      <c r="B39" s="356"/>
      <c r="C39" s="356"/>
      <c r="D39" s="357"/>
      <c r="E39" s="397"/>
      <c r="F39" s="398"/>
      <c r="G39" s="398"/>
      <c r="H39" s="398"/>
      <c r="I39" s="398"/>
      <c r="J39" s="60" t="str">
        <f>IF(AND('Mapa final'!$AA$24="Baja",'Mapa final'!$AC$24="Leve"),CONCATENATE("R4C",'Mapa final'!$Q$24),"")</f>
        <v/>
      </c>
      <c r="K39" s="61" t="str">
        <f>IF(AND('Mapa final'!$AA$25="Baja",'Mapa final'!$AC$25="Leve"),CONCATENATE("R4C",'Mapa final'!$Q$25),"")</f>
        <v/>
      </c>
      <c r="L39" s="61" t="str">
        <f>IF(AND('Mapa final'!$AA$26="Baja",'Mapa final'!$AC$26="Leve"),CONCATENATE("R4C",'Mapa final'!$Q$26),"")</f>
        <v/>
      </c>
      <c r="M39" s="61" t="str">
        <f>IF(AND('Mapa final'!$AA$27="Baja",'Mapa final'!$AC$27="Leve"),CONCATENATE("R4C",'Mapa final'!$Q$27),"")</f>
        <v/>
      </c>
      <c r="N39" s="61" t="str">
        <f>IF(AND('Mapa final'!$AA$28="Baja",'Mapa final'!$AC$28="Leve"),CONCATENATE("R4C",'Mapa final'!$Q$28),"")</f>
        <v/>
      </c>
      <c r="O39" s="62" t="str">
        <f>IF(AND('Mapa final'!$AA$29="Baja",'Mapa final'!$AC$29="Leve"),CONCATENATE("R4C",'Mapa final'!$Q$29),"")</f>
        <v/>
      </c>
      <c r="P39" s="51" t="str">
        <f>IF(AND('Mapa final'!$AA$24="Baja",'Mapa final'!$AC$24="Menor"),CONCATENATE("R4C",'Mapa final'!$Q$24),"")</f>
        <v/>
      </c>
      <c r="Q39" s="52" t="str">
        <f>IF(AND('Mapa final'!$AA$25="Baja",'Mapa final'!$AC$25="Menor"),CONCATENATE("R4C",'Mapa final'!$Q$25),"")</f>
        <v/>
      </c>
      <c r="R39" s="52" t="str">
        <f>IF(AND('Mapa final'!$AA$26="Baja",'Mapa final'!$AC$26="Menor"),CONCATENATE("R4C",'Mapa final'!$Q$26),"")</f>
        <v/>
      </c>
      <c r="S39" s="52" t="str">
        <f>IF(AND('Mapa final'!$AA$27="Baja",'Mapa final'!$AC$27="Menor"),CONCATENATE("R4C",'Mapa final'!$Q$27),"")</f>
        <v/>
      </c>
      <c r="T39" s="52" t="str">
        <f>IF(AND('Mapa final'!$AA$28="Baja",'Mapa final'!$AC$28="Menor"),CONCATENATE("R4C",'Mapa final'!$Q$28),"")</f>
        <v/>
      </c>
      <c r="U39" s="53" t="str">
        <f>IF(AND('Mapa final'!$AA$29="Baja",'Mapa final'!$AC$29="Menor"),CONCATENATE("R4C",'Mapa final'!$Q$29),"")</f>
        <v/>
      </c>
      <c r="V39" s="51" t="str">
        <f>IF(AND('Mapa final'!$AA$24="Baja",'Mapa final'!$AC$24="Moderado"),CONCATENATE("R4C",'Mapa final'!$Q$24),"")</f>
        <v/>
      </c>
      <c r="W39" s="52" t="str">
        <f>IF(AND('Mapa final'!$AA$25="Baja",'Mapa final'!$AC$25="Moderado"),CONCATENATE("R4C",'Mapa final'!$Q$25),"")</f>
        <v/>
      </c>
      <c r="X39" s="52" t="str">
        <f>IF(AND('Mapa final'!$AA$26="Baja",'Mapa final'!$AC$26="Moderado"),CONCATENATE("R4C",'Mapa final'!$Q$26),"")</f>
        <v/>
      </c>
      <c r="Y39" s="52" t="str">
        <f>IF(AND('Mapa final'!$AA$27="Baja",'Mapa final'!$AC$27="Moderado"),CONCATENATE("R4C",'Mapa final'!$Q$27),"")</f>
        <v/>
      </c>
      <c r="Z39" s="52" t="str">
        <f>IF(AND('Mapa final'!$AA$28="Baja",'Mapa final'!$AC$28="Moderado"),CONCATENATE("R4C",'Mapa final'!$Q$28),"")</f>
        <v/>
      </c>
      <c r="AA39" s="53" t="str">
        <f>IF(AND('Mapa final'!$AA$29="Baja",'Mapa final'!$AC$29="Moderado"),CONCATENATE("R4C",'Mapa final'!$Q$29),"")</f>
        <v/>
      </c>
      <c r="AB39" s="36" t="str">
        <f>IF(AND('Mapa final'!$AA$24="Baja",'Mapa final'!$AC$24="Mayor"),CONCATENATE("R4C",'Mapa final'!$Q$24),"")</f>
        <v/>
      </c>
      <c r="AC39" s="37" t="str">
        <f>IF(AND('Mapa final'!$AA$25="Baja",'Mapa final'!$AC$25="Mayor"),CONCATENATE("R4C",'Mapa final'!$Q$25),"")</f>
        <v/>
      </c>
      <c r="AD39" s="37" t="str">
        <f>IF(AND('Mapa final'!$AA$26="Baja",'Mapa final'!$AC$26="Mayor"),CONCATENATE("R4C",'Mapa final'!$Q$26),"")</f>
        <v/>
      </c>
      <c r="AE39" s="37" t="str">
        <f>IF(AND('Mapa final'!$AA$27="Baja",'Mapa final'!$AC$27="Mayor"),CONCATENATE("R4C",'Mapa final'!$Q$27),"")</f>
        <v/>
      </c>
      <c r="AF39" s="37" t="str">
        <f>IF(AND('Mapa final'!$AA$28="Baja",'Mapa final'!$AC$28="Mayor"),CONCATENATE("R4C",'Mapa final'!$Q$28),"")</f>
        <v/>
      </c>
      <c r="AG39" s="38" t="str">
        <f>IF(AND('Mapa final'!$AA$29="Baja",'Mapa final'!$AC$29="Mayor"),CONCATENATE("R4C",'Mapa final'!$Q$29),"")</f>
        <v/>
      </c>
      <c r="AH39" s="39" t="str">
        <f>IF(AND('Mapa final'!$AA$24="Baja",'Mapa final'!$AC$24="Catastrófico"),CONCATENATE("R4C",'Mapa final'!$Q$24),"")</f>
        <v/>
      </c>
      <c r="AI39" s="40" t="str">
        <f>IF(AND('Mapa final'!$AA$25="Baja",'Mapa final'!$AC$25="Catastrófico"),CONCATENATE("R4C",'Mapa final'!$Q$25),"")</f>
        <v/>
      </c>
      <c r="AJ39" s="40" t="str">
        <f>IF(AND('Mapa final'!$AA$26="Baja",'Mapa final'!$AC$26="Catastrófico"),CONCATENATE("R4C",'Mapa final'!$Q$26),"")</f>
        <v/>
      </c>
      <c r="AK39" s="40" t="str">
        <f>IF(AND('Mapa final'!$AA$27="Baja",'Mapa final'!$AC$27="Catastrófico"),CONCATENATE("R4C",'Mapa final'!$Q$27),"")</f>
        <v/>
      </c>
      <c r="AL39" s="40" t="str">
        <f>IF(AND('Mapa final'!$AA$28="Baja",'Mapa final'!$AC$28="Catastrófico"),CONCATENATE("R4C",'Mapa final'!$Q$28),"")</f>
        <v/>
      </c>
      <c r="AM39" s="41" t="str">
        <f>IF(AND('Mapa final'!$AA$29="Baja",'Mapa final'!$AC$29="Catastrófico"),CONCATENATE("R4C",'Mapa final'!$Q$29),"")</f>
        <v/>
      </c>
      <c r="AN39" s="67"/>
      <c r="AO39" s="428"/>
      <c r="AP39" s="429"/>
      <c r="AQ39" s="429"/>
      <c r="AR39" s="429"/>
      <c r="AS39" s="429"/>
      <c r="AT39" s="430"/>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row>
    <row r="40" spans="1:80" ht="15" customHeight="1" x14ac:dyDescent="0.3">
      <c r="A40" s="67"/>
      <c r="B40" s="356"/>
      <c r="C40" s="356"/>
      <c r="D40" s="357"/>
      <c r="E40" s="397"/>
      <c r="F40" s="398"/>
      <c r="G40" s="398"/>
      <c r="H40" s="398"/>
      <c r="I40" s="398"/>
      <c r="J40" s="60" t="str">
        <f>IF(AND('Mapa final'!$AA$30="Baja",'Mapa final'!$AC$30="Leve"),CONCATENATE("R5C",'Mapa final'!$Q$30),"")</f>
        <v/>
      </c>
      <c r="K40" s="61" t="str">
        <f>IF(AND('Mapa final'!$AA$31="Baja",'Mapa final'!$AC$31="Leve"),CONCATENATE("R5C",'Mapa final'!$Q$31),"")</f>
        <v/>
      </c>
      <c r="L40" s="61" t="str">
        <f>IF(AND('Mapa final'!$AA$32="Baja",'Mapa final'!$AC$32="Leve"),CONCATENATE("R5C",'Mapa final'!$Q$32),"")</f>
        <v/>
      </c>
      <c r="M40" s="61" t="str">
        <f>IF(AND('Mapa final'!$AA$33="Baja",'Mapa final'!$AC$33="Leve"),CONCATENATE("R5C",'Mapa final'!$Q$33),"")</f>
        <v/>
      </c>
      <c r="N40" s="61" t="str">
        <f>IF(AND('Mapa final'!$AA$34="Baja",'Mapa final'!$AC$34="Leve"),CONCATENATE("R5C",'Mapa final'!$Q$34),"")</f>
        <v/>
      </c>
      <c r="O40" s="62" t="str">
        <f>IF(AND('Mapa final'!$AA$35="Baja",'Mapa final'!$AC$35="Leve"),CONCATENATE("R5C",'Mapa final'!$Q$35),"")</f>
        <v/>
      </c>
      <c r="P40" s="51" t="str">
        <f>IF(AND('Mapa final'!$AA$30="Baja",'Mapa final'!$AC$30="Menor"),CONCATENATE("R5C",'Mapa final'!$Q$30),"")</f>
        <v/>
      </c>
      <c r="Q40" s="52" t="str">
        <f>IF(AND('Mapa final'!$AA$31="Baja",'Mapa final'!$AC$31="Menor"),CONCATENATE("R5C",'Mapa final'!$Q$31),"")</f>
        <v/>
      </c>
      <c r="R40" s="52" t="str">
        <f>IF(AND('Mapa final'!$AA$32="Baja",'Mapa final'!$AC$32="Menor"),CONCATENATE("R5C",'Mapa final'!$Q$32),"")</f>
        <v/>
      </c>
      <c r="S40" s="52" t="str">
        <f>IF(AND('Mapa final'!$AA$33="Baja",'Mapa final'!$AC$33="Menor"),CONCATENATE("R5C",'Mapa final'!$Q$33),"")</f>
        <v/>
      </c>
      <c r="T40" s="52" t="str">
        <f>IF(AND('Mapa final'!$AA$34="Baja",'Mapa final'!$AC$34="Menor"),CONCATENATE("R5C",'Mapa final'!$Q$34),"")</f>
        <v/>
      </c>
      <c r="U40" s="53" t="str">
        <f>IF(AND('Mapa final'!$AA$35="Baja",'Mapa final'!$AC$35="Menor"),CONCATENATE("R5C",'Mapa final'!$Q$35),"")</f>
        <v/>
      </c>
      <c r="V40" s="51" t="str">
        <f>IF(AND('Mapa final'!$AA$30="Baja",'Mapa final'!$AC$30="Moderado"),CONCATENATE("R5C",'Mapa final'!$Q$30),"")</f>
        <v/>
      </c>
      <c r="W40" s="52" t="str">
        <f>IF(AND('Mapa final'!$AA$31="Baja",'Mapa final'!$AC$31="Moderado"),CONCATENATE("R5C",'Mapa final'!$Q$31),"")</f>
        <v/>
      </c>
      <c r="X40" s="52" t="str">
        <f>IF(AND('Mapa final'!$AA$32="Baja",'Mapa final'!$AC$32="Moderado"),CONCATENATE("R5C",'Mapa final'!$Q$32),"")</f>
        <v/>
      </c>
      <c r="Y40" s="52" t="str">
        <f>IF(AND('Mapa final'!$AA$33="Baja",'Mapa final'!$AC$33="Moderado"),CONCATENATE("R5C",'Mapa final'!$Q$33),"")</f>
        <v/>
      </c>
      <c r="Z40" s="52" t="str">
        <f>IF(AND('Mapa final'!$AA$34="Baja",'Mapa final'!$AC$34="Moderado"),CONCATENATE("R5C",'Mapa final'!$Q$34),"")</f>
        <v/>
      </c>
      <c r="AA40" s="53" t="str">
        <f>IF(AND('Mapa final'!$AA$35="Baja",'Mapa final'!$AC$35="Moderado"),CONCATENATE("R5C",'Mapa final'!$Q$35),"")</f>
        <v/>
      </c>
      <c r="AB40" s="36" t="str">
        <f>IF(AND('Mapa final'!$AA$30="Baja",'Mapa final'!$AC$30="Mayor"),CONCATENATE("R5C",'Mapa final'!$Q$30),"")</f>
        <v/>
      </c>
      <c r="AC40" s="37" t="str">
        <f>IF(AND('Mapa final'!$AA$31="Baja",'Mapa final'!$AC$31="Mayor"),CONCATENATE("R5C",'Mapa final'!$Q$31),"")</f>
        <v/>
      </c>
      <c r="AD40" s="37" t="str">
        <f>IF(AND('Mapa final'!$AA$32="Baja",'Mapa final'!$AC$32="Mayor"),CONCATENATE("R5C",'Mapa final'!$Q$32),"")</f>
        <v/>
      </c>
      <c r="AE40" s="37" t="str">
        <f>IF(AND('Mapa final'!$AA$33="Baja",'Mapa final'!$AC$33="Mayor"),CONCATENATE("R5C",'Mapa final'!$Q$33),"")</f>
        <v/>
      </c>
      <c r="AF40" s="37" t="str">
        <f>IF(AND('Mapa final'!$AA$34="Baja",'Mapa final'!$AC$34="Mayor"),CONCATENATE("R5C",'Mapa final'!$Q$34),"")</f>
        <v/>
      </c>
      <c r="AG40" s="38" t="str">
        <f>IF(AND('Mapa final'!$AA$35="Baja",'Mapa final'!$AC$35="Mayor"),CONCATENATE("R5C",'Mapa final'!$Q$35),"")</f>
        <v/>
      </c>
      <c r="AH40" s="39" t="str">
        <f>IF(AND('Mapa final'!$AA$30="Baja",'Mapa final'!$AC$30="Catastrófico"),CONCATENATE("R5C",'Mapa final'!$Q$30),"")</f>
        <v/>
      </c>
      <c r="AI40" s="40" t="str">
        <f>IF(AND('Mapa final'!$AA$31="Baja",'Mapa final'!$AC$31="Catastrófico"),CONCATENATE("R5C",'Mapa final'!$Q$31),"")</f>
        <v/>
      </c>
      <c r="AJ40" s="40" t="str">
        <f>IF(AND('Mapa final'!$AA$32="Baja",'Mapa final'!$AC$32="Catastrófico"),CONCATENATE("R5C",'Mapa final'!$Q$32),"")</f>
        <v/>
      </c>
      <c r="AK40" s="40" t="str">
        <f>IF(AND('Mapa final'!$AA$33="Baja",'Mapa final'!$AC$33="Catastrófico"),CONCATENATE("R5C",'Mapa final'!$Q$33),"")</f>
        <v/>
      </c>
      <c r="AL40" s="40" t="str">
        <f>IF(AND('Mapa final'!$AA$34="Baja",'Mapa final'!$AC$34="Catastrófico"),CONCATENATE("R5C",'Mapa final'!$Q$34),"")</f>
        <v/>
      </c>
      <c r="AM40" s="41" t="str">
        <f>IF(AND('Mapa final'!$AA$35="Baja",'Mapa final'!$AC$35="Catastrófico"),CONCATENATE("R5C",'Mapa final'!$Q$35),"")</f>
        <v/>
      </c>
      <c r="AN40" s="67"/>
      <c r="AO40" s="428"/>
      <c r="AP40" s="429"/>
      <c r="AQ40" s="429"/>
      <c r="AR40" s="429"/>
      <c r="AS40" s="429"/>
      <c r="AT40" s="430"/>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row>
    <row r="41" spans="1:80" ht="15" customHeight="1" x14ac:dyDescent="0.3">
      <c r="A41" s="67"/>
      <c r="B41" s="356"/>
      <c r="C41" s="356"/>
      <c r="D41" s="357"/>
      <c r="E41" s="397"/>
      <c r="F41" s="398"/>
      <c r="G41" s="398"/>
      <c r="H41" s="398"/>
      <c r="I41" s="398"/>
      <c r="J41" s="60" t="str">
        <f>IF(AND('Mapa final'!$AA$36="Baja",'Mapa final'!$AC$36="Leve"),CONCATENATE("R6C",'Mapa final'!$Q$36),"")</f>
        <v/>
      </c>
      <c r="K41" s="61" t="str">
        <f>IF(AND('Mapa final'!$AA$37="Baja",'Mapa final'!$AC$37="Leve"),CONCATENATE("R6C",'Mapa final'!$Q$37),"")</f>
        <v/>
      </c>
      <c r="L41" s="61" t="str">
        <f>IF(AND('Mapa final'!$AA$38="Baja",'Mapa final'!$AC$38="Leve"),CONCATENATE("R6C",'Mapa final'!$Q$38),"")</f>
        <v/>
      </c>
      <c r="M41" s="61" t="str">
        <f>IF(AND('Mapa final'!$AA$39="Baja",'Mapa final'!$AC$39="Leve"),CONCATENATE("R6C",'Mapa final'!$Q$39),"")</f>
        <v/>
      </c>
      <c r="N41" s="61" t="str">
        <f>IF(AND('Mapa final'!$AA$40="Baja",'Mapa final'!$AC$40="Leve"),CONCATENATE("R6C",'Mapa final'!$Q$40),"")</f>
        <v/>
      </c>
      <c r="O41" s="62" t="str">
        <f>IF(AND('Mapa final'!$AA$41="Baja",'Mapa final'!$AC$41="Leve"),CONCATENATE("R6C",'Mapa final'!$Q$41),"")</f>
        <v/>
      </c>
      <c r="P41" s="51" t="str">
        <f>IF(AND('Mapa final'!$AA$36="Baja",'Mapa final'!$AC$36="Menor"),CONCATENATE("R6C",'Mapa final'!$Q$36),"")</f>
        <v/>
      </c>
      <c r="Q41" s="52" t="str">
        <f>IF(AND('Mapa final'!$AA$37="Baja",'Mapa final'!$AC$37="Menor"),CONCATENATE("R6C",'Mapa final'!$Q$37),"")</f>
        <v/>
      </c>
      <c r="R41" s="52" t="str">
        <f>IF(AND('Mapa final'!$AA$38="Baja",'Mapa final'!$AC$38="Menor"),CONCATENATE("R6C",'Mapa final'!$Q$38),"")</f>
        <v/>
      </c>
      <c r="S41" s="52" t="str">
        <f>IF(AND('Mapa final'!$AA$39="Baja",'Mapa final'!$AC$39="Menor"),CONCATENATE("R6C",'Mapa final'!$Q$39),"")</f>
        <v/>
      </c>
      <c r="T41" s="52" t="str">
        <f>IF(AND('Mapa final'!$AA$40="Baja",'Mapa final'!$AC$40="Menor"),CONCATENATE("R6C",'Mapa final'!$Q$40),"")</f>
        <v/>
      </c>
      <c r="U41" s="53" t="str">
        <f>IF(AND('Mapa final'!$AA$41="Baja",'Mapa final'!$AC$41="Menor"),CONCATENATE("R6C",'Mapa final'!$Q$41),"")</f>
        <v/>
      </c>
      <c r="V41" s="51" t="str">
        <f>IF(AND('Mapa final'!$AA$36="Baja",'Mapa final'!$AC$36="Moderado"),CONCATENATE("R6C",'Mapa final'!$Q$36),"")</f>
        <v/>
      </c>
      <c r="W41" s="52" t="str">
        <f>IF(AND('Mapa final'!$AA$37="Baja",'Mapa final'!$AC$37="Moderado"),CONCATENATE("R6C",'Mapa final'!$Q$37),"")</f>
        <v/>
      </c>
      <c r="X41" s="52" t="str">
        <f>IF(AND('Mapa final'!$AA$38="Baja",'Mapa final'!$AC$38="Moderado"),CONCATENATE("R6C",'Mapa final'!$Q$38),"")</f>
        <v/>
      </c>
      <c r="Y41" s="52" t="str">
        <f>IF(AND('Mapa final'!$AA$39="Baja",'Mapa final'!$AC$39="Moderado"),CONCATENATE("R6C",'Mapa final'!$Q$39),"")</f>
        <v/>
      </c>
      <c r="Z41" s="52" t="str">
        <f>IF(AND('Mapa final'!$AA$40="Baja",'Mapa final'!$AC$40="Moderado"),CONCATENATE("R6C",'Mapa final'!$Q$40),"")</f>
        <v/>
      </c>
      <c r="AA41" s="53" t="str">
        <f>IF(AND('Mapa final'!$AA$41="Baja",'Mapa final'!$AC$41="Moderado"),CONCATENATE("R6C",'Mapa final'!$Q$41),"")</f>
        <v/>
      </c>
      <c r="AB41" s="36" t="str">
        <f>IF(AND('Mapa final'!$AA$36="Baja",'Mapa final'!$AC$36="Mayor"),CONCATENATE("R6C",'Mapa final'!$Q$36),"")</f>
        <v/>
      </c>
      <c r="AC41" s="37" t="str">
        <f>IF(AND('Mapa final'!$AA$37="Baja",'Mapa final'!$AC$37="Mayor"),CONCATENATE("R6C",'Mapa final'!$Q$37),"")</f>
        <v/>
      </c>
      <c r="AD41" s="37" t="str">
        <f>IF(AND('Mapa final'!$AA$38="Baja",'Mapa final'!$AC$38="Mayor"),CONCATENATE("R6C",'Mapa final'!$Q$38),"")</f>
        <v/>
      </c>
      <c r="AE41" s="37" t="str">
        <f>IF(AND('Mapa final'!$AA$39="Baja",'Mapa final'!$AC$39="Mayor"),CONCATENATE("R6C",'Mapa final'!$Q$39),"")</f>
        <v/>
      </c>
      <c r="AF41" s="37" t="str">
        <f>IF(AND('Mapa final'!$AA$40="Baja",'Mapa final'!$AC$40="Mayor"),CONCATENATE("R6C",'Mapa final'!$Q$40),"")</f>
        <v/>
      </c>
      <c r="AG41" s="38" t="str">
        <f>IF(AND('Mapa final'!$AA$41="Baja",'Mapa final'!$AC$41="Mayor"),CONCATENATE("R6C",'Mapa final'!$Q$41),"")</f>
        <v/>
      </c>
      <c r="AH41" s="39" t="str">
        <f>IF(AND('Mapa final'!$AA$36="Baja",'Mapa final'!$AC$36="Catastrófico"),CONCATENATE("R6C",'Mapa final'!$Q$36),"")</f>
        <v/>
      </c>
      <c r="AI41" s="40" t="str">
        <f>IF(AND('Mapa final'!$AA$37="Baja",'Mapa final'!$AC$37="Catastrófico"),CONCATENATE("R6C",'Mapa final'!$Q$37),"")</f>
        <v/>
      </c>
      <c r="AJ41" s="40" t="str">
        <f>IF(AND('Mapa final'!$AA$38="Baja",'Mapa final'!$AC$38="Catastrófico"),CONCATENATE("R6C",'Mapa final'!$Q$38),"")</f>
        <v/>
      </c>
      <c r="AK41" s="40" t="str">
        <f>IF(AND('Mapa final'!$AA$39="Baja",'Mapa final'!$AC$39="Catastrófico"),CONCATENATE("R6C",'Mapa final'!$Q$39),"")</f>
        <v/>
      </c>
      <c r="AL41" s="40" t="str">
        <f>IF(AND('Mapa final'!$AA$40="Baja",'Mapa final'!$AC$40="Catastrófico"),CONCATENATE("R6C",'Mapa final'!$Q$40),"")</f>
        <v/>
      </c>
      <c r="AM41" s="41" t="str">
        <f>IF(AND('Mapa final'!$AA$41="Baja",'Mapa final'!$AC$41="Catastrófico"),CONCATENATE("R6C",'Mapa final'!$Q$41),"")</f>
        <v/>
      </c>
      <c r="AN41" s="67"/>
      <c r="AO41" s="428"/>
      <c r="AP41" s="429"/>
      <c r="AQ41" s="429"/>
      <c r="AR41" s="429"/>
      <c r="AS41" s="429"/>
      <c r="AT41" s="430"/>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row>
    <row r="42" spans="1:80" ht="15" customHeight="1" x14ac:dyDescent="0.3">
      <c r="A42" s="67"/>
      <c r="B42" s="356"/>
      <c r="C42" s="356"/>
      <c r="D42" s="357"/>
      <c r="E42" s="397"/>
      <c r="F42" s="398"/>
      <c r="G42" s="398"/>
      <c r="H42" s="398"/>
      <c r="I42" s="398"/>
      <c r="J42" s="60" t="str">
        <f>IF(AND('Mapa final'!$AA$42="Baja",'Mapa final'!$AC$42="Leve"),CONCATENATE("R7C",'Mapa final'!$Q$42),"")</f>
        <v/>
      </c>
      <c r="K42" s="61" t="str">
        <f>IF(AND('Mapa final'!$AA$43="Baja",'Mapa final'!$AC$43="Leve"),CONCATENATE("R7C",'Mapa final'!$Q$43),"")</f>
        <v/>
      </c>
      <c r="L42" s="61" t="str">
        <f>IF(AND('Mapa final'!$AA$44="Baja",'Mapa final'!$AC$44="Leve"),CONCATENATE("R7C",'Mapa final'!$Q$44),"")</f>
        <v/>
      </c>
      <c r="M42" s="61" t="str">
        <f>IF(AND('Mapa final'!$AA$45="Baja",'Mapa final'!$AC$45="Leve"),CONCATENATE("R7C",'Mapa final'!$Q$45),"")</f>
        <v/>
      </c>
      <c r="N42" s="61" t="str">
        <f>IF(AND('Mapa final'!$AA$46="Baja",'Mapa final'!$AC$46="Leve"),CONCATENATE("R7C",'Mapa final'!$Q$46),"")</f>
        <v/>
      </c>
      <c r="O42" s="62" t="str">
        <f>IF(AND('Mapa final'!$AA$47="Baja",'Mapa final'!$AC$47="Leve"),CONCATENATE("R7C",'Mapa final'!$Q$47),"")</f>
        <v/>
      </c>
      <c r="P42" s="51" t="str">
        <f>IF(AND('Mapa final'!$AA$42="Baja",'Mapa final'!$AC$42="Menor"),CONCATENATE("R7C",'Mapa final'!$Q$42),"")</f>
        <v/>
      </c>
      <c r="Q42" s="52" t="str">
        <f>IF(AND('Mapa final'!$AA$43="Baja",'Mapa final'!$AC$43="Menor"),CONCATENATE("R7C",'Mapa final'!$Q$43),"")</f>
        <v/>
      </c>
      <c r="R42" s="52" t="str">
        <f>IF(AND('Mapa final'!$AA$44="Baja",'Mapa final'!$AC$44="Menor"),CONCATENATE("R7C",'Mapa final'!$Q$44),"")</f>
        <v/>
      </c>
      <c r="S42" s="52" t="str">
        <f>IF(AND('Mapa final'!$AA$45="Baja",'Mapa final'!$AC$45="Menor"),CONCATENATE("R7C",'Mapa final'!$Q$45),"")</f>
        <v/>
      </c>
      <c r="T42" s="52" t="str">
        <f>IF(AND('Mapa final'!$AA$46="Baja",'Mapa final'!$AC$46="Menor"),CONCATENATE("R7C",'Mapa final'!$Q$46),"")</f>
        <v/>
      </c>
      <c r="U42" s="53" t="str">
        <f>IF(AND('Mapa final'!$AA$47="Baja",'Mapa final'!$AC$47="Menor"),CONCATENATE("R7C",'Mapa final'!$Q$47),"")</f>
        <v/>
      </c>
      <c r="V42" s="51" t="str">
        <f>IF(AND('Mapa final'!$AA$42="Baja",'Mapa final'!$AC$42="Moderado"),CONCATENATE("R7C",'Mapa final'!$Q$42),"")</f>
        <v/>
      </c>
      <c r="W42" s="52" t="str">
        <f>IF(AND('Mapa final'!$AA$43="Baja",'Mapa final'!$AC$43="Moderado"),CONCATENATE("R7C",'Mapa final'!$Q$43),"")</f>
        <v/>
      </c>
      <c r="X42" s="52" t="str">
        <f>IF(AND('Mapa final'!$AA$44="Baja",'Mapa final'!$AC$44="Moderado"),CONCATENATE("R7C",'Mapa final'!$Q$44),"")</f>
        <v/>
      </c>
      <c r="Y42" s="52" t="str">
        <f>IF(AND('Mapa final'!$AA$45="Baja",'Mapa final'!$AC$45="Moderado"),CONCATENATE("R7C",'Mapa final'!$Q$45),"")</f>
        <v/>
      </c>
      <c r="Z42" s="52" t="str">
        <f>IF(AND('Mapa final'!$AA$46="Baja",'Mapa final'!$AC$46="Moderado"),CONCATENATE("R7C",'Mapa final'!$Q$46),"")</f>
        <v/>
      </c>
      <c r="AA42" s="53" t="str">
        <f>IF(AND('Mapa final'!$AA$47="Baja",'Mapa final'!$AC$47="Moderado"),CONCATENATE("R7C",'Mapa final'!$Q$47),"")</f>
        <v/>
      </c>
      <c r="AB42" s="36" t="str">
        <f>IF(AND('Mapa final'!$AA$42="Baja",'Mapa final'!$AC$42="Mayor"),CONCATENATE("R7C",'Mapa final'!$Q$42),"")</f>
        <v/>
      </c>
      <c r="AC42" s="37" t="str">
        <f>IF(AND('Mapa final'!$AA$43="Baja",'Mapa final'!$AC$43="Mayor"),CONCATENATE("R7C",'Mapa final'!$Q$43),"")</f>
        <v/>
      </c>
      <c r="AD42" s="37" t="str">
        <f>IF(AND('Mapa final'!$AA$44="Baja",'Mapa final'!$AC$44="Mayor"),CONCATENATE("R7C",'Mapa final'!$Q$44),"")</f>
        <v/>
      </c>
      <c r="AE42" s="37" t="str">
        <f>IF(AND('Mapa final'!$AA$45="Baja",'Mapa final'!$AC$45="Mayor"),CONCATENATE("R7C",'Mapa final'!$Q$45),"")</f>
        <v/>
      </c>
      <c r="AF42" s="37" t="str">
        <f>IF(AND('Mapa final'!$AA$46="Baja",'Mapa final'!$AC$46="Mayor"),CONCATENATE("R7C",'Mapa final'!$Q$46),"")</f>
        <v/>
      </c>
      <c r="AG42" s="38" t="str">
        <f>IF(AND('Mapa final'!$AA$47="Baja",'Mapa final'!$AC$47="Mayor"),CONCATENATE("R7C",'Mapa final'!$Q$47),"")</f>
        <v/>
      </c>
      <c r="AH42" s="39" t="str">
        <f>IF(AND('Mapa final'!$AA$42="Baja",'Mapa final'!$AC$42="Catastrófico"),CONCATENATE("R7C",'Mapa final'!$Q$42),"")</f>
        <v/>
      </c>
      <c r="AI42" s="40" t="str">
        <f>IF(AND('Mapa final'!$AA$43="Baja",'Mapa final'!$AC$43="Catastrófico"),CONCATENATE("R7C",'Mapa final'!$Q$43),"")</f>
        <v/>
      </c>
      <c r="AJ42" s="40" t="str">
        <f>IF(AND('Mapa final'!$AA$44="Baja",'Mapa final'!$AC$44="Catastrófico"),CONCATENATE("R7C",'Mapa final'!$Q$44),"")</f>
        <v/>
      </c>
      <c r="AK42" s="40" t="str">
        <f>IF(AND('Mapa final'!$AA$45="Baja",'Mapa final'!$AC$45="Catastrófico"),CONCATENATE("R7C",'Mapa final'!$Q$45),"")</f>
        <v/>
      </c>
      <c r="AL42" s="40" t="str">
        <f>IF(AND('Mapa final'!$AA$46="Baja",'Mapa final'!$AC$46="Catastrófico"),CONCATENATE("R7C",'Mapa final'!$Q$46),"")</f>
        <v/>
      </c>
      <c r="AM42" s="41" t="str">
        <f>IF(AND('Mapa final'!$AA$47="Baja",'Mapa final'!$AC$47="Catastrófico"),CONCATENATE("R7C",'Mapa final'!$Q$47),"")</f>
        <v/>
      </c>
      <c r="AN42" s="67"/>
      <c r="AO42" s="428"/>
      <c r="AP42" s="429"/>
      <c r="AQ42" s="429"/>
      <c r="AR42" s="429"/>
      <c r="AS42" s="429"/>
      <c r="AT42" s="430"/>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row>
    <row r="43" spans="1:80" ht="15" customHeight="1" x14ac:dyDescent="0.3">
      <c r="A43" s="67"/>
      <c r="B43" s="356"/>
      <c r="C43" s="356"/>
      <c r="D43" s="357"/>
      <c r="E43" s="397"/>
      <c r="F43" s="398"/>
      <c r="G43" s="398"/>
      <c r="H43" s="398"/>
      <c r="I43" s="398"/>
      <c r="J43" s="60" t="str">
        <f>IF(AND('Mapa final'!$AA$48="Baja",'Mapa final'!$AC$48="Leve"),CONCATENATE("R8C",'Mapa final'!$Q$48),"")</f>
        <v/>
      </c>
      <c r="K43" s="61" t="str">
        <f>IF(AND('Mapa final'!$AA$49="Baja",'Mapa final'!$AC$49="Leve"),CONCATENATE("R8C",'Mapa final'!$Q$49),"")</f>
        <v/>
      </c>
      <c r="L43" s="61" t="str">
        <f>IF(AND('Mapa final'!$AA$50="Baja",'Mapa final'!$AC$50="Leve"),CONCATENATE("R8C",'Mapa final'!$Q$50),"")</f>
        <v/>
      </c>
      <c r="M43" s="61" t="str">
        <f>IF(AND('Mapa final'!$AA$51="Baja",'Mapa final'!$AC$51="Leve"),CONCATENATE("R8C",'Mapa final'!$Q$51),"")</f>
        <v/>
      </c>
      <c r="N43" s="61" t="str">
        <f>IF(AND('Mapa final'!$AA$52="Baja",'Mapa final'!$AC$52="Leve"),CONCATENATE("R8C",'Mapa final'!$Q$52),"")</f>
        <v/>
      </c>
      <c r="O43" s="62" t="str">
        <f>IF(AND('Mapa final'!$AA$53="Baja",'Mapa final'!$AC$53="Leve"),CONCATENATE("R8C",'Mapa final'!$Q$53),"")</f>
        <v/>
      </c>
      <c r="P43" s="51" t="str">
        <f>IF(AND('Mapa final'!$AA$48="Baja",'Mapa final'!$AC$48="Menor"),CONCATENATE("R8C",'Mapa final'!$Q$48),"")</f>
        <v/>
      </c>
      <c r="Q43" s="52" t="str">
        <f>IF(AND('Mapa final'!$AA$49="Baja",'Mapa final'!$AC$49="Menor"),CONCATENATE("R8C",'Mapa final'!$Q$49),"")</f>
        <v/>
      </c>
      <c r="R43" s="52" t="str">
        <f>IF(AND('Mapa final'!$AA$50="Baja",'Mapa final'!$AC$50="Menor"),CONCATENATE("R8C",'Mapa final'!$Q$50),"")</f>
        <v/>
      </c>
      <c r="S43" s="52" t="str">
        <f>IF(AND('Mapa final'!$AA$51="Baja",'Mapa final'!$AC$51="Menor"),CONCATENATE("R8C",'Mapa final'!$Q$51),"")</f>
        <v/>
      </c>
      <c r="T43" s="52" t="str">
        <f>IF(AND('Mapa final'!$AA$52="Baja",'Mapa final'!$AC$52="Menor"),CONCATENATE("R8C",'Mapa final'!$Q$52),"")</f>
        <v/>
      </c>
      <c r="U43" s="53" t="str">
        <f>IF(AND('Mapa final'!$AA$53="Baja",'Mapa final'!$AC$53="Menor"),CONCATENATE("R8C",'Mapa final'!$Q$53),"")</f>
        <v/>
      </c>
      <c r="V43" s="51" t="str">
        <f>IF(AND('Mapa final'!$AA$48="Baja",'Mapa final'!$AC$48="Moderado"),CONCATENATE("R8C",'Mapa final'!$Q$48),"")</f>
        <v/>
      </c>
      <c r="W43" s="52" t="str">
        <f>IF(AND('Mapa final'!$AA$49="Baja",'Mapa final'!$AC$49="Moderado"),CONCATENATE("R8C",'Mapa final'!$Q$49),"")</f>
        <v/>
      </c>
      <c r="X43" s="52" t="str">
        <f>IF(AND('Mapa final'!$AA$50="Baja",'Mapa final'!$AC$50="Moderado"),CONCATENATE("R8C",'Mapa final'!$Q$50),"")</f>
        <v/>
      </c>
      <c r="Y43" s="52" t="str">
        <f>IF(AND('Mapa final'!$AA$51="Baja",'Mapa final'!$AC$51="Moderado"),CONCATENATE("R8C",'Mapa final'!$Q$51),"")</f>
        <v/>
      </c>
      <c r="Z43" s="52" t="str">
        <f>IF(AND('Mapa final'!$AA$52="Baja",'Mapa final'!$AC$52="Moderado"),CONCATENATE("R8C",'Mapa final'!$Q$52),"")</f>
        <v/>
      </c>
      <c r="AA43" s="53" t="str">
        <f>IF(AND('Mapa final'!$AA$53="Baja",'Mapa final'!$AC$53="Moderado"),CONCATENATE("R8C",'Mapa final'!$Q$53),"")</f>
        <v/>
      </c>
      <c r="AB43" s="36" t="str">
        <f>IF(AND('Mapa final'!$AA$48="Baja",'Mapa final'!$AC$48="Mayor"),CONCATENATE("R8C",'Mapa final'!$Q$48),"")</f>
        <v/>
      </c>
      <c r="AC43" s="37" t="str">
        <f>IF(AND('Mapa final'!$AA$49="Baja",'Mapa final'!$AC$49="Mayor"),CONCATENATE("R8C",'Mapa final'!$Q$49),"")</f>
        <v/>
      </c>
      <c r="AD43" s="37" t="str">
        <f>IF(AND('Mapa final'!$AA$50="Baja",'Mapa final'!$AC$50="Mayor"),CONCATENATE("R8C",'Mapa final'!$Q$50),"")</f>
        <v/>
      </c>
      <c r="AE43" s="37" t="str">
        <f>IF(AND('Mapa final'!$AA$51="Baja",'Mapa final'!$AC$51="Mayor"),CONCATENATE("R8C",'Mapa final'!$Q$51),"")</f>
        <v/>
      </c>
      <c r="AF43" s="37" t="str">
        <f>IF(AND('Mapa final'!$AA$52="Baja",'Mapa final'!$AC$52="Mayor"),CONCATENATE("R8C",'Mapa final'!$Q$52),"")</f>
        <v/>
      </c>
      <c r="AG43" s="38" t="str">
        <f>IF(AND('Mapa final'!$AA$53="Baja",'Mapa final'!$AC$53="Mayor"),CONCATENATE("R8C",'Mapa final'!$Q$53),"")</f>
        <v/>
      </c>
      <c r="AH43" s="39" t="str">
        <f>IF(AND('Mapa final'!$AA$48="Baja",'Mapa final'!$AC$48="Catastrófico"),CONCATENATE("R8C",'Mapa final'!$Q$48),"")</f>
        <v/>
      </c>
      <c r="AI43" s="40" t="str">
        <f>IF(AND('Mapa final'!$AA$49="Baja",'Mapa final'!$AC$49="Catastrófico"),CONCATENATE("R8C",'Mapa final'!$Q$49),"")</f>
        <v/>
      </c>
      <c r="AJ43" s="40" t="str">
        <f>IF(AND('Mapa final'!$AA$50="Baja",'Mapa final'!$AC$50="Catastrófico"),CONCATENATE("R8C",'Mapa final'!$Q$50),"")</f>
        <v/>
      </c>
      <c r="AK43" s="40" t="str">
        <f>IF(AND('Mapa final'!$AA$51="Baja",'Mapa final'!$AC$51="Catastrófico"),CONCATENATE("R8C",'Mapa final'!$Q$51),"")</f>
        <v/>
      </c>
      <c r="AL43" s="40" t="str">
        <f>IF(AND('Mapa final'!$AA$52="Baja",'Mapa final'!$AC$52="Catastrófico"),CONCATENATE("R8C",'Mapa final'!$Q$52),"")</f>
        <v/>
      </c>
      <c r="AM43" s="41" t="str">
        <f>IF(AND('Mapa final'!$AA$53="Baja",'Mapa final'!$AC$53="Catastrófico"),CONCATENATE("R8C",'Mapa final'!$Q$53),"")</f>
        <v/>
      </c>
      <c r="AN43" s="67"/>
      <c r="AO43" s="428"/>
      <c r="AP43" s="429"/>
      <c r="AQ43" s="429"/>
      <c r="AR43" s="429"/>
      <c r="AS43" s="429"/>
      <c r="AT43" s="430"/>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row>
    <row r="44" spans="1:80" ht="15" customHeight="1" x14ac:dyDescent="0.3">
      <c r="A44" s="67"/>
      <c r="B44" s="356"/>
      <c r="C44" s="356"/>
      <c r="D44" s="357"/>
      <c r="E44" s="397"/>
      <c r="F44" s="398"/>
      <c r="G44" s="398"/>
      <c r="H44" s="398"/>
      <c r="I44" s="398"/>
      <c r="J44" s="60" t="str">
        <f>IF(AND('Mapa final'!$AA$54="Baja",'Mapa final'!$AC$54="Leve"),CONCATENATE("R9C",'Mapa final'!$Q$54),"")</f>
        <v/>
      </c>
      <c r="K44" s="61" t="str">
        <f>IF(AND('Mapa final'!$AA$55="Baja",'Mapa final'!$AC$55="Leve"),CONCATENATE("R9C",'Mapa final'!$Q$55),"")</f>
        <v/>
      </c>
      <c r="L44" s="61" t="str">
        <f>IF(AND('Mapa final'!$AA$56="Baja",'Mapa final'!$AC$56="Leve"),CONCATENATE("R9C",'Mapa final'!$Q$56),"")</f>
        <v/>
      </c>
      <c r="M44" s="61" t="str">
        <f>IF(AND('Mapa final'!$AA$57="Baja",'Mapa final'!$AC$57="Leve"),CONCATENATE("R9C",'Mapa final'!$Q$57),"")</f>
        <v/>
      </c>
      <c r="N44" s="61" t="str">
        <f>IF(AND('Mapa final'!$AA$58="Baja",'Mapa final'!$AC$58="Leve"),CONCATENATE("R9C",'Mapa final'!$Q$58),"")</f>
        <v/>
      </c>
      <c r="O44" s="62" t="str">
        <f>IF(AND('Mapa final'!$AA$59="Baja",'Mapa final'!$AC$59="Leve"),CONCATENATE("R9C",'Mapa final'!$Q$59),"")</f>
        <v/>
      </c>
      <c r="P44" s="51" t="str">
        <f>IF(AND('Mapa final'!$AA$54="Baja",'Mapa final'!$AC$54="Menor"),CONCATENATE("R9C",'Mapa final'!$Q$54),"")</f>
        <v/>
      </c>
      <c r="Q44" s="52" t="str">
        <f>IF(AND('Mapa final'!$AA$55="Baja",'Mapa final'!$AC$55="Menor"),CONCATENATE("R9C",'Mapa final'!$Q$55),"")</f>
        <v/>
      </c>
      <c r="R44" s="52" t="str">
        <f>IF(AND('Mapa final'!$AA$56="Baja",'Mapa final'!$AC$56="Menor"),CONCATENATE("R9C",'Mapa final'!$Q$56),"")</f>
        <v/>
      </c>
      <c r="S44" s="52" t="str">
        <f>IF(AND('Mapa final'!$AA$57="Baja",'Mapa final'!$AC$57="Menor"),CONCATENATE("R9C",'Mapa final'!$Q$57),"")</f>
        <v/>
      </c>
      <c r="T44" s="52" t="str">
        <f>IF(AND('Mapa final'!$AA$58="Baja",'Mapa final'!$AC$58="Menor"),CONCATENATE("R9C",'Mapa final'!$Q$58),"")</f>
        <v/>
      </c>
      <c r="U44" s="53" t="str">
        <f>IF(AND('Mapa final'!$AA$59="Baja",'Mapa final'!$AC$59="Menor"),CONCATENATE("R9C",'Mapa final'!$Q$59),"")</f>
        <v/>
      </c>
      <c r="V44" s="51" t="str">
        <f>IF(AND('Mapa final'!$AA$54="Baja",'Mapa final'!$AC$54="Moderado"),CONCATENATE("R9C",'Mapa final'!$Q$54),"")</f>
        <v/>
      </c>
      <c r="W44" s="52" t="str">
        <f>IF(AND('Mapa final'!$AA$55="Baja",'Mapa final'!$AC$55="Moderado"),CONCATENATE("R9C",'Mapa final'!$Q$55),"")</f>
        <v/>
      </c>
      <c r="X44" s="52" t="str">
        <f>IF(AND('Mapa final'!$AA$56="Baja",'Mapa final'!$AC$56="Moderado"),CONCATENATE("R9C",'Mapa final'!$Q$56),"")</f>
        <v/>
      </c>
      <c r="Y44" s="52" t="str">
        <f>IF(AND('Mapa final'!$AA$57="Baja",'Mapa final'!$AC$57="Moderado"),CONCATENATE("R9C",'Mapa final'!$Q$57),"")</f>
        <v/>
      </c>
      <c r="Z44" s="52" t="str">
        <f>IF(AND('Mapa final'!$AA$58="Baja",'Mapa final'!$AC$58="Moderado"),CONCATENATE("R9C",'Mapa final'!$Q$58),"")</f>
        <v/>
      </c>
      <c r="AA44" s="53" t="str">
        <f>IF(AND('Mapa final'!$AA$59="Baja",'Mapa final'!$AC$59="Moderado"),CONCATENATE("R9C",'Mapa final'!$Q$59),"")</f>
        <v/>
      </c>
      <c r="AB44" s="36" t="str">
        <f>IF(AND('Mapa final'!$AA$54="Baja",'Mapa final'!$AC$54="Mayor"),CONCATENATE("R9C",'Mapa final'!$Q$54),"")</f>
        <v/>
      </c>
      <c r="AC44" s="37" t="str">
        <f>IF(AND('Mapa final'!$AA$55="Baja",'Mapa final'!$AC$55="Mayor"),CONCATENATE("R9C",'Mapa final'!$Q$55),"")</f>
        <v/>
      </c>
      <c r="AD44" s="37" t="str">
        <f>IF(AND('Mapa final'!$AA$56="Baja",'Mapa final'!$AC$56="Mayor"),CONCATENATE("R9C",'Mapa final'!$Q$56),"")</f>
        <v/>
      </c>
      <c r="AE44" s="37" t="str">
        <f>IF(AND('Mapa final'!$AA$57="Baja",'Mapa final'!$AC$57="Mayor"),CONCATENATE("R9C",'Mapa final'!$Q$57),"")</f>
        <v/>
      </c>
      <c r="AF44" s="37" t="str">
        <f>IF(AND('Mapa final'!$AA$58="Baja",'Mapa final'!$AC$58="Mayor"),CONCATENATE("R9C",'Mapa final'!$Q$58),"")</f>
        <v/>
      </c>
      <c r="AG44" s="38" t="str">
        <f>IF(AND('Mapa final'!$AA$59="Baja",'Mapa final'!$AC$59="Mayor"),CONCATENATE("R9C",'Mapa final'!$Q$59),"")</f>
        <v/>
      </c>
      <c r="AH44" s="39" t="str">
        <f>IF(AND('Mapa final'!$AA$54="Baja",'Mapa final'!$AC$54="Catastrófico"),CONCATENATE("R9C",'Mapa final'!$Q$54),"")</f>
        <v/>
      </c>
      <c r="AI44" s="40" t="str">
        <f>IF(AND('Mapa final'!$AA$55="Baja",'Mapa final'!$AC$55="Catastrófico"),CONCATENATE("R9C",'Mapa final'!$Q$55),"")</f>
        <v/>
      </c>
      <c r="AJ44" s="40" t="str">
        <f>IF(AND('Mapa final'!$AA$56="Baja",'Mapa final'!$AC$56="Catastrófico"),CONCATENATE("R9C",'Mapa final'!$Q$56),"")</f>
        <v/>
      </c>
      <c r="AK44" s="40" t="str">
        <f>IF(AND('Mapa final'!$AA$57="Baja",'Mapa final'!$AC$57="Catastrófico"),CONCATENATE("R9C",'Mapa final'!$Q$57),"")</f>
        <v/>
      </c>
      <c r="AL44" s="40" t="str">
        <f>IF(AND('Mapa final'!$AA$58="Baja",'Mapa final'!$AC$58="Catastrófico"),CONCATENATE("R9C",'Mapa final'!$Q$58),"")</f>
        <v/>
      </c>
      <c r="AM44" s="41" t="str">
        <f>IF(AND('Mapa final'!$AA$59="Baja",'Mapa final'!$AC$59="Catastrófico"),CONCATENATE("R9C",'Mapa final'!$Q$59),"")</f>
        <v/>
      </c>
      <c r="AN44" s="67"/>
      <c r="AO44" s="428"/>
      <c r="AP44" s="429"/>
      <c r="AQ44" s="429"/>
      <c r="AR44" s="429"/>
      <c r="AS44" s="429"/>
      <c r="AT44" s="430"/>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row>
    <row r="45" spans="1:80" ht="15.75" customHeight="1" thickBot="1" x14ac:dyDescent="0.35">
      <c r="A45" s="67"/>
      <c r="B45" s="356"/>
      <c r="C45" s="356"/>
      <c r="D45" s="357"/>
      <c r="E45" s="400"/>
      <c r="F45" s="401"/>
      <c r="G45" s="401"/>
      <c r="H45" s="401"/>
      <c r="I45" s="401"/>
      <c r="J45" s="63" t="str">
        <f>IF(AND('Mapa final'!$AA$60="Baja",'Mapa final'!$AC$60="Leve"),CONCATENATE("R10C",'Mapa final'!$Q$60),"")</f>
        <v/>
      </c>
      <c r="K45" s="64" t="str">
        <f>IF(AND('Mapa final'!$AA$61="Baja",'Mapa final'!$AC$61="Leve"),CONCATENATE("R10C",'Mapa final'!$Q$61),"")</f>
        <v/>
      </c>
      <c r="L45" s="64" t="str">
        <f>IF(AND('Mapa final'!$AA$62="Baja",'Mapa final'!$AC$62="Leve"),CONCATENATE("R10C",'Mapa final'!$Q$62),"")</f>
        <v/>
      </c>
      <c r="M45" s="64" t="str">
        <f>IF(AND('Mapa final'!$AA$63="Baja",'Mapa final'!$AC$63="Leve"),CONCATENATE("R10C",'Mapa final'!$Q$63),"")</f>
        <v/>
      </c>
      <c r="N45" s="64" t="str">
        <f>IF(AND('Mapa final'!$AA$64="Baja",'Mapa final'!$AC$64="Leve"),CONCATENATE("R10C",'Mapa final'!$Q$64),"")</f>
        <v/>
      </c>
      <c r="O45" s="65" t="str">
        <f>IF(AND('Mapa final'!$AA$65="Baja",'Mapa final'!$AC$65="Leve"),CONCATENATE("R10C",'Mapa final'!$Q$65),"")</f>
        <v/>
      </c>
      <c r="P45" s="51" t="str">
        <f>IF(AND('Mapa final'!$AA$60="Baja",'Mapa final'!$AC$60="Menor"),CONCATENATE("R10C",'Mapa final'!$Q$60),"")</f>
        <v/>
      </c>
      <c r="Q45" s="52" t="str">
        <f>IF(AND('Mapa final'!$AA$61="Baja",'Mapa final'!$AC$61="Menor"),CONCATENATE("R10C",'Mapa final'!$Q$61),"")</f>
        <v/>
      </c>
      <c r="R45" s="52" t="str">
        <f>IF(AND('Mapa final'!$AA$62="Baja",'Mapa final'!$AC$62="Menor"),CONCATENATE("R10C",'Mapa final'!$Q$62),"")</f>
        <v/>
      </c>
      <c r="S45" s="52" t="str">
        <f>IF(AND('Mapa final'!$AA$63="Baja",'Mapa final'!$AC$63="Menor"),CONCATENATE("R10C",'Mapa final'!$Q$63),"")</f>
        <v/>
      </c>
      <c r="T45" s="52" t="str">
        <f>IF(AND('Mapa final'!$AA$64="Baja",'Mapa final'!$AC$64="Menor"),CONCATENATE("R10C",'Mapa final'!$Q$64),"")</f>
        <v/>
      </c>
      <c r="U45" s="53" t="str">
        <f>IF(AND('Mapa final'!$AA$65="Baja",'Mapa final'!$AC$65="Menor"),CONCATENATE("R10C",'Mapa final'!$Q$65),"")</f>
        <v/>
      </c>
      <c r="V45" s="54" t="str">
        <f>IF(AND('Mapa final'!$AA$60="Baja",'Mapa final'!$AC$60="Moderado"),CONCATENATE("R10C",'Mapa final'!$Q$60),"")</f>
        <v/>
      </c>
      <c r="W45" s="55" t="str">
        <f>IF(AND('Mapa final'!$AA$61="Baja",'Mapa final'!$AC$61="Moderado"),CONCATENATE("R10C",'Mapa final'!$Q$61),"")</f>
        <v/>
      </c>
      <c r="X45" s="55" t="str">
        <f>IF(AND('Mapa final'!$AA$62="Baja",'Mapa final'!$AC$62="Moderado"),CONCATENATE("R10C",'Mapa final'!$Q$62),"")</f>
        <v/>
      </c>
      <c r="Y45" s="55" t="str">
        <f>IF(AND('Mapa final'!$AA$63="Baja",'Mapa final'!$AC$63="Moderado"),CONCATENATE("R10C",'Mapa final'!$Q$63),"")</f>
        <v/>
      </c>
      <c r="Z45" s="55" t="str">
        <f>IF(AND('Mapa final'!$AA$64="Baja",'Mapa final'!$AC$64="Moderado"),CONCATENATE("R10C",'Mapa final'!$Q$64),"")</f>
        <v/>
      </c>
      <c r="AA45" s="56" t="str">
        <f>IF(AND('Mapa final'!$AA$65="Baja",'Mapa final'!$AC$65="Moderado"),CONCATENATE("R10C",'Mapa final'!$Q$65),"")</f>
        <v/>
      </c>
      <c r="AB45" s="42" t="str">
        <f>IF(AND('Mapa final'!$AA$60="Baja",'Mapa final'!$AC$60="Mayor"),CONCATENATE("R10C",'Mapa final'!$Q$60),"")</f>
        <v/>
      </c>
      <c r="AC45" s="43" t="str">
        <f>IF(AND('Mapa final'!$AA$61="Baja",'Mapa final'!$AC$61="Mayor"),CONCATENATE("R10C",'Mapa final'!$Q$61),"")</f>
        <v/>
      </c>
      <c r="AD45" s="43" t="str">
        <f>IF(AND('Mapa final'!$AA$62="Baja",'Mapa final'!$AC$62="Mayor"),CONCATENATE("R10C",'Mapa final'!$Q$62),"")</f>
        <v/>
      </c>
      <c r="AE45" s="43" t="str">
        <f>IF(AND('Mapa final'!$AA$63="Baja",'Mapa final'!$AC$63="Mayor"),CONCATENATE("R10C",'Mapa final'!$Q$63),"")</f>
        <v/>
      </c>
      <c r="AF45" s="43" t="str">
        <f>IF(AND('Mapa final'!$AA$64="Baja",'Mapa final'!$AC$64="Mayor"),CONCATENATE("R10C",'Mapa final'!$Q$64),"")</f>
        <v/>
      </c>
      <c r="AG45" s="44" t="str">
        <f>IF(AND('Mapa final'!$AA$65="Baja",'Mapa final'!$AC$65="Mayor"),CONCATENATE("R10C",'Mapa final'!$Q$65),"")</f>
        <v/>
      </c>
      <c r="AH45" s="45" t="str">
        <f>IF(AND('Mapa final'!$AA$60="Baja",'Mapa final'!$AC$60="Catastrófico"),CONCATENATE("R10C",'Mapa final'!$Q$60),"")</f>
        <v/>
      </c>
      <c r="AI45" s="46" t="str">
        <f>IF(AND('Mapa final'!$AA$61="Baja",'Mapa final'!$AC$61="Catastrófico"),CONCATENATE("R10C",'Mapa final'!$Q$61),"")</f>
        <v/>
      </c>
      <c r="AJ45" s="46" t="str">
        <f>IF(AND('Mapa final'!$AA$62="Baja",'Mapa final'!$AC$62="Catastrófico"),CONCATENATE("R10C",'Mapa final'!$Q$62),"")</f>
        <v/>
      </c>
      <c r="AK45" s="46" t="str">
        <f>IF(AND('Mapa final'!$AA$63="Baja",'Mapa final'!$AC$63="Catastrófico"),CONCATENATE("R10C",'Mapa final'!$Q$63),"")</f>
        <v/>
      </c>
      <c r="AL45" s="46" t="str">
        <f>IF(AND('Mapa final'!$AA$64="Baja",'Mapa final'!$AC$64="Catastrófico"),CONCATENATE("R10C",'Mapa final'!$Q$64),"")</f>
        <v/>
      </c>
      <c r="AM45" s="47" t="str">
        <f>IF(AND('Mapa final'!$AA$65="Baja",'Mapa final'!$AC$65="Catastrófico"),CONCATENATE("R10C",'Mapa final'!$Q$65),"")</f>
        <v/>
      </c>
      <c r="AN45" s="67"/>
      <c r="AO45" s="431"/>
      <c r="AP45" s="432"/>
      <c r="AQ45" s="432"/>
      <c r="AR45" s="432"/>
      <c r="AS45" s="432"/>
      <c r="AT45" s="433"/>
    </row>
    <row r="46" spans="1:80" ht="46.5" customHeight="1" x14ac:dyDescent="0.45">
      <c r="A46" s="67"/>
      <c r="B46" s="356"/>
      <c r="C46" s="356"/>
      <c r="D46" s="357"/>
      <c r="E46" s="394" t="s">
        <v>108</v>
      </c>
      <c r="F46" s="395"/>
      <c r="G46" s="395"/>
      <c r="H46" s="395"/>
      <c r="I46" s="396"/>
      <c r="J46" s="57" t="str">
        <f ca="1">IF(AND('Mapa final'!$AA$10="Muy Baja",'Mapa final'!$AC$10="Leve"),CONCATENATE("R1C",'Mapa final'!$Q$10),"")</f>
        <v/>
      </c>
      <c r="K46" s="58" t="str">
        <f>IF(AND('Mapa final'!$AA$11="Muy Baja",'Mapa final'!$AC$11="Leve"),CONCATENATE("R1C",'Mapa final'!$Q$11),"")</f>
        <v/>
      </c>
      <c r="L46" s="58" t="str">
        <f>IF(AND('Mapa final'!$AA$12="Muy Baja",'Mapa final'!$AC$12="Leve"),CONCATENATE("R1C",'Mapa final'!$Q$12),"")</f>
        <v/>
      </c>
      <c r="M46" s="58" t="str">
        <f>IF(AND('Mapa final'!$AA$13="Muy Baja",'Mapa final'!$AC$13="Leve"),CONCATENATE("R1C",'Mapa final'!$Q$13),"")</f>
        <v/>
      </c>
      <c r="N46" s="58" t="e">
        <f>IF(AND('Mapa final'!#REF!="Muy Baja",'Mapa final'!#REF!="Leve"),CONCATENATE("R1C",'Mapa final'!#REF!),"")</f>
        <v>#REF!</v>
      </c>
      <c r="O46" s="59" t="e">
        <f>IF(AND('Mapa final'!#REF!="Muy Baja",'Mapa final'!#REF!="Leve"),CONCATENATE("R1C",'Mapa final'!#REF!),"")</f>
        <v>#REF!</v>
      </c>
      <c r="P46" s="57" t="str">
        <f ca="1">IF(AND('Mapa final'!$AA$10="Muy Baja",'Mapa final'!$AC$10="Menor"),CONCATENATE("R1C",'Mapa final'!$Q$10),"")</f>
        <v/>
      </c>
      <c r="Q46" s="58" t="str">
        <f>IF(AND('Mapa final'!$AA$11="Muy Baja",'Mapa final'!$AC$11="Menor"),CONCATENATE("R1C",'Mapa final'!$Q$11),"")</f>
        <v/>
      </c>
      <c r="R46" s="58" t="str">
        <f>IF(AND('Mapa final'!$AA$12="Muy Baja",'Mapa final'!$AC$12="Menor"),CONCATENATE("R1C",'Mapa final'!$Q$12),"")</f>
        <v/>
      </c>
      <c r="S46" s="58" t="str">
        <f>IF(AND('Mapa final'!$AA$13="Muy Baja",'Mapa final'!$AC$13="Menor"),CONCATENATE("R1C",'Mapa final'!$Q$13),"")</f>
        <v/>
      </c>
      <c r="T46" s="58" t="e">
        <f>IF(AND('Mapa final'!#REF!="Muy Baja",'Mapa final'!#REF!="Menor"),CONCATENATE("R1C",'Mapa final'!#REF!),"")</f>
        <v>#REF!</v>
      </c>
      <c r="U46" s="59" t="e">
        <f>IF(AND('Mapa final'!#REF!="Muy Baja",'Mapa final'!#REF!="Menor"),CONCATENATE("R1C",'Mapa final'!#REF!),"")</f>
        <v>#REF!</v>
      </c>
      <c r="V46" s="48" t="str">
        <f ca="1">IF(AND('Mapa final'!$AA$10="Muy Baja",'Mapa final'!$AC$10="Moderado"),CONCATENATE("R1C",'Mapa final'!$Q$10),"")</f>
        <v/>
      </c>
      <c r="W46" s="66" t="str">
        <f>IF(AND('Mapa final'!$AA$11="Muy Baja",'Mapa final'!$AC$11="Moderado"),CONCATENATE("R1C",'Mapa final'!$Q$11),"")</f>
        <v/>
      </c>
      <c r="X46" s="49" t="str">
        <f>IF(AND('Mapa final'!$AA$12="Muy Baja",'Mapa final'!$AC$12="Moderado"),CONCATENATE("R1C",'Mapa final'!$Q$12),"")</f>
        <v/>
      </c>
      <c r="Y46" s="49" t="str">
        <f>IF(AND('Mapa final'!$AA$13="Muy Baja",'Mapa final'!$AC$13="Moderado"),CONCATENATE("R1C",'Mapa final'!$Q$13),"")</f>
        <v/>
      </c>
      <c r="Z46" s="49" t="e">
        <f>IF(AND('Mapa final'!#REF!="Muy Baja",'Mapa final'!#REF!="Moderado"),CONCATENATE("R1C",'Mapa final'!#REF!),"")</f>
        <v>#REF!</v>
      </c>
      <c r="AA46" s="50" t="e">
        <f>IF(AND('Mapa final'!#REF!="Muy Baja",'Mapa final'!#REF!="Moderado"),CONCATENATE("R1C",'Mapa final'!#REF!),"")</f>
        <v>#REF!</v>
      </c>
      <c r="AB46" s="30" t="str">
        <f ca="1">IF(AND('Mapa final'!$AA$10="Muy Baja",'Mapa final'!$AC$10="Mayor"),CONCATENATE("R1C",'Mapa final'!$Q$10),"")</f>
        <v/>
      </c>
      <c r="AC46" s="31" t="str">
        <f>IF(AND('Mapa final'!$AA$11="Muy Baja",'Mapa final'!$AC$11="Mayor"),CONCATENATE("R1C",'Mapa final'!$Q$11),"")</f>
        <v/>
      </c>
      <c r="AD46" s="31" t="str">
        <f>IF(AND('Mapa final'!$AA$12="Muy Baja",'Mapa final'!$AC$12="Mayor"),CONCATENATE("R1C",'Mapa final'!$Q$12),"")</f>
        <v/>
      </c>
      <c r="AE46" s="31" t="str">
        <f>IF(AND('Mapa final'!$AA$13="Muy Baja",'Mapa final'!$AC$13="Mayor"),CONCATENATE("R1C",'Mapa final'!$Q$13),"")</f>
        <v/>
      </c>
      <c r="AF46" s="31" t="e">
        <f>IF(AND('Mapa final'!#REF!="Muy Baja",'Mapa final'!#REF!="Mayor"),CONCATENATE("R1C",'Mapa final'!#REF!),"")</f>
        <v>#REF!</v>
      </c>
      <c r="AG46" s="32" t="e">
        <f>IF(AND('Mapa final'!#REF!="Muy Baja",'Mapa final'!#REF!="Mayor"),CONCATENATE("R1C",'Mapa final'!#REF!),"")</f>
        <v>#REF!</v>
      </c>
      <c r="AH46" s="33" t="str">
        <f ca="1">IF(AND('Mapa final'!$AA$10="Muy Baja",'Mapa final'!$AC$10="Catastrófico"),CONCATENATE("R1C",'Mapa final'!$Q$10),"")</f>
        <v/>
      </c>
      <c r="AI46" s="34" t="str">
        <f>IF(AND('Mapa final'!$AA$11="Muy Baja",'Mapa final'!$AC$11="Catastrófico"),CONCATENATE("R1C",'Mapa final'!$Q$11),"")</f>
        <v/>
      </c>
      <c r="AJ46" s="34" t="str">
        <f>IF(AND('Mapa final'!$AA$12="Muy Baja",'Mapa final'!$AC$12="Catastrófico"),CONCATENATE("R1C",'Mapa final'!$Q$12),"")</f>
        <v/>
      </c>
      <c r="AK46" s="34" t="str">
        <f>IF(AND('Mapa final'!$AA$13="Muy Baja",'Mapa final'!$AC$13="Catastrófico"),CONCATENATE("R1C",'Mapa final'!$Q$13),"")</f>
        <v/>
      </c>
      <c r="AL46" s="34" t="e">
        <f>IF(AND('Mapa final'!#REF!="Muy Baja",'Mapa final'!#REF!="Catastrófico"),CONCATENATE("R1C",'Mapa final'!#REF!),"")</f>
        <v>#REF!</v>
      </c>
      <c r="AM46" s="35" t="e">
        <f>IF(AND('Mapa final'!#REF!="Muy Baja",'Mapa final'!#REF!="Catastrófico"),CONCATENATE("R1C",'Mapa final'!#REF!),"")</f>
        <v>#REF!</v>
      </c>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ht="46.5" customHeight="1" x14ac:dyDescent="0.3">
      <c r="A47" s="67"/>
      <c r="B47" s="356"/>
      <c r="C47" s="356"/>
      <c r="D47" s="357"/>
      <c r="E47" s="413"/>
      <c r="F47" s="398"/>
      <c r="G47" s="398"/>
      <c r="H47" s="398"/>
      <c r="I47" s="399"/>
      <c r="J47" s="60" t="str">
        <f ca="1">IF(AND('Mapa final'!$AA$14="Muy Baja",'Mapa final'!$AC$14="Leve"),CONCATENATE("R2C",'Mapa final'!$Q$14),"")</f>
        <v/>
      </c>
      <c r="K47" s="61" t="str">
        <f ca="1">IF(AND('Mapa final'!$AA$15="Muy Baja",'Mapa final'!$AC$15="Leve"),CONCATENATE("R2C",'Mapa final'!$Q$15),"")</f>
        <v/>
      </c>
      <c r="L47" s="61" t="str">
        <f ca="1">IF(AND('Mapa final'!$AA$16="Muy Baja",'Mapa final'!$AC$16="Leve"),CONCATENATE("R2C",'Mapa final'!$Q$16),"")</f>
        <v/>
      </c>
      <c r="M47" s="61" t="e">
        <f>IF(AND('Mapa final'!#REF!="Muy Baja",'Mapa final'!#REF!="Leve"),CONCATENATE("R2C",'Mapa final'!#REF!),"")</f>
        <v>#REF!</v>
      </c>
      <c r="N47" s="61" t="e">
        <f>IF(AND('Mapa final'!#REF!="Muy Baja",'Mapa final'!#REF!="Leve"),CONCATENATE("R2C",'Mapa final'!#REF!),"")</f>
        <v>#REF!</v>
      </c>
      <c r="O47" s="62" t="str">
        <f>IF(AND('Mapa final'!$AA$17="Muy Baja",'Mapa final'!$AC$17="Leve"),CONCATENATE("R2C",'Mapa final'!$Q$17),"")</f>
        <v/>
      </c>
      <c r="P47" s="60" t="str">
        <f ca="1">IF(AND('Mapa final'!$AA$14="Muy Baja",'Mapa final'!$AC$14="Menor"),CONCATENATE("R2C",'Mapa final'!$Q$14),"")</f>
        <v/>
      </c>
      <c r="Q47" s="61" t="str">
        <f ca="1">IF(AND('Mapa final'!$AA$15="Muy Baja",'Mapa final'!$AC$15="Menor"),CONCATENATE("R2C",'Mapa final'!$Q$15),"")</f>
        <v/>
      </c>
      <c r="R47" s="61" t="str">
        <f ca="1">IF(AND('Mapa final'!$AA$16="Muy Baja",'Mapa final'!$AC$16="Menor"),CONCATENATE("R2C",'Mapa final'!$Q$16),"")</f>
        <v/>
      </c>
      <c r="S47" s="61" t="e">
        <f>IF(AND('Mapa final'!#REF!="Muy Baja",'Mapa final'!#REF!="Menor"),CONCATENATE("R2C",'Mapa final'!#REF!),"")</f>
        <v>#REF!</v>
      </c>
      <c r="T47" s="61" t="e">
        <f>IF(AND('Mapa final'!#REF!="Muy Baja",'Mapa final'!#REF!="Menor"),CONCATENATE("R2C",'Mapa final'!#REF!),"")</f>
        <v>#REF!</v>
      </c>
      <c r="U47" s="62" t="str">
        <f>IF(AND('Mapa final'!$AA$17="Muy Baja",'Mapa final'!$AC$17="Menor"),CONCATENATE("R2C",'Mapa final'!$Q$17),"")</f>
        <v/>
      </c>
      <c r="V47" s="51" t="str">
        <f ca="1">IF(AND('Mapa final'!$AA$14="Muy Baja",'Mapa final'!$AC$14="Moderado"),CONCATENATE("R2C",'Mapa final'!$Q$14),"")</f>
        <v/>
      </c>
      <c r="W47" s="52" t="str">
        <f ca="1">IF(AND('Mapa final'!$AA$15="Muy Baja",'Mapa final'!$AC$15="Moderado"),CONCATENATE("R2C",'Mapa final'!$Q$15),"")</f>
        <v/>
      </c>
      <c r="X47" s="52" t="str">
        <f ca="1">IF(AND('Mapa final'!$AA$16="Muy Baja",'Mapa final'!$AC$16="Moderado"),CONCATENATE("R2C",'Mapa final'!$Q$16),"")</f>
        <v/>
      </c>
      <c r="Y47" s="52" t="e">
        <f>IF(AND('Mapa final'!#REF!="Muy Baja",'Mapa final'!#REF!="Moderado"),CONCATENATE("R2C",'Mapa final'!#REF!),"")</f>
        <v>#REF!</v>
      </c>
      <c r="Z47" s="52" t="e">
        <f>IF(AND('Mapa final'!#REF!="Muy Baja",'Mapa final'!#REF!="Moderado"),CONCATENATE("R2C",'Mapa final'!#REF!),"")</f>
        <v>#REF!</v>
      </c>
      <c r="AA47" s="53" t="str">
        <f>IF(AND('Mapa final'!$AA$17="Muy Baja",'Mapa final'!$AC$17="Moderado"),CONCATENATE("R2C",'Mapa final'!$Q$17),"")</f>
        <v/>
      </c>
      <c r="AB47" s="36" t="str">
        <f ca="1">IF(AND('Mapa final'!$AA$14="Muy Baja",'Mapa final'!$AC$14="Mayor"),CONCATENATE("R2C",'Mapa final'!$Q$14),"")</f>
        <v/>
      </c>
      <c r="AC47" s="37" t="str">
        <f ca="1">IF(AND('Mapa final'!$AA$15="Muy Baja",'Mapa final'!$AC$15="Mayor"),CONCATENATE("R2C",'Mapa final'!$Q$15),"")</f>
        <v/>
      </c>
      <c r="AD47" s="37" t="str">
        <f ca="1">IF(AND('Mapa final'!$AA$16="Muy Baja",'Mapa final'!$AC$16="Mayor"),CONCATENATE("R2C",'Mapa final'!$Q$16),"")</f>
        <v>R2C3</v>
      </c>
      <c r="AE47" s="37" t="e">
        <f>IF(AND('Mapa final'!#REF!="Muy Baja",'Mapa final'!#REF!="Mayor"),CONCATENATE("R2C",'Mapa final'!#REF!),"")</f>
        <v>#REF!</v>
      </c>
      <c r="AF47" s="37" t="e">
        <f>IF(AND('Mapa final'!#REF!="Muy Baja",'Mapa final'!#REF!="Mayor"),CONCATENATE("R2C",'Mapa final'!#REF!),"")</f>
        <v>#REF!</v>
      </c>
      <c r="AG47" s="38" t="str">
        <f>IF(AND('Mapa final'!$AA$17="Muy Baja",'Mapa final'!$AC$17="Mayor"),CONCATENATE("R2C",'Mapa final'!$Q$17),"")</f>
        <v/>
      </c>
      <c r="AH47" s="39" t="str">
        <f ca="1">IF(AND('Mapa final'!$AA$14="Muy Baja",'Mapa final'!$AC$14="Catastrófico"),CONCATENATE("R2C",'Mapa final'!$Q$14),"")</f>
        <v/>
      </c>
      <c r="AI47" s="40" t="str">
        <f ca="1">IF(AND('Mapa final'!$AA$15="Muy Baja",'Mapa final'!$AC$15="Catastrófico"),CONCATENATE("R2C",'Mapa final'!$Q$15),"")</f>
        <v/>
      </c>
      <c r="AJ47" s="40" t="str">
        <f ca="1">IF(AND('Mapa final'!$AA$16="Muy Baja",'Mapa final'!$AC$16="Catastrófico"),CONCATENATE("R2C",'Mapa final'!$Q$16),"")</f>
        <v/>
      </c>
      <c r="AK47" s="40" t="e">
        <f>IF(AND('Mapa final'!#REF!="Muy Baja",'Mapa final'!#REF!="Catastrófico"),CONCATENATE("R2C",'Mapa final'!#REF!),"")</f>
        <v>#REF!</v>
      </c>
      <c r="AL47" s="40" t="e">
        <f>IF(AND('Mapa final'!#REF!="Muy Baja",'Mapa final'!#REF!="Catastrófico"),CONCATENATE("R2C",'Mapa final'!#REF!),"")</f>
        <v>#REF!</v>
      </c>
      <c r="AM47" s="41" t="str">
        <f>IF(AND('Mapa final'!$AA$17="Muy Baja",'Mapa final'!$AC$17="Catastrófico"),CONCATENATE("R2C",'Mapa final'!$Q$17),"")</f>
        <v/>
      </c>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ht="15" customHeight="1" x14ac:dyDescent="0.3">
      <c r="A48" s="67"/>
      <c r="B48" s="356"/>
      <c r="C48" s="356"/>
      <c r="D48" s="357"/>
      <c r="E48" s="413"/>
      <c r="F48" s="398"/>
      <c r="G48" s="398"/>
      <c r="H48" s="398"/>
      <c r="I48" s="399"/>
      <c r="J48" s="60" t="str">
        <f>IF(AND('Mapa final'!$AA$18="Muy Baja",'Mapa final'!$AC$18="Leve"),CONCATENATE("R3C",'Mapa final'!$Q$18),"")</f>
        <v/>
      </c>
      <c r="K48" s="61" t="str">
        <f>IF(AND('Mapa final'!$AA$19="Muy Baja",'Mapa final'!$AC$19="Leve"),CONCATENATE("R3C",'Mapa final'!$Q$19),"")</f>
        <v/>
      </c>
      <c r="L48" s="61" t="str">
        <f>IF(AND('Mapa final'!$AA$20="Muy Baja",'Mapa final'!$AC$20="Leve"),CONCATENATE("R3C",'Mapa final'!$Q$20),"")</f>
        <v/>
      </c>
      <c r="M48" s="61" t="str">
        <f>IF(AND('Mapa final'!$AA$21="Muy Baja",'Mapa final'!$AC$21="Leve"),CONCATENATE("R3C",'Mapa final'!$Q$21),"")</f>
        <v/>
      </c>
      <c r="N48" s="61" t="str">
        <f>IF(AND('Mapa final'!$AA$22="Muy Baja",'Mapa final'!$AC$22="Leve"),CONCATENATE("R3C",'Mapa final'!$Q$22),"")</f>
        <v/>
      </c>
      <c r="O48" s="62" t="str">
        <f>IF(AND('Mapa final'!$AA$23="Muy Baja",'Mapa final'!$AC$23="Leve"),CONCATENATE("R3C",'Mapa final'!$Q$23),"")</f>
        <v/>
      </c>
      <c r="P48" s="60" t="str">
        <f>IF(AND('Mapa final'!$AA$18="Muy Baja",'Mapa final'!$AC$18="Menor"),CONCATENATE("R3C",'Mapa final'!$Q$18),"")</f>
        <v/>
      </c>
      <c r="Q48" s="61" t="str">
        <f>IF(AND('Mapa final'!$AA$19="Muy Baja",'Mapa final'!$AC$19="Menor"),CONCATENATE("R3C",'Mapa final'!$Q$19),"")</f>
        <v/>
      </c>
      <c r="R48" s="61" t="str">
        <f>IF(AND('Mapa final'!$AA$20="Muy Baja",'Mapa final'!$AC$20="Menor"),CONCATENATE("R3C",'Mapa final'!$Q$20),"")</f>
        <v/>
      </c>
      <c r="S48" s="61" t="str">
        <f>IF(AND('Mapa final'!$AA$21="Muy Baja",'Mapa final'!$AC$21="Menor"),CONCATENATE("R3C",'Mapa final'!$Q$21),"")</f>
        <v/>
      </c>
      <c r="T48" s="61" t="str">
        <f>IF(AND('Mapa final'!$AA$22="Muy Baja",'Mapa final'!$AC$22="Menor"),CONCATENATE("R3C",'Mapa final'!$Q$22),"")</f>
        <v/>
      </c>
      <c r="U48" s="62" t="str">
        <f>IF(AND('Mapa final'!$AA$23="Muy Baja",'Mapa final'!$AC$23="Menor"),CONCATENATE("R3C",'Mapa final'!$Q$23),"")</f>
        <v/>
      </c>
      <c r="V48" s="51" t="str">
        <f>IF(AND('Mapa final'!$AA$18="Muy Baja",'Mapa final'!$AC$18="Moderado"),CONCATENATE("R3C",'Mapa final'!$Q$18),"")</f>
        <v/>
      </c>
      <c r="W48" s="52" t="str">
        <f>IF(AND('Mapa final'!$AA$19="Muy Baja",'Mapa final'!$AC$19="Moderado"),CONCATENATE("R3C",'Mapa final'!$Q$19),"")</f>
        <v/>
      </c>
      <c r="X48" s="52" t="str">
        <f>IF(AND('Mapa final'!$AA$20="Muy Baja",'Mapa final'!$AC$20="Moderado"),CONCATENATE("R3C",'Mapa final'!$Q$20),"")</f>
        <v/>
      </c>
      <c r="Y48" s="52" t="str">
        <f>IF(AND('Mapa final'!$AA$21="Muy Baja",'Mapa final'!$AC$21="Moderado"),CONCATENATE("R3C",'Mapa final'!$Q$21),"")</f>
        <v/>
      </c>
      <c r="Z48" s="52" t="str">
        <f>IF(AND('Mapa final'!$AA$22="Muy Baja",'Mapa final'!$AC$22="Moderado"),CONCATENATE("R3C",'Mapa final'!$Q$22),"")</f>
        <v/>
      </c>
      <c r="AA48" s="53" t="str">
        <f>IF(AND('Mapa final'!$AA$23="Muy Baja",'Mapa final'!$AC$23="Moderado"),CONCATENATE("R3C",'Mapa final'!$Q$23),"")</f>
        <v/>
      </c>
      <c r="AB48" s="36" t="str">
        <f>IF(AND('Mapa final'!$AA$18="Muy Baja",'Mapa final'!$AC$18="Mayor"),CONCATENATE("R3C",'Mapa final'!$Q$18),"")</f>
        <v/>
      </c>
      <c r="AC48" s="37" t="str">
        <f>IF(AND('Mapa final'!$AA$19="Muy Baja",'Mapa final'!$AC$19="Mayor"),CONCATENATE("R3C",'Mapa final'!$Q$19),"")</f>
        <v/>
      </c>
      <c r="AD48" s="37" t="str">
        <f>IF(AND('Mapa final'!$AA$20="Muy Baja",'Mapa final'!$AC$20="Mayor"),CONCATENATE("R3C",'Mapa final'!$Q$20),"")</f>
        <v/>
      </c>
      <c r="AE48" s="37" t="str">
        <f>IF(AND('Mapa final'!$AA$21="Muy Baja",'Mapa final'!$AC$21="Mayor"),CONCATENATE("R3C",'Mapa final'!$Q$21),"")</f>
        <v/>
      </c>
      <c r="AF48" s="37" t="str">
        <f>IF(AND('Mapa final'!$AA$22="Muy Baja",'Mapa final'!$AC$22="Mayor"),CONCATENATE("R3C",'Mapa final'!$Q$22),"")</f>
        <v/>
      </c>
      <c r="AG48" s="38" t="str">
        <f>IF(AND('Mapa final'!$AA$23="Muy Baja",'Mapa final'!$AC$23="Mayor"),CONCATENATE("R3C",'Mapa final'!$Q$23),"")</f>
        <v/>
      </c>
      <c r="AH48" s="39" t="str">
        <f>IF(AND('Mapa final'!$AA$18="Muy Baja",'Mapa final'!$AC$18="Catastrófico"),CONCATENATE("R3C",'Mapa final'!$Q$18),"")</f>
        <v/>
      </c>
      <c r="AI48" s="40" t="str">
        <f>IF(AND('Mapa final'!$AA$19="Muy Baja",'Mapa final'!$AC$19="Catastrófico"),CONCATENATE("R3C",'Mapa final'!$Q$19),"")</f>
        <v/>
      </c>
      <c r="AJ48" s="40" t="str">
        <f>IF(AND('Mapa final'!$AA$20="Muy Baja",'Mapa final'!$AC$20="Catastrófico"),CONCATENATE("R3C",'Mapa final'!$Q$20),"")</f>
        <v/>
      </c>
      <c r="AK48" s="40" t="str">
        <f>IF(AND('Mapa final'!$AA$21="Muy Baja",'Mapa final'!$AC$21="Catastrófico"),CONCATENATE("R3C",'Mapa final'!$Q$21),"")</f>
        <v/>
      </c>
      <c r="AL48" s="40" t="str">
        <f>IF(AND('Mapa final'!$AA$22="Muy Baja",'Mapa final'!$AC$22="Catastrófico"),CONCATENATE("R3C",'Mapa final'!$Q$22),"")</f>
        <v/>
      </c>
      <c r="AM48" s="41" t="str">
        <f>IF(AND('Mapa final'!$AA$23="Muy Baja",'Mapa final'!$AC$23="Catastrófico"),CONCATENATE("R3C",'Mapa final'!$Q$23),"")</f>
        <v/>
      </c>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ht="15" customHeight="1" x14ac:dyDescent="0.3">
      <c r="A49" s="67"/>
      <c r="B49" s="356"/>
      <c r="C49" s="356"/>
      <c r="D49" s="357"/>
      <c r="E49" s="397"/>
      <c r="F49" s="398"/>
      <c r="G49" s="398"/>
      <c r="H49" s="398"/>
      <c r="I49" s="399"/>
      <c r="J49" s="60" t="str">
        <f>IF(AND('Mapa final'!$AA$24="Muy Baja",'Mapa final'!$AC$24="Leve"),CONCATENATE("R4C",'Mapa final'!$Q$24),"")</f>
        <v/>
      </c>
      <c r="K49" s="61" t="str">
        <f>IF(AND('Mapa final'!$AA$25="Muy Baja",'Mapa final'!$AC$25="Leve"),CONCATENATE("R4C",'Mapa final'!$Q$25),"")</f>
        <v/>
      </c>
      <c r="L49" s="61" t="str">
        <f>IF(AND('Mapa final'!$AA$26="Muy Baja",'Mapa final'!$AC$26="Leve"),CONCATENATE("R4C",'Mapa final'!$Q$26),"")</f>
        <v/>
      </c>
      <c r="M49" s="61" t="str">
        <f>IF(AND('Mapa final'!$AA$27="Muy Baja",'Mapa final'!$AC$27="Leve"),CONCATENATE("R4C",'Mapa final'!$Q$27),"")</f>
        <v/>
      </c>
      <c r="N49" s="61" t="str">
        <f>IF(AND('Mapa final'!$AA$28="Muy Baja",'Mapa final'!$AC$28="Leve"),CONCATENATE("R4C",'Mapa final'!$Q$28),"")</f>
        <v/>
      </c>
      <c r="O49" s="62" t="str">
        <f>IF(AND('Mapa final'!$AA$29="Muy Baja",'Mapa final'!$AC$29="Leve"),CONCATENATE("R4C",'Mapa final'!$Q$29),"")</f>
        <v/>
      </c>
      <c r="P49" s="60" t="str">
        <f>IF(AND('Mapa final'!$AA$24="Muy Baja",'Mapa final'!$AC$24="Menor"),CONCATENATE("R4C",'Mapa final'!$Q$24),"")</f>
        <v/>
      </c>
      <c r="Q49" s="61" t="str">
        <f>IF(AND('Mapa final'!$AA$25="Muy Baja",'Mapa final'!$AC$25="Menor"),CONCATENATE("R4C",'Mapa final'!$Q$25),"")</f>
        <v/>
      </c>
      <c r="R49" s="61" t="str">
        <f>IF(AND('Mapa final'!$AA$26="Muy Baja",'Mapa final'!$AC$26="Menor"),CONCATENATE("R4C",'Mapa final'!$Q$26),"")</f>
        <v/>
      </c>
      <c r="S49" s="61" t="str">
        <f>IF(AND('Mapa final'!$AA$27="Muy Baja",'Mapa final'!$AC$27="Menor"),CONCATENATE("R4C",'Mapa final'!$Q$27),"")</f>
        <v/>
      </c>
      <c r="T49" s="61" t="str">
        <f>IF(AND('Mapa final'!$AA$28="Muy Baja",'Mapa final'!$AC$28="Menor"),CONCATENATE("R4C",'Mapa final'!$Q$28),"")</f>
        <v/>
      </c>
      <c r="U49" s="62" t="str">
        <f>IF(AND('Mapa final'!$AA$29="Muy Baja",'Mapa final'!$AC$29="Menor"),CONCATENATE("R4C",'Mapa final'!$Q$29),"")</f>
        <v/>
      </c>
      <c r="V49" s="51" t="str">
        <f>IF(AND('Mapa final'!$AA$24="Muy Baja",'Mapa final'!$AC$24="Moderado"),CONCATENATE("R4C",'Mapa final'!$Q$24),"")</f>
        <v/>
      </c>
      <c r="W49" s="52" t="str">
        <f>IF(AND('Mapa final'!$AA$25="Muy Baja",'Mapa final'!$AC$25="Moderado"),CONCATENATE("R4C",'Mapa final'!$Q$25),"")</f>
        <v/>
      </c>
      <c r="X49" s="52" t="str">
        <f>IF(AND('Mapa final'!$AA$26="Muy Baja",'Mapa final'!$AC$26="Moderado"),CONCATENATE("R4C",'Mapa final'!$Q$26),"")</f>
        <v/>
      </c>
      <c r="Y49" s="52" t="str">
        <f>IF(AND('Mapa final'!$AA$27="Muy Baja",'Mapa final'!$AC$27="Moderado"),CONCATENATE("R4C",'Mapa final'!$Q$27),"")</f>
        <v/>
      </c>
      <c r="Z49" s="52" t="str">
        <f>IF(AND('Mapa final'!$AA$28="Muy Baja",'Mapa final'!$AC$28="Moderado"),CONCATENATE("R4C",'Mapa final'!$Q$28),"")</f>
        <v/>
      </c>
      <c r="AA49" s="53" t="str">
        <f>IF(AND('Mapa final'!$AA$29="Muy Baja",'Mapa final'!$AC$29="Moderado"),CONCATENATE("R4C",'Mapa final'!$Q$29),"")</f>
        <v/>
      </c>
      <c r="AB49" s="36" t="str">
        <f>IF(AND('Mapa final'!$AA$24="Muy Baja",'Mapa final'!$AC$24="Mayor"),CONCATENATE("R4C",'Mapa final'!$Q$24),"")</f>
        <v/>
      </c>
      <c r="AC49" s="37" t="str">
        <f>IF(AND('Mapa final'!$AA$25="Muy Baja",'Mapa final'!$AC$25="Mayor"),CONCATENATE("R4C",'Mapa final'!$Q$25),"")</f>
        <v/>
      </c>
      <c r="AD49" s="37" t="str">
        <f>IF(AND('Mapa final'!$AA$26="Muy Baja",'Mapa final'!$AC$26="Mayor"),CONCATENATE("R4C",'Mapa final'!$Q$26),"")</f>
        <v/>
      </c>
      <c r="AE49" s="37" t="str">
        <f>IF(AND('Mapa final'!$AA$27="Muy Baja",'Mapa final'!$AC$27="Mayor"),CONCATENATE("R4C",'Mapa final'!$Q$27),"")</f>
        <v/>
      </c>
      <c r="AF49" s="37" t="str">
        <f>IF(AND('Mapa final'!$AA$28="Muy Baja",'Mapa final'!$AC$28="Mayor"),CONCATENATE("R4C",'Mapa final'!$Q$28),"")</f>
        <v/>
      </c>
      <c r="AG49" s="38" t="str">
        <f>IF(AND('Mapa final'!$AA$29="Muy Baja",'Mapa final'!$AC$29="Mayor"),CONCATENATE("R4C",'Mapa final'!$Q$29),"")</f>
        <v/>
      </c>
      <c r="AH49" s="39" t="str">
        <f>IF(AND('Mapa final'!$AA$24="Muy Baja",'Mapa final'!$AC$24="Catastrófico"),CONCATENATE("R4C",'Mapa final'!$Q$24),"")</f>
        <v/>
      </c>
      <c r="AI49" s="40" t="str">
        <f>IF(AND('Mapa final'!$AA$25="Muy Baja",'Mapa final'!$AC$25="Catastrófico"),CONCATENATE("R4C",'Mapa final'!$Q$25),"")</f>
        <v/>
      </c>
      <c r="AJ49" s="40" t="str">
        <f>IF(AND('Mapa final'!$AA$26="Muy Baja",'Mapa final'!$AC$26="Catastrófico"),CONCATENATE("R4C",'Mapa final'!$Q$26),"")</f>
        <v/>
      </c>
      <c r="AK49" s="40" t="str">
        <f>IF(AND('Mapa final'!$AA$27="Muy Baja",'Mapa final'!$AC$27="Catastrófico"),CONCATENATE("R4C",'Mapa final'!$Q$27),"")</f>
        <v/>
      </c>
      <c r="AL49" s="40" t="str">
        <f>IF(AND('Mapa final'!$AA$28="Muy Baja",'Mapa final'!$AC$28="Catastrófico"),CONCATENATE("R4C",'Mapa final'!$Q$28),"")</f>
        <v/>
      </c>
      <c r="AM49" s="41" t="str">
        <f>IF(AND('Mapa final'!$AA$29="Muy Baja",'Mapa final'!$AC$29="Catastrófico"),CONCATENATE("R4C",'Mapa final'!$Q$29),"")</f>
        <v/>
      </c>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ht="15" customHeight="1" x14ac:dyDescent="0.3">
      <c r="A50" s="67"/>
      <c r="B50" s="356"/>
      <c r="C50" s="356"/>
      <c r="D50" s="357"/>
      <c r="E50" s="397"/>
      <c r="F50" s="398"/>
      <c r="G50" s="398"/>
      <c r="H50" s="398"/>
      <c r="I50" s="399"/>
      <c r="J50" s="60" t="str">
        <f>IF(AND('Mapa final'!$AA$30="Muy Baja",'Mapa final'!$AC$30="Leve"),CONCATENATE("R5C",'Mapa final'!$Q$30),"")</f>
        <v/>
      </c>
      <c r="K50" s="61" t="str">
        <f>IF(AND('Mapa final'!$AA$31="Muy Baja",'Mapa final'!$AC$31="Leve"),CONCATENATE("R5C",'Mapa final'!$Q$31),"")</f>
        <v/>
      </c>
      <c r="L50" s="61" t="str">
        <f>IF(AND('Mapa final'!$AA$32="Muy Baja",'Mapa final'!$AC$32="Leve"),CONCATENATE("R5C",'Mapa final'!$Q$32),"")</f>
        <v/>
      </c>
      <c r="M50" s="61" t="str">
        <f>IF(AND('Mapa final'!$AA$33="Muy Baja",'Mapa final'!$AC$33="Leve"),CONCATENATE("R5C",'Mapa final'!$Q$33),"")</f>
        <v/>
      </c>
      <c r="N50" s="61" t="str">
        <f>IF(AND('Mapa final'!$AA$34="Muy Baja",'Mapa final'!$AC$34="Leve"),CONCATENATE("R5C",'Mapa final'!$Q$34),"")</f>
        <v/>
      </c>
      <c r="O50" s="62" t="str">
        <f>IF(AND('Mapa final'!$AA$35="Muy Baja",'Mapa final'!$AC$35="Leve"),CONCATENATE("R5C",'Mapa final'!$Q$35),"")</f>
        <v/>
      </c>
      <c r="P50" s="60" t="str">
        <f>IF(AND('Mapa final'!$AA$30="Muy Baja",'Mapa final'!$AC$30="Menor"),CONCATENATE("R5C",'Mapa final'!$Q$30),"")</f>
        <v/>
      </c>
      <c r="Q50" s="61" t="str">
        <f>IF(AND('Mapa final'!$AA$31="Muy Baja",'Mapa final'!$AC$31="Menor"),CONCATENATE("R5C",'Mapa final'!$Q$31),"")</f>
        <v/>
      </c>
      <c r="R50" s="61" t="str">
        <f>IF(AND('Mapa final'!$AA$32="Muy Baja",'Mapa final'!$AC$32="Menor"),CONCATENATE("R5C",'Mapa final'!$Q$32),"")</f>
        <v/>
      </c>
      <c r="S50" s="61" t="str">
        <f>IF(AND('Mapa final'!$AA$33="Muy Baja",'Mapa final'!$AC$33="Menor"),CONCATENATE("R5C",'Mapa final'!$Q$33),"")</f>
        <v/>
      </c>
      <c r="T50" s="61" t="str">
        <f>IF(AND('Mapa final'!$AA$34="Muy Baja",'Mapa final'!$AC$34="Menor"),CONCATENATE("R5C",'Mapa final'!$Q$34),"")</f>
        <v/>
      </c>
      <c r="U50" s="62" t="str">
        <f>IF(AND('Mapa final'!$AA$35="Muy Baja",'Mapa final'!$AC$35="Menor"),CONCATENATE("R5C",'Mapa final'!$Q$35),"")</f>
        <v/>
      </c>
      <c r="V50" s="51" t="str">
        <f>IF(AND('Mapa final'!$AA$30="Muy Baja",'Mapa final'!$AC$30="Moderado"),CONCATENATE("R5C",'Mapa final'!$Q$30),"")</f>
        <v/>
      </c>
      <c r="W50" s="52" t="str">
        <f>IF(AND('Mapa final'!$AA$31="Muy Baja",'Mapa final'!$AC$31="Moderado"),CONCATENATE("R5C",'Mapa final'!$Q$31),"")</f>
        <v/>
      </c>
      <c r="X50" s="52" t="str">
        <f>IF(AND('Mapa final'!$AA$32="Muy Baja",'Mapa final'!$AC$32="Moderado"),CONCATENATE("R5C",'Mapa final'!$Q$32),"")</f>
        <v/>
      </c>
      <c r="Y50" s="52" t="str">
        <f>IF(AND('Mapa final'!$AA$33="Muy Baja",'Mapa final'!$AC$33="Moderado"),CONCATENATE("R5C",'Mapa final'!$Q$33),"")</f>
        <v/>
      </c>
      <c r="Z50" s="52" t="str">
        <f>IF(AND('Mapa final'!$AA$34="Muy Baja",'Mapa final'!$AC$34="Moderado"),CONCATENATE("R5C",'Mapa final'!$Q$34),"")</f>
        <v/>
      </c>
      <c r="AA50" s="53" t="str">
        <f>IF(AND('Mapa final'!$AA$35="Muy Baja",'Mapa final'!$AC$35="Moderado"),CONCATENATE("R5C",'Mapa final'!$Q$35),"")</f>
        <v/>
      </c>
      <c r="AB50" s="36" t="str">
        <f>IF(AND('Mapa final'!$AA$30="Muy Baja",'Mapa final'!$AC$30="Mayor"),CONCATENATE("R5C",'Mapa final'!$Q$30),"")</f>
        <v/>
      </c>
      <c r="AC50" s="37" t="str">
        <f>IF(AND('Mapa final'!$AA$31="Muy Baja",'Mapa final'!$AC$31="Mayor"),CONCATENATE("R5C",'Mapa final'!$Q$31),"")</f>
        <v/>
      </c>
      <c r="AD50" s="37" t="str">
        <f>IF(AND('Mapa final'!$AA$32="Muy Baja",'Mapa final'!$AC$32="Mayor"),CONCATENATE("R5C",'Mapa final'!$Q$32),"")</f>
        <v/>
      </c>
      <c r="AE50" s="37" t="str">
        <f>IF(AND('Mapa final'!$AA$33="Muy Baja",'Mapa final'!$AC$33="Mayor"),CONCATENATE("R5C",'Mapa final'!$Q$33),"")</f>
        <v/>
      </c>
      <c r="AF50" s="37" t="str">
        <f>IF(AND('Mapa final'!$AA$34="Muy Baja",'Mapa final'!$AC$34="Mayor"),CONCATENATE("R5C",'Mapa final'!$Q$34),"")</f>
        <v/>
      </c>
      <c r="AG50" s="38" t="str">
        <f>IF(AND('Mapa final'!$AA$35="Muy Baja",'Mapa final'!$AC$35="Mayor"),CONCATENATE("R5C",'Mapa final'!$Q$35),"")</f>
        <v/>
      </c>
      <c r="AH50" s="39" t="str">
        <f>IF(AND('Mapa final'!$AA$30="Muy Baja",'Mapa final'!$AC$30="Catastrófico"),CONCATENATE("R5C",'Mapa final'!$Q$30),"")</f>
        <v/>
      </c>
      <c r="AI50" s="40" t="str">
        <f>IF(AND('Mapa final'!$AA$31="Muy Baja",'Mapa final'!$AC$31="Catastrófico"),CONCATENATE("R5C",'Mapa final'!$Q$31),"")</f>
        <v/>
      </c>
      <c r="AJ50" s="40" t="str">
        <f>IF(AND('Mapa final'!$AA$32="Muy Baja",'Mapa final'!$AC$32="Catastrófico"),CONCATENATE("R5C",'Mapa final'!$Q$32),"")</f>
        <v/>
      </c>
      <c r="AK50" s="40" t="str">
        <f>IF(AND('Mapa final'!$AA$33="Muy Baja",'Mapa final'!$AC$33="Catastrófico"),CONCATENATE("R5C",'Mapa final'!$Q$33),"")</f>
        <v/>
      </c>
      <c r="AL50" s="40" t="str">
        <f>IF(AND('Mapa final'!$AA$34="Muy Baja",'Mapa final'!$AC$34="Catastrófico"),CONCATENATE("R5C",'Mapa final'!$Q$34),"")</f>
        <v/>
      </c>
      <c r="AM50" s="41" t="str">
        <f>IF(AND('Mapa final'!$AA$35="Muy Baja",'Mapa final'!$AC$35="Catastrófico"),CONCATENATE("R5C",'Mapa final'!$Q$35),"")</f>
        <v/>
      </c>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customHeight="1" x14ac:dyDescent="0.3">
      <c r="A51" s="67"/>
      <c r="B51" s="356"/>
      <c r="C51" s="356"/>
      <c r="D51" s="357"/>
      <c r="E51" s="397"/>
      <c r="F51" s="398"/>
      <c r="G51" s="398"/>
      <c r="H51" s="398"/>
      <c r="I51" s="399"/>
      <c r="J51" s="60" t="str">
        <f>IF(AND('Mapa final'!$AA$36="Muy Baja",'Mapa final'!$AC$36="Leve"),CONCATENATE("R6C",'Mapa final'!$Q$36),"")</f>
        <v/>
      </c>
      <c r="K51" s="61" t="str">
        <f>IF(AND('Mapa final'!$AA$37="Muy Baja",'Mapa final'!$AC$37="Leve"),CONCATENATE("R6C",'Mapa final'!$Q$37),"")</f>
        <v/>
      </c>
      <c r="L51" s="61" t="str">
        <f>IF(AND('Mapa final'!$AA$38="Muy Baja",'Mapa final'!$AC$38="Leve"),CONCATENATE("R6C",'Mapa final'!$Q$38),"")</f>
        <v/>
      </c>
      <c r="M51" s="61" t="str">
        <f>IF(AND('Mapa final'!$AA$39="Muy Baja",'Mapa final'!$AC$39="Leve"),CONCATENATE("R6C",'Mapa final'!$Q$39),"")</f>
        <v/>
      </c>
      <c r="N51" s="61" t="str">
        <f>IF(AND('Mapa final'!$AA$40="Muy Baja",'Mapa final'!$AC$40="Leve"),CONCATENATE("R6C",'Mapa final'!$Q$40),"")</f>
        <v/>
      </c>
      <c r="O51" s="62" t="str">
        <f>IF(AND('Mapa final'!$AA$41="Muy Baja",'Mapa final'!$AC$41="Leve"),CONCATENATE("R6C",'Mapa final'!$Q$41),"")</f>
        <v/>
      </c>
      <c r="P51" s="60" t="str">
        <f>IF(AND('Mapa final'!$AA$36="Muy Baja",'Mapa final'!$AC$36="Menor"),CONCATENATE("R6C",'Mapa final'!$Q$36),"")</f>
        <v/>
      </c>
      <c r="Q51" s="61" t="str">
        <f>IF(AND('Mapa final'!$AA$37="Muy Baja",'Mapa final'!$AC$37="Menor"),CONCATENATE("R6C",'Mapa final'!$Q$37),"")</f>
        <v/>
      </c>
      <c r="R51" s="61" t="str">
        <f>IF(AND('Mapa final'!$AA$38="Muy Baja",'Mapa final'!$AC$38="Menor"),CONCATENATE("R6C",'Mapa final'!$Q$38),"")</f>
        <v/>
      </c>
      <c r="S51" s="61" t="str">
        <f>IF(AND('Mapa final'!$AA$39="Muy Baja",'Mapa final'!$AC$39="Menor"),CONCATENATE("R6C",'Mapa final'!$Q$39),"")</f>
        <v/>
      </c>
      <c r="T51" s="61" t="str">
        <f>IF(AND('Mapa final'!$AA$40="Muy Baja",'Mapa final'!$AC$40="Menor"),CONCATENATE("R6C",'Mapa final'!$Q$40),"")</f>
        <v/>
      </c>
      <c r="U51" s="62" t="str">
        <f>IF(AND('Mapa final'!$AA$41="Muy Baja",'Mapa final'!$AC$41="Menor"),CONCATENATE("R6C",'Mapa final'!$Q$41),"")</f>
        <v/>
      </c>
      <c r="V51" s="51" t="str">
        <f>IF(AND('Mapa final'!$AA$36="Muy Baja",'Mapa final'!$AC$36="Moderado"),CONCATENATE("R6C",'Mapa final'!$Q$36),"")</f>
        <v/>
      </c>
      <c r="W51" s="52" t="str">
        <f>IF(AND('Mapa final'!$AA$37="Muy Baja",'Mapa final'!$AC$37="Moderado"),CONCATENATE("R6C",'Mapa final'!$Q$37),"")</f>
        <v/>
      </c>
      <c r="X51" s="52" t="str">
        <f>IF(AND('Mapa final'!$AA$38="Muy Baja",'Mapa final'!$AC$38="Moderado"),CONCATENATE("R6C",'Mapa final'!$Q$38),"")</f>
        <v/>
      </c>
      <c r="Y51" s="52" t="str">
        <f>IF(AND('Mapa final'!$AA$39="Muy Baja",'Mapa final'!$AC$39="Moderado"),CONCATENATE("R6C",'Mapa final'!$Q$39),"")</f>
        <v/>
      </c>
      <c r="Z51" s="52" t="str">
        <f>IF(AND('Mapa final'!$AA$40="Muy Baja",'Mapa final'!$AC$40="Moderado"),CONCATENATE("R6C",'Mapa final'!$Q$40),"")</f>
        <v/>
      </c>
      <c r="AA51" s="53" t="str">
        <f>IF(AND('Mapa final'!$AA$41="Muy Baja",'Mapa final'!$AC$41="Moderado"),CONCATENATE("R6C",'Mapa final'!$Q$41),"")</f>
        <v/>
      </c>
      <c r="AB51" s="36" t="str">
        <f>IF(AND('Mapa final'!$AA$36="Muy Baja",'Mapa final'!$AC$36="Mayor"),CONCATENATE("R6C",'Mapa final'!$Q$36),"")</f>
        <v/>
      </c>
      <c r="AC51" s="37" t="str">
        <f>IF(AND('Mapa final'!$AA$37="Muy Baja",'Mapa final'!$AC$37="Mayor"),CONCATENATE("R6C",'Mapa final'!$Q$37),"")</f>
        <v/>
      </c>
      <c r="AD51" s="37" t="str">
        <f>IF(AND('Mapa final'!$AA$38="Muy Baja",'Mapa final'!$AC$38="Mayor"),CONCATENATE("R6C",'Mapa final'!$Q$38),"")</f>
        <v/>
      </c>
      <c r="AE51" s="37" t="str">
        <f>IF(AND('Mapa final'!$AA$39="Muy Baja",'Mapa final'!$AC$39="Mayor"),CONCATENATE("R6C",'Mapa final'!$Q$39),"")</f>
        <v/>
      </c>
      <c r="AF51" s="37" t="str">
        <f>IF(AND('Mapa final'!$AA$40="Muy Baja",'Mapa final'!$AC$40="Mayor"),CONCATENATE("R6C",'Mapa final'!$Q$40),"")</f>
        <v/>
      </c>
      <c r="AG51" s="38" t="str">
        <f>IF(AND('Mapa final'!$AA$41="Muy Baja",'Mapa final'!$AC$41="Mayor"),CONCATENATE("R6C",'Mapa final'!$Q$41),"")</f>
        <v/>
      </c>
      <c r="AH51" s="39" t="str">
        <f>IF(AND('Mapa final'!$AA$36="Muy Baja",'Mapa final'!$AC$36="Catastrófico"),CONCATENATE("R6C",'Mapa final'!$Q$36),"")</f>
        <v/>
      </c>
      <c r="AI51" s="40" t="str">
        <f>IF(AND('Mapa final'!$AA$37="Muy Baja",'Mapa final'!$AC$37="Catastrófico"),CONCATENATE("R6C",'Mapa final'!$Q$37),"")</f>
        <v/>
      </c>
      <c r="AJ51" s="40" t="str">
        <f>IF(AND('Mapa final'!$AA$38="Muy Baja",'Mapa final'!$AC$38="Catastrófico"),CONCATENATE("R6C",'Mapa final'!$Q$38),"")</f>
        <v/>
      </c>
      <c r="AK51" s="40" t="str">
        <f>IF(AND('Mapa final'!$AA$39="Muy Baja",'Mapa final'!$AC$39="Catastrófico"),CONCATENATE("R6C",'Mapa final'!$Q$39),"")</f>
        <v/>
      </c>
      <c r="AL51" s="40" t="str">
        <f>IF(AND('Mapa final'!$AA$40="Muy Baja",'Mapa final'!$AC$40="Catastrófico"),CONCATENATE("R6C",'Mapa final'!$Q$40),"")</f>
        <v/>
      </c>
      <c r="AM51" s="41" t="str">
        <f>IF(AND('Mapa final'!$AA$41="Muy Baja",'Mapa final'!$AC$41="Catastrófico"),CONCATENATE("R6C",'Mapa final'!$Q$41),"")</f>
        <v/>
      </c>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ht="15" customHeight="1" x14ac:dyDescent="0.3">
      <c r="A52" s="67"/>
      <c r="B52" s="356"/>
      <c r="C52" s="356"/>
      <c r="D52" s="357"/>
      <c r="E52" s="397"/>
      <c r="F52" s="398"/>
      <c r="G52" s="398"/>
      <c r="H52" s="398"/>
      <c r="I52" s="399"/>
      <c r="J52" s="60" t="str">
        <f>IF(AND('Mapa final'!$AA$42="Muy Baja",'Mapa final'!$AC$42="Leve"),CONCATENATE("R7C",'Mapa final'!$Q$42),"")</f>
        <v/>
      </c>
      <c r="K52" s="61" t="str">
        <f>IF(AND('Mapa final'!$AA$43="Muy Baja",'Mapa final'!$AC$43="Leve"),CONCATENATE("R7C",'Mapa final'!$Q$43),"")</f>
        <v/>
      </c>
      <c r="L52" s="61" t="str">
        <f>IF(AND('Mapa final'!$AA$44="Muy Baja",'Mapa final'!$AC$44="Leve"),CONCATENATE("R7C",'Mapa final'!$Q$44),"")</f>
        <v/>
      </c>
      <c r="M52" s="61" t="str">
        <f>IF(AND('Mapa final'!$AA$45="Muy Baja",'Mapa final'!$AC$45="Leve"),CONCATENATE("R7C",'Mapa final'!$Q$45),"")</f>
        <v/>
      </c>
      <c r="N52" s="61" t="str">
        <f>IF(AND('Mapa final'!$AA$46="Muy Baja",'Mapa final'!$AC$46="Leve"),CONCATENATE("R7C",'Mapa final'!$Q$46),"")</f>
        <v/>
      </c>
      <c r="O52" s="62" t="str">
        <f>IF(AND('Mapa final'!$AA$47="Muy Baja",'Mapa final'!$AC$47="Leve"),CONCATENATE("R7C",'Mapa final'!$Q$47),"")</f>
        <v/>
      </c>
      <c r="P52" s="60" t="str">
        <f>IF(AND('Mapa final'!$AA$42="Muy Baja",'Mapa final'!$AC$42="Menor"),CONCATENATE("R7C",'Mapa final'!$Q$42),"")</f>
        <v/>
      </c>
      <c r="Q52" s="61" t="str">
        <f>IF(AND('Mapa final'!$AA$43="Muy Baja",'Mapa final'!$AC$43="Menor"),CONCATENATE("R7C",'Mapa final'!$Q$43),"")</f>
        <v/>
      </c>
      <c r="R52" s="61" t="str">
        <f>IF(AND('Mapa final'!$AA$44="Muy Baja",'Mapa final'!$AC$44="Menor"),CONCATENATE("R7C",'Mapa final'!$Q$44),"")</f>
        <v/>
      </c>
      <c r="S52" s="61" t="str">
        <f>IF(AND('Mapa final'!$AA$45="Muy Baja",'Mapa final'!$AC$45="Menor"),CONCATENATE("R7C",'Mapa final'!$Q$45),"")</f>
        <v/>
      </c>
      <c r="T52" s="61" t="str">
        <f>IF(AND('Mapa final'!$AA$46="Muy Baja",'Mapa final'!$AC$46="Menor"),CONCATENATE("R7C",'Mapa final'!$Q$46),"")</f>
        <v/>
      </c>
      <c r="U52" s="62" t="str">
        <f>IF(AND('Mapa final'!$AA$47="Muy Baja",'Mapa final'!$AC$47="Menor"),CONCATENATE("R7C",'Mapa final'!$Q$47),"")</f>
        <v/>
      </c>
      <c r="V52" s="51" t="str">
        <f>IF(AND('Mapa final'!$AA$42="Muy Baja",'Mapa final'!$AC$42="Moderado"),CONCATENATE("R7C",'Mapa final'!$Q$42),"")</f>
        <v/>
      </c>
      <c r="W52" s="52" t="str">
        <f>IF(AND('Mapa final'!$AA$43="Muy Baja",'Mapa final'!$AC$43="Moderado"),CONCATENATE("R7C",'Mapa final'!$Q$43),"")</f>
        <v/>
      </c>
      <c r="X52" s="52" t="str">
        <f>IF(AND('Mapa final'!$AA$44="Muy Baja",'Mapa final'!$AC$44="Moderado"),CONCATENATE("R7C",'Mapa final'!$Q$44),"")</f>
        <v/>
      </c>
      <c r="Y52" s="52" t="str">
        <f>IF(AND('Mapa final'!$AA$45="Muy Baja",'Mapa final'!$AC$45="Moderado"),CONCATENATE("R7C",'Mapa final'!$Q$45),"")</f>
        <v/>
      </c>
      <c r="Z52" s="52" t="str">
        <f>IF(AND('Mapa final'!$AA$46="Muy Baja",'Mapa final'!$AC$46="Moderado"),CONCATENATE("R7C",'Mapa final'!$Q$46),"")</f>
        <v/>
      </c>
      <c r="AA52" s="53" t="str">
        <f>IF(AND('Mapa final'!$AA$47="Muy Baja",'Mapa final'!$AC$47="Moderado"),CONCATENATE("R7C",'Mapa final'!$Q$47),"")</f>
        <v/>
      </c>
      <c r="AB52" s="36" t="str">
        <f>IF(AND('Mapa final'!$AA$42="Muy Baja",'Mapa final'!$AC$42="Mayor"),CONCATENATE("R7C",'Mapa final'!$Q$42),"")</f>
        <v/>
      </c>
      <c r="AC52" s="37" t="str">
        <f>IF(AND('Mapa final'!$AA$43="Muy Baja",'Mapa final'!$AC$43="Mayor"),CONCATENATE("R7C",'Mapa final'!$Q$43),"")</f>
        <v/>
      </c>
      <c r="AD52" s="37" t="str">
        <f>IF(AND('Mapa final'!$AA$44="Muy Baja",'Mapa final'!$AC$44="Mayor"),CONCATENATE("R7C",'Mapa final'!$Q$44),"")</f>
        <v/>
      </c>
      <c r="AE52" s="37" t="str">
        <f>IF(AND('Mapa final'!$AA$45="Muy Baja",'Mapa final'!$AC$45="Mayor"),CONCATENATE("R7C",'Mapa final'!$Q$45),"")</f>
        <v/>
      </c>
      <c r="AF52" s="37" t="str">
        <f>IF(AND('Mapa final'!$AA$46="Muy Baja",'Mapa final'!$AC$46="Mayor"),CONCATENATE("R7C",'Mapa final'!$Q$46),"")</f>
        <v/>
      </c>
      <c r="AG52" s="38" t="str">
        <f>IF(AND('Mapa final'!$AA$47="Muy Baja",'Mapa final'!$AC$47="Mayor"),CONCATENATE("R7C",'Mapa final'!$Q$47),"")</f>
        <v/>
      </c>
      <c r="AH52" s="39" t="str">
        <f>IF(AND('Mapa final'!$AA$42="Muy Baja",'Mapa final'!$AC$42="Catastrófico"),CONCATENATE("R7C",'Mapa final'!$Q$42),"")</f>
        <v/>
      </c>
      <c r="AI52" s="40" t="str">
        <f>IF(AND('Mapa final'!$AA$43="Muy Baja",'Mapa final'!$AC$43="Catastrófico"),CONCATENATE("R7C",'Mapa final'!$Q$43),"")</f>
        <v/>
      </c>
      <c r="AJ52" s="40" t="str">
        <f>IF(AND('Mapa final'!$AA$44="Muy Baja",'Mapa final'!$AC$44="Catastrófico"),CONCATENATE("R7C",'Mapa final'!$Q$44),"")</f>
        <v/>
      </c>
      <c r="AK52" s="40" t="str">
        <f>IF(AND('Mapa final'!$AA$45="Muy Baja",'Mapa final'!$AC$45="Catastrófico"),CONCATENATE("R7C",'Mapa final'!$Q$45),"")</f>
        <v/>
      </c>
      <c r="AL52" s="40" t="str">
        <f>IF(AND('Mapa final'!$AA$46="Muy Baja",'Mapa final'!$AC$46="Catastrófico"),CONCATENATE("R7C",'Mapa final'!$Q$46),"")</f>
        <v/>
      </c>
      <c r="AM52" s="41" t="str">
        <f>IF(AND('Mapa final'!$AA$47="Muy Baja",'Mapa final'!$AC$47="Catastrófico"),CONCATENATE("R7C",'Mapa final'!$Q$47),"")</f>
        <v/>
      </c>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3">
      <c r="A53" s="67"/>
      <c r="B53" s="356"/>
      <c r="C53" s="356"/>
      <c r="D53" s="357"/>
      <c r="E53" s="397"/>
      <c r="F53" s="398"/>
      <c r="G53" s="398"/>
      <c r="H53" s="398"/>
      <c r="I53" s="399"/>
      <c r="J53" s="60" t="str">
        <f>IF(AND('Mapa final'!$AA$48="Muy Baja",'Mapa final'!$AC$48="Leve"),CONCATENATE("R8C",'Mapa final'!$Q$48),"")</f>
        <v/>
      </c>
      <c r="K53" s="61" t="str">
        <f>IF(AND('Mapa final'!$AA$49="Muy Baja",'Mapa final'!$AC$49="Leve"),CONCATENATE("R8C",'Mapa final'!$Q$49),"")</f>
        <v/>
      </c>
      <c r="L53" s="61" t="str">
        <f>IF(AND('Mapa final'!$AA$50="Muy Baja",'Mapa final'!$AC$50="Leve"),CONCATENATE("R8C",'Mapa final'!$Q$50),"")</f>
        <v/>
      </c>
      <c r="M53" s="61" t="str">
        <f>IF(AND('Mapa final'!$AA$51="Muy Baja",'Mapa final'!$AC$51="Leve"),CONCATENATE("R8C",'Mapa final'!$Q$51),"")</f>
        <v/>
      </c>
      <c r="N53" s="61" t="str">
        <f>IF(AND('Mapa final'!$AA$52="Muy Baja",'Mapa final'!$AC$52="Leve"),CONCATENATE("R8C",'Mapa final'!$Q$52),"")</f>
        <v/>
      </c>
      <c r="O53" s="62" t="str">
        <f>IF(AND('Mapa final'!$AA$53="Muy Baja",'Mapa final'!$AC$53="Leve"),CONCATENATE("R8C",'Mapa final'!$Q$53),"")</f>
        <v/>
      </c>
      <c r="P53" s="60" t="str">
        <f>IF(AND('Mapa final'!$AA$48="Muy Baja",'Mapa final'!$AC$48="Menor"),CONCATENATE("R8C",'Mapa final'!$Q$48),"")</f>
        <v/>
      </c>
      <c r="Q53" s="61" t="str">
        <f>IF(AND('Mapa final'!$AA$49="Muy Baja",'Mapa final'!$AC$49="Menor"),CONCATENATE("R8C",'Mapa final'!$Q$49),"")</f>
        <v/>
      </c>
      <c r="R53" s="61" t="str">
        <f>IF(AND('Mapa final'!$AA$50="Muy Baja",'Mapa final'!$AC$50="Menor"),CONCATENATE("R8C",'Mapa final'!$Q$50),"")</f>
        <v/>
      </c>
      <c r="S53" s="61" t="str">
        <f>IF(AND('Mapa final'!$AA$51="Muy Baja",'Mapa final'!$AC$51="Menor"),CONCATENATE("R8C",'Mapa final'!$Q$51),"")</f>
        <v/>
      </c>
      <c r="T53" s="61" t="str">
        <f>IF(AND('Mapa final'!$AA$52="Muy Baja",'Mapa final'!$AC$52="Menor"),CONCATENATE("R8C",'Mapa final'!$Q$52),"")</f>
        <v/>
      </c>
      <c r="U53" s="62" t="str">
        <f>IF(AND('Mapa final'!$AA$53="Muy Baja",'Mapa final'!$AC$53="Menor"),CONCATENATE("R8C",'Mapa final'!$Q$53),"")</f>
        <v/>
      </c>
      <c r="V53" s="51" t="str">
        <f>IF(AND('Mapa final'!$AA$48="Muy Baja",'Mapa final'!$AC$48="Moderado"),CONCATENATE("R8C",'Mapa final'!$Q$48),"")</f>
        <v/>
      </c>
      <c r="W53" s="52" t="str">
        <f>IF(AND('Mapa final'!$AA$49="Muy Baja",'Mapa final'!$AC$49="Moderado"),CONCATENATE("R8C",'Mapa final'!$Q$49),"")</f>
        <v/>
      </c>
      <c r="X53" s="52" t="str">
        <f>IF(AND('Mapa final'!$AA$50="Muy Baja",'Mapa final'!$AC$50="Moderado"),CONCATENATE("R8C",'Mapa final'!$Q$50),"")</f>
        <v/>
      </c>
      <c r="Y53" s="52" t="str">
        <f>IF(AND('Mapa final'!$AA$51="Muy Baja",'Mapa final'!$AC$51="Moderado"),CONCATENATE("R8C",'Mapa final'!$Q$51),"")</f>
        <v/>
      </c>
      <c r="Z53" s="52" t="str">
        <f>IF(AND('Mapa final'!$AA$52="Muy Baja",'Mapa final'!$AC$52="Moderado"),CONCATENATE("R8C",'Mapa final'!$Q$52),"")</f>
        <v/>
      </c>
      <c r="AA53" s="53" t="str">
        <f>IF(AND('Mapa final'!$AA$53="Muy Baja",'Mapa final'!$AC$53="Moderado"),CONCATENATE("R8C",'Mapa final'!$Q$53),"")</f>
        <v/>
      </c>
      <c r="AB53" s="36" t="str">
        <f>IF(AND('Mapa final'!$AA$48="Muy Baja",'Mapa final'!$AC$48="Mayor"),CONCATENATE("R8C",'Mapa final'!$Q$48),"")</f>
        <v/>
      </c>
      <c r="AC53" s="37" t="str">
        <f>IF(AND('Mapa final'!$AA$49="Muy Baja",'Mapa final'!$AC$49="Mayor"),CONCATENATE("R8C",'Mapa final'!$Q$49),"")</f>
        <v/>
      </c>
      <c r="AD53" s="37" t="str">
        <f>IF(AND('Mapa final'!$AA$50="Muy Baja",'Mapa final'!$AC$50="Mayor"),CONCATENATE("R8C",'Mapa final'!$Q$50),"")</f>
        <v/>
      </c>
      <c r="AE53" s="37" t="str">
        <f>IF(AND('Mapa final'!$AA$51="Muy Baja",'Mapa final'!$AC$51="Mayor"),CONCATENATE("R8C",'Mapa final'!$Q$51),"")</f>
        <v/>
      </c>
      <c r="AF53" s="37" t="str">
        <f>IF(AND('Mapa final'!$AA$52="Muy Baja",'Mapa final'!$AC$52="Mayor"),CONCATENATE("R8C",'Mapa final'!$Q$52),"")</f>
        <v/>
      </c>
      <c r="AG53" s="38" t="str">
        <f>IF(AND('Mapa final'!$AA$53="Muy Baja",'Mapa final'!$AC$53="Mayor"),CONCATENATE("R8C",'Mapa final'!$Q$53),"")</f>
        <v/>
      </c>
      <c r="AH53" s="39" t="str">
        <f>IF(AND('Mapa final'!$AA$48="Muy Baja",'Mapa final'!$AC$48="Catastrófico"),CONCATENATE("R8C",'Mapa final'!$Q$48),"")</f>
        <v/>
      </c>
      <c r="AI53" s="40" t="str">
        <f>IF(AND('Mapa final'!$AA$49="Muy Baja",'Mapa final'!$AC$49="Catastrófico"),CONCATENATE("R8C",'Mapa final'!$Q$49),"")</f>
        <v/>
      </c>
      <c r="AJ53" s="40" t="str">
        <f>IF(AND('Mapa final'!$AA$50="Muy Baja",'Mapa final'!$AC$50="Catastrófico"),CONCATENATE("R8C",'Mapa final'!$Q$50),"")</f>
        <v/>
      </c>
      <c r="AK53" s="40" t="str">
        <f>IF(AND('Mapa final'!$AA$51="Muy Baja",'Mapa final'!$AC$51="Catastrófico"),CONCATENATE("R8C",'Mapa final'!$Q$51),"")</f>
        <v/>
      </c>
      <c r="AL53" s="40" t="str">
        <f>IF(AND('Mapa final'!$AA$52="Muy Baja",'Mapa final'!$AC$52="Catastrófico"),CONCATENATE("R8C",'Mapa final'!$Q$52),"")</f>
        <v/>
      </c>
      <c r="AM53" s="41" t="str">
        <f>IF(AND('Mapa final'!$AA$53="Muy Baja",'Mapa final'!$AC$53="Catastrófico"),CONCATENATE("R8C",'Mapa final'!$Q$53),"")</f>
        <v/>
      </c>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3">
      <c r="A54" s="67"/>
      <c r="B54" s="356"/>
      <c r="C54" s="356"/>
      <c r="D54" s="357"/>
      <c r="E54" s="397"/>
      <c r="F54" s="398"/>
      <c r="G54" s="398"/>
      <c r="H54" s="398"/>
      <c r="I54" s="399"/>
      <c r="J54" s="60" t="str">
        <f>IF(AND('Mapa final'!$AA$54="Muy Baja",'Mapa final'!$AC$54="Leve"),CONCATENATE("R9C",'Mapa final'!$Q$54),"")</f>
        <v/>
      </c>
      <c r="K54" s="61" t="str">
        <f>IF(AND('Mapa final'!$AA$55="Muy Baja",'Mapa final'!$AC$55="Leve"),CONCATENATE("R9C",'Mapa final'!$Q$55),"")</f>
        <v/>
      </c>
      <c r="L54" s="61" t="str">
        <f>IF(AND('Mapa final'!$AA$56="Muy Baja",'Mapa final'!$AC$56="Leve"),CONCATENATE("R9C",'Mapa final'!$Q$56),"")</f>
        <v/>
      </c>
      <c r="M54" s="61" t="str">
        <f>IF(AND('Mapa final'!$AA$57="Muy Baja",'Mapa final'!$AC$57="Leve"),CONCATENATE("R9C",'Mapa final'!$Q$57),"")</f>
        <v/>
      </c>
      <c r="N54" s="61" t="str">
        <f>IF(AND('Mapa final'!$AA$58="Muy Baja",'Mapa final'!$AC$58="Leve"),CONCATENATE("R9C",'Mapa final'!$Q$58),"")</f>
        <v/>
      </c>
      <c r="O54" s="62" t="str">
        <f>IF(AND('Mapa final'!$AA$59="Muy Baja",'Mapa final'!$AC$59="Leve"),CONCATENATE("R9C",'Mapa final'!$Q$59),"")</f>
        <v/>
      </c>
      <c r="P54" s="60" t="str">
        <f>IF(AND('Mapa final'!$AA$54="Muy Baja",'Mapa final'!$AC$54="Menor"),CONCATENATE("R9C",'Mapa final'!$Q$54),"")</f>
        <v/>
      </c>
      <c r="Q54" s="61" t="str">
        <f>IF(AND('Mapa final'!$AA$55="Muy Baja",'Mapa final'!$AC$55="Menor"),CONCATENATE("R9C",'Mapa final'!$Q$55),"")</f>
        <v/>
      </c>
      <c r="R54" s="61" t="str">
        <f>IF(AND('Mapa final'!$AA$56="Muy Baja",'Mapa final'!$AC$56="Menor"),CONCATENATE("R9C",'Mapa final'!$Q$56),"")</f>
        <v/>
      </c>
      <c r="S54" s="61" t="str">
        <f>IF(AND('Mapa final'!$AA$57="Muy Baja",'Mapa final'!$AC$57="Menor"),CONCATENATE("R9C",'Mapa final'!$Q$57),"")</f>
        <v/>
      </c>
      <c r="T54" s="61" t="str">
        <f>IF(AND('Mapa final'!$AA$58="Muy Baja",'Mapa final'!$AC$58="Menor"),CONCATENATE("R9C",'Mapa final'!$Q$58),"")</f>
        <v/>
      </c>
      <c r="U54" s="62" t="str">
        <f>IF(AND('Mapa final'!$AA$59="Muy Baja",'Mapa final'!$AC$59="Menor"),CONCATENATE("R9C",'Mapa final'!$Q$59),"")</f>
        <v/>
      </c>
      <c r="V54" s="51" t="str">
        <f>IF(AND('Mapa final'!$AA$54="Muy Baja",'Mapa final'!$AC$54="Moderado"),CONCATENATE("R9C",'Mapa final'!$Q$54),"")</f>
        <v/>
      </c>
      <c r="W54" s="52" t="str">
        <f>IF(AND('Mapa final'!$AA$55="Muy Baja",'Mapa final'!$AC$55="Moderado"),CONCATENATE("R9C",'Mapa final'!$Q$55),"")</f>
        <v/>
      </c>
      <c r="X54" s="52" t="str">
        <f>IF(AND('Mapa final'!$AA$56="Muy Baja",'Mapa final'!$AC$56="Moderado"),CONCATENATE("R9C",'Mapa final'!$Q$56),"")</f>
        <v/>
      </c>
      <c r="Y54" s="52" t="str">
        <f>IF(AND('Mapa final'!$AA$57="Muy Baja",'Mapa final'!$AC$57="Moderado"),CONCATENATE("R9C",'Mapa final'!$Q$57),"")</f>
        <v/>
      </c>
      <c r="Z54" s="52" t="str">
        <f>IF(AND('Mapa final'!$AA$58="Muy Baja",'Mapa final'!$AC$58="Moderado"),CONCATENATE("R9C",'Mapa final'!$Q$58),"")</f>
        <v/>
      </c>
      <c r="AA54" s="53" t="str">
        <f>IF(AND('Mapa final'!$AA$59="Muy Baja",'Mapa final'!$AC$59="Moderado"),CONCATENATE("R9C",'Mapa final'!$Q$59),"")</f>
        <v/>
      </c>
      <c r="AB54" s="36" t="str">
        <f>IF(AND('Mapa final'!$AA$54="Muy Baja",'Mapa final'!$AC$54="Mayor"),CONCATENATE("R9C",'Mapa final'!$Q$54),"")</f>
        <v/>
      </c>
      <c r="AC54" s="37" t="str">
        <f>IF(AND('Mapa final'!$AA$55="Muy Baja",'Mapa final'!$AC$55="Mayor"),CONCATENATE("R9C",'Mapa final'!$Q$55),"")</f>
        <v/>
      </c>
      <c r="AD54" s="37" t="str">
        <f>IF(AND('Mapa final'!$AA$56="Muy Baja",'Mapa final'!$AC$56="Mayor"),CONCATENATE("R9C",'Mapa final'!$Q$56),"")</f>
        <v/>
      </c>
      <c r="AE54" s="37" t="str">
        <f>IF(AND('Mapa final'!$AA$57="Muy Baja",'Mapa final'!$AC$57="Mayor"),CONCATENATE("R9C",'Mapa final'!$Q$57),"")</f>
        <v/>
      </c>
      <c r="AF54" s="37" t="str">
        <f>IF(AND('Mapa final'!$AA$58="Muy Baja",'Mapa final'!$AC$58="Mayor"),CONCATENATE("R9C",'Mapa final'!$Q$58),"")</f>
        <v/>
      </c>
      <c r="AG54" s="38" t="str">
        <f>IF(AND('Mapa final'!$AA$59="Muy Baja",'Mapa final'!$AC$59="Mayor"),CONCATENATE("R9C",'Mapa final'!$Q$59),"")</f>
        <v/>
      </c>
      <c r="AH54" s="39" t="str">
        <f>IF(AND('Mapa final'!$AA$54="Muy Baja",'Mapa final'!$AC$54="Catastrófico"),CONCATENATE("R9C",'Mapa final'!$Q$54),"")</f>
        <v/>
      </c>
      <c r="AI54" s="40" t="str">
        <f>IF(AND('Mapa final'!$AA$55="Muy Baja",'Mapa final'!$AC$55="Catastrófico"),CONCATENATE("R9C",'Mapa final'!$Q$55),"")</f>
        <v/>
      </c>
      <c r="AJ54" s="40" t="str">
        <f>IF(AND('Mapa final'!$AA$56="Muy Baja",'Mapa final'!$AC$56="Catastrófico"),CONCATENATE("R9C",'Mapa final'!$Q$56),"")</f>
        <v/>
      </c>
      <c r="AK54" s="40" t="str">
        <f>IF(AND('Mapa final'!$AA$57="Muy Baja",'Mapa final'!$AC$57="Catastrófico"),CONCATENATE("R9C",'Mapa final'!$Q$57),"")</f>
        <v/>
      </c>
      <c r="AL54" s="40" t="str">
        <f>IF(AND('Mapa final'!$AA$58="Muy Baja",'Mapa final'!$AC$58="Catastrófico"),CONCATENATE("R9C",'Mapa final'!$Q$58),"")</f>
        <v/>
      </c>
      <c r="AM54" s="41" t="str">
        <f>IF(AND('Mapa final'!$AA$59="Muy Baja",'Mapa final'!$AC$59="Catastrófico"),CONCATENATE("R9C",'Mapa final'!$Q$59),"")</f>
        <v/>
      </c>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ht="15.75" customHeight="1" thickBot="1" x14ac:dyDescent="0.35">
      <c r="A55" s="67"/>
      <c r="B55" s="356"/>
      <c r="C55" s="356"/>
      <c r="D55" s="357"/>
      <c r="E55" s="400"/>
      <c r="F55" s="401"/>
      <c r="G55" s="401"/>
      <c r="H55" s="401"/>
      <c r="I55" s="402"/>
      <c r="J55" s="63" t="str">
        <f>IF(AND('Mapa final'!$AA$60="Muy Baja",'Mapa final'!$AC$60="Leve"),CONCATENATE("R10C",'Mapa final'!$Q$60),"")</f>
        <v/>
      </c>
      <c r="K55" s="64" t="str">
        <f>IF(AND('Mapa final'!$AA$61="Muy Baja",'Mapa final'!$AC$61="Leve"),CONCATENATE("R10C",'Mapa final'!$Q$61),"")</f>
        <v/>
      </c>
      <c r="L55" s="64" t="str">
        <f>IF(AND('Mapa final'!$AA$62="Muy Baja",'Mapa final'!$AC$62="Leve"),CONCATENATE("R10C",'Mapa final'!$Q$62),"")</f>
        <v/>
      </c>
      <c r="M55" s="64" t="str">
        <f>IF(AND('Mapa final'!$AA$63="Muy Baja",'Mapa final'!$AC$63="Leve"),CONCATENATE("R10C",'Mapa final'!$Q$63),"")</f>
        <v/>
      </c>
      <c r="N55" s="64" t="str">
        <f>IF(AND('Mapa final'!$AA$64="Muy Baja",'Mapa final'!$AC$64="Leve"),CONCATENATE("R10C",'Mapa final'!$Q$64),"")</f>
        <v/>
      </c>
      <c r="O55" s="65" t="str">
        <f>IF(AND('Mapa final'!$AA$65="Muy Baja",'Mapa final'!$AC$65="Leve"),CONCATENATE("R10C",'Mapa final'!$Q$65),"")</f>
        <v/>
      </c>
      <c r="P55" s="63" t="str">
        <f>IF(AND('Mapa final'!$AA$60="Muy Baja",'Mapa final'!$AC$60="Menor"),CONCATENATE("R10C",'Mapa final'!$Q$60),"")</f>
        <v/>
      </c>
      <c r="Q55" s="64" t="str">
        <f>IF(AND('Mapa final'!$AA$61="Muy Baja",'Mapa final'!$AC$61="Menor"),CONCATENATE("R10C",'Mapa final'!$Q$61),"")</f>
        <v/>
      </c>
      <c r="R55" s="64" t="str">
        <f>IF(AND('Mapa final'!$AA$62="Muy Baja",'Mapa final'!$AC$62="Menor"),CONCATENATE("R10C",'Mapa final'!$Q$62),"")</f>
        <v/>
      </c>
      <c r="S55" s="64" t="str">
        <f>IF(AND('Mapa final'!$AA$63="Muy Baja",'Mapa final'!$AC$63="Menor"),CONCATENATE("R10C",'Mapa final'!$Q$63),"")</f>
        <v/>
      </c>
      <c r="T55" s="64" t="str">
        <f>IF(AND('Mapa final'!$AA$64="Muy Baja",'Mapa final'!$AC$64="Menor"),CONCATENATE("R10C",'Mapa final'!$Q$64),"")</f>
        <v/>
      </c>
      <c r="U55" s="65" t="str">
        <f>IF(AND('Mapa final'!$AA$65="Muy Baja",'Mapa final'!$AC$65="Menor"),CONCATENATE("R10C",'Mapa final'!$Q$65),"")</f>
        <v/>
      </c>
      <c r="V55" s="54" t="str">
        <f>IF(AND('Mapa final'!$AA$60="Muy Baja",'Mapa final'!$AC$60="Moderado"),CONCATENATE("R10C",'Mapa final'!$Q$60),"")</f>
        <v/>
      </c>
      <c r="W55" s="55" t="str">
        <f>IF(AND('Mapa final'!$AA$61="Muy Baja",'Mapa final'!$AC$61="Moderado"),CONCATENATE("R10C",'Mapa final'!$Q$61),"")</f>
        <v/>
      </c>
      <c r="X55" s="55" t="str">
        <f>IF(AND('Mapa final'!$AA$62="Muy Baja",'Mapa final'!$AC$62="Moderado"),CONCATENATE("R10C",'Mapa final'!$Q$62),"")</f>
        <v/>
      </c>
      <c r="Y55" s="55" t="str">
        <f>IF(AND('Mapa final'!$AA$63="Muy Baja",'Mapa final'!$AC$63="Moderado"),CONCATENATE("R10C",'Mapa final'!$Q$63),"")</f>
        <v/>
      </c>
      <c r="Z55" s="55" t="str">
        <f>IF(AND('Mapa final'!$AA$64="Muy Baja",'Mapa final'!$AC$64="Moderado"),CONCATENATE("R10C",'Mapa final'!$Q$64),"")</f>
        <v/>
      </c>
      <c r="AA55" s="56" t="str">
        <f>IF(AND('Mapa final'!$AA$65="Muy Baja",'Mapa final'!$AC$65="Moderado"),CONCATENATE("R10C",'Mapa final'!$Q$65),"")</f>
        <v/>
      </c>
      <c r="AB55" s="42" t="str">
        <f>IF(AND('Mapa final'!$AA$60="Muy Baja",'Mapa final'!$AC$60="Mayor"),CONCATENATE("R10C",'Mapa final'!$Q$60),"")</f>
        <v/>
      </c>
      <c r="AC55" s="43" t="str">
        <f>IF(AND('Mapa final'!$AA$61="Muy Baja",'Mapa final'!$AC$61="Mayor"),CONCATENATE("R10C",'Mapa final'!$Q$61),"")</f>
        <v/>
      </c>
      <c r="AD55" s="43" t="str">
        <f>IF(AND('Mapa final'!$AA$62="Muy Baja",'Mapa final'!$AC$62="Mayor"),CONCATENATE("R10C",'Mapa final'!$Q$62),"")</f>
        <v/>
      </c>
      <c r="AE55" s="43" t="str">
        <f>IF(AND('Mapa final'!$AA$63="Muy Baja",'Mapa final'!$AC$63="Mayor"),CONCATENATE("R10C",'Mapa final'!$Q$63),"")</f>
        <v/>
      </c>
      <c r="AF55" s="43" t="str">
        <f>IF(AND('Mapa final'!$AA$64="Muy Baja",'Mapa final'!$AC$64="Mayor"),CONCATENATE("R10C",'Mapa final'!$Q$64),"")</f>
        <v/>
      </c>
      <c r="AG55" s="44" t="str">
        <f>IF(AND('Mapa final'!$AA$65="Muy Baja",'Mapa final'!$AC$65="Mayor"),CONCATENATE("R10C",'Mapa final'!$Q$65),"")</f>
        <v/>
      </c>
      <c r="AH55" s="45" t="str">
        <f>IF(AND('Mapa final'!$AA$60="Muy Baja",'Mapa final'!$AC$60="Catastrófico"),CONCATENATE("R10C",'Mapa final'!$Q$60),"")</f>
        <v/>
      </c>
      <c r="AI55" s="46" t="str">
        <f>IF(AND('Mapa final'!$AA$61="Muy Baja",'Mapa final'!$AC$61="Catastrófico"),CONCATENATE("R10C",'Mapa final'!$Q$61),"")</f>
        <v/>
      </c>
      <c r="AJ55" s="46" t="str">
        <f>IF(AND('Mapa final'!$AA$62="Muy Baja",'Mapa final'!$AC$62="Catastrófico"),CONCATENATE("R10C",'Mapa final'!$Q$62),"")</f>
        <v/>
      </c>
      <c r="AK55" s="46" t="str">
        <f>IF(AND('Mapa final'!$AA$63="Muy Baja",'Mapa final'!$AC$63="Catastrófico"),CONCATENATE("R10C",'Mapa final'!$Q$63),"")</f>
        <v/>
      </c>
      <c r="AL55" s="46" t="str">
        <f>IF(AND('Mapa final'!$AA$64="Muy Baja",'Mapa final'!$AC$64="Catastrófico"),CONCATENATE("R10C",'Mapa final'!$Q$64),"")</f>
        <v/>
      </c>
      <c r="AM55" s="47" t="str">
        <f>IF(AND('Mapa final'!$AA$65="Muy Baja",'Mapa final'!$AC$65="Catastrófico"),CONCATENATE("R10C",'Mapa final'!$Q$65),"")</f>
        <v/>
      </c>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3">
      <c r="A56" s="67"/>
      <c r="B56" s="67"/>
      <c r="C56" s="67"/>
      <c r="D56" s="67"/>
      <c r="E56" s="67"/>
      <c r="F56" s="67"/>
      <c r="G56" s="67"/>
      <c r="H56" s="67"/>
      <c r="I56" s="67"/>
      <c r="J56" s="394" t="s">
        <v>107</v>
      </c>
      <c r="K56" s="395"/>
      <c r="L56" s="395"/>
      <c r="M56" s="395"/>
      <c r="N56" s="395"/>
      <c r="O56" s="396"/>
      <c r="P56" s="394" t="s">
        <v>106</v>
      </c>
      <c r="Q56" s="395"/>
      <c r="R56" s="395"/>
      <c r="S56" s="395"/>
      <c r="T56" s="395"/>
      <c r="U56" s="396"/>
      <c r="V56" s="394" t="s">
        <v>105</v>
      </c>
      <c r="W56" s="395"/>
      <c r="X56" s="395"/>
      <c r="Y56" s="395"/>
      <c r="Z56" s="395"/>
      <c r="AA56" s="396"/>
      <c r="AB56" s="394" t="s">
        <v>104</v>
      </c>
      <c r="AC56" s="403"/>
      <c r="AD56" s="395"/>
      <c r="AE56" s="395"/>
      <c r="AF56" s="395"/>
      <c r="AG56" s="396"/>
      <c r="AH56" s="394" t="s">
        <v>103</v>
      </c>
      <c r="AI56" s="395"/>
      <c r="AJ56" s="395"/>
      <c r="AK56" s="395"/>
      <c r="AL56" s="395"/>
      <c r="AM56" s="396"/>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3">
      <c r="A57" s="67"/>
      <c r="B57" s="67"/>
      <c r="C57" s="67"/>
      <c r="D57" s="67"/>
      <c r="E57" s="67"/>
      <c r="F57" s="67"/>
      <c r="G57" s="67"/>
      <c r="H57" s="67"/>
      <c r="I57" s="67"/>
      <c r="J57" s="397"/>
      <c r="K57" s="398"/>
      <c r="L57" s="398"/>
      <c r="M57" s="398"/>
      <c r="N57" s="398"/>
      <c r="O57" s="399"/>
      <c r="P57" s="397"/>
      <c r="Q57" s="398"/>
      <c r="R57" s="398"/>
      <c r="S57" s="398"/>
      <c r="T57" s="398"/>
      <c r="U57" s="399"/>
      <c r="V57" s="397"/>
      <c r="W57" s="398"/>
      <c r="X57" s="398"/>
      <c r="Y57" s="398"/>
      <c r="Z57" s="398"/>
      <c r="AA57" s="399"/>
      <c r="AB57" s="397"/>
      <c r="AC57" s="398"/>
      <c r="AD57" s="398"/>
      <c r="AE57" s="398"/>
      <c r="AF57" s="398"/>
      <c r="AG57" s="399"/>
      <c r="AH57" s="397"/>
      <c r="AI57" s="398"/>
      <c r="AJ57" s="398"/>
      <c r="AK57" s="398"/>
      <c r="AL57" s="398"/>
      <c r="AM57" s="399"/>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3">
      <c r="A58" s="67"/>
      <c r="B58" s="67"/>
      <c r="C58" s="67"/>
      <c r="D58" s="67"/>
      <c r="E58" s="67"/>
      <c r="F58" s="67"/>
      <c r="G58" s="67"/>
      <c r="H58" s="67"/>
      <c r="I58" s="67"/>
      <c r="J58" s="397"/>
      <c r="K58" s="398"/>
      <c r="L58" s="398"/>
      <c r="M58" s="398"/>
      <c r="N58" s="398"/>
      <c r="O58" s="399"/>
      <c r="P58" s="397"/>
      <c r="Q58" s="398"/>
      <c r="R58" s="398"/>
      <c r="S58" s="398"/>
      <c r="T58" s="398"/>
      <c r="U58" s="399"/>
      <c r="V58" s="397"/>
      <c r="W58" s="398"/>
      <c r="X58" s="398"/>
      <c r="Y58" s="398"/>
      <c r="Z58" s="398"/>
      <c r="AA58" s="399"/>
      <c r="AB58" s="397"/>
      <c r="AC58" s="398"/>
      <c r="AD58" s="398"/>
      <c r="AE58" s="398"/>
      <c r="AF58" s="398"/>
      <c r="AG58" s="399"/>
      <c r="AH58" s="397"/>
      <c r="AI58" s="398"/>
      <c r="AJ58" s="398"/>
      <c r="AK58" s="398"/>
      <c r="AL58" s="398"/>
      <c r="AM58" s="399"/>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3">
      <c r="A59" s="67"/>
      <c r="B59" s="67"/>
      <c r="C59" s="67"/>
      <c r="D59" s="67"/>
      <c r="E59" s="67"/>
      <c r="F59" s="67"/>
      <c r="G59" s="67"/>
      <c r="H59" s="67"/>
      <c r="I59" s="67"/>
      <c r="J59" s="397"/>
      <c r="K59" s="398"/>
      <c r="L59" s="398"/>
      <c r="M59" s="398"/>
      <c r="N59" s="398"/>
      <c r="O59" s="399"/>
      <c r="P59" s="397"/>
      <c r="Q59" s="398"/>
      <c r="R59" s="398"/>
      <c r="S59" s="398"/>
      <c r="T59" s="398"/>
      <c r="U59" s="399"/>
      <c r="V59" s="397"/>
      <c r="W59" s="398"/>
      <c r="X59" s="398"/>
      <c r="Y59" s="398"/>
      <c r="Z59" s="398"/>
      <c r="AA59" s="399"/>
      <c r="AB59" s="397"/>
      <c r="AC59" s="398"/>
      <c r="AD59" s="398"/>
      <c r="AE59" s="398"/>
      <c r="AF59" s="398"/>
      <c r="AG59" s="399"/>
      <c r="AH59" s="397"/>
      <c r="AI59" s="398"/>
      <c r="AJ59" s="398"/>
      <c r="AK59" s="398"/>
      <c r="AL59" s="398"/>
      <c r="AM59" s="399"/>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3">
      <c r="A60" s="67"/>
      <c r="B60" s="67"/>
      <c r="C60" s="67"/>
      <c r="D60" s="67"/>
      <c r="E60" s="67"/>
      <c r="F60" s="67"/>
      <c r="G60" s="67"/>
      <c r="H60" s="67"/>
      <c r="I60" s="67"/>
      <c r="J60" s="397"/>
      <c r="K60" s="398"/>
      <c r="L60" s="398"/>
      <c r="M60" s="398"/>
      <c r="N60" s="398"/>
      <c r="O60" s="399"/>
      <c r="P60" s="397"/>
      <c r="Q60" s="398"/>
      <c r="R60" s="398"/>
      <c r="S60" s="398"/>
      <c r="T60" s="398"/>
      <c r="U60" s="399"/>
      <c r="V60" s="397"/>
      <c r="W60" s="398"/>
      <c r="X60" s="398"/>
      <c r="Y60" s="398"/>
      <c r="Z60" s="398"/>
      <c r="AA60" s="399"/>
      <c r="AB60" s="397"/>
      <c r="AC60" s="398"/>
      <c r="AD60" s="398"/>
      <c r="AE60" s="398"/>
      <c r="AF60" s="398"/>
      <c r="AG60" s="399"/>
      <c r="AH60" s="397"/>
      <c r="AI60" s="398"/>
      <c r="AJ60" s="398"/>
      <c r="AK60" s="398"/>
      <c r="AL60" s="398"/>
      <c r="AM60" s="399"/>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ht="15" thickBot="1" x14ac:dyDescent="0.35">
      <c r="A61" s="67"/>
      <c r="B61" s="67"/>
      <c r="C61" s="67"/>
      <c r="D61" s="67"/>
      <c r="E61" s="67"/>
      <c r="F61" s="67"/>
      <c r="G61" s="67"/>
      <c r="H61" s="67"/>
      <c r="I61" s="67"/>
      <c r="J61" s="400"/>
      <c r="K61" s="401"/>
      <c r="L61" s="401"/>
      <c r="M61" s="401"/>
      <c r="N61" s="401"/>
      <c r="O61" s="402"/>
      <c r="P61" s="400"/>
      <c r="Q61" s="401"/>
      <c r="R61" s="401"/>
      <c r="S61" s="401"/>
      <c r="T61" s="401"/>
      <c r="U61" s="402"/>
      <c r="V61" s="400"/>
      <c r="W61" s="401"/>
      <c r="X61" s="401"/>
      <c r="Y61" s="401"/>
      <c r="Z61" s="401"/>
      <c r="AA61" s="402"/>
      <c r="AB61" s="400"/>
      <c r="AC61" s="401"/>
      <c r="AD61" s="401"/>
      <c r="AE61" s="401"/>
      <c r="AF61" s="401"/>
      <c r="AG61" s="402"/>
      <c r="AH61" s="400"/>
      <c r="AI61" s="401"/>
      <c r="AJ61" s="401"/>
      <c r="AK61" s="401"/>
      <c r="AL61" s="401"/>
      <c r="AM61" s="402"/>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3">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row>
    <row r="63" spans="1:80" ht="15" customHeight="1" x14ac:dyDescent="0.3">
      <c r="A63" s="67"/>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67"/>
      <c r="AV63" s="67"/>
      <c r="AW63" s="67"/>
      <c r="AX63" s="67"/>
      <c r="AY63" s="67"/>
      <c r="AZ63" s="67"/>
      <c r="BA63" s="67"/>
      <c r="BB63" s="67"/>
      <c r="BC63" s="67"/>
      <c r="BD63" s="67"/>
      <c r="BE63" s="67"/>
      <c r="BF63" s="67"/>
      <c r="BG63" s="67"/>
      <c r="BH63" s="67"/>
    </row>
    <row r="64" spans="1:80" ht="15" customHeight="1" x14ac:dyDescent="0.3">
      <c r="A64" s="67"/>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67"/>
      <c r="AV64" s="67"/>
      <c r="AW64" s="67"/>
      <c r="AX64" s="67"/>
      <c r="AY64" s="67"/>
      <c r="AZ64" s="67"/>
      <c r="BA64" s="67"/>
      <c r="BB64" s="67"/>
      <c r="BC64" s="67"/>
      <c r="BD64" s="67"/>
      <c r="BE64" s="67"/>
      <c r="BF64" s="67"/>
      <c r="BG64" s="67"/>
      <c r="BH64" s="67"/>
    </row>
    <row r="65" spans="1:60" x14ac:dyDescent="0.3">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row>
    <row r="66" spans="1:60"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row>
    <row r="67" spans="1:60" x14ac:dyDescent="0.3">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row>
    <row r="68" spans="1:60" x14ac:dyDescent="0.3">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row>
    <row r="69" spans="1:60" x14ac:dyDescent="0.3">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row>
    <row r="70" spans="1:60" x14ac:dyDescent="0.3">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row>
    <row r="71" spans="1:60" x14ac:dyDescent="0.3">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row>
    <row r="72" spans="1:60" x14ac:dyDescent="0.3">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row>
    <row r="73" spans="1:60" x14ac:dyDescent="0.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row>
    <row r="74" spans="1:60" x14ac:dyDescent="0.3">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row>
    <row r="75" spans="1:60" x14ac:dyDescent="0.3">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row>
    <row r="76" spans="1:60" x14ac:dyDescent="0.3">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row>
    <row r="77" spans="1:60" x14ac:dyDescent="0.3">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row>
    <row r="78" spans="1:60" x14ac:dyDescent="0.3">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row>
    <row r="79" spans="1:60" x14ac:dyDescent="0.3">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row>
    <row r="80" spans="1:60" x14ac:dyDescent="0.3">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row>
    <row r="81" spans="1:60" x14ac:dyDescent="0.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row>
    <row r="82" spans="1:60" x14ac:dyDescent="0.3">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row>
    <row r="83" spans="1:60" x14ac:dyDescent="0.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row>
    <row r="84" spans="1:60" x14ac:dyDescent="0.3">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row>
    <row r="85" spans="1:60" x14ac:dyDescent="0.3">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row>
    <row r="86" spans="1:60" x14ac:dyDescent="0.3">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row>
    <row r="87" spans="1:60" x14ac:dyDescent="0.3">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row>
    <row r="88" spans="1:60" x14ac:dyDescent="0.3">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row>
    <row r="89" spans="1:60" x14ac:dyDescent="0.3">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row>
    <row r="90" spans="1:60" x14ac:dyDescent="0.3">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row>
    <row r="91" spans="1:60" x14ac:dyDescent="0.3">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row>
    <row r="92" spans="1:60" x14ac:dyDescent="0.3">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row>
    <row r="93" spans="1:60" x14ac:dyDescent="0.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row>
    <row r="94" spans="1:60" x14ac:dyDescent="0.3">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row>
    <row r="95" spans="1:60" x14ac:dyDescent="0.3">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row>
    <row r="96" spans="1:60" x14ac:dyDescent="0.3">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row>
    <row r="97" spans="1:60" x14ac:dyDescent="0.3">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row>
    <row r="98" spans="1:60" x14ac:dyDescent="0.3">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row>
    <row r="99" spans="1:60" x14ac:dyDescent="0.3">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row>
    <row r="100" spans="1:60" x14ac:dyDescent="0.3">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row>
    <row r="101" spans="1:60" x14ac:dyDescent="0.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row>
    <row r="102" spans="1:60" x14ac:dyDescent="0.3">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row>
    <row r="103" spans="1:60" x14ac:dyDescent="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row>
    <row r="104" spans="1:60" x14ac:dyDescent="0.3">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row>
    <row r="105" spans="1:60" x14ac:dyDescent="0.3">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row>
    <row r="106" spans="1:60" x14ac:dyDescent="0.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row>
    <row r="107" spans="1:60" x14ac:dyDescent="0.3">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row>
    <row r="108" spans="1:60" x14ac:dyDescent="0.3">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row>
    <row r="109" spans="1:60" x14ac:dyDescent="0.3">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row>
    <row r="110" spans="1:60" x14ac:dyDescent="0.3">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row>
    <row r="111" spans="1:60" x14ac:dyDescent="0.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row>
    <row r="112" spans="1:60" x14ac:dyDescent="0.3">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row>
    <row r="113" spans="1:60" x14ac:dyDescent="0.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row>
    <row r="114" spans="1:60" x14ac:dyDescent="0.3">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row>
    <row r="115" spans="1:60" x14ac:dyDescent="0.3">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row>
    <row r="116" spans="1:60" x14ac:dyDescent="0.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row>
    <row r="117" spans="1:60" x14ac:dyDescent="0.3">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row>
    <row r="118" spans="1:60" x14ac:dyDescent="0.3">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row>
    <row r="119" spans="1:60" x14ac:dyDescent="0.3">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row>
    <row r="120" spans="1:60" x14ac:dyDescent="0.3">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row>
    <row r="121" spans="1:60" x14ac:dyDescent="0.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row>
    <row r="122" spans="1:60" x14ac:dyDescent="0.3">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row>
    <row r="123" spans="1:60" x14ac:dyDescent="0.3">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row>
    <row r="124" spans="1:60" x14ac:dyDescent="0.3">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row>
    <row r="125" spans="1:60" x14ac:dyDescent="0.3">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row>
    <row r="126" spans="1:60" x14ac:dyDescent="0.3">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row>
    <row r="127" spans="1:60" x14ac:dyDescent="0.3">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row>
    <row r="128" spans="1:60" x14ac:dyDescent="0.3">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row>
    <row r="129" spans="1:60" x14ac:dyDescent="0.3">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row>
    <row r="130" spans="1:60" x14ac:dyDescent="0.3">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row>
    <row r="131" spans="1:60" x14ac:dyDescent="0.3">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row>
    <row r="132" spans="1:60" x14ac:dyDescent="0.3">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row>
    <row r="133" spans="1:60" x14ac:dyDescent="0.3">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row>
    <row r="134" spans="1:60" x14ac:dyDescent="0.3">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row>
    <row r="135" spans="1:60" x14ac:dyDescent="0.3">
      <c r="A135" s="67"/>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row>
    <row r="136" spans="1:60" x14ac:dyDescent="0.3">
      <c r="A136" s="67"/>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row>
    <row r="137" spans="1:60" x14ac:dyDescent="0.3">
      <c r="A137" s="67"/>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7"/>
      <c r="BC137" s="67"/>
      <c r="BD137" s="67"/>
      <c r="BE137" s="67"/>
      <c r="BF137" s="67"/>
      <c r="BG137" s="67"/>
      <c r="BH137" s="67"/>
    </row>
    <row r="138" spans="1:60" x14ac:dyDescent="0.3">
      <c r="A138" s="67"/>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7"/>
      <c r="BC138" s="67"/>
      <c r="BD138" s="67"/>
      <c r="BE138" s="67"/>
      <c r="BF138" s="67"/>
      <c r="BG138" s="67"/>
      <c r="BH138" s="67"/>
    </row>
    <row r="139" spans="1:60" x14ac:dyDescent="0.3">
      <c r="A139" s="67"/>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c r="AP139" s="67"/>
      <c r="AQ139" s="67"/>
      <c r="AR139" s="67"/>
      <c r="AS139" s="67"/>
      <c r="AT139" s="67"/>
      <c r="AU139" s="67"/>
      <c r="AV139" s="67"/>
      <c r="AW139" s="67"/>
      <c r="AX139" s="67"/>
      <c r="AY139" s="67"/>
      <c r="AZ139" s="67"/>
      <c r="BA139" s="67"/>
      <c r="BB139" s="67"/>
      <c r="BC139" s="67"/>
      <c r="BD139" s="67"/>
      <c r="BE139" s="67"/>
      <c r="BF139" s="67"/>
      <c r="BG139" s="67"/>
      <c r="BH139" s="67"/>
    </row>
    <row r="140" spans="1:60" x14ac:dyDescent="0.3">
      <c r="A140" s="67"/>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7"/>
      <c r="AK140" s="67"/>
      <c r="AL140" s="67"/>
      <c r="AM140" s="67"/>
      <c r="AN140" s="67"/>
      <c r="AO140" s="67"/>
      <c r="AP140" s="67"/>
      <c r="AQ140" s="67"/>
      <c r="AR140" s="67"/>
      <c r="AS140" s="67"/>
      <c r="AT140" s="67"/>
      <c r="AU140" s="67"/>
      <c r="AV140" s="67"/>
      <c r="AW140" s="67"/>
      <c r="AX140" s="67"/>
      <c r="AY140" s="67"/>
      <c r="AZ140" s="67"/>
      <c r="BA140" s="67"/>
      <c r="BB140" s="67"/>
      <c r="BC140" s="67"/>
      <c r="BD140" s="67"/>
      <c r="BE140" s="67"/>
      <c r="BF140" s="67"/>
      <c r="BG140" s="67"/>
      <c r="BH140" s="67"/>
    </row>
    <row r="141" spans="1:60" x14ac:dyDescent="0.3">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c r="AP141" s="67"/>
      <c r="AQ141" s="67"/>
      <c r="AR141" s="67"/>
      <c r="AS141" s="67"/>
      <c r="AT141" s="67"/>
      <c r="AU141" s="67"/>
      <c r="AV141" s="67"/>
      <c r="AW141" s="67"/>
      <c r="AX141" s="67"/>
      <c r="AY141" s="67"/>
      <c r="AZ141" s="67"/>
      <c r="BA141" s="67"/>
      <c r="BB141" s="67"/>
      <c r="BC141" s="67"/>
      <c r="BD141" s="67"/>
      <c r="BE141" s="67"/>
      <c r="BF141" s="67"/>
      <c r="BG141" s="67"/>
      <c r="BH141" s="67"/>
    </row>
    <row r="142" spans="1:60" x14ac:dyDescent="0.3">
      <c r="A142" s="67"/>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c r="AP142" s="67"/>
      <c r="AQ142" s="67"/>
      <c r="AR142" s="67"/>
      <c r="AS142" s="67"/>
      <c r="AT142" s="67"/>
      <c r="AU142" s="67"/>
      <c r="AV142" s="67"/>
      <c r="AW142" s="67"/>
      <c r="AX142" s="67"/>
      <c r="AY142" s="67"/>
      <c r="AZ142" s="67"/>
      <c r="BA142" s="67"/>
      <c r="BB142" s="67"/>
      <c r="BC142" s="67"/>
      <c r="BD142" s="67"/>
      <c r="BE142" s="67"/>
      <c r="BF142" s="67"/>
      <c r="BG142" s="67"/>
      <c r="BH142" s="67"/>
    </row>
    <row r="143" spans="1:60" x14ac:dyDescent="0.3">
      <c r="A143" s="67"/>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J143" s="67"/>
      <c r="AK143" s="67"/>
      <c r="AL143" s="67"/>
      <c r="AM143" s="67"/>
      <c r="AN143" s="67"/>
      <c r="AO143" s="67"/>
      <c r="AP143" s="67"/>
      <c r="AQ143" s="67"/>
      <c r="AR143" s="67"/>
      <c r="AS143" s="67"/>
      <c r="AT143" s="67"/>
      <c r="AU143" s="67"/>
      <c r="AV143" s="67"/>
      <c r="AW143" s="67"/>
      <c r="AX143" s="67"/>
      <c r="AY143" s="67"/>
      <c r="AZ143" s="67"/>
      <c r="BA143" s="67"/>
      <c r="BB143" s="67"/>
      <c r="BC143" s="67"/>
      <c r="BD143" s="67"/>
      <c r="BE143" s="67"/>
      <c r="BF143" s="67"/>
      <c r="BG143" s="67"/>
      <c r="BH143" s="67"/>
    </row>
    <row r="144" spans="1:60" x14ac:dyDescent="0.3">
      <c r="A144" s="67"/>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K144" s="67"/>
      <c r="AL144" s="67"/>
      <c r="AM144" s="67"/>
      <c r="AN144" s="67"/>
      <c r="AO144" s="67"/>
      <c r="AP144" s="67"/>
      <c r="AQ144" s="67"/>
      <c r="AR144" s="67"/>
      <c r="AS144" s="67"/>
      <c r="AT144" s="67"/>
      <c r="AU144" s="67"/>
      <c r="AV144" s="67"/>
      <c r="AW144" s="67"/>
      <c r="AX144" s="67"/>
      <c r="AY144" s="67"/>
      <c r="AZ144" s="67"/>
      <c r="BA144" s="67"/>
      <c r="BB144" s="67"/>
      <c r="BC144" s="67"/>
      <c r="BD144" s="67"/>
      <c r="BE144" s="67"/>
      <c r="BF144" s="67"/>
      <c r="BG144" s="67"/>
      <c r="BH144" s="67"/>
    </row>
    <row r="145" spans="1:60" x14ac:dyDescent="0.3">
      <c r="A145" s="67"/>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K145" s="67"/>
      <c r="AL145" s="67"/>
      <c r="AM145" s="67"/>
      <c r="AN145" s="67"/>
      <c r="AO145" s="67"/>
      <c r="AP145" s="67"/>
      <c r="AQ145" s="67"/>
      <c r="AR145" s="67"/>
      <c r="AS145" s="67"/>
      <c r="AT145" s="67"/>
      <c r="AU145" s="67"/>
      <c r="AV145" s="67"/>
      <c r="AW145" s="67"/>
      <c r="AX145" s="67"/>
      <c r="AY145" s="67"/>
      <c r="AZ145" s="67"/>
      <c r="BA145" s="67"/>
      <c r="BB145" s="67"/>
      <c r="BC145" s="67"/>
      <c r="BD145" s="67"/>
      <c r="BE145" s="67"/>
      <c r="BF145" s="67"/>
      <c r="BG145" s="67"/>
      <c r="BH145" s="67"/>
    </row>
    <row r="146" spans="1:60" x14ac:dyDescent="0.3">
      <c r="A146" s="67"/>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c r="AP146" s="67"/>
      <c r="AQ146" s="67"/>
      <c r="AR146" s="67"/>
      <c r="AS146" s="67"/>
      <c r="AT146" s="67"/>
      <c r="AU146" s="67"/>
      <c r="AV146" s="67"/>
      <c r="AW146" s="67"/>
      <c r="AX146" s="67"/>
      <c r="AY146" s="67"/>
      <c r="AZ146" s="67"/>
      <c r="BA146" s="67"/>
      <c r="BB146" s="67"/>
      <c r="BC146" s="67"/>
      <c r="BD146" s="67"/>
      <c r="BE146" s="67"/>
      <c r="BF146" s="67"/>
      <c r="BG146" s="67"/>
      <c r="BH146" s="67"/>
    </row>
    <row r="147" spans="1:60" x14ac:dyDescent="0.3">
      <c r="A147" s="67"/>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7"/>
      <c r="AK147" s="67"/>
      <c r="AL147" s="67"/>
      <c r="AM147" s="67"/>
      <c r="AN147" s="67"/>
      <c r="AO147" s="67"/>
      <c r="AP147" s="67"/>
      <c r="AQ147" s="67"/>
      <c r="AR147" s="67"/>
      <c r="AS147" s="67"/>
      <c r="AT147" s="67"/>
      <c r="AU147" s="67"/>
      <c r="AV147" s="67"/>
      <c r="AW147" s="67"/>
      <c r="AX147" s="67"/>
      <c r="AY147" s="67"/>
      <c r="AZ147" s="67"/>
      <c r="BA147" s="67"/>
      <c r="BB147" s="67"/>
      <c r="BC147" s="67"/>
      <c r="BD147" s="67"/>
      <c r="BE147" s="67"/>
      <c r="BF147" s="67"/>
      <c r="BG147" s="67"/>
      <c r="BH147" s="67"/>
    </row>
    <row r="148" spans="1:60" x14ac:dyDescent="0.3">
      <c r="A148" s="67"/>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7"/>
      <c r="AK148" s="67"/>
      <c r="AL148" s="67"/>
      <c r="AM148" s="67"/>
      <c r="AN148" s="67"/>
      <c r="AO148" s="67"/>
      <c r="AP148" s="67"/>
      <c r="AQ148" s="67"/>
      <c r="AR148" s="67"/>
      <c r="AS148" s="67"/>
      <c r="AT148" s="67"/>
      <c r="AU148" s="67"/>
      <c r="AV148" s="67"/>
      <c r="AW148" s="67"/>
      <c r="AX148" s="67"/>
      <c r="AY148" s="67"/>
      <c r="AZ148" s="67"/>
      <c r="BA148" s="67"/>
      <c r="BB148" s="67"/>
      <c r="BC148" s="67"/>
      <c r="BD148" s="67"/>
      <c r="BE148" s="67"/>
      <c r="BF148" s="67"/>
      <c r="BG148" s="67"/>
      <c r="BH148" s="67"/>
    </row>
    <row r="149" spans="1:60" x14ac:dyDescent="0.3">
      <c r="A149" s="67"/>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K149" s="67"/>
      <c r="AL149" s="67"/>
      <c r="AM149" s="67"/>
      <c r="AN149" s="67"/>
      <c r="AO149" s="67"/>
      <c r="AP149" s="67"/>
      <c r="AQ149" s="67"/>
      <c r="AR149" s="67"/>
      <c r="AS149" s="67"/>
      <c r="AT149" s="67"/>
      <c r="AU149" s="67"/>
      <c r="AV149" s="67"/>
      <c r="AW149" s="67"/>
      <c r="AX149" s="67"/>
      <c r="AY149" s="67"/>
      <c r="AZ149" s="67"/>
      <c r="BA149" s="67"/>
      <c r="BB149" s="67"/>
      <c r="BC149" s="67"/>
      <c r="BD149" s="67"/>
      <c r="BE149" s="67"/>
      <c r="BF149" s="67"/>
      <c r="BG149" s="67"/>
      <c r="BH149" s="67"/>
    </row>
    <row r="150" spans="1:60" x14ac:dyDescent="0.3">
      <c r="A150" s="67"/>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7"/>
      <c r="AK150" s="67"/>
      <c r="AL150" s="67"/>
      <c r="AM150" s="67"/>
      <c r="AN150" s="67"/>
      <c r="AO150" s="67"/>
      <c r="AP150" s="67"/>
      <c r="AQ150" s="67"/>
      <c r="AR150" s="67"/>
      <c r="AS150" s="67"/>
      <c r="AT150" s="67"/>
      <c r="AU150" s="67"/>
      <c r="AV150" s="67"/>
      <c r="AW150" s="67"/>
      <c r="AX150" s="67"/>
      <c r="AY150" s="67"/>
      <c r="AZ150" s="67"/>
      <c r="BA150" s="67"/>
      <c r="BB150" s="67"/>
      <c r="BC150" s="67"/>
      <c r="BD150" s="67"/>
      <c r="BE150" s="67"/>
      <c r="BF150" s="67"/>
      <c r="BG150" s="67"/>
      <c r="BH150" s="67"/>
    </row>
    <row r="151" spans="1:60" x14ac:dyDescent="0.3">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J151" s="67"/>
      <c r="AK151" s="67"/>
      <c r="AL151" s="67"/>
      <c r="AM151" s="67"/>
      <c r="AN151" s="67"/>
      <c r="AO151" s="67"/>
      <c r="AP151" s="67"/>
      <c r="AQ151" s="67"/>
      <c r="AR151" s="67"/>
      <c r="AS151" s="67"/>
      <c r="AT151" s="67"/>
      <c r="AU151" s="67"/>
      <c r="AV151" s="67"/>
      <c r="AW151" s="67"/>
      <c r="AX151" s="67"/>
      <c r="AY151" s="67"/>
      <c r="AZ151" s="67"/>
      <c r="BA151" s="67"/>
      <c r="BB151" s="67"/>
      <c r="BC151" s="67"/>
      <c r="BD151" s="67"/>
      <c r="BE151" s="67"/>
      <c r="BF151" s="67"/>
      <c r="BG151" s="67"/>
      <c r="BH151" s="67"/>
    </row>
    <row r="152" spans="1:60" x14ac:dyDescent="0.3">
      <c r="A152" s="67"/>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K152" s="67"/>
      <c r="AL152" s="67"/>
      <c r="AM152" s="67"/>
      <c r="AN152" s="67"/>
      <c r="AO152" s="67"/>
      <c r="AP152" s="67"/>
      <c r="AQ152" s="67"/>
      <c r="AR152" s="67"/>
      <c r="AS152" s="67"/>
      <c r="AT152" s="67"/>
      <c r="AU152" s="67"/>
      <c r="AV152" s="67"/>
      <c r="AW152" s="67"/>
      <c r="AX152" s="67"/>
      <c r="AY152" s="67"/>
      <c r="AZ152" s="67"/>
      <c r="BA152" s="67"/>
      <c r="BB152" s="67"/>
      <c r="BC152" s="67"/>
      <c r="BD152" s="67"/>
      <c r="BE152" s="67"/>
      <c r="BF152" s="67"/>
      <c r="BG152" s="67"/>
      <c r="BH152" s="67"/>
    </row>
    <row r="153" spans="1:60" x14ac:dyDescent="0.3">
      <c r="A153" s="67"/>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K153" s="67"/>
      <c r="AL153" s="67"/>
      <c r="AM153" s="67"/>
      <c r="AN153" s="67"/>
      <c r="AO153" s="67"/>
      <c r="AP153" s="67"/>
      <c r="AQ153" s="67"/>
      <c r="AR153" s="67"/>
      <c r="AS153" s="67"/>
      <c r="AT153" s="67"/>
      <c r="AU153" s="67"/>
      <c r="AV153" s="67"/>
      <c r="AW153" s="67"/>
      <c r="AX153" s="67"/>
      <c r="AY153" s="67"/>
      <c r="AZ153" s="67"/>
      <c r="BA153" s="67"/>
      <c r="BB153" s="67"/>
      <c r="BC153" s="67"/>
      <c r="BD153" s="67"/>
      <c r="BE153" s="67"/>
      <c r="BF153" s="67"/>
      <c r="BG153" s="67"/>
      <c r="BH153" s="67"/>
    </row>
    <row r="154" spans="1:60" x14ac:dyDescent="0.3">
      <c r="A154" s="67"/>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c r="AP154" s="67"/>
      <c r="AQ154" s="67"/>
      <c r="AR154" s="67"/>
      <c r="AS154" s="67"/>
      <c r="AT154" s="67"/>
      <c r="AU154" s="67"/>
      <c r="AV154" s="67"/>
      <c r="AW154" s="67"/>
      <c r="AX154" s="67"/>
      <c r="AY154" s="67"/>
      <c r="AZ154" s="67"/>
      <c r="BA154" s="67"/>
      <c r="BB154" s="67"/>
      <c r="BC154" s="67"/>
      <c r="BD154" s="67"/>
      <c r="BE154" s="67"/>
      <c r="BF154" s="67"/>
      <c r="BG154" s="67"/>
      <c r="BH154" s="67"/>
    </row>
    <row r="155" spans="1:60" x14ac:dyDescent="0.3">
      <c r="A155" s="67"/>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67"/>
      <c r="AL155" s="67"/>
      <c r="AM155" s="67"/>
      <c r="AN155" s="67"/>
      <c r="AO155" s="67"/>
      <c r="AP155" s="67"/>
      <c r="AQ155" s="67"/>
      <c r="AR155" s="67"/>
      <c r="AS155" s="67"/>
      <c r="AT155" s="67"/>
      <c r="AU155" s="67"/>
      <c r="AV155" s="67"/>
      <c r="AW155" s="67"/>
      <c r="AX155" s="67"/>
      <c r="AY155" s="67"/>
      <c r="AZ155" s="67"/>
      <c r="BA155" s="67"/>
      <c r="BB155" s="67"/>
      <c r="BC155" s="67"/>
      <c r="BD155" s="67"/>
      <c r="BE155" s="67"/>
      <c r="BF155" s="67"/>
      <c r="BG155" s="67"/>
      <c r="BH155" s="67"/>
    </row>
    <row r="156" spans="1:60" x14ac:dyDescent="0.3">
      <c r="A156" s="67"/>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7"/>
      <c r="AV156" s="67"/>
      <c r="AW156" s="67"/>
      <c r="AX156" s="67"/>
      <c r="AY156" s="67"/>
      <c r="AZ156" s="67"/>
      <c r="BA156" s="67"/>
      <c r="BB156" s="67"/>
      <c r="BC156" s="67"/>
      <c r="BD156" s="67"/>
      <c r="BE156" s="67"/>
      <c r="BF156" s="67"/>
      <c r="BG156" s="67"/>
      <c r="BH156" s="67"/>
    </row>
    <row r="157" spans="1:60" x14ac:dyDescent="0.3">
      <c r="A157" s="67"/>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7"/>
      <c r="AK157" s="67"/>
      <c r="AL157" s="67"/>
      <c r="AM157" s="67"/>
      <c r="AN157" s="67"/>
      <c r="AO157" s="67"/>
      <c r="AP157" s="67"/>
      <c r="AQ157" s="67"/>
      <c r="AR157" s="67"/>
      <c r="AS157" s="67"/>
      <c r="AT157" s="67"/>
      <c r="AU157" s="67"/>
      <c r="AV157" s="67"/>
      <c r="AW157" s="67"/>
      <c r="AX157" s="67"/>
      <c r="AY157" s="67"/>
      <c r="AZ157" s="67"/>
      <c r="BA157" s="67"/>
      <c r="BB157" s="67"/>
      <c r="BC157" s="67"/>
      <c r="BD157" s="67"/>
      <c r="BE157" s="67"/>
      <c r="BF157" s="67"/>
      <c r="BG157" s="67"/>
      <c r="BH157" s="67"/>
    </row>
    <row r="158" spans="1:60" x14ac:dyDescent="0.3">
      <c r="A158" s="67"/>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K158" s="67"/>
      <c r="AL158" s="67"/>
      <c r="AM158" s="67"/>
      <c r="AN158" s="67"/>
      <c r="AO158" s="67"/>
      <c r="AP158" s="67"/>
      <c r="AQ158" s="67"/>
      <c r="AR158" s="67"/>
      <c r="AS158" s="67"/>
      <c r="AT158" s="67"/>
      <c r="AU158" s="67"/>
      <c r="AV158" s="67"/>
      <c r="AW158" s="67"/>
      <c r="AX158" s="67"/>
      <c r="AY158" s="67"/>
      <c r="AZ158" s="67"/>
      <c r="BA158" s="67"/>
      <c r="BB158" s="67"/>
      <c r="BC158" s="67"/>
      <c r="BD158" s="67"/>
      <c r="BE158" s="67"/>
      <c r="BF158" s="67"/>
      <c r="BG158" s="67"/>
      <c r="BH158" s="67"/>
    </row>
    <row r="159" spans="1:60" x14ac:dyDescent="0.3">
      <c r="A159" s="67"/>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R159" s="67"/>
      <c r="AS159" s="67"/>
      <c r="AT159" s="67"/>
      <c r="AU159" s="67"/>
      <c r="AV159" s="67"/>
      <c r="AW159" s="67"/>
      <c r="AX159" s="67"/>
      <c r="AY159" s="67"/>
      <c r="AZ159" s="67"/>
      <c r="BA159" s="67"/>
      <c r="BB159" s="67"/>
      <c r="BC159" s="67"/>
      <c r="BD159" s="67"/>
      <c r="BE159" s="67"/>
      <c r="BF159" s="67"/>
      <c r="BG159" s="67"/>
      <c r="BH159" s="67"/>
    </row>
    <row r="160" spans="1:60" x14ac:dyDescent="0.3">
      <c r="A160" s="67"/>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7"/>
      <c r="AJ160" s="67"/>
      <c r="AK160" s="67"/>
      <c r="AL160" s="67"/>
      <c r="AM160" s="67"/>
      <c r="AN160" s="67"/>
      <c r="AO160" s="67"/>
      <c r="AP160" s="67"/>
      <c r="AQ160" s="67"/>
      <c r="AR160" s="67"/>
      <c r="AS160" s="67"/>
      <c r="AT160" s="67"/>
      <c r="AU160" s="67"/>
      <c r="AV160" s="67"/>
      <c r="AW160" s="67"/>
      <c r="AX160" s="67"/>
      <c r="AY160" s="67"/>
      <c r="AZ160" s="67"/>
      <c r="BA160" s="67"/>
      <c r="BB160" s="67"/>
      <c r="BC160" s="67"/>
      <c r="BD160" s="67"/>
      <c r="BE160" s="67"/>
      <c r="BF160" s="67"/>
      <c r="BG160" s="67"/>
      <c r="BH160" s="67"/>
    </row>
    <row r="161" spans="1:60" x14ac:dyDescent="0.3">
      <c r="A161" s="67"/>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K161" s="67"/>
      <c r="AL161" s="67"/>
      <c r="AM161" s="67"/>
      <c r="AN161" s="67"/>
      <c r="AO161" s="67"/>
      <c r="AP161" s="67"/>
      <c r="AQ161" s="67"/>
      <c r="AR161" s="67"/>
      <c r="AS161" s="67"/>
      <c r="AT161" s="67"/>
      <c r="AU161" s="67"/>
      <c r="AV161" s="67"/>
      <c r="AW161" s="67"/>
      <c r="AX161" s="67"/>
      <c r="AY161" s="67"/>
      <c r="AZ161" s="67"/>
      <c r="BA161" s="67"/>
      <c r="BB161" s="67"/>
      <c r="BC161" s="67"/>
      <c r="BD161" s="67"/>
      <c r="BE161" s="67"/>
      <c r="BF161" s="67"/>
      <c r="BG161" s="67"/>
      <c r="BH161" s="67"/>
    </row>
    <row r="162" spans="1:60" x14ac:dyDescent="0.3">
      <c r="A162" s="67"/>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c r="AH162" s="67"/>
      <c r="AI162" s="67"/>
      <c r="AJ162" s="67"/>
      <c r="AK162" s="67"/>
      <c r="AL162" s="67"/>
      <c r="AM162" s="67"/>
      <c r="AN162" s="67"/>
      <c r="AO162" s="67"/>
      <c r="AP162" s="67"/>
      <c r="AQ162" s="67"/>
      <c r="AR162" s="67"/>
      <c r="AS162" s="67"/>
      <c r="AT162" s="67"/>
      <c r="AU162" s="67"/>
      <c r="AV162" s="67"/>
      <c r="AW162" s="67"/>
      <c r="AX162" s="67"/>
      <c r="AY162" s="67"/>
      <c r="AZ162" s="67"/>
      <c r="BA162" s="67"/>
      <c r="BB162" s="67"/>
      <c r="BC162" s="67"/>
      <c r="BD162" s="67"/>
      <c r="BE162" s="67"/>
      <c r="BF162" s="67"/>
      <c r="BG162" s="67"/>
      <c r="BH162" s="67"/>
    </row>
    <row r="163" spans="1:60" x14ac:dyDescent="0.3">
      <c r="A163" s="67"/>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67"/>
      <c r="AH163" s="67"/>
      <c r="AI163" s="67"/>
      <c r="AJ163" s="67"/>
      <c r="AK163" s="67"/>
      <c r="AL163" s="67"/>
      <c r="AM163" s="67"/>
      <c r="AN163" s="67"/>
      <c r="AO163" s="67"/>
      <c r="AP163" s="67"/>
      <c r="AQ163" s="67"/>
      <c r="AR163" s="67"/>
      <c r="AS163" s="67"/>
      <c r="AT163" s="67"/>
      <c r="AU163" s="67"/>
      <c r="AV163" s="67"/>
      <c r="AW163" s="67"/>
      <c r="AX163" s="67"/>
      <c r="AY163" s="67"/>
      <c r="AZ163" s="67"/>
      <c r="BA163" s="67"/>
      <c r="BB163" s="67"/>
      <c r="BC163" s="67"/>
      <c r="BD163" s="67"/>
      <c r="BE163" s="67"/>
      <c r="BF163" s="67"/>
      <c r="BG163" s="67"/>
      <c r="BH163" s="67"/>
    </row>
    <row r="164" spans="1:60" x14ac:dyDescent="0.3">
      <c r="A164" s="67"/>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c r="AP164" s="67"/>
      <c r="AQ164" s="67"/>
      <c r="AR164" s="67"/>
      <c r="AS164" s="67"/>
      <c r="AT164" s="67"/>
      <c r="AU164" s="67"/>
      <c r="AV164" s="67"/>
      <c r="AW164" s="67"/>
      <c r="AX164" s="67"/>
      <c r="AY164" s="67"/>
      <c r="AZ164" s="67"/>
      <c r="BA164" s="67"/>
      <c r="BB164" s="67"/>
      <c r="BC164" s="67"/>
      <c r="BD164" s="67"/>
      <c r="BE164" s="67"/>
      <c r="BF164" s="67"/>
      <c r="BG164" s="67"/>
      <c r="BH164" s="67"/>
    </row>
    <row r="165" spans="1:60" x14ac:dyDescent="0.3">
      <c r="A165" s="67"/>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c r="AI165" s="67"/>
      <c r="AJ165" s="67"/>
      <c r="AK165" s="67"/>
      <c r="AL165" s="67"/>
      <c r="AM165" s="67"/>
      <c r="AN165" s="67"/>
      <c r="AO165" s="67"/>
      <c r="AP165" s="67"/>
      <c r="AQ165" s="67"/>
      <c r="AR165" s="67"/>
      <c r="AS165" s="67"/>
      <c r="AT165" s="67"/>
      <c r="AU165" s="67"/>
      <c r="AV165" s="67"/>
      <c r="AW165" s="67"/>
      <c r="AX165" s="67"/>
      <c r="AY165" s="67"/>
      <c r="AZ165" s="67"/>
      <c r="BA165" s="67"/>
      <c r="BB165" s="67"/>
      <c r="BC165" s="67"/>
      <c r="BD165" s="67"/>
      <c r="BE165" s="67"/>
      <c r="BF165" s="67"/>
      <c r="BG165" s="67"/>
      <c r="BH165" s="67"/>
    </row>
    <row r="166" spans="1:60" x14ac:dyDescent="0.3">
      <c r="A166" s="67"/>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K166" s="67"/>
      <c r="AL166" s="67"/>
      <c r="AM166" s="67"/>
      <c r="AN166" s="67"/>
      <c r="AO166" s="67"/>
      <c r="AP166" s="67"/>
      <c r="AQ166" s="67"/>
      <c r="AR166" s="67"/>
      <c r="AS166" s="67"/>
      <c r="AT166" s="67"/>
      <c r="AU166" s="67"/>
      <c r="AV166" s="67"/>
      <c r="AW166" s="67"/>
      <c r="AX166" s="67"/>
      <c r="AY166" s="67"/>
      <c r="AZ166" s="67"/>
      <c r="BA166" s="67"/>
      <c r="BB166" s="67"/>
      <c r="BC166" s="67"/>
      <c r="BD166" s="67"/>
      <c r="BE166" s="67"/>
      <c r="BF166" s="67"/>
      <c r="BG166" s="67"/>
      <c r="BH166" s="67"/>
    </row>
    <row r="167" spans="1:60" x14ac:dyDescent="0.3">
      <c r="A167" s="67"/>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J167" s="67"/>
      <c r="AK167" s="67"/>
      <c r="AL167" s="67"/>
      <c r="AM167" s="67"/>
      <c r="AN167" s="67"/>
      <c r="AO167" s="67"/>
      <c r="AP167" s="67"/>
      <c r="AQ167" s="67"/>
      <c r="AR167" s="67"/>
      <c r="AS167" s="67"/>
      <c r="AT167" s="67"/>
      <c r="AU167" s="67"/>
      <c r="AV167" s="67"/>
      <c r="AW167" s="67"/>
      <c r="AX167" s="67"/>
      <c r="AY167" s="67"/>
      <c r="AZ167" s="67"/>
      <c r="BA167" s="67"/>
      <c r="BB167" s="67"/>
      <c r="BC167" s="67"/>
      <c r="BD167" s="67"/>
      <c r="BE167" s="67"/>
      <c r="BF167" s="67"/>
      <c r="BG167" s="67"/>
      <c r="BH167" s="67"/>
    </row>
    <row r="168" spans="1:60" x14ac:dyDescent="0.3">
      <c r="A168" s="67"/>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c r="AH168" s="67"/>
      <c r="AI168" s="67"/>
      <c r="AJ168" s="67"/>
      <c r="AK168" s="67"/>
      <c r="AL168" s="67"/>
      <c r="AM168" s="67"/>
      <c r="AN168" s="67"/>
      <c r="AO168" s="67"/>
      <c r="AP168" s="67"/>
      <c r="AQ168" s="67"/>
      <c r="AR168" s="67"/>
      <c r="AS168" s="67"/>
      <c r="AT168" s="67"/>
      <c r="AU168" s="67"/>
      <c r="AV168" s="67"/>
      <c r="AW168" s="67"/>
      <c r="AX168" s="67"/>
      <c r="AY168" s="67"/>
      <c r="AZ168" s="67"/>
      <c r="BA168" s="67"/>
      <c r="BB168" s="67"/>
      <c r="BC168" s="67"/>
      <c r="BD168" s="67"/>
      <c r="BE168" s="67"/>
      <c r="BF168" s="67"/>
      <c r="BG168" s="67"/>
      <c r="BH168" s="67"/>
    </row>
    <row r="169" spans="1:60" x14ac:dyDescent="0.3">
      <c r="A169" s="67"/>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J169" s="67"/>
      <c r="AK169" s="67"/>
      <c r="AL169" s="67"/>
      <c r="AM169" s="67"/>
      <c r="AN169" s="67"/>
      <c r="AO169" s="67"/>
      <c r="AP169" s="67"/>
      <c r="AQ169" s="67"/>
      <c r="AR169" s="67"/>
      <c r="AS169" s="67"/>
      <c r="AT169" s="67"/>
      <c r="AU169" s="67"/>
      <c r="AV169" s="67"/>
      <c r="AW169" s="67"/>
      <c r="AX169" s="67"/>
      <c r="AY169" s="67"/>
      <c r="AZ169" s="67"/>
      <c r="BA169" s="67"/>
      <c r="BB169" s="67"/>
      <c r="BC169" s="67"/>
      <c r="BD169" s="67"/>
      <c r="BE169" s="67"/>
      <c r="BF169" s="67"/>
      <c r="BG169" s="67"/>
      <c r="BH169" s="67"/>
    </row>
    <row r="170" spans="1:60" x14ac:dyDescent="0.3">
      <c r="A170" s="67"/>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c r="AP170" s="67"/>
      <c r="AQ170" s="67"/>
      <c r="AR170" s="67"/>
      <c r="AS170" s="67"/>
      <c r="AT170" s="67"/>
      <c r="AU170" s="67"/>
      <c r="AV170" s="67"/>
      <c r="AW170" s="67"/>
      <c r="AX170" s="67"/>
      <c r="AY170" s="67"/>
      <c r="AZ170" s="67"/>
      <c r="BA170" s="67"/>
      <c r="BB170" s="67"/>
      <c r="BC170" s="67"/>
      <c r="BD170" s="67"/>
      <c r="BE170" s="67"/>
      <c r="BF170" s="67"/>
      <c r="BG170" s="67"/>
      <c r="BH170" s="67"/>
    </row>
    <row r="171" spans="1:60" x14ac:dyDescent="0.3">
      <c r="A171" s="67"/>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c r="AP171" s="67"/>
      <c r="AQ171" s="67"/>
      <c r="AR171" s="67"/>
      <c r="AS171" s="67"/>
      <c r="AT171" s="67"/>
      <c r="AU171" s="67"/>
      <c r="AV171" s="67"/>
      <c r="AW171" s="67"/>
      <c r="AX171" s="67"/>
      <c r="AY171" s="67"/>
      <c r="AZ171" s="67"/>
      <c r="BA171" s="67"/>
      <c r="BB171" s="67"/>
      <c r="BC171" s="67"/>
      <c r="BD171" s="67"/>
      <c r="BE171" s="67"/>
      <c r="BF171" s="67"/>
      <c r="BG171" s="67"/>
      <c r="BH171" s="67"/>
    </row>
    <row r="172" spans="1:60" x14ac:dyDescent="0.3">
      <c r="A172" s="67"/>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67"/>
      <c r="AH172" s="67"/>
      <c r="AI172" s="67"/>
      <c r="AJ172" s="67"/>
      <c r="AK172" s="67"/>
      <c r="AL172" s="67"/>
      <c r="AM172" s="67"/>
      <c r="AN172" s="67"/>
      <c r="AO172" s="67"/>
      <c r="AP172" s="67"/>
      <c r="AQ172" s="67"/>
      <c r="AR172" s="67"/>
      <c r="AS172" s="67"/>
      <c r="AT172" s="67"/>
      <c r="AU172" s="67"/>
      <c r="AV172" s="67"/>
      <c r="AW172" s="67"/>
      <c r="AX172" s="67"/>
      <c r="AY172" s="67"/>
      <c r="AZ172" s="67"/>
      <c r="BA172" s="67"/>
      <c r="BB172" s="67"/>
      <c r="BC172" s="67"/>
      <c r="BD172" s="67"/>
      <c r="BE172" s="67"/>
      <c r="BF172" s="67"/>
      <c r="BG172" s="67"/>
      <c r="BH172" s="67"/>
    </row>
    <row r="173" spans="1:60" x14ac:dyDescent="0.3">
      <c r="A173" s="67"/>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67"/>
      <c r="AI173" s="67"/>
      <c r="AJ173" s="67"/>
      <c r="AK173" s="67"/>
      <c r="AL173" s="67"/>
      <c r="AM173" s="67"/>
      <c r="AN173" s="67"/>
      <c r="AO173" s="67"/>
      <c r="AP173" s="67"/>
      <c r="AQ173" s="67"/>
      <c r="AR173" s="67"/>
      <c r="AS173" s="67"/>
      <c r="AT173" s="67"/>
      <c r="AU173" s="67"/>
      <c r="AV173" s="67"/>
      <c r="AW173" s="67"/>
      <c r="AX173" s="67"/>
      <c r="AY173" s="67"/>
      <c r="AZ173" s="67"/>
      <c r="BA173" s="67"/>
      <c r="BB173" s="67"/>
      <c r="BC173" s="67"/>
      <c r="BD173" s="67"/>
      <c r="BE173" s="67"/>
      <c r="BF173" s="67"/>
      <c r="BG173" s="67"/>
      <c r="BH173" s="67"/>
    </row>
    <row r="174" spans="1:60" x14ac:dyDescent="0.3">
      <c r="A174" s="67"/>
      <c r="B174" s="67"/>
      <c r="C174" s="67"/>
      <c r="D174" s="67"/>
      <c r="E174" s="67"/>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c r="AH174" s="67"/>
      <c r="AI174" s="67"/>
      <c r="AJ174" s="67"/>
      <c r="AK174" s="67"/>
      <c r="AL174" s="67"/>
      <c r="AM174" s="67"/>
      <c r="AN174" s="67"/>
      <c r="AO174" s="67"/>
      <c r="AP174" s="67"/>
      <c r="AQ174" s="67"/>
      <c r="AR174" s="67"/>
      <c r="AS174" s="67"/>
      <c r="AT174" s="67"/>
      <c r="AU174" s="67"/>
      <c r="AV174" s="67"/>
      <c r="AW174" s="67"/>
      <c r="AX174" s="67"/>
      <c r="AY174" s="67"/>
      <c r="AZ174" s="67"/>
      <c r="BA174" s="67"/>
      <c r="BB174" s="67"/>
      <c r="BC174" s="67"/>
      <c r="BD174" s="67"/>
      <c r="BE174" s="67"/>
      <c r="BF174" s="67"/>
      <c r="BG174" s="67"/>
      <c r="BH174" s="67"/>
    </row>
    <row r="175" spans="1:60" x14ac:dyDescent="0.3">
      <c r="A175" s="67"/>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c r="AH175" s="67"/>
      <c r="AI175" s="67"/>
      <c r="AJ175" s="67"/>
      <c r="AK175" s="67"/>
      <c r="AL175" s="67"/>
      <c r="AM175" s="67"/>
      <c r="AN175" s="67"/>
      <c r="AO175" s="67"/>
      <c r="AP175" s="67"/>
      <c r="AQ175" s="67"/>
      <c r="AR175" s="67"/>
      <c r="AS175" s="67"/>
      <c r="AT175" s="67"/>
      <c r="AU175" s="67"/>
      <c r="AV175" s="67"/>
      <c r="AW175" s="67"/>
      <c r="AX175" s="67"/>
      <c r="AY175" s="67"/>
      <c r="AZ175" s="67"/>
      <c r="BA175" s="67"/>
      <c r="BB175" s="67"/>
      <c r="BC175" s="67"/>
      <c r="BD175" s="67"/>
      <c r="BE175" s="67"/>
      <c r="BF175" s="67"/>
      <c r="BG175" s="67"/>
      <c r="BH175" s="67"/>
    </row>
    <row r="176" spans="1:60" x14ac:dyDescent="0.3">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67"/>
      <c r="AH176" s="67"/>
      <c r="AI176" s="67"/>
      <c r="AJ176" s="67"/>
      <c r="AK176" s="67"/>
      <c r="AL176" s="67"/>
      <c r="AM176" s="67"/>
      <c r="AN176" s="67"/>
      <c r="AO176" s="67"/>
      <c r="AP176" s="67"/>
      <c r="AQ176" s="67"/>
      <c r="AR176" s="67"/>
      <c r="AS176" s="67"/>
      <c r="AT176" s="67"/>
      <c r="AU176" s="67"/>
      <c r="AV176" s="67"/>
      <c r="AW176" s="67"/>
      <c r="AX176" s="67"/>
      <c r="AY176" s="67"/>
      <c r="AZ176" s="67"/>
      <c r="BA176" s="67"/>
      <c r="BB176" s="67"/>
      <c r="BC176" s="67"/>
      <c r="BD176" s="67"/>
      <c r="BE176" s="67"/>
      <c r="BF176" s="67"/>
      <c r="BG176" s="67"/>
      <c r="BH176" s="67"/>
    </row>
    <row r="177" spans="1:60" x14ac:dyDescent="0.3">
      <c r="A177" s="67"/>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c r="AP177" s="67"/>
      <c r="AQ177" s="67"/>
      <c r="AR177" s="67"/>
      <c r="AS177" s="67"/>
      <c r="AT177" s="67"/>
      <c r="AU177" s="67"/>
      <c r="AV177" s="67"/>
      <c r="AW177" s="67"/>
      <c r="AX177" s="67"/>
      <c r="AY177" s="67"/>
      <c r="AZ177" s="67"/>
      <c r="BA177" s="67"/>
      <c r="BB177" s="67"/>
      <c r="BC177" s="67"/>
      <c r="BD177" s="67"/>
      <c r="BE177" s="67"/>
      <c r="BF177" s="67"/>
      <c r="BG177" s="67"/>
      <c r="BH177" s="67"/>
    </row>
    <row r="178" spans="1:60" x14ac:dyDescent="0.3">
      <c r="A178" s="67"/>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c r="AP178" s="67"/>
      <c r="AQ178" s="67"/>
      <c r="AR178" s="67"/>
      <c r="AS178" s="67"/>
      <c r="AT178" s="67"/>
      <c r="AU178" s="67"/>
      <c r="AV178" s="67"/>
      <c r="AW178" s="67"/>
      <c r="AX178" s="67"/>
      <c r="AY178" s="67"/>
      <c r="AZ178" s="67"/>
      <c r="BA178" s="67"/>
      <c r="BB178" s="67"/>
      <c r="BC178" s="67"/>
      <c r="BD178" s="67"/>
      <c r="BE178" s="67"/>
      <c r="BF178" s="67"/>
      <c r="BG178" s="67"/>
      <c r="BH178" s="67"/>
    </row>
    <row r="179" spans="1:60" x14ac:dyDescent="0.3">
      <c r="A179" s="67"/>
      <c r="B179" s="67"/>
      <c r="C179" s="67"/>
      <c r="D179" s="67"/>
      <c r="E179" s="67"/>
      <c r="F179" s="67"/>
      <c r="G179" s="67"/>
      <c r="H179" s="67"/>
      <c r="I179" s="67"/>
      <c r="J179" s="67"/>
      <c r="K179" s="67"/>
      <c r="L179" s="67"/>
      <c r="M179" s="67"/>
      <c r="N179" s="67"/>
      <c r="O179" s="67"/>
      <c r="P179" s="67"/>
      <c r="Q179" s="67"/>
      <c r="R179" s="67"/>
      <c r="S179" s="67"/>
      <c r="T179" s="67"/>
      <c r="U179" s="67"/>
      <c r="V179" s="67"/>
      <c r="W179" s="67"/>
      <c r="X179" s="67"/>
      <c r="Y179" s="67"/>
      <c r="Z179" s="67"/>
      <c r="AA179" s="67"/>
      <c r="AB179" s="67"/>
      <c r="AC179" s="67"/>
      <c r="AD179" s="67"/>
      <c r="AE179" s="67"/>
      <c r="AF179" s="67"/>
      <c r="AG179" s="67"/>
      <c r="AH179" s="67"/>
      <c r="AI179" s="67"/>
      <c r="AJ179" s="67"/>
      <c r="AK179" s="67"/>
      <c r="AL179" s="67"/>
      <c r="AM179" s="67"/>
      <c r="AN179" s="67"/>
      <c r="AO179" s="67"/>
      <c r="AP179" s="67"/>
      <c r="AQ179" s="67"/>
      <c r="AR179" s="67"/>
      <c r="AS179" s="67"/>
      <c r="AT179" s="67"/>
      <c r="AU179" s="67"/>
      <c r="AV179" s="67"/>
      <c r="AW179" s="67"/>
      <c r="AX179" s="67"/>
      <c r="AY179" s="67"/>
      <c r="AZ179" s="67"/>
      <c r="BA179" s="67"/>
      <c r="BB179" s="67"/>
      <c r="BC179" s="67"/>
      <c r="BD179" s="67"/>
      <c r="BE179" s="67"/>
      <c r="BF179" s="67"/>
      <c r="BG179" s="67"/>
      <c r="BH179" s="67"/>
    </row>
    <row r="180" spans="1:60" x14ac:dyDescent="0.3">
      <c r="A180" s="67"/>
      <c r="B180" s="67"/>
      <c r="C180" s="67"/>
      <c r="D180" s="67"/>
      <c r="E180" s="67"/>
      <c r="F180" s="67"/>
      <c r="G180" s="67"/>
      <c r="H180" s="67"/>
      <c r="I180" s="67"/>
      <c r="J180" s="67"/>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c r="AP180" s="67"/>
      <c r="AQ180" s="67"/>
      <c r="AR180" s="67"/>
      <c r="AS180" s="67"/>
      <c r="AT180" s="67"/>
      <c r="AU180" s="67"/>
      <c r="AV180" s="67"/>
      <c r="AW180" s="67"/>
      <c r="AX180" s="67"/>
      <c r="AY180" s="67"/>
      <c r="AZ180" s="67"/>
      <c r="BA180" s="67"/>
      <c r="BB180" s="67"/>
      <c r="BC180" s="67"/>
      <c r="BD180" s="67"/>
      <c r="BE180" s="67"/>
      <c r="BF180" s="67"/>
      <c r="BG180" s="67"/>
      <c r="BH180" s="67"/>
    </row>
    <row r="181" spans="1:60" x14ac:dyDescent="0.3">
      <c r="A181" s="67"/>
      <c r="B181" s="67"/>
      <c r="C181" s="67"/>
      <c r="D181" s="67"/>
      <c r="E181" s="67"/>
      <c r="F181" s="67"/>
      <c r="G181" s="67"/>
      <c r="H181" s="67"/>
      <c r="I181" s="67"/>
      <c r="J181" s="67"/>
      <c r="K181" s="67"/>
      <c r="L181" s="67"/>
      <c r="M181" s="67"/>
      <c r="N181" s="67"/>
      <c r="O181" s="67"/>
      <c r="P181" s="67"/>
      <c r="Q181" s="67"/>
      <c r="R181" s="67"/>
      <c r="S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c r="AP181" s="67"/>
      <c r="AQ181" s="67"/>
      <c r="AR181" s="67"/>
      <c r="AS181" s="67"/>
      <c r="AT181" s="67"/>
      <c r="AU181" s="67"/>
      <c r="AV181" s="67"/>
      <c r="AW181" s="67"/>
      <c r="AX181" s="67"/>
      <c r="AY181" s="67"/>
      <c r="AZ181" s="67"/>
      <c r="BA181" s="67"/>
      <c r="BB181" s="67"/>
      <c r="BC181" s="67"/>
      <c r="BD181" s="67"/>
      <c r="BE181" s="67"/>
      <c r="BF181" s="67"/>
      <c r="BG181" s="67"/>
      <c r="BH181" s="67"/>
    </row>
    <row r="182" spans="1:60" x14ac:dyDescent="0.3">
      <c r="A182" s="67"/>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c r="AP182" s="67"/>
      <c r="AQ182" s="67"/>
      <c r="AR182" s="67"/>
      <c r="AS182" s="67"/>
      <c r="AT182" s="67"/>
      <c r="AU182" s="67"/>
      <c r="AV182" s="67"/>
      <c r="AW182" s="67"/>
      <c r="AX182" s="67"/>
      <c r="AY182" s="67"/>
      <c r="AZ182" s="67"/>
      <c r="BA182" s="67"/>
      <c r="BB182" s="67"/>
      <c r="BC182" s="67"/>
      <c r="BD182" s="67"/>
      <c r="BE182" s="67"/>
      <c r="BF182" s="67"/>
      <c r="BG182" s="67"/>
      <c r="BH182" s="67"/>
    </row>
    <row r="183" spans="1:60" x14ac:dyDescent="0.3">
      <c r="A183" s="67"/>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7"/>
      <c r="BC183" s="67"/>
      <c r="BD183" s="67"/>
      <c r="BE183" s="67"/>
      <c r="BF183" s="67"/>
      <c r="BG183" s="67"/>
      <c r="BH183" s="67"/>
    </row>
    <row r="184" spans="1:60" x14ac:dyDescent="0.3">
      <c r="A184" s="67"/>
      <c r="B184" s="67"/>
      <c r="C184" s="67"/>
      <c r="D184" s="67"/>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c r="BG184" s="67"/>
      <c r="BH184" s="67"/>
    </row>
    <row r="185" spans="1:60" x14ac:dyDescent="0.3">
      <c r="A185" s="67"/>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c r="AP185" s="67"/>
      <c r="AQ185" s="67"/>
      <c r="AR185" s="67"/>
      <c r="AS185" s="67"/>
      <c r="AT185" s="67"/>
      <c r="AU185" s="67"/>
      <c r="AV185" s="67"/>
      <c r="AW185" s="67"/>
      <c r="AX185" s="67"/>
      <c r="AY185" s="67"/>
      <c r="AZ185" s="67"/>
      <c r="BA185" s="67"/>
      <c r="BB185" s="67"/>
      <c r="BC185" s="67"/>
      <c r="BD185" s="67"/>
      <c r="BE185" s="67"/>
      <c r="BF185" s="67"/>
      <c r="BG185" s="67"/>
      <c r="BH185" s="67"/>
    </row>
    <row r="186" spans="1:60" x14ac:dyDescent="0.3">
      <c r="A186" s="67"/>
      <c r="B186" s="67"/>
      <c r="C186" s="67"/>
      <c r="D186" s="67"/>
      <c r="E186" s="67"/>
      <c r="F186" s="67"/>
      <c r="G186" s="67"/>
      <c r="H186" s="67"/>
      <c r="I186" s="67"/>
      <c r="J186" s="67"/>
      <c r="K186" s="67"/>
      <c r="L186" s="67"/>
      <c r="M186" s="67"/>
      <c r="N186" s="67"/>
      <c r="O186" s="67"/>
      <c r="P186" s="67"/>
      <c r="Q186" s="67"/>
      <c r="R186" s="67"/>
      <c r="S186" s="67"/>
      <c r="T186" s="67"/>
      <c r="U186" s="67"/>
      <c r="V186" s="67"/>
      <c r="W186" s="67"/>
      <c r="X186" s="67"/>
      <c r="Y186" s="67"/>
      <c r="Z186" s="67"/>
      <c r="AA186" s="67"/>
      <c r="AB186" s="67"/>
      <c r="AC186" s="67"/>
      <c r="AD186" s="67"/>
      <c r="AE186" s="67"/>
      <c r="AF186" s="67"/>
      <c r="AG186" s="67"/>
      <c r="AH186" s="67"/>
      <c r="AI186" s="67"/>
      <c r="AJ186" s="67"/>
      <c r="AK186" s="67"/>
      <c r="AL186" s="67"/>
      <c r="AM186" s="67"/>
      <c r="AN186" s="67"/>
      <c r="AO186" s="67"/>
      <c r="AP186" s="67"/>
      <c r="AQ186" s="67"/>
      <c r="AR186" s="67"/>
      <c r="AS186" s="67"/>
      <c r="AT186" s="67"/>
      <c r="AU186" s="67"/>
      <c r="AV186" s="67"/>
      <c r="AW186" s="67"/>
      <c r="AX186" s="67"/>
      <c r="AY186" s="67"/>
      <c r="AZ186" s="67"/>
      <c r="BA186" s="67"/>
      <c r="BB186" s="67"/>
      <c r="BC186" s="67"/>
      <c r="BD186" s="67"/>
      <c r="BE186" s="67"/>
      <c r="BF186" s="67"/>
      <c r="BG186" s="67"/>
      <c r="BH186" s="67"/>
    </row>
    <row r="187" spans="1:60" x14ac:dyDescent="0.3">
      <c r="A187" s="67"/>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c r="AP187" s="67"/>
      <c r="AQ187" s="67"/>
      <c r="AR187" s="67"/>
      <c r="AS187" s="67"/>
      <c r="AT187" s="67"/>
      <c r="AU187" s="67"/>
      <c r="AV187" s="67"/>
      <c r="AW187" s="67"/>
      <c r="AX187" s="67"/>
      <c r="AY187" s="67"/>
      <c r="AZ187" s="67"/>
      <c r="BA187" s="67"/>
      <c r="BB187" s="67"/>
      <c r="BC187" s="67"/>
      <c r="BD187" s="67"/>
      <c r="BE187" s="67"/>
      <c r="BF187" s="67"/>
      <c r="BG187" s="67"/>
      <c r="BH187" s="67"/>
    </row>
    <row r="188" spans="1:60" x14ac:dyDescent="0.3">
      <c r="A188" s="67"/>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c r="AG188" s="67"/>
      <c r="AH188" s="67"/>
      <c r="AI188" s="67"/>
      <c r="AJ188" s="67"/>
      <c r="AK188" s="67"/>
      <c r="AL188" s="67"/>
      <c r="AM188" s="67"/>
      <c r="AN188" s="67"/>
      <c r="AO188" s="67"/>
      <c r="AP188" s="67"/>
      <c r="AQ188" s="67"/>
      <c r="AR188" s="67"/>
      <c r="AS188" s="67"/>
      <c r="AT188" s="67"/>
      <c r="AU188" s="67"/>
      <c r="AV188" s="67"/>
      <c r="AW188" s="67"/>
      <c r="AX188" s="67"/>
      <c r="AY188" s="67"/>
      <c r="AZ188" s="67"/>
      <c r="BA188" s="67"/>
      <c r="BB188" s="67"/>
      <c r="BC188" s="67"/>
      <c r="BD188" s="67"/>
      <c r="BE188" s="67"/>
      <c r="BF188" s="67"/>
      <c r="BG188" s="67"/>
      <c r="BH188" s="67"/>
    </row>
    <row r="189" spans="1:60" x14ac:dyDescent="0.3">
      <c r="A189" s="67"/>
      <c r="B189" s="67"/>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c r="AZ189" s="67"/>
      <c r="BA189" s="67"/>
      <c r="BB189" s="67"/>
      <c r="BC189" s="67"/>
      <c r="BD189" s="67"/>
      <c r="BE189" s="67"/>
      <c r="BF189" s="67"/>
      <c r="BG189" s="67"/>
      <c r="BH189" s="67"/>
    </row>
    <row r="190" spans="1:60" x14ac:dyDescent="0.3">
      <c r="A190" s="67"/>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c r="Z190" s="67"/>
      <c r="AA190" s="67"/>
      <c r="AB190" s="67"/>
      <c r="AC190" s="67"/>
      <c r="AD190" s="67"/>
      <c r="AE190" s="67"/>
      <c r="AF190" s="67"/>
      <c r="AG190" s="67"/>
      <c r="AH190" s="67"/>
      <c r="AI190" s="67"/>
      <c r="AJ190" s="67"/>
      <c r="AK190" s="67"/>
      <c r="AL190" s="67"/>
      <c r="AM190" s="67"/>
      <c r="AN190" s="67"/>
      <c r="AO190" s="67"/>
      <c r="AP190" s="67"/>
      <c r="AQ190" s="67"/>
      <c r="AR190" s="67"/>
      <c r="AS190" s="67"/>
      <c r="AT190" s="67"/>
      <c r="AU190" s="67"/>
      <c r="AV190" s="67"/>
      <c r="AW190" s="67"/>
      <c r="AX190" s="67"/>
      <c r="AY190" s="67"/>
      <c r="AZ190" s="67"/>
      <c r="BA190" s="67"/>
      <c r="BB190" s="67"/>
      <c r="BC190" s="67"/>
      <c r="BD190" s="67"/>
      <c r="BE190" s="67"/>
      <c r="BF190" s="67"/>
      <c r="BG190" s="67"/>
      <c r="BH190" s="67"/>
    </row>
    <row r="191" spans="1:60" x14ac:dyDescent="0.3">
      <c r="A191" s="67"/>
      <c r="J191" s="67"/>
      <c r="K191" s="67"/>
      <c r="L191" s="67"/>
      <c r="M191" s="67"/>
      <c r="N191" s="67"/>
      <c r="O191" s="67"/>
      <c r="P191" s="67"/>
      <c r="Q191" s="67"/>
      <c r="R191" s="67"/>
      <c r="S191" s="67"/>
      <c r="T191" s="67"/>
      <c r="U191" s="67"/>
      <c r="V191" s="67"/>
      <c r="W191" s="67"/>
      <c r="X191" s="67"/>
      <c r="Y191" s="67"/>
      <c r="Z191" s="67"/>
      <c r="AA191" s="67"/>
      <c r="AB191" s="67"/>
      <c r="AC191" s="67"/>
      <c r="AD191" s="67"/>
      <c r="AE191" s="67"/>
      <c r="AF191" s="67"/>
      <c r="AG191" s="67"/>
      <c r="AH191" s="67"/>
      <c r="AI191" s="67"/>
      <c r="AJ191" s="67"/>
      <c r="AK191" s="67"/>
      <c r="AL191" s="67"/>
      <c r="AM191" s="67"/>
      <c r="AN191" s="67"/>
      <c r="AO191" s="67"/>
      <c r="AP191" s="67"/>
      <c r="AQ191" s="67"/>
      <c r="AR191" s="67"/>
      <c r="AS191" s="67"/>
      <c r="AT191" s="67"/>
      <c r="AU191" s="67"/>
      <c r="AV191" s="67"/>
      <c r="AW191" s="67"/>
      <c r="AX191" s="67"/>
      <c r="AY191" s="67"/>
      <c r="AZ191" s="67"/>
      <c r="BA191" s="67"/>
      <c r="BB191" s="67"/>
      <c r="BC191" s="67"/>
      <c r="BD191" s="67"/>
      <c r="BE191" s="67"/>
      <c r="BF191" s="67"/>
      <c r="BG191" s="67"/>
      <c r="BH191" s="67"/>
    </row>
    <row r="192" spans="1:60" x14ac:dyDescent="0.3">
      <c r="A192" s="67"/>
      <c r="J192" s="67"/>
      <c r="K192" s="67"/>
      <c r="L192" s="67"/>
      <c r="M192" s="67"/>
      <c r="N192" s="67"/>
      <c r="O192" s="67"/>
      <c r="P192" s="67"/>
      <c r="Q192" s="67"/>
      <c r="R192" s="67"/>
      <c r="S192" s="67"/>
      <c r="T192" s="67"/>
      <c r="U192" s="67"/>
      <c r="V192" s="67"/>
      <c r="W192" s="67"/>
      <c r="X192" s="67"/>
      <c r="Y192" s="67"/>
      <c r="Z192" s="67"/>
      <c r="AA192" s="67"/>
      <c r="AB192" s="67"/>
      <c r="AC192" s="67"/>
      <c r="AD192" s="67"/>
      <c r="AE192" s="67"/>
      <c r="AF192" s="67"/>
      <c r="AG192" s="67"/>
      <c r="AH192" s="67"/>
      <c r="AI192" s="67"/>
      <c r="AJ192" s="67"/>
      <c r="AK192" s="67"/>
      <c r="AL192" s="67"/>
      <c r="AM192" s="67"/>
      <c r="AN192" s="67"/>
      <c r="AO192" s="67"/>
      <c r="AP192" s="67"/>
      <c r="AQ192" s="67"/>
      <c r="AR192" s="67"/>
      <c r="AS192" s="67"/>
      <c r="AT192" s="67"/>
      <c r="AU192" s="67"/>
      <c r="AV192" s="67"/>
      <c r="AW192" s="67"/>
      <c r="AX192" s="67"/>
      <c r="AY192" s="67"/>
      <c r="AZ192" s="67"/>
      <c r="BA192" s="67"/>
      <c r="BB192" s="67"/>
      <c r="BC192" s="67"/>
      <c r="BD192" s="67"/>
      <c r="BE192" s="67"/>
      <c r="BF192" s="67"/>
      <c r="BG192" s="67"/>
      <c r="BH192" s="67"/>
    </row>
    <row r="193" spans="1:60" x14ac:dyDescent="0.3">
      <c r="A193" s="67"/>
      <c r="J193" s="67"/>
      <c r="K193" s="67"/>
      <c r="L193" s="67"/>
      <c r="M193" s="67"/>
      <c r="N193" s="67"/>
      <c r="O193" s="67"/>
      <c r="P193" s="67"/>
      <c r="Q193" s="67"/>
      <c r="R193" s="67"/>
      <c r="S193" s="67"/>
      <c r="T193" s="67"/>
      <c r="U193" s="67"/>
      <c r="V193" s="67"/>
      <c r="W193" s="67"/>
      <c r="X193" s="67"/>
      <c r="Y193" s="67"/>
      <c r="Z193" s="67"/>
      <c r="AA193" s="67"/>
      <c r="AB193" s="67"/>
      <c r="AC193" s="67"/>
      <c r="AD193" s="67"/>
      <c r="AE193" s="67"/>
      <c r="AF193" s="67"/>
      <c r="AG193" s="67"/>
      <c r="AH193" s="67"/>
      <c r="AI193" s="67"/>
      <c r="AJ193" s="67"/>
      <c r="AK193" s="67"/>
      <c r="AL193" s="67"/>
      <c r="AM193" s="67"/>
      <c r="AN193" s="67"/>
      <c r="AO193" s="67"/>
      <c r="AP193" s="67"/>
      <c r="AQ193" s="67"/>
      <c r="AR193" s="67"/>
      <c r="AS193" s="67"/>
      <c r="AT193" s="67"/>
      <c r="AU193" s="67"/>
      <c r="AV193" s="67"/>
      <c r="AW193" s="67"/>
      <c r="AX193" s="67"/>
      <c r="AY193" s="67"/>
      <c r="AZ193" s="67"/>
      <c r="BA193" s="67"/>
      <c r="BB193" s="67"/>
      <c r="BC193" s="67"/>
      <c r="BD193" s="67"/>
      <c r="BE193" s="67"/>
      <c r="BF193" s="67"/>
      <c r="BG193" s="67"/>
      <c r="BH193" s="67"/>
    </row>
    <row r="194" spans="1:60" x14ac:dyDescent="0.3">
      <c r="A194" s="67"/>
      <c r="J194" s="67"/>
      <c r="K194" s="67"/>
      <c r="L194" s="67"/>
      <c r="M194" s="67"/>
      <c r="N194" s="67"/>
      <c r="O194" s="67"/>
      <c r="P194" s="67"/>
      <c r="Q194" s="67"/>
      <c r="R194" s="67"/>
      <c r="S194" s="67"/>
      <c r="T194" s="67"/>
      <c r="U194" s="67"/>
      <c r="V194" s="67"/>
      <c r="W194" s="67"/>
      <c r="X194" s="67"/>
      <c r="Y194" s="67"/>
      <c r="Z194" s="67"/>
      <c r="AA194" s="67"/>
      <c r="AB194" s="67"/>
      <c r="AC194" s="67"/>
      <c r="AD194" s="67"/>
      <c r="AE194" s="67"/>
      <c r="AF194" s="67"/>
      <c r="AG194" s="67"/>
      <c r="AH194" s="67"/>
      <c r="AI194" s="67"/>
      <c r="AJ194" s="67"/>
      <c r="AK194" s="67"/>
      <c r="AL194" s="67"/>
      <c r="AM194" s="67"/>
      <c r="AN194" s="67"/>
      <c r="AO194" s="67"/>
      <c r="AP194" s="67"/>
      <c r="AQ194" s="67"/>
      <c r="AR194" s="67"/>
      <c r="AS194" s="67"/>
      <c r="AT194" s="67"/>
      <c r="AU194" s="67"/>
      <c r="AV194" s="67"/>
      <c r="AW194" s="67"/>
      <c r="AX194" s="67"/>
      <c r="AY194" s="67"/>
      <c r="AZ194" s="67"/>
      <c r="BA194" s="67"/>
      <c r="BB194" s="67"/>
      <c r="BC194" s="67"/>
      <c r="BD194" s="67"/>
      <c r="BE194" s="67"/>
      <c r="BF194" s="67"/>
      <c r="BG194" s="67"/>
      <c r="BH194" s="67"/>
    </row>
    <row r="195" spans="1:60" x14ac:dyDescent="0.3">
      <c r="A195" s="67"/>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c r="AH195" s="67"/>
      <c r="AI195" s="67"/>
      <c r="AJ195" s="67"/>
      <c r="AK195" s="67"/>
      <c r="AL195" s="67"/>
      <c r="AM195" s="67"/>
      <c r="AN195" s="67"/>
      <c r="AO195" s="67"/>
      <c r="AP195" s="67"/>
      <c r="AQ195" s="67"/>
      <c r="AR195" s="67"/>
      <c r="AS195" s="67"/>
      <c r="AT195" s="67"/>
      <c r="AU195" s="67"/>
      <c r="AV195" s="67"/>
      <c r="AW195" s="67"/>
      <c r="AX195" s="67"/>
      <c r="AY195" s="67"/>
      <c r="AZ195" s="67"/>
      <c r="BA195" s="67"/>
      <c r="BB195" s="67"/>
      <c r="BC195" s="67"/>
      <c r="BD195" s="67"/>
      <c r="BE195" s="67"/>
      <c r="BF195" s="67"/>
      <c r="BG195" s="67"/>
      <c r="BH195" s="67"/>
    </row>
    <row r="196" spans="1:60" x14ac:dyDescent="0.3">
      <c r="A196" s="67"/>
      <c r="J196" s="67"/>
      <c r="K196" s="67"/>
      <c r="L196" s="67"/>
      <c r="M196" s="67"/>
      <c r="N196" s="67"/>
      <c r="O196" s="67"/>
      <c r="P196" s="67"/>
      <c r="Q196" s="67"/>
      <c r="R196" s="67"/>
      <c r="S196" s="67"/>
      <c r="T196" s="67"/>
      <c r="U196" s="67"/>
      <c r="V196" s="67"/>
      <c r="W196" s="67"/>
      <c r="X196" s="67"/>
      <c r="Y196" s="67"/>
      <c r="Z196" s="67"/>
      <c r="AA196" s="67"/>
      <c r="AB196" s="67"/>
      <c r="AC196" s="67"/>
      <c r="AD196" s="67"/>
      <c r="AE196" s="67"/>
      <c r="AF196" s="67"/>
      <c r="AG196" s="67"/>
      <c r="AH196" s="67"/>
      <c r="AI196" s="67"/>
      <c r="AJ196" s="67"/>
      <c r="AK196" s="67"/>
      <c r="AL196" s="67"/>
      <c r="AM196" s="67"/>
      <c r="AN196" s="67"/>
      <c r="AO196" s="67"/>
      <c r="AP196" s="67"/>
      <c r="AQ196" s="67"/>
      <c r="AR196" s="67"/>
      <c r="AS196" s="67"/>
      <c r="AT196" s="67"/>
      <c r="AU196" s="67"/>
      <c r="AV196" s="67"/>
      <c r="AW196" s="67"/>
      <c r="AX196" s="67"/>
      <c r="AY196" s="67"/>
      <c r="AZ196" s="67"/>
      <c r="BA196" s="67"/>
      <c r="BB196" s="67"/>
      <c r="BC196" s="67"/>
      <c r="BD196" s="67"/>
      <c r="BE196" s="67"/>
      <c r="BF196" s="67"/>
      <c r="BG196" s="67"/>
      <c r="BH196" s="67"/>
    </row>
    <row r="197" spans="1:60" x14ac:dyDescent="0.3">
      <c r="A197" s="67"/>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67"/>
      <c r="AH197" s="67"/>
      <c r="AI197" s="67"/>
      <c r="AJ197" s="67"/>
      <c r="AK197" s="67"/>
      <c r="AL197" s="67"/>
      <c r="AM197" s="67"/>
      <c r="AN197" s="67"/>
      <c r="AO197" s="67"/>
      <c r="AP197" s="67"/>
      <c r="AQ197" s="67"/>
      <c r="AR197" s="67"/>
      <c r="AS197" s="67"/>
      <c r="AT197" s="67"/>
      <c r="AU197" s="67"/>
      <c r="AV197" s="67"/>
      <c r="AW197" s="67"/>
      <c r="AX197" s="67"/>
      <c r="AY197" s="67"/>
      <c r="AZ197" s="67"/>
      <c r="BA197" s="67"/>
      <c r="BB197" s="67"/>
      <c r="BC197" s="67"/>
      <c r="BD197" s="67"/>
      <c r="BE197" s="67"/>
      <c r="BF197" s="67"/>
      <c r="BG197" s="67"/>
      <c r="BH197" s="67"/>
    </row>
    <row r="198" spans="1:60" x14ac:dyDescent="0.3">
      <c r="A198" s="67"/>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67"/>
      <c r="AH198" s="67"/>
      <c r="AI198" s="67"/>
      <c r="AJ198" s="67"/>
      <c r="AK198" s="67"/>
      <c r="AL198" s="67"/>
      <c r="AM198" s="67"/>
      <c r="AN198" s="67"/>
      <c r="AO198" s="67"/>
      <c r="AP198" s="67"/>
      <c r="AQ198" s="67"/>
      <c r="AR198" s="67"/>
      <c r="AS198" s="67"/>
      <c r="AT198" s="67"/>
      <c r="AU198" s="67"/>
      <c r="AV198" s="67"/>
      <c r="AW198" s="67"/>
      <c r="AX198" s="67"/>
      <c r="AY198" s="67"/>
      <c r="AZ198" s="67"/>
      <c r="BA198" s="67"/>
      <c r="BB198" s="67"/>
      <c r="BC198" s="67"/>
      <c r="BD198" s="67"/>
      <c r="BE198" s="67"/>
      <c r="BF198" s="67"/>
      <c r="BG198" s="67"/>
      <c r="BH198" s="67"/>
    </row>
    <row r="199" spans="1:60" x14ac:dyDescent="0.3">
      <c r="A199" s="67"/>
      <c r="J199" s="67"/>
      <c r="K199" s="67"/>
      <c r="L199" s="67"/>
      <c r="M199" s="67"/>
      <c r="N199" s="67"/>
      <c r="O199" s="67"/>
      <c r="P199" s="67"/>
      <c r="Q199" s="67"/>
      <c r="R199" s="67"/>
      <c r="S199" s="67"/>
      <c r="T199" s="67"/>
      <c r="U199" s="67"/>
      <c r="V199" s="67"/>
      <c r="W199" s="67"/>
      <c r="X199" s="67"/>
      <c r="Y199" s="67"/>
      <c r="Z199" s="67"/>
      <c r="AA199" s="67"/>
      <c r="AB199" s="67"/>
      <c r="AC199" s="67"/>
      <c r="AD199" s="67"/>
      <c r="AE199" s="67"/>
      <c r="AF199" s="67"/>
      <c r="AG199" s="67"/>
      <c r="AH199" s="67"/>
      <c r="AI199" s="67"/>
      <c r="AJ199" s="67"/>
      <c r="AK199" s="67"/>
      <c r="AL199" s="67"/>
      <c r="AM199" s="67"/>
      <c r="AN199" s="67"/>
      <c r="AO199" s="67"/>
      <c r="AP199" s="67"/>
      <c r="AQ199" s="67"/>
      <c r="AR199" s="67"/>
      <c r="AS199" s="67"/>
      <c r="AT199" s="67"/>
      <c r="AU199" s="67"/>
      <c r="AV199" s="67"/>
      <c r="AW199" s="67"/>
      <c r="AX199" s="67"/>
      <c r="AY199" s="67"/>
      <c r="AZ199" s="67"/>
      <c r="BA199" s="67"/>
      <c r="BB199" s="67"/>
      <c r="BC199" s="67"/>
      <c r="BD199" s="67"/>
      <c r="BE199" s="67"/>
      <c r="BF199" s="67"/>
      <c r="BG199" s="67"/>
      <c r="BH199" s="67"/>
    </row>
    <row r="200" spans="1:60" x14ac:dyDescent="0.3">
      <c r="A200" s="67"/>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c r="AP200" s="67"/>
      <c r="AQ200" s="67"/>
      <c r="AR200" s="67"/>
      <c r="AS200" s="67"/>
      <c r="AT200" s="67"/>
      <c r="AU200" s="67"/>
      <c r="AV200" s="67"/>
      <c r="AW200" s="67"/>
      <c r="AX200" s="67"/>
      <c r="AY200" s="67"/>
      <c r="AZ200" s="67"/>
      <c r="BA200" s="67"/>
      <c r="BB200" s="67"/>
      <c r="BC200" s="67"/>
      <c r="BD200" s="67"/>
      <c r="BE200" s="67"/>
      <c r="BF200" s="67"/>
      <c r="BG200" s="67"/>
      <c r="BH200" s="67"/>
    </row>
    <row r="201" spans="1:60" x14ac:dyDescent="0.3">
      <c r="A201" s="67"/>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67"/>
      <c r="AH201" s="67"/>
      <c r="AI201" s="67"/>
      <c r="AJ201" s="67"/>
      <c r="AK201" s="67"/>
      <c r="AL201" s="67"/>
      <c r="AM201" s="67"/>
      <c r="AN201" s="67"/>
      <c r="AO201" s="67"/>
      <c r="AP201" s="67"/>
      <c r="AQ201" s="67"/>
      <c r="AR201" s="67"/>
      <c r="AS201" s="67"/>
      <c r="AT201" s="67"/>
      <c r="AU201" s="67"/>
      <c r="AV201" s="67"/>
      <c r="AW201" s="67"/>
      <c r="AX201" s="67"/>
      <c r="AY201" s="67"/>
      <c r="AZ201" s="67"/>
      <c r="BA201" s="67"/>
      <c r="BB201" s="67"/>
      <c r="BC201" s="67"/>
      <c r="BD201" s="67"/>
      <c r="BE201" s="67"/>
      <c r="BF201" s="67"/>
      <c r="BG201" s="67"/>
      <c r="BH201" s="67"/>
    </row>
    <row r="202" spans="1:60" x14ac:dyDescent="0.3">
      <c r="A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AS202" s="67"/>
      <c r="AT202" s="67"/>
      <c r="AU202" s="67"/>
      <c r="AV202" s="67"/>
      <c r="AW202" s="67"/>
      <c r="AX202" s="67"/>
      <c r="AY202" s="67"/>
      <c r="AZ202" s="67"/>
      <c r="BA202" s="67"/>
      <c r="BB202" s="67"/>
      <c r="BC202" s="67"/>
      <c r="BD202" s="67"/>
      <c r="BE202" s="67"/>
      <c r="BF202" s="67"/>
      <c r="BG202" s="67"/>
      <c r="BH202" s="67"/>
    </row>
    <row r="203" spans="1:60" x14ac:dyDescent="0.3">
      <c r="A203" s="67"/>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Q203" s="67"/>
      <c r="AR203" s="67"/>
      <c r="AS203" s="67"/>
      <c r="AT203" s="67"/>
      <c r="AU203" s="67"/>
      <c r="AV203" s="67"/>
      <c r="AW203" s="67"/>
      <c r="AX203" s="67"/>
      <c r="AY203" s="67"/>
      <c r="AZ203" s="67"/>
      <c r="BA203" s="67"/>
      <c r="BB203" s="67"/>
      <c r="BC203" s="67"/>
      <c r="BD203" s="67"/>
      <c r="BE203" s="67"/>
      <c r="BF203" s="67"/>
      <c r="BG203" s="67"/>
      <c r="BH203" s="67"/>
    </row>
    <row r="204" spans="1:60" x14ac:dyDescent="0.3">
      <c r="A204" s="67"/>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c r="AP204" s="67"/>
      <c r="AQ204" s="67"/>
      <c r="AR204" s="67"/>
      <c r="AS204" s="67"/>
      <c r="AT204" s="67"/>
      <c r="AU204" s="67"/>
      <c r="AV204" s="67"/>
      <c r="AW204" s="67"/>
      <c r="AX204" s="67"/>
      <c r="AY204" s="67"/>
      <c r="AZ204" s="67"/>
      <c r="BA204" s="67"/>
      <c r="BB204" s="67"/>
      <c r="BC204" s="67"/>
      <c r="BD204" s="67"/>
      <c r="BE204" s="67"/>
      <c r="BF204" s="67"/>
      <c r="BG204" s="67"/>
      <c r="BH204" s="67"/>
    </row>
    <row r="205" spans="1:60" x14ac:dyDescent="0.3">
      <c r="A205" s="67"/>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c r="AP205" s="67"/>
      <c r="AQ205" s="67"/>
      <c r="AR205" s="67"/>
      <c r="AS205" s="67"/>
      <c r="AT205" s="67"/>
      <c r="AU205" s="67"/>
      <c r="AV205" s="67"/>
      <c r="AW205" s="67"/>
      <c r="AX205" s="67"/>
      <c r="AY205" s="67"/>
      <c r="AZ205" s="67"/>
      <c r="BA205" s="67"/>
      <c r="BB205" s="67"/>
      <c r="BC205" s="67"/>
      <c r="BD205" s="67"/>
      <c r="BE205" s="67"/>
      <c r="BF205" s="67"/>
      <c r="BG205" s="67"/>
      <c r="BH205" s="67"/>
    </row>
    <row r="206" spans="1:60" x14ac:dyDescent="0.3">
      <c r="A206" s="67"/>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c r="AP206" s="67"/>
      <c r="AQ206" s="67"/>
      <c r="AR206" s="67"/>
      <c r="AS206" s="67"/>
      <c r="AT206" s="67"/>
      <c r="AU206" s="67"/>
      <c r="AV206" s="67"/>
      <c r="AW206" s="67"/>
      <c r="AX206" s="67"/>
      <c r="AY206" s="67"/>
      <c r="AZ206" s="67"/>
      <c r="BA206" s="67"/>
      <c r="BB206" s="67"/>
      <c r="BC206" s="67"/>
      <c r="BD206" s="67"/>
      <c r="BE206" s="67"/>
      <c r="BF206" s="67"/>
      <c r="BG206" s="67"/>
      <c r="BH206" s="67"/>
    </row>
    <row r="207" spans="1:60" x14ac:dyDescent="0.3">
      <c r="A207" s="67"/>
      <c r="J207" s="67"/>
      <c r="K207" s="67"/>
      <c r="L207" s="67"/>
      <c r="M207" s="67"/>
      <c r="N207" s="67"/>
      <c r="O207" s="67"/>
      <c r="P207" s="67"/>
      <c r="Q207" s="67"/>
      <c r="R207" s="67"/>
      <c r="S207" s="67"/>
      <c r="T207" s="67"/>
      <c r="U207" s="67"/>
      <c r="V207" s="67"/>
      <c r="W207" s="67"/>
      <c r="X207" s="67"/>
      <c r="Y207" s="67"/>
      <c r="Z207" s="67"/>
      <c r="AA207" s="67"/>
      <c r="AB207" s="67"/>
      <c r="AC207" s="67"/>
      <c r="AD207" s="67"/>
      <c r="AE207" s="67"/>
      <c r="AF207" s="67"/>
      <c r="AG207" s="67"/>
      <c r="AH207" s="67"/>
      <c r="AI207" s="67"/>
      <c r="AJ207" s="67"/>
      <c r="AK207" s="67"/>
      <c r="AL207" s="67"/>
      <c r="AM207" s="67"/>
      <c r="AN207" s="67"/>
      <c r="AO207" s="67"/>
      <c r="AP207" s="67"/>
      <c r="AQ207" s="67"/>
      <c r="AR207" s="67"/>
      <c r="AS207" s="67"/>
      <c r="AT207" s="67"/>
      <c r="AU207" s="67"/>
      <c r="AV207" s="67"/>
      <c r="AW207" s="67"/>
      <c r="AX207" s="67"/>
      <c r="AY207" s="67"/>
      <c r="AZ207" s="67"/>
      <c r="BA207" s="67"/>
      <c r="BB207" s="67"/>
      <c r="BC207" s="67"/>
      <c r="BD207" s="67"/>
      <c r="BE207" s="67"/>
      <c r="BF207" s="67"/>
      <c r="BG207" s="67"/>
      <c r="BH207" s="67"/>
    </row>
    <row r="208" spans="1:60" x14ac:dyDescent="0.3">
      <c r="A208" s="67"/>
      <c r="J208" s="67"/>
      <c r="K208" s="67"/>
      <c r="L208" s="67"/>
      <c r="M208" s="67"/>
      <c r="N208" s="67"/>
      <c r="O208" s="67"/>
      <c r="P208" s="67"/>
      <c r="Q208" s="67"/>
      <c r="R208" s="67"/>
      <c r="S208" s="67"/>
      <c r="T208" s="67"/>
      <c r="U208" s="67"/>
      <c r="V208" s="67"/>
      <c r="W208" s="67"/>
      <c r="X208" s="67"/>
      <c r="Y208" s="67"/>
      <c r="Z208" s="67"/>
      <c r="AA208" s="67"/>
      <c r="AB208" s="67"/>
      <c r="AC208" s="67"/>
      <c r="AD208" s="67"/>
      <c r="AE208" s="67"/>
      <c r="AF208" s="67"/>
      <c r="AG208" s="67"/>
      <c r="AH208" s="67"/>
      <c r="AI208" s="67"/>
      <c r="AJ208" s="67"/>
      <c r="AK208" s="67"/>
      <c r="AL208" s="67"/>
      <c r="AM208" s="67"/>
      <c r="AN208" s="67"/>
      <c r="AO208" s="67"/>
      <c r="AP208" s="67"/>
      <c r="AQ208" s="67"/>
      <c r="AR208" s="67"/>
      <c r="AS208" s="67"/>
      <c r="AT208" s="67"/>
      <c r="AU208" s="67"/>
      <c r="AV208" s="67"/>
      <c r="AW208" s="67"/>
      <c r="AX208" s="67"/>
      <c r="AY208" s="67"/>
      <c r="AZ208" s="67"/>
      <c r="BA208" s="67"/>
      <c r="BB208" s="67"/>
      <c r="BC208" s="67"/>
      <c r="BD208" s="67"/>
      <c r="BE208" s="67"/>
      <c r="BF208" s="67"/>
      <c r="BG208" s="67"/>
      <c r="BH208" s="67"/>
    </row>
    <row r="209" spans="1:60" x14ac:dyDescent="0.3">
      <c r="A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c r="AH209" s="67"/>
      <c r="AI209" s="67"/>
      <c r="AJ209" s="67"/>
      <c r="AK209" s="67"/>
      <c r="AL209" s="67"/>
      <c r="AM209" s="67"/>
      <c r="AN209" s="67"/>
      <c r="AO209" s="67"/>
      <c r="AP209" s="67"/>
      <c r="AQ209" s="67"/>
      <c r="AR209" s="67"/>
      <c r="AS209" s="67"/>
      <c r="AT209" s="67"/>
      <c r="AU209" s="67"/>
      <c r="AV209" s="67"/>
      <c r="AW209" s="67"/>
      <c r="AX209" s="67"/>
      <c r="AY209" s="67"/>
      <c r="AZ209" s="67"/>
      <c r="BA209" s="67"/>
      <c r="BB209" s="67"/>
      <c r="BC209" s="67"/>
      <c r="BD209" s="67"/>
      <c r="BE209" s="67"/>
      <c r="BF209" s="67"/>
      <c r="BG209" s="67"/>
      <c r="BH209" s="67"/>
    </row>
    <row r="210" spans="1:60" x14ac:dyDescent="0.3">
      <c r="A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c r="AH210" s="67"/>
      <c r="AI210" s="67"/>
      <c r="AJ210" s="67"/>
      <c r="AK210" s="67"/>
      <c r="AL210" s="67"/>
      <c r="AM210" s="67"/>
      <c r="AN210" s="67"/>
      <c r="AO210" s="67"/>
      <c r="AP210" s="67"/>
      <c r="AQ210" s="67"/>
      <c r="AR210" s="67"/>
      <c r="AS210" s="67"/>
      <c r="AT210" s="67"/>
      <c r="AU210" s="67"/>
      <c r="AV210" s="67"/>
      <c r="AW210" s="67"/>
      <c r="AX210" s="67"/>
      <c r="AY210" s="67"/>
      <c r="AZ210" s="67"/>
      <c r="BA210" s="67"/>
      <c r="BB210" s="67"/>
      <c r="BC210" s="67"/>
      <c r="BD210" s="67"/>
      <c r="BE210" s="67"/>
      <c r="BF210" s="67"/>
      <c r="BG210" s="67"/>
      <c r="BH210" s="67"/>
    </row>
    <row r="211" spans="1:60" x14ac:dyDescent="0.3">
      <c r="A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I211" s="67"/>
      <c r="AJ211" s="67"/>
      <c r="AK211" s="67"/>
      <c r="AL211" s="67"/>
      <c r="AM211" s="67"/>
      <c r="AN211" s="67"/>
      <c r="AO211" s="67"/>
      <c r="AP211" s="67"/>
      <c r="AQ211" s="67"/>
      <c r="AR211" s="67"/>
      <c r="AS211" s="67"/>
      <c r="AT211" s="67"/>
      <c r="AU211" s="67"/>
      <c r="AV211" s="67"/>
      <c r="AW211" s="67"/>
      <c r="AX211" s="67"/>
      <c r="AY211" s="67"/>
      <c r="AZ211" s="67"/>
      <c r="BA211" s="67"/>
      <c r="BB211" s="67"/>
      <c r="BC211" s="67"/>
      <c r="BD211" s="67"/>
      <c r="BE211" s="67"/>
      <c r="BF211" s="67"/>
      <c r="BG211" s="67"/>
      <c r="BH211" s="67"/>
    </row>
    <row r="212" spans="1:60" x14ac:dyDescent="0.3">
      <c r="A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67"/>
      <c r="AH212" s="67"/>
      <c r="AI212" s="67"/>
      <c r="AJ212" s="67"/>
      <c r="AK212" s="67"/>
      <c r="AL212" s="67"/>
      <c r="AM212" s="67"/>
      <c r="AN212" s="67"/>
      <c r="AO212" s="67"/>
      <c r="AP212" s="67"/>
      <c r="AQ212" s="67"/>
      <c r="AR212" s="67"/>
      <c r="AS212" s="67"/>
      <c r="AT212" s="67"/>
      <c r="AU212" s="67"/>
      <c r="AV212" s="67"/>
      <c r="AW212" s="67"/>
      <c r="AX212" s="67"/>
      <c r="AY212" s="67"/>
      <c r="AZ212" s="67"/>
      <c r="BA212" s="67"/>
      <c r="BB212" s="67"/>
      <c r="BC212" s="67"/>
      <c r="BD212" s="67"/>
      <c r="BE212" s="67"/>
      <c r="BF212" s="67"/>
      <c r="BG212" s="67"/>
      <c r="BH212" s="67"/>
    </row>
    <row r="213" spans="1:60" x14ac:dyDescent="0.3">
      <c r="A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c r="AH213" s="67"/>
      <c r="AI213" s="67"/>
      <c r="AJ213" s="67"/>
      <c r="AK213" s="67"/>
      <c r="AL213" s="67"/>
      <c r="AM213" s="67"/>
      <c r="AN213" s="67"/>
      <c r="AO213" s="67"/>
      <c r="AP213" s="67"/>
      <c r="AQ213" s="67"/>
      <c r="AR213" s="67"/>
      <c r="AS213" s="67"/>
      <c r="AT213" s="67"/>
      <c r="AU213" s="67"/>
      <c r="AV213" s="67"/>
      <c r="AW213" s="67"/>
      <c r="AX213" s="67"/>
      <c r="AY213" s="67"/>
      <c r="AZ213" s="67"/>
      <c r="BA213" s="67"/>
      <c r="BB213" s="67"/>
      <c r="BC213" s="67"/>
      <c r="BD213" s="67"/>
      <c r="BE213" s="67"/>
      <c r="BF213" s="67"/>
      <c r="BG213" s="67"/>
      <c r="BH213" s="67"/>
    </row>
    <row r="214" spans="1:60" x14ac:dyDescent="0.3">
      <c r="A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c r="AH214" s="67"/>
      <c r="AI214" s="67"/>
      <c r="AJ214" s="67"/>
      <c r="AK214" s="67"/>
      <c r="AL214" s="67"/>
      <c r="AM214" s="67"/>
      <c r="AN214" s="67"/>
      <c r="AO214" s="67"/>
      <c r="AP214" s="67"/>
      <c r="AQ214" s="67"/>
      <c r="AR214" s="67"/>
      <c r="AS214" s="67"/>
      <c r="AT214" s="67"/>
      <c r="AU214" s="67"/>
      <c r="AV214" s="67"/>
      <c r="AW214" s="67"/>
      <c r="AX214" s="67"/>
      <c r="AY214" s="67"/>
      <c r="AZ214" s="67"/>
      <c r="BA214" s="67"/>
      <c r="BB214" s="67"/>
      <c r="BC214" s="67"/>
      <c r="BD214" s="67"/>
      <c r="BE214" s="67"/>
      <c r="BF214" s="67"/>
      <c r="BG214" s="67"/>
      <c r="BH214" s="67"/>
    </row>
    <row r="215" spans="1:60" x14ac:dyDescent="0.3">
      <c r="A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c r="AH215" s="67"/>
      <c r="AI215" s="67"/>
      <c r="AJ215" s="67"/>
      <c r="AK215" s="67"/>
      <c r="AL215" s="67"/>
      <c r="AM215" s="67"/>
      <c r="AN215" s="67"/>
      <c r="AO215" s="67"/>
      <c r="AP215" s="67"/>
      <c r="AQ215" s="67"/>
      <c r="AR215" s="67"/>
      <c r="AS215" s="67"/>
      <c r="AT215" s="67"/>
      <c r="AU215" s="67"/>
      <c r="AV215" s="67"/>
      <c r="AW215" s="67"/>
      <c r="AX215" s="67"/>
      <c r="AY215" s="67"/>
      <c r="AZ215" s="67"/>
      <c r="BA215" s="67"/>
      <c r="BB215" s="67"/>
      <c r="BC215" s="67"/>
      <c r="BD215" s="67"/>
      <c r="BE215" s="67"/>
      <c r="BF215" s="67"/>
      <c r="BG215" s="67"/>
      <c r="BH215" s="67"/>
    </row>
    <row r="216" spans="1:60" x14ac:dyDescent="0.3">
      <c r="A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c r="AH216" s="67"/>
      <c r="AI216" s="67"/>
      <c r="AJ216" s="67"/>
      <c r="AK216" s="67"/>
      <c r="AL216" s="67"/>
      <c r="AM216" s="67"/>
      <c r="AN216" s="67"/>
      <c r="AO216" s="67"/>
      <c r="AP216" s="67"/>
      <c r="AQ216" s="67"/>
      <c r="AR216" s="67"/>
      <c r="AS216" s="67"/>
      <c r="AT216" s="67"/>
      <c r="AU216" s="67"/>
      <c r="AV216" s="67"/>
      <c r="AW216" s="67"/>
      <c r="AX216" s="67"/>
      <c r="AY216" s="67"/>
      <c r="AZ216" s="67"/>
      <c r="BA216" s="67"/>
      <c r="BB216" s="67"/>
      <c r="BC216" s="67"/>
      <c r="BD216" s="67"/>
      <c r="BE216" s="67"/>
      <c r="BF216" s="67"/>
      <c r="BG216" s="67"/>
      <c r="BH216" s="67"/>
    </row>
    <row r="217" spans="1:60" x14ac:dyDescent="0.3">
      <c r="A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c r="AH217" s="67"/>
      <c r="AI217" s="67"/>
      <c r="AJ217" s="67"/>
      <c r="AK217" s="67"/>
      <c r="AL217" s="67"/>
      <c r="AM217" s="67"/>
      <c r="AN217" s="67"/>
      <c r="AO217" s="67"/>
      <c r="AP217" s="67"/>
      <c r="AQ217" s="67"/>
      <c r="AR217" s="67"/>
      <c r="AS217" s="67"/>
      <c r="AT217" s="67"/>
      <c r="AU217" s="67"/>
      <c r="AV217" s="67"/>
      <c r="AW217" s="67"/>
      <c r="AX217" s="67"/>
      <c r="AY217" s="67"/>
      <c r="AZ217" s="67"/>
      <c r="BA217" s="67"/>
      <c r="BB217" s="67"/>
      <c r="BC217" s="67"/>
      <c r="BD217" s="67"/>
      <c r="BE217" s="67"/>
      <c r="BF217" s="67"/>
      <c r="BG217" s="67"/>
      <c r="BH217" s="67"/>
    </row>
    <row r="218" spans="1:60" x14ac:dyDescent="0.3">
      <c r="A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c r="AH218" s="67"/>
      <c r="AI218" s="67"/>
      <c r="AJ218" s="67"/>
      <c r="AK218" s="67"/>
      <c r="AL218" s="67"/>
      <c r="AM218" s="67"/>
      <c r="AN218" s="67"/>
      <c r="AO218" s="67"/>
      <c r="AP218" s="67"/>
      <c r="AQ218" s="67"/>
      <c r="AR218" s="67"/>
      <c r="AS218" s="67"/>
      <c r="AT218" s="67"/>
      <c r="AU218" s="67"/>
      <c r="AV218" s="67"/>
      <c r="AW218" s="67"/>
      <c r="AX218" s="67"/>
      <c r="AY218" s="67"/>
      <c r="AZ218" s="67"/>
      <c r="BA218" s="67"/>
      <c r="BB218" s="67"/>
      <c r="BC218" s="67"/>
      <c r="BD218" s="67"/>
      <c r="BE218" s="67"/>
      <c r="BF218" s="67"/>
      <c r="BG218" s="67"/>
      <c r="BH218" s="67"/>
    </row>
    <row r="219" spans="1:60" x14ac:dyDescent="0.3">
      <c r="A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c r="AH219" s="67"/>
      <c r="AI219" s="67"/>
      <c r="AJ219" s="67"/>
      <c r="AK219" s="67"/>
      <c r="AL219" s="67"/>
      <c r="AM219" s="67"/>
      <c r="AN219" s="67"/>
      <c r="AO219" s="67"/>
      <c r="AP219" s="67"/>
      <c r="AQ219" s="67"/>
      <c r="AR219" s="67"/>
      <c r="AS219" s="67"/>
      <c r="AT219" s="67"/>
      <c r="AU219" s="67"/>
      <c r="AV219" s="67"/>
      <c r="AW219" s="67"/>
      <c r="AX219" s="67"/>
      <c r="AY219" s="67"/>
      <c r="AZ219" s="67"/>
      <c r="BA219" s="67"/>
      <c r="BB219" s="67"/>
      <c r="BC219" s="67"/>
      <c r="BD219" s="67"/>
      <c r="BE219" s="67"/>
      <c r="BF219" s="67"/>
      <c r="BG219" s="67"/>
      <c r="BH219" s="67"/>
    </row>
    <row r="220" spans="1:60" x14ac:dyDescent="0.3">
      <c r="A220" s="67"/>
      <c r="J220" s="67"/>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67"/>
      <c r="AH220" s="67"/>
      <c r="AI220" s="67"/>
      <c r="AJ220" s="67"/>
      <c r="AK220" s="67"/>
      <c r="AL220" s="67"/>
      <c r="AM220" s="67"/>
      <c r="AN220" s="67"/>
      <c r="AO220" s="67"/>
      <c r="AP220" s="67"/>
      <c r="AQ220" s="67"/>
      <c r="AR220" s="67"/>
      <c r="AS220" s="67"/>
      <c r="AT220" s="67"/>
      <c r="AU220" s="67"/>
      <c r="AV220" s="67"/>
      <c r="AW220" s="67"/>
      <c r="AX220" s="67"/>
      <c r="AY220" s="67"/>
      <c r="AZ220" s="67"/>
      <c r="BA220" s="67"/>
      <c r="BB220" s="67"/>
      <c r="BC220" s="67"/>
      <c r="BD220" s="67"/>
      <c r="BE220" s="67"/>
      <c r="BF220" s="67"/>
      <c r="BG220" s="67"/>
      <c r="BH220" s="67"/>
    </row>
    <row r="221" spans="1:60" x14ac:dyDescent="0.3">
      <c r="A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K221" s="67"/>
      <c r="AL221" s="67"/>
      <c r="AM221" s="67"/>
      <c r="AN221" s="67"/>
      <c r="AO221" s="67"/>
      <c r="AP221" s="67"/>
      <c r="AQ221" s="67"/>
      <c r="AR221" s="67"/>
      <c r="AS221" s="67"/>
      <c r="AT221" s="67"/>
      <c r="AU221" s="67"/>
      <c r="AV221" s="67"/>
      <c r="AW221" s="67"/>
      <c r="AX221" s="67"/>
      <c r="AY221" s="67"/>
      <c r="AZ221" s="67"/>
      <c r="BA221" s="67"/>
      <c r="BB221" s="67"/>
      <c r="BC221" s="67"/>
      <c r="BD221" s="67"/>
      <c r="BE221" s="67"/>
      <c r="BF221" s="67"/>
      <c r="BG221" s="67"/>
      <c r="BH221" s="67"/>
    </row>
    <row r="222" spans="1:60" x14ac:dyDescent="0.3">
      <c r="A222" s="67"/>
      <c r="J222" s="67"/>
      <c r="K222" s="67"/>
      <c r="L222" s="67"/>
      <c r="M222" s="67"/>
      <c r="N222" s="67"/>
      <c r="O222" s="67"/>
      <c r="P222" s="67"/>
      <c r="Q222" s="67"/>
      <c r="R222" s="67"/>
      <c r="S222" s="67"/>
      <c r="T222" s="67"/>
      <c r="U222" s="67"/>
      <c r="V222" s="67"/>
      <c r="W222" s="67"/>
      <c r="X222" s="67"/>
      <c r="Y222" s="67"/>
      <c r="Z222" s="67"/>
      <c r="AA222" s="67"/>
      <c r="AB222" s="67"/>
      <c r="AC222" s="67"/>
      <c r="AD222" s="67"/>
      <c r="AE222" s="67"/>
      <c r="AF222" s="67"/>
      <c r="AG222" s="67"/>
      <c r="AH222" s="67"/>
      <c r="AI222" s="67"/>
      <c r="AJ222" s="67"/>
      <c r="AK222" s="67"/>
      <c r="AL222" s="67"/>
      <c r="AM222" s="67"/>
      <c r="AN222" s="67"/>
      <c r="AO222" s="67"/>
      <c r="AP222" s="67"/>
      <c r="AQ222" s="67"/>
      <c r="AR222" s="67"/>
      <c r="AS222" s="67"/>
      <c r="AT222" s="67"/>
      <c r="AU222" s="67"/>
      <c r="AV222" s="67"/>
      <c r="AW222" s="67"/>
      <c r="AX222" s="67"/>
      <c r="AY222" s="67"/>
      <c r="AZ222" s="67"/>
      <c r="BA222" s="67"/>
      <c r="BB222" s="67"/>
      <c r="BC222" s="67"/>
      <c r="BD222" s="67"/>
      <c r="BE222" s="67"/>
      <c r="BF222" s="67"/>
      <c r="BG222" s="67"/>
      <c r="BH222" s="67"/>
    </row>
    <row r="223" spans="1:60" x14ac:dyDescent="0.3">
      <c r="A223" s="67"/>
      <c r="J223" s="67"/>
      <c r="K223" s="67"/>
      <c r="L223" s="67"/>
      <c r="M223" s="67"/>
      <c r="N223" s="67"/>
      <c r="O223" s="67"/>
      <c r="P223" s="67"/>
      <c r="Q223" s="67"/>
      <c r="R223" s="67"/>
      <c r="S223" s="67"/>
      <c r="T223" s="67"/>
      <c r="U223" s="67"/>
      <c r="V223" s="67"/>
      <c r="W223" s="67"/>
      <c r="X223" s="67"/>
      <c r="Y223" s="67"/>
      <c r="Z223" s="67"/>
      <c r="AA223" s="67"/>
      <c r="AB223" s="67"/>
      <c r="AC223" s="67"/>
      <c r="AD223" s="67"/>
      <c r="AE223" s="67"/>
      <c r="AF223" s="67"/>
      <c r="AG223" s="67"/>
      <c r="AH223" s="67"/>
      <c r="AI223" s="67"/>
      <c r="AJ223" s="67"/>
      <c r="AK223" s="67"/>
      <c r="AL223" s="67"/>
      <c r="AM223" s="67"/>
      <c r="AN223" s="67"/>
      <c r="AO223" s="67"/>
      <c r="AP223" s="67"/>
      <c r="AQ223" s="67"/>
      <c r="AR223" s="67"/>
      <c r="AS223" s="67"/>
      <c r="AT223" s="67"/>
      <c r="AU223" s="67"/>
      <c r="AV223" s="67"/>
      <c r="AW223" s="67"/>
      <c r="AX223" s="67"/>
      <c r="AY223" s="67"/>
      <c r="AZ223" s="67"/>
      <c r="BA223" s="67"/>
      <c r="BB223" s="67"/>
      <c r="BC223" s="67"/>
      <c r="BD223" s="67"/>
      <c r="BE223" s="67"/>
      <c r="BF223" s="67"/>
      <c r="BG223" s="67"/>
      <c r="BH223" s="67"/>
    </row>
    <row r="224" spans="1:60" x14ac:dyDescent="0.3">
      <c r="A224" s="67"/>
      <c r="J224" s="67"/>
      <c r="K224" s="67"/>
      <c r="L224" s="67"/>
      <c r="M224" s="67"/>
      <c r="N224" s="67"/>
      <c r="O224" s="67"/>
      <c r="P224" s="67"/>
      <c r="Q224" s="67"/>
      <c r="R224" s="67"/>
      <c r="S224" s="67"/>
      <c r="T224" s="67"/>
      <c r="U224" s="67"/>
      <c r="V224" s="67"/>
      <c r="W224" s="67"/>
      <c r="X224" s="67"/>
      <c r="Y224" s="67"/>
      <c r="Z224" s="67"/>
      <c r="AA224" s="67"/>
      <c r="AB224" s="67"/>
      <c r="AC224" s="67"/>
      <c r="AD224" s="67"/>
      <c r="AE224" s="67"/>
      <c r="AF224" s="67"/>
      <c r="AG224" s="67"/>
      <c r="AH224" s="67"/>
      <c r="AI224" s="67"/>
      <c r="AJ224" s="67"/>
      <c r="AK224" s="67"/>
      <c r="AL224" s="67"/>
      <c r="AM224" s="67"/>
      <c r="AN224" s="67"/>
      <c r="AO224" s="67"/>
      <c r="AP224" s="67"/>
      <c r="AQ224" s="67"/>
      <c r="AR224" s="67"/>
      <c r="AS224" s="67"/>
      <c r="AT224" s="67"/>
      <c r="AU224" s="67"/>
      <c r="AV224" s="67"/>
      <c r="AW224" s="67"/>
      <c r="AX224" s="67"/>
      <c r="AY224" s="67"/>
      <c r="AZ224" s="67"/>
      <c r="BA224" s="67"/>
      <c r="BB224" s="67"/>
      <c r="BC224" s="67"/>
      <c r="BD224" s="67"/>
      <c r="BE224" s="67"/>
      <c r="BF224" s="67"/>
      <c r="BG224" s="67"/>
      <c r="BH224" s="67"/>
    </row>
    <row r="225" spans="1:60" x14ac:dyDescent="0.3">
      <c r="A225" s="67"/>
      <c r="J225" s="67"/>
      <c r="K225" s="67"/>
      <c r="L225" s="67"/>
      <c r="M225" s="67"/>
      <c r="N225" s="67"/>
      <c r="O225" s="67"/>
      <c r="P225" s="67"/>
      <c r="Q225" s="67"/>
      <c r="R225" s="67"/>
      <c r="S225" s="67"/>
      <c r="T225" s="67"/>
      <c r="U225" s="67"/>
      <c r="V225" s="67"/>
      <c r="W225" s="67"/>
      <c r="X225" s="67"/>
      <c r="Y225" s="67"/>
      <c r="Z225" s="67"/>
      <c r="AA225" s="67"/>
      <c r="AB225" s="67"/>
      <c r="AC225" s="67"/>
      <c r="AD225" s="67"/>
      <c r="AE225" s="67"/>
      <c r="AF225" s="67"/>
      <c r="AG225" s="67"/>
      <c r="AH225" s="67"/>
      <c r="AI225" s="67"/>
      <c r="AJ225" s="67"/>
      <c r="AK225" s="67"/>
      <c r="AL225" s="67"/>
      <c r="AM225" s="67"/>
      <c r="AN225" s="67"/>
      <c r="AO225" s="67"/>
      <c r="AP225" s="67"/>
      <c r="AQ225" s="67"/>
      <c r="AR225" s="67"/>
      <c r="AS225" s="67"/>
      <c r="AT225" s="67"/>
      <c r="AU225" s="67"/>
      <c r="AV225" s="67"/>
      <c r="AW225" s="67"/>
      <c r="AX225" s="67"/>
      <c r="AY225" s="67"/>
      <c r="AZ225" s="67"/>
      <c r="BA225" s="67"/>
      <c r="BB225" s="67"/>
      <c r="BC225" s="67"/>
      <c r="BD225" s="67"/>
      <c r="BE225" s="67"/>
      <c r="BF225" s="67"/>
      <c r="BG225" s="67"/>
      <c r="BH225" s="67"/>
    </row>
    <row r="226" spans="1:60" x14ac:dyDescent="0.3">
      <c r="A226" s="67"/>
      <c r="J226" s="67"/>
      <c r="K226" s="67"/>
      <c r="L226" s="67"/>
      <c r="M226" s="67"/>
      <c r="N226" s="67"/>
      <c r="O226" s="67"/>
      <c r="P226" s="67"/>
      <c r="Q226" s="67"/>
      <c r="R226" s="67"/>
      <c r="S226" s="67"/>
      <c r="T226" s="67"/>
      <c r="U226" s="67"/>
      <c r="V226" s="67"/>
      <c r="W226" s="67"/>
      <c r="X226" s="67"/>
      <c r="Y226" s="67"/>
      <c r="Z226" s="67"/>
      <c r="AA226" s="67"/>
      <c r="AB226" s="67"/>
      <c r="AC226" s="67"/>
      <c r="AD226" s="67"/>
      <c r="AE226" s="67"/>
      <c r="AF226" s="67"/>
      <c r="AG226" s="67"/>
      <c r="AH226" s="67"/>
      <c r="AI226" s="67"/>
      <c r="AJ226" s="67"/>
      <c r="AK226" s="67"/>
      <c r="AL226" s="67"/>
      <c r="AM226" s="67"/>
      <c r="AN226" s="67"/>
      <c r="AO226" s="67"/>
      <c r="AP226" s="67"/>
      <c r="AQ226" s="67"/>
      <c r="AR226" s="67"/>
      <c r="AS226" s="67"/>
      <c r="AT226" s="67"/>
      <c r="AU226" s="67"/>
      <c r="AV226" s="67"/>
      <c r="AW226" s="67"/>
      <c r="AX226" s="67"/>
      <c r="AY226" s="67"/>
      <c r="AZ226" s="67"/>
      <c r="BA226" s="67"/>
      <c r="BB226" s="67"/>
      <c r="BC226" s="67"/>
      <c r="BD226" s="67"/>
      <c r="BE226" s="67"/>
      <c r="BF226" s="67"/>
      <c r="BG226" s="67"/>
      <c r="BH226" s="67"/>
    </row>
    <row r="227" spans="1:60" x14ac:dyDescent="0.3">
      <c r="A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c r="AL227" s="67"/>
      <c r="AM227" s="67"/>
      <c r="AN227" s="67"/>
      <c r="AO227" s="67"/>
      <c r="AP227" s="67"/>
      <c r="AQ227" s="67"/>
      <c r="AR227" s="67"/>
      <c r="AS227" s="67"/>
      <c r="AT227" s="67"/>
      <c r="AU227" s="67"/>
      <c r="AV227" s="67"/>
      <c r="AW227" s="67"/>
      <c r="AX227" s="67"/>
      <c r="AY227" s="67"/>
      <c r="AZ227" s="67"/>
      <c r="BA227" s="67"/>
      <c r="BB227" s="67"/>
      <c r="BC227" s="67"/>
      <c r="BD227" s="67"/>
      <c r="BE227" s="67"/>
      <c r="BF227" s="67"/>
      <c r="BG227" s="67"/>
      <c r="BH227" s="67"/>
    </row>
    <row r="228" spans="1:60" x14ac:dyDescent="0.3">
      <c r="A228" s="67"/>
      <c r="J228" s="67"/>
      <c r="K228" s="67"/>
      <c r="L228" s="67"/>
      <c r="M228" s="67"/>
      <c r="N228" s="67"/>
      <c r="O228" s="67"/>
      <c r="P228" s="67"/>
      <c r="Q228" s="67"/>
      <c r="R228" s="67"/>
      <c r="S228" s="67"/>
      <c r="T228" s="67"/>
      <c r="U228" s="67"/>
      <c r="V228" s="67"/>
      <c r="W228" s="67"/>
      <c r="X228" s="67"/>
      <c r="Y228" s="67"/>
      <c r="Z228" s="67"/>
      <c r="AA228" s="67"/>
      <c r="AB228" s="67"/>
      <c r="AC228" s="67"/>
      <c r="AD228" s="67"/>
      <c r="AE228" s="67"/>
      <c r="AF228" s="67"/>
      <c r="AG228" s="67"/>
      <c r="AH228" s="67"/>
      <c r="AI228" s="67"/>
      <c r="AJ228" s="67"/>
      <c r="AK228" s="67"/>
      <c r="AL228" s="67"/>
      <c r="AM228" s="67"/>
      <c r="AN228" s="67"/>
      <c r="AO228" s="67"/>
      <c r="AP228" s="67"/>
      <c r="AQ228" s="67"/>
      <c r="AR228" s="67"/>
      <c r="AS228" s="67"/>
      <c r="AT228" s="67"/>
      <c r="AU228" s="67"/>
      <c r="AV228" s="67"/>
      <c r="AW228" s="67"/>
      <c r="AX228" s="67"/>
      <c r="AY228" s="67"/>
      <c r="AZ228" s="67"/>
      <c r="BA228" s="67"/>
      <c r="BB228" s="67"/>
      <c r="BC228" s="67"/>
      <c r="BD228" s="67"/>
      <c r="BE228" s="67"/>
      <c r="BF228" s="67"/>
      <c r="BG228" s="67"/>
      <c r="BH228" s="67"/>
    </row>
    <row r="229" spans="1:60" x14ac:dyDescent="0.3">
      <c r="A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c r="AH229" s="67"/>
      <c r="AI229" s="67"/>
      <c r="AJ229" s="67"/>
      <c r="AK229" s="67"/>
      <c r="AL229" s="67"/>
      <c r="AM229" s="67"/>
      <c r="AN229" s="67"/>
      <c r="AO229" s="67"/>
      <c r="AP229" s="67"/>
      <c r="AQ229" s="67"/>
      <c r="AR229" s="67"/>
      <c r="AS229" s="67"/>
      <c r="AT229" s="67"/>
      <c r="AU229" s="67"/>
      <c r="AV229" s="67"/>
      <c r="AW229" s="67"/>
      <c r="AX229" s="67"/>
      <c r="AY229" s="67"/>
      <c r="AZ229" s="67"/>
      <c r="BA229" s="67"/>
      <c r="BB229" s="67"/>
      <c r="BC229" s="67"/>
      <c r="BD229" s="67"/>
      <c r="BE229" s="67"/>
      <c r="BF229" s="67"/>
      <c r="BG229" s="67"/>
      <c r="BH229" s="67"/>
    </row>
    <row r="230" spans="1:60" x14ac:dyDescent="0.3">
      <c r="A230" s="67"/>
      <c r="J230" s="67"/>
      <c r="K230" s="67"/>
      <c r="L230" s="67"/>
      <c r="M230" s="67"/>
      <c r="N230" s="67"/>
      <c r="O230" s="67"/>
      <c r="P230" s="67"/>
      <c r="Q230" s="67"/>
      <c r="R230" s="67"/>
      <c r="S230" s="67"/>
      <c r="T230" s="67"/>
      <c r="U230" s="67"/>
      <c r="V230" s="67"/>
      <c r="W230" s="67"/>
      <c r="X230" s="67"/>
      <c r="Y230" s="67"/>
      <c r="Z230" s="67"/>
      <c r="AA230" s="67"/>
      <c r="AB230" s="67"/>
      <c r="AC230" s="67"/>
      <c r="AD230" s="67"/>
      <c r="AE230" s="67"/>
      <c r="AF230" s="67"/>
      <c r="AG230" s="67"/>
      <c r="AH230" s="67"/>
      <c r="AI230" s="67"/>
      <c r="AJ230" s="67"/>
      <c r="AK230" s="67"/>
      <c r="AL230" s="67"/>
      <c r="AM230" s="67"/>
      <c r="AN230" s="67"/>
      <c r="AO230" s="67"/>
      <c r="AP230" s="67"/>
      <c r="AQ230" s="67"/>
      <c r="AR230" s="67"/>
      <c r="AS230" s="67"/>
      <c r="AT230" s="67"/>
      <c r="AU230" s="67"/>
      <c r="AV230" s="67"/>
      <c r="AW230" s="67"/>
      <c r="AX230" s="67"/>
      <c r="AY230" s="67"/>
      <c r="AZ230" s="67"/>
      <c r="BA230" s="67"/>
      <c r="BB230" s="67"/>
      <c r="BC230" s="67"/>
      <c r="BD230" s="67"/>
      <c r="BE230" s="67"/>
      <c r="BF230" s="67"/>
      <c r="BG230" s="67"/>
      <c r="BH230" s="67"/>
    </row>
    <row r="231" spans="1:60" x14ac:dyDescent="0.3">
      <c r="A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67"/>
      <c r="AH231" s="67"/>
      <c r="AI231" s="67"/>
      <c r="AJ231" s="67"/>
      <c r="AK231" s="67"/>
      <c r="AL231" s="67"/>
      <c r="AM231" s="67"/>
      <c r="AN231" s="67"/>
      <c r="AO231" s="67"/>
      <c r="AP231" s="67"/>
      <c r="AQ231" s="67"/>
      <c r="AR231" s="67"/>
      <c r="AS231" s="67"/>
      <c r="AT231" s="67"/>
      <c r="AU231" s="67"/>
      <c r="AV231" s="67"/>
      <c r="AW231" s="67"/>
      <c r="AX231" s="67"/>
      <c r="AY231" s="67"/>
      <c r="AZ231" s="67"/>
      <c r="BA231" s="67"/>
      <c r="BB231" s="67"/>
      <c r="BC231" s="67"/>
      <c r="BD231" s="67"/>
      <c r="BE231" s="67"/>
      <c r="BF231" s="67"/>
      <c r="BG231" s="67"/>
      <c r="BH231" s="67"/>
    </row>
    <row r="232" spans="1:60" x14ac:dyDescent="0.3">
      <c r="A232" s="67"/>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c r="AG232" s="67"/>
      <c r="AH232" s="67"/>
      <c r="AI232" s="67"/>
      <c r="AJ232" s="67"/>
      <c r="AK232" s="67"/>
      <c r="AL232" s="67"/>
      <c r="AM232" s="67"/>
      <c r="AN232" s="67"/>
      <c r="AO232" s="67"/>
      <c r="AP232" s="67"/>
      <c r="AQ232" s="67"/>
      <c r="AR232" s="67"/>
      <c r="AS232" s="67"/>
      <c r="AT232" s="67"/>
      <c r="AU232" s="67"/>
      <c r="AV232" s="67"/>
      <c r="AW232" s="67"/>
      <c r="AX232" s="67"/>
      <c r="AY232" s="67"/>
      <c r="AZ232" s="67"/>
      <c r="BA232" s="67"/>
      <c r="BB232" s="67"/>
      <c r="BC232" s="67"/>
      <c r="BD232" s="67"/>
      <c r="BE232" s="67"/>
      <c r="BF232" s="67"/>
      <c r="BG232" s="67"/>
      <c r="BH232" s="67"/>
    </row>
    <row r="233" spans="1:60" x14ac:dyDescent="0.3">
      <c r="A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c r="AH233" s="67"/>
      <c r="AI233" s="67"/>
      <c r="AJ233" s="67"/>
      <c r="AK233" s="67"/>
      <c r="AL233" s="67"/>
      <c r="AM233" s="67"/>
      <c r="AN233" s="67"/>
      <c r="AO233" s="67"/>
      <c r="AP233" s="67"/>
      <c r="AQ233" s="67"/>
      <c r="AR233" s="67"/>
      <c r="AS233" s="67"/>
      <c r="AT233" s="67"/>
      <c r="AU233" s="67"/>
      <c r="AV233" s="67"/>
      <c r="AW233" s="67"/>
      <c r="AX233" s="67"/>
      <c r="AY233" s="67"/>
      <c r="AZ233" s="67"/>
      <c r="BA233" s="67"/>
      <c r="BB233" s="67"/>
      <c r="BC233" s="67"/>
      <c r="BD233" s="67"/>
      <c r="BE233" s="67"/>
      <c r="BF233" s="67"/>
      <c r="BG233" s="67"/>
      <c r="BH233" s="67"/>
    </row>
    <row r="234" spans="1:60" x14ac:dyDescent="0.3">
      <c r="A234" s="67"/>
      <c r="J234" s="67"/>
      <c r="K234" s="67"/>
      <c r="L234" s="67"/>
      <c r="M234" s="67"/>
      <c r="N234" s="67"/>
      <c r="O234" s="67"/>
      <c r="P234" s="67"/>
      <c r="Q234" s="67"/>
      <c r="R234" s="67"/>
      <c r="S234" s="67"/>
      <c r="T234" s="67"/>
      <c r="U234" s="67"/>
      <c r="V234" s="67"/>
      <c r="W234" s="67"/>
      <c r="X234" s="67"/>
      <c r="Y234" s="67"/>
      <c r="Z234" s="67"/>
      <c r="AA234" s="67"/>
      <c r="AB234" s="67"/>
      <c r="AC234" s="67"/>
      <c r="AD234" s="67"/>
      <c r="AE234" s="67"/>
      <c r="AF234" s="67"/>
      <c r="AG234" s="67"/>
      <c r="AH234" s="67"/>
      <c r="AI234" s="67"/>
      <c r="AJ234" s="67"/>
      <c r="AK234" s="67"/>
      <c r="AL234" s="67"/>
      <c r="AM234" s="67"/>
      <c r="AN234" s="67"/>
      <c r="AO234" s="67"/>
      <c r="AP234" s="67"/>
      <c r="AQ234" s="67"/>
      <c r="AR234" s="67"/>
      <c r="AS234" s="67"/>
      <c r="AT234" s="67"/>
      <c r="AU234" s="67"/>
      <c r="AV234" s="67"/>
      <c r="AW234" s="67"/>
      <c r="AX234" s="67"/>
      <c r="AY234" s="67"/>
      <c r="AZ234" s="67"/>
      <c r="BA234" s="67"/>
      <c r="BB234" s="67"/>
      <c r="BC234" s="67"/>
      <c r="BD234" s="67"/>
      <c r="BE234" s="67"/>
      <c r="BF234" s="67"/>
      <c r="BG234" s="67"/>
      <c r="BH234" s="67"/>
    </row>
    <row r="235" spans="1:60" x14ac:dyDescent="0.3">
      <c r="A235" s="67"/>
      <c r="J235" s="67"/>
      <c r="K235" s="67"/>
      <c r="L235" s="67"/>
      <c r="M235" s="67"/>
      <c r="N235" s="67"/>
      <c r="O235" s="67"/>
      <c r="P235" s="67"/>
      <c r="Q235" s="67"/>
      <c r="R235" s="67"/>
      <c r="S235" s="67"/>
      <c r="T235" s="67"/>
      <c r="U235" s="67"/>
      <c r="V235" s="67"/>
      <c r="W235" s="67"/>
      <c r="X235" s="67"/>
      <c r="Y235" s="67"/>
      <c r="Z235" s="67"/>
      <c r="AA235" s="67"/>
      <c r="AB235" s="67"/>
      <c r="AC235" s="67"/>
      <c r="AD235" s="67"/>
      <c r="AE235" s="67"/>
      <c r="AF235" s="67"/>
      <c r="AG235" s="67"/>
      <c r="AH235" s="67"/>
      <c r="AI235" s="67"/>
      <c r="AJ235" s="67"/>
      <c r="AK235" s="67"/>
      <c r="AL235" s="67"/>
      <c r="AM235" s="67"/>
      <c r="AN235" s="67"/>
      <c r="AO235" s="67"/>
      <c r="AP235" s="67"/>
      <c r="AQ235" s="67"/>
      <c r="AR235" s="67"/>
      <c r="AS235" s="67"/>
      <c r="AT235" s="67"/>
      <c r="AU235" s="67"/>
      <c r="AV235" s="67"/>
      <c r="AW235" s="67"/>
      <c r="AX235" s="67"/>
      <c r="AY235" s="67"/>
      <c r="AZ235" s="67"/>
      <c r="BA235" s="67"/>
      <c r="BB235" s="67"/>
      <c r="BC235" s="67"/>
      <c r="BD235" s="67"/>
      <c r="BE235" s="67"/>
      <c r="BF235" s="67"/>
      <c r="BG235" s="67"/>
      <c r="BH235" s="67"/>
    </row>
    <row r="236" spans="1:60" x14ac:dyDescent="0.3">
      <c r="A236" s="67"/>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c r="AG236" s="67"/>
      <c r="AH236" s="67"/>
      <c r="AI236" s="67"/>
      <c r="AJ236" s="67"/>
      <c r="AK236" s="67"/>
      <c r="AL236" s="67"/>
      <c r="AM236" s="67"/>
      <c r="AN236" s="67"/>
      <c r="AO236" s="67"/>
      <c r="AP236" s="67"/>
      <c r="AQ236" s="67"/>
      <c r="AR236" s="67"/>
      <c r="AS236" s="67"/>
      <c r="AT236" s="67"/>
      <c r="AU236" s="67"/>
      <c r="AV236" s="67"/>
      <c r="AW236" s="67"/>
      <c r="AX236" s="67"/>
      <c r="AY236" s="67"/>
      <c r="AZ236" s="67"/>
      <c r="BA236" s="67"/>
      <c r="BB236" s="67"/>
      <c r="BC236" s="67"/>
      <c r="BD236" s="67"/>
      <c r="BE236" s="67"/>
      <c r="BF236" s="67"/>
      <c r="BG236" s="67"/>
      <c r="BH236" s="67"/>
    </row>
    <row r="237" spans="1:60" x14ac:dyDescent="0.3">
      <c r="A237" s="67"/>
      <c r="J237" s="67"/>
      <c r="K237" s="67"/>
      <c r="L237" s="67"/>
      <c r="M237" s="67"/>
      <c r="N237" s="67"/>
      <c r="O237" s="67"/>
      <c r="P237" s="67"/>
      <c r="Q237" s="67"/>
      <c r="R237" s="67"/>
      <c r="S237" s="67"/>
      <c r="T237" s="67"/>
      <c r="U237" s="67"/>
      <c r="V237" s="67"/>
      <c r="W237" s="67"/>
      <c r="X237" s="67"/>
      <c r="Y237" s="67"/>
      <c r="Z237" s="67"/>
      <c r="AA237" s="67"/>
      <c r="AB237" s="67"/>
      <c r="AC237" s="67"/>
      <c r="AD237" s="67"/>
      <c r="AE237" s="67"/>
      <c r="AF237" s="67"/>
      <c r="AG237" s="67"/>
      <c r="AH237" s="67"/>
      <c r="AI237" s="67"/>
      <c r="AJ237" s="67"/>
      <c r="AK237" s="67"/>
      <c r="AL237" s="67"/>
      <c r="AM237" s="67"/>
      <c r="AN237" s="67"/>
      <c r="AO237" s="67"/>
      <c r="AP237" s="67"/>
      <c r="AQ237" s="67"/>
      <c r="AR237" s="67"/>
      <c r="AS237" s="67"/>
      <c r="AT237" s="67"/>
      <c r="AU237" s="67"/>
      <c r="AV237" s="67"/>
      <c r="AW237" s="67"/>
      <c r="AX237" s="67"/>
      <c r="AY237" s="67"/>
      <c r="AZ237" s="67"/>
      <c r="BA237" s="67"/>
      <c r="BB237" s="67"/>
      <c r="BC237" s="67"/>
      <c r="BD237" s="67"/>
      <c r="BE237" s="67"/>
      <c r="BF237" s="67"/>
      <c r="BG237" s="67"/>
      <c r="BH237" s="67"/>
    </row>
    <row r="238" spans="1:60" x14ac:dyDescent="0.3">
      <c r="A238" s="67"/>
      <c r="J238" s="67"/>
      <c r="K238" s="67"/>
      <c r="L238" s="67"/>
      <c r="M238" s="67"/>
      <c r="N238" s="67"/>
      <c r="O238" s="67"/>
      <c r="P238" s="67"/>
      <c r="Q238" s="67"/>
      <c r="R238" s="67"/>
      <c r="S238" s="67"/>
      <c r="T238" s="67"/>
      <c r="U238" s="67"/>
      <c r="V238" s="67"/>
      <c r="W238" s="67"/>
      <c r="X238" s="67"/>
      <c r="Y238" s="67"/>
      <c r="Z238" s="67"/>
      <c r="AA238" s="67"/>
      <c r="AB238" s="67"/>
      <c r="AC238" s="67"/>
      <c r="AD238" s="67"/>
      <c r="AE238" s="67"/>
      <c r="AF238" s="67"/>
      <c r="AG238" s="67"/>
      <c r="AH238" s="67"/>
      <c r="AI238" s="67"/>
      <c r="AJ238" s="67"/>
      <c r="AK238" s="67"/>
      <c r="AL238" s="67"/>
      <c r="AM238" s="67"/>
      <c r="AN238" s="67"/>
      <c r="AO238" s="67"/>
      <c r="AP238" s="67"/>
      <c r="AQ238" s="67"/>
      <c r="AR238" s="67"/>
      <c r="AS238" s="67"/>
      <c r="AT238" s="67"/>
      <c r="AU238" s="67"/>
      <c r="AV238" s="67"/>
      <c r="AW238" s="67"/>
      <c r="AX238" s="67"/>
      <c r="AY238" s="67"/>
      <c r="AZ238" s="67"/>
      <c r="BA238" s="67"/>
      <c r="BB238" s="67"/>
      <c r="BC238" s="67"/>
      <c r="BD238" s="67"/>
      <c r="BE238" s="67"/>
      <c r="BF238" s="67"/>
      <c r="BG238" s="67"/>
      <c r="BH238" s="67"/>
    </row>
    <row r="239" spans="1:60" x14ac:dyDescent="0.3">
      <c r="A239" s="67"/>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c r="AH239" s="67"/>
      <c r="AI239" s="67"/>
      <c r="AJ239" s="67"/>
      <c r="AK239" s="67"/>
      <c r="AL239" s="67"/>
      <c r="AM239" s="67"/>
      <c r="AN239" s="67"/>
      <c r="AO239" s="67"/>
      <c r="AP239" s="67"/>
      <c r="AQ239" s="67"/>
      <c r="AR239" s="67"/>
      <c r="AS239" s="67"/>
      <c r="AT239" s="67"/>
      <c r="AU239" s="67"/>
      <c r="AV239" s="67"/>
      <c r="AW239" s="67"/>
      <c r="AX239" s="67"/>
      <c r="AY239" s="67"/>
      <c r="AZ239" s="67"/>
      <c r="BA239" s="67"/>
      <c r="BB239" s="67"/>
      <c r="BC239" s="67"/>
      <c r="BD239" s="67"/>
      <c r="BE239" s="67"/>
      <c r="BF239" s="67"/>
      <c r="BG239" s="67"/>
      <c r="BH239" s="67"/>
    </row>
    <row r="240" spans="1:60" x14ac:dyDescent="0.3">
      <c r="A240" s="67"/>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c r="AH240" s="67"/>
      <c r="AI240" s="67"/>
      <c r="AJ240" s="67"/>
      <c r="AK240" s="67"/>
      <c r="AL240" s="67"/>
      <c r="AM240" s="67"/>
      <c r="AN240" s="67"/>
      <c r="AO240" s="67"/>
      <c r="AP240" s="67"/>
      <c r="AQ240" s="67"/>
      <c r="AR240" s="67"/>
      <c r="AS240" s="67"/>
      <c r="AT240" s="67"/>
      <c r="AU240" s="67"/>
      <c r="AV240" s="67"/>
      <c r="AW240" s="67"/>
      <c r="AX240" s="67"/>
      <c r="AY240" s="67"/>
      <c r="AZ240" s="67"/>
      <c r="BA240" s="67"/>
      <c r="BB240" s="67"/>
      <c r="BC240" s="67"/>
      <c r="BD240" s="67"/>
      <c r="BE240" s="67"/>
      <c r="BF240" s="67"/>
      <c r="BG240" s="67"/>
      <c r="BH240" s="67"/>
    </row>
    <row r="241" spans="1:60" x14ac:dyDescent="0.3">
      <c r="A241" s="67"/>
      <c r="J241" s="67"/>
      <c r="K241" s="67"/>
      <c r="L241" s="67"/>
      <c r="M241" s="67"/>
      <c r="N241" s="67"/>
      <c r="O241" s="67"/>
      <c r="P241" s="67"/>
      <c r="Q241" s="67"/>
      <c r="R241" s="67"/>
      <c r="S241" s="67"/>
      <c r="T241" s="67"/>
      <c r="U241" s="67"/>
      <c r="V241" s="67"/>
      <c r="W241" s="67"/>
      <c r="X241" s="67"/>
      <c r="Y241" s="67"/>
      <c r="Z241" s="67"/>
      <c r="AA241" s="67"/>
      <c r="AB241" s="67"/>
      <c r="AC241" s="67"/>
      <c r="AD241" s="67"/>
      <c r="AE241" s="67"/>
      <c r="AF241" s="67"/>
      <c r="AG241" s="67"/>
      <c r="AH241" s="67"/>
      <c r="AI241" s="67"/>
      <c r="AJ241" s="67"/>
      <c r="AK241" s="67"/>
      <c r="AL241" s="67"/>
      <c r="AM241" s="67"/>
      <c r="AN241" s="67"/>
      <c r="AO241" s="67"/>
      <c r="AP241" s="67"/>
      <c r="AQ241" s="67"/>
      <c r="AR241" s="67"/>
      <c r="AS241" s="67"/>
      <c r="AT241" s="67"/>
      <c r="AU241" s="67"/>
      <c r="AV241" s="67"/>
      <c r="AW241" s="67"/>
      <c r="AX241" s="67"/>
      <c r="AY241" s="67"/>
      <c r="AZ241" s="67"/>
      <c r="BA241" s="67"/>
      <c r="BB241" s="67"/>
      <c r="BC241" s="67"/>
      <c r="BD241" s="67"/>
      <c r="BE241" s="67"/>
      <c r="BF241" s="67"/>
      <c r="BG241" s="67"/>
      <c r="BH241" s="67"/>
    </row>
    <row r="242" spans="1:60" x14ac:dyDescent="0.3">
      <c r="A242" s="67"/>
      <c r="J242" s="67"/>
      <c r="K242" s="67"/>
      <c r="L242" s="67"/>
      <c r="M242" s="67"/>
      <c r="N242" s="67"/>
      <c r="O242" s="67"/>
      <c r="P242" s="67"/>
      <c r="Q242" s="67"/>
      <c r="R242" s="67"/>
      <c r="S242" s="67"/>
      <c r="T242" s="67"/>
      <c r="U242" s="67"/>
      <c r="V242" s="67"/>
      <c r="W242" s="67"/>
      <c r="X242" s="67"/>
      <c r="Y242" s="67"/>
      <c r="Z242" s="67"/>
      <c r="AA242" s="67"/>
      <c r="AB242" s="67"/>
      <c r="AC242" s="67"/>
      <c r="AD242" s="67"/>
      <c r="AE242" s="67"/>
      <c r="AF242" s="67"/>
      <c r="AG242" s="67"/>
      <c r="AH242" s="67"/>
      <c r="AI242" s="67"/>
      <c r="AJ242" s="67"/>
      <c r="AK242" s="67"/>
      <c r="AL242" s="67"/>
      <c r="AM242" s="67"/>
      <c r="AN242" s="67"/>
      <c r="AO242" s="67"/>
      <c r="AP242" s="67"/>
      <c r="AQ242" s="67"/>
      <c r="AR242" s="67"/>
      <c r="AS242" s="67"/>
      <c r="AT242" s="67"/>
      <c r="AU242" s="67"/>
      <c r="AV242" s="67"/>
      <c r="AW242" s="67"/>
      <c r="AX242" s="67"/>
      <c r="AY242" s="67"/>
      <c r="AZ242" s="67"/>
      <c r="BA242" s="67"/>
      <c r="BB242" s="67"/>
      <c r="BC242" s="67"/>
      <c r="BD242" s="67"/>
      <c r="BE242" s="67"/>
      <c r="BF242" s="67"/>
      <c r="BG242" s="67"/>
      <c r="BH242" s="67"/>
    </row>
    <row r="243" spans="1:60" x14ac:dyDescent="0.3">
      <c r="A243" s="67"/>
      <c r="J243" s="67"/>
      <c r="K243" s="67"/>
      <c r="L243" s="67"/>
      <c r="M243" s="67"/>
      <c r="N243" s="67"/>
      <c r="O243" s="67"/>
      <c r="P243" s="67"/>
      <c r="Q243" s="67"/>
      <c r="R243" s="67"/>
      <c r="S243" s="67"/>
      <c r="T243" s="67"/>
      <c r="U243" s="67"/>
      <c r="V243" s="67"/>
      <c r="W243" s="67"/>
      <c r="X243" s="67"/>
      <c r="Y243" s="67"/>
      <c r="Z243" s="67"/>
      <c r="AA243" s="67"/>
      <c r="AB243" s="67"/>
      <c r="AC243" s="67"/>
      <c r="AD243" s="67"/>
      <c r="AE243" s="67"/>
      <c r="AF243" s="67"/>
      <c r="AG243" s="67"/>
      <c r="AH243" s="67"/>
      <c r="AI243" s="67"/>
      <c r="AJ243" s="67"/>
      <c r="AK243" s="67"/>
      <c r="AL243" s="67"/>
      <c r="AM243" s="67"/>
      <c r="AN243" s="67"/>
      <c r="AO243" s="67"/>
      <c r="AP243" s="67"/>
      <c r="AQ243" s="67"/>
      <c r="AR243" s="67"/>
      <c r="AS243" s="67"/>
      <c r="AT243" s="67"/>
      <c r="AU243" s="67"/>
      <c r="AV243" s="67"/>
      <c r="AW243" s="67"/>
      <c r="AX243" s="67"/>
      <c r="AY243" s="67"/>
      <c r="AZ243" s="67"/>
      <c r="BA243" s="67"/>
      <c r="BB243" s="67"/>
      <c r="BC243" s="67"/>
      <c r="BD243" s="67"/>
      <c r="BE243" s="67"/>
      <c r="BF243" s="67"/>
      <c r="BG243" s="67"/>
      <c r="BH243" s="67"/>
    </row>
    <row r="244" spans="1:60" x14ac:dyDescent="0.3">
      <c r="A244" s="67"/>
      <c r="J244" s="67"/>
      <c r="K244" s="67"/>
      <c r="L244" s="67"/>
      <c r="M244" s="67"/>
      <c r="N244" s="67"/>
      <c r="O244" s="67"/>
      <c r="P244" s="67"/>
      <c r="Q244" s="67"/>
      <c r="R244" s="67"/>
      <c r="S244" s="67"/>
      <c r="T244" s="67"/>
      <c r="U244" s="67"/>
      <c r="V244" s="67"/>
      <c r="W244" s="67"/>
      <c r="X244" s="67"/>
      <c r="Y244" s="67"/>
      <c r="Z244" s="67"/>
      <c r="AA244" s="67"/>
      <c r="AB244" s="67"/>
      <c r="AC244" s="67"/>
      <c r="AD244" s="67"/>
      <c r="AE244" s="67"/>
      <c r="AF244" s="67"/>
      <c r="AG244" s="67"/>
      <c r="AH244" s="67"/>
      <c r="AI244" s="67"/>
      <c r="AJ244" s="67"/>
      <c r="AK244" s="67"/>
      <c r="AL244" s="67"/>
      <c r="AM244" s="67"/>
      <c r="AN244" s="67"/>
      <c r="AO244" s="67"/>
      <c r="AP244" s="67"/>
      <c r="AQ244" s="67"/>
      <c r="AR244" s="67"/>
      <c r="AS244" s="67"/>
      <c r="AT244" s="67"/>
      <c r="AU244" s="67"/>
      <c r="AV244" s="67"/>
      <c r="AW244" s="67"/>
      <c r="AX244" s="67"/>
      <c r="AY244" s="67"/>
      <c r="AZ244" s="67"/>
      <c r="BA244" s="67"/>
      <c r="BB244" s="67"/>
      <c r="BC244" s="67"/>
      <c r="BD244" s="67"/>
      <c r="BE244" s="67"/>
      <c r="BF244" s="67"/>
      <c r="BG244" s="67"/>
      <c r="BH244" s="67"/>
    </row>
    <row r="245" spans="1:60" x14ac:dyDescent="0.3">
      <c r="A245" s="67"/>
    </row>
    <row r="246" spans="1:60" x14ac:dyDescent="0.3">
      <c r="A246" s="67"/>
    </row>
    <row r="247" spans="1:60" x14ac:dyDescent="0.3">
      <c r="A247" s="67"/>
    </row>
    <row r="248" spans="1:60" x14ac:dyDescent="0.3">
      <c r="A248" s="67"/>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topLeftCell="A10" workbookViewId="0"/>
  </sheetViews>
  <sheetFormatPr baseColWidth="10" defaultRowHeight="14.4" x14ac:dyDescent="0.3"/>
  <cols>
    <col min="2" max="2" width="24.109375" customWidth="1"/>
    <col min="3" max="3" width="70.109375" customWidth="1"/>
    <col min="4" max="4" width="29.88671875" customWidth="1"/>
  </cols>
  <sheetData>
    <row r="1" spans="1:37" ht="23.4" x14ac:dyDescent="0.3">
      <c r="A1" s="67"/>
      <c r="B1" s="443" t="s">
        <v>55</v>
      </c>
      <c r="C1" s="443"/>
      <c r="D1" s="443"/>
      <c r="E1" s="67"/>
      <c r="F1" s="67"/>
      <c r="G1" s="67"/>
      <c r="H1" s="67"/>
      <c r="I1" s="67"/>
      <c r="J1" s="67"/>
      <c r="K1" s="67"/>
      <c r="L1" s="67"/>
      <c r="M1" s="67"/>
      <c r="N1" s="67"/>
      <c r="O1" s="67"/>
      <c r="P1" s="67"/>
      <c r="Q1" s="67"/>
      <c r="R1" s="67"/>
      <c r="S1" s="67"/>
      <c r="T1" s="67"/>
      <c r="U1" s="67"/>
      <c r="V1" s="67"/>
      <c r="W1" s="67"/>
      <c r="X1" s="67"/>
      <c r="Y1" s="67"/>
      <c r="Z1" s="67"/>
      <c r="AA1" s="67"/>
      <c r="AB1" s="67"/>
      <c r="AC1" s="67"/>
      <c r="AD1" s="67"/>
      <c r="AE1" s="67"/>
    </row>
    <row r="2" spans="1:37" x14ac:dyDescent="0.3">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row>
    <row r="3" spans="1:37" ht="25.2" x14ac:dyDescent="0.3">
      <c r="A3" s="67"/>
      <c r="B3" s="11"/>
      <c r="C3" s="12" t="s">
        <v>52</v>
      </c>
      <c r="D3" s="12" t="s">
        <v>4</v>
      </c>
      <c r="E3" s="67"/>
      <c r="F3" s="67"/>
      <c r="G3" s="67"/>
      <c r="H3" s="67"/>
      <c r="I3" s="67"/>
      <c r="J3" s="67"/>
      <c r="K3" s="67"/>
      <c r="L3" s="67"/>
      <c r="M3" s="67"/>
      <c r="N3" s="67"/>
      <c r="O3" s="67"/>
      <c r="P3" s="67"/>
      <c r="Q3" s="67"/>
      <c r="R3" s="67"/>
      <c r="S3" s="67"/>
      <c r="T3" s="67"/>
      <c r="U3" s="67"/>
      <c r="V3" s="67"/>
      <c r="W3" s="67"/>
      <c r="X3" s="67"/>
      <c r="Y3" s="67"/>
      <c r="Z3" s="67"/>
      <c r="AA3" s="67"/>
      <c r="AB3" s="67"/>
      <c r="AC3" s="67"/>
      <c r="AD3" s="67"/>
      <c r="AE3" s="67"/>
    </row>
    <row r="4" spans="1:37" ht="50.4" x14ac:dyDescent="0.3">
      <c r="A4" s="67"/>
      <c r="B4" s="13" t="s">
        <v>51</v>
      </c>
      <c r="C4" s="14" t="s">
        <v>97</v>
      </c>
      <c r="D4" s="15">
        <v>0.2</v>
      </c>
      <c r="E4" s="67"/>
      <c r="F4" s="67"/>
      <c r="G4" s="67"/>
      <c r="H4" s="67"/>
      <c r="I4" s="67"/>
      <c r="J4" s="67"/>
      <c r="K4" s="67"/>
      <c r="L4" s="67"/>
      <c r="M4" s="67"/>
      <c r="N4" s="67"/>
      <c r="O4" s="67"/>
      <c r="P4" s="67"/>
      <c r="Q4" s="67"/>
      <c r="R4" s="67"/>
      <c r="S4" s="67"/>
      <c r="T4" s="67"/>
      <c r="U4" s="67"/>
      <c r="V4" s="67"/>
      <c r="W4" s="67"/>
      <c r="X4" s="67"/>
      <c r="Y4" s="67"/>
      <c r="Z4" s="67"/>
      <c r="AA4" s="67"/>
      <c r="AB4" s="67"/>
      <c r="AC4" s="67"/>
      <c r="AD4" s="67"/>
      <c r="AE4" s="67"/>
    </row>
    <row r="5" spans="1:37" ht="50.4" x14ac:dyDescent="0.3">
      <c r="A5" s="67"/>
      <c r="B5" s="16" t="s">
        <v>53</v>
      </c>
      <c r="C5" s="17" t="s">
        <v>98</v>
      </c>
      <c r="D5" s="18">
        <v>0.4</v>
      </c>
      <c r="E5" s="67"/>
      <c r="F5" s="67"/>
      <c r="G5" s="67"/>
      <c r="H5" s="67"/>
      <c r="I5" s="67"/>
      <c r="J5" s="67"/>
      <c r="K5" s="67"/>
      <c r="L5" s="67"/>
      <c r="M5" s="67"/>
      <c r="N5" s="67"/>
      <c r="O5" s="67"/>
      <c r="P5" s="67"/>
      <c r="Q5" s="67"/>
      <c r="R5" s="67"/>
      <c r="S5" s="67"/>
      <c r="T5" s="67"/>
      <c r="U5" s="67"/>
      <c r="V5" s="67"/>
      <c r="W5" s="67"/>
      <c r="X5" s="67"/>
      <c r="Y5" s="67"/>
      <c r="Z5" s="67"/>
      <c r="AA5" s="67"/>
      <c r="AB5" s="67"/>
      <c r="AC5" s="67"/>
      <c r="AD5" s="67"/>
      <c r="AE5" s="67"/>
    </row>
    <row r="6" spans="1:37" ht="50.4" x14ac:dyDescent="0.3">
      <c r="A6" s="67"/>
      <c r="B6" s="19" t="s">
        <v>102</v>
      </c>
      <c r="C6" s="17" t="s">
        <v>99</v>
      </c>
      <c r="D6" s="18">
        <v>0.6</v>
      </c>
      <c r="E6" s="67"/>
      <c r="F6" s="67"/>
      <c r="G6" s="67"/>
      <c r="H6" s="67"/>
      <c r="I6" s="67"/>
      <c r="J6" s="67"/>
      <c r="K6" s="67"/>
      <c r="L6" s="67"/>
      <c r="M6" s="67"/>
      <c r="N6" s="67"/>
      <c r="O6" s="67"/>
      <c r="P6" s="67"/>
      <c r="Q6" s="67"/>
      <c r="R6" s="67"/>
      <c r="S6" s="67"/>
      <c r="T6" s="67"/>
      <c r="U6" s="67"/>
      <c r="V6" s="67"/>
      <c r="W6" s="67"/>
      <c r="X6" s="67"/>
      <c r="Y6" s="67"/>
      <c r="Z6" s="67"/>
      <c r="AA6" s="67"/>
      <c r="AB6" s="67"/>
      <c r="AC6" s="67"/>
      <c r="AD6" s="67"/>
      <c r="AE6" s="67"/>
    </row>
    <row r="7" spans="1:37" ht="75.599999999999994" x14ac:dyDescent="0.3">
      <c r="A7" s="67"/>
      <c r="B7" s="20" t="s">
        <v>6</v>
      </c>
      <c r="C7" s="17" t="s">
        <v>100</v>
      </c>
      <c r="D7" s="18">
        <v>0.8</v>
      </c>
      <c r="E7" s="67"/>
      <c r="F7" s="67"/>
      <c r="G7" s="67"/>
      <c r="H7" s="67"/>
      <c r="I7" s="67"/>
      <c r="J7" s="67"/>
      <c r="K7" s="67"/>
      <c r="L7" s="67"/>
      <c r="M7" s="67"/>
      <c r="N7" s="67"/>
      <c r="O7" s="67"/>
      <c r="P7" s="67"/>
      <c r="Q7" s="67"/>
      <c r="R7" s="67"/>
      <c r="S7" s="67"/>
      <c r="T7" s="67"/>
      <c r="U7" s="67"/>
      <c r="V7" s="67"/>
      <c r="W7" s="67"/>
      <c r="X7" s="67"/>
      <c r="Y7" s="67"/>
      <c r="Z7" s="67"/>
      <c r="AA7" s="67"/>
      <c r="AB7" s="67"/>
      <c r="AC7" s="67"/>
      <c r="AD7" s="67"/>
      <c r="AE7" s="67"/>
    </row>
    <row r="8" spans="1:37" ht="50.4" x14ac:dyDescent="0.3">
      <c r="A8" s="67"/>
      <c r="B8" s="21" t="s">
        <v>54</v>
      </c>
      <c r="C8" s="17" t="s">
        <v>101</v>
      </c>
      <c r="D8" s="18">
        <v>1</v>
      </c>
      <c r="E8" s="67"/>
      <c r="F8" s="67"/>
      <c r="G8" s="67"/>
      <c r="H8" s="67"/>
      <c r="I8" s="67"/>
      <c r="J8" s="67"/>
      <c r="K8" s="67"/>
      <c r="L8" s="67"/>
      <c r="M8" s="67"/>
      <c r="N8" s="67"/>
      <c r="O8" s="67"/>
      <c r="P8" s="67"/>
      <c r="Q8" s="67"/>
      <c r="R8" s="67"/>
      <c r="S8" s="67"/>
      <c r="T8" s="67"/>
      <c r="U8" s="67"/>
      <c r="V8" s="67"/>
      <c r="W8" s="67"/>
      <c r="X8" s="67"/>
      <c r="Y8" s="67"/>
      <c r="Z8" s="67"/>
      <c r="AA8" s="67"/>
      <c r="AB8" s="67"/>
      <c r="AC8" s="67"/>
      <c r="AD8" s="67"/>
      <c r="AE8" s="67"/>
    </row>
    <row r="9" spans="1:37" x14ac:dyDescent="0.3">
      <c r="A9" s="67"/>
      <c r="B9" s="89"/>
      <c r="C9" s="89"/>
      <c r="D9" s="89"/>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row>
    <row r="10" spans="1:37" x14ac:dyDescent="0.3">
      <c r="A10" s="67"/>
      <c r="B10" s="90"/>
      <c r="C10" s="89"/>
      <c r="D10" s="89"/>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row>
    <row r="11" spans="1:37" x14ac:dyDescent="0.3">
      <c r="A11" s="67"/>
      <c r="B11" s="89"/>
      <c r="C11" s="89"/>
      <c r="D11" s="89"/>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row>
    <row r="12" spans="1:37" x14ac:dyDescent="0.3">
      <c r="A12" s="67"/>
      <c r="B12" s="89"/>
      <c r="C12" s="89"/>
      <c r="D12" s="89"/>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row>
    <row r="13" spans="1:37" x14ac:dyDescent="0.3">
      <c r="A13" s="67"/>
      <c r="B13" s="89"/>
      <c r="C13" s="89"/>
      <c r="D13" s="89"/>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row>
    <row r="14" spans="1:37" x14ac:dyDescent="0.3">
      <c r="A14" s="67"/>
      <c r="B14" s="89"/>
      <c r="C14" s="89"/>
      <c r="D14" s="89"/>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row>
    <row r="15" spans="1:37" x14ac:dyDescent="0.3">
      <c r="A15" s="67"/>
      <c r="B15" s="89"/>
      <c r="C15" s="89"/>
      <c r="D15" s="89"/>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row>
    <row r="16" spans="1:37" x14ac:dyDescent="0.3">
      <c r="A16" s="67"/>
      <c r="B16" s="89"/>
      <c r="C16" s="89"/>
      <c r="D16" s="89"/>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row>
    <row r="17" spans="1:37" x14ac:dyDescent="0.3">
      <c r="A17" s="67"/>
      <c r="B17" s="89"/>
      <c r="C17" s="89"/>
      <c r="D17" s="89"/>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row>
    <row r="18" spans="1:37" x14ac:dyDescent="0.3">
      <c r="A18" s="67"/>
      <c r="B18" s="89"/>
      <c r="C18" s="89"/>
      <c r="D18" s="89"/>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row>
    <row r="19" spans="1:37" x14ac:dyDescent="0.3">
      <c r="A19" s="67"/>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row>
    <row r="20" spans="1:37" x14ac:dyDescent="0.3">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row>
    <row r="21" spans="1:37" x14ac:dyDescent="0.3">
      <c r="A21" s="67"/>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row>
    <row r="22" spans="1:37" x14ac:dyDescent="0.3">
      <c r="A22" s="67"/>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row>
    <row r="23" spans="1:37" x14ac:dyDescent="0.3">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row>
    <row r="24" spans="1:37" x14ac:dyDescent="0.3">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row>
    <row r="25" spans="1:37" x14ac:dyDescent="0.3">
      <c r="A25" s="67"/>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row>
    <row r="26" spans="1:37" x14ac:dyDescent="0.3">
      <c r="A26" s="67"/>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row>
    <row r="27" spans="1:37" x14ac:dyDescent="0.3">
      <c r="A27" s="67"/>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row>
    <row r="28" spans="1:37" x14ac:dyDescent="0.3">
      <c r="A28" s="67"/>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row>
    <row r="29" spans="1:37" x14ac:dyDescent="0.3">
      <c r="A29" s="67"/>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row>
    <row r="30" spans="1:37" x14ac:dyDescent="0.3">
      <c r="A30" s="67"/>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row>
    <row r="31" spans="1:37" x14ac:dyDescent="0.3">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row>
    <row r="32" spans="1:37" x14ac:dyDescent="0.3">
      <c r="A32" s="67"/>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row>
    <row r="33" spans="1:31" x14ac:dyDescent="0.3">
      <c r="A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row>
    <row r="34" spans="1:31" x14ac:dyDescent="0.3">
      <c r="A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row>
    <row r="35" spans="1:31" x14ac:dyDescent="0.3">
      <c r="A35" s="67"/>
    </row>
    <row r="36" spans="1:31" x14ac:dyDescent="0.3">
      <c r="A36" s="67"/>
    </row>
    <row r="37" spans="1:31" x14ac:dyDescent="0.3">
      <c r="A37" s="67"/>
    </row>
    <row r="38" spans="1:31" x14ac:dyDescent="0.3">
      <c r="A38" s="67"/>
    </row>
    <row r="39" spans="1:31" x14ac:dyDescent="0.3">
      <c r="A39" s="67"/>
    </row>
    <row r="40" spans="1:31" x14ac:dyDescent="0.3">
      <c r="A40" s="67"/>
    </row>
    <row r="41" spans="1:31" x14ac:dyDescent="0.3">
      <c r="A41" s="67"/>
    </row>
    <row r="42" spans="1:31" x14ac:dyDescent="0.3">
      <c r="A42" s="67"/>
    </row>
    <row r="43" spans="1:31" x14ac:dyDescent="0.3">
      <c r="A43" s="67"/>
    </row>
    <row r="44" spans="1:31" x14ac:dyDescent="0.3">
      <c r="A44" s="67"/>
    </row>
    <row r="45" spans="1:31" x14ac:dyDescent="0.3">
      <c r="A45" s="67"/>
    </row>
    <row r="46" spans="1:31" x14ac:dyDescent="0.3">
      <c r="A46" s="67"/>
    </row>
    <row r="47" spans="1:31" x14ac:dyDescent="0.3">
      <c r="A47" s="67"/>
    </row>
    <row r="48" spans="1:31" x14ac:dyDescent="0.3">
      <c r="A48" s="67"/>
    </row>
    <row r="49" spans="1:1" x14ac:dyDescent="0.3">
      <c r="A49" s="67"/>
    </row>
    <row r="50" spans="1:1" x14ac:dyDescent="0.3">
      <c r="A50" s="67"/>
    </row>
    <row r="51" spans="1:1" x14ac:dyDescent="0.3">
      <c r="A51" s="67"/>
    </row>
    <row r="52" spans="1:1" x14ac:dyDescent="0.3">
      <c r="A52" s="67"/>
    </row>
    <row r="53" spans="1:1" x14ac:dyDescent="0.3">
      <c r="A53" s="67"/>
    </row>
    <row r="54" spans="1:1" x14ac:dyDescent="0.3">
      <c r="A54" s="67"/>
    </row>
    <row r="55" spans="1:1" x14ac:dyDescent="0.3">
      <c r="A55" s="67"/>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24"/>
  <sheetViews>
    <sheetView zoomScale="70" zoomScaleNormal="70" workbookViewId="0">
      <selection activeCell="C15" sqref="C15"/>
    </sheetView>
  </sheetViews>
  <sheetFormatPr baseColWidth="10" defaultColWidth="11.44140625" defaultRowHeight="14.4" x14ac:dyDescent="0.3"/>
  <cols>
    <col min="1" max="1" width="11.44140625" style="22"/>
    <col min="2" max="2" width="40.44140625" style="22" customWidth="1"/>
    <col min="3" max="3" width="74.88671875" style="22" customWidth="1"/>
    <col min="4" max="4" width="135" style="22" bestFit="1" customWidth="1"/>
    <col min="5" max="5" width="137.88671875" style="22" customWidth="1"/>
    <col min="6" max="16384" width="11.44140625" style="22"/>
  </cols>
  <sheetData>
    <row r="1" spans="1:21" ht="32.4" x14ac:dyDescent="0.3">
      <c r="A1" s="89"/>
      <c r="B1" s="444" t="s">
        <v>62</v>
      </c>
      <c r="C1" s="444"/>
      <c r="D1" s="444"/>
      <c r="E1" s="89"/>
      <c r="F1" s="89"/>
      <c r="G1" s="89"/>
      <c r="H1" s="89"/>
      <c r="I1" s="89"/>
      <c r="J1" s="89"/>
      <c r="K1" s="89"/>
      <c r="L1" s="89"/>
      <c r="M1" s="89"/>
      <c r="N1" s="89"/>
      <c r="O1" s="89"/>
      <c r="P1" s="89"/>
      <c r="Q1" s="89"/>
      <c r="R1" s="89"/>
      <c r="S1" s="89"/>
      <c r="T1" s="89"/>
      <c r="U1" s="89"/>
    </row>
    <row r="2" spans="1:21" x14ac:dyDescent="0.3">
      <c r="A2" s="89"/>
      <c r="B2" s="89"/>
      <c r="C2" s="89"/>
      <c r="D2" s="89"/>
      <c r="E2" s="89"/>
      <c r="F2" s="89"/>
      <c r="G2" s="89"/>
      <c r="H2" s="89"/>
      <c r="I2" s="89"/>
      <c r="J2" s="89"/>
      <c r="K2" s="89"/>
      <c r="L2" s="89"/>
      <c r="M2" s="89"/>
      <c r="N2" s="89"/>
      <c r="O2" s="89"/>
      <c r="P2" s="89"/>
      <c r="Q2" s="89"/>
      <c r="R2" s="89"/>
      <c r="S2" s="89"/>
      <c r="T2" s="89"/>
      <c r="U2" s="89"/>
    </row>
    <row r="3" spans="1:21" ht="30" x14ac:dyDescent="0.3">
      <c r="A3" s="89"/>
      <c r="B3" s="88"/>
      <c r="C3" s="134" t="s">
        <v>56</v>
      </c>
      <c r="D3" s="134" t="s">
        <v>57</v>
      </c>
      <c r="E3" s="89"/>
      <c r="F3" s="89"/>
      <c r="G3" s="89"/>
      <c r="H3" s="89"/>
      <c r="I3" s="89"/>
      <c r="J3" s="89"/>
      <c r="K3" s="89"/>
      <c r="L3" s="89"/>
      <c r="M3" s="89"/>
      <c r="N3" s="89"/>
      <c r="O3" s="89"/>
      <c r="P3" s="89"/>
      <c r="Q3" s="89"/>
      <c r="R3" s="89"/>
      <c r="S3" s="89"/>
      <c r="T3" s="89"/>
      <c r="U3" s="89"/>
    </row>
    <row r="4" spans="1:21" ht="32.4" x14ac:dyDescent="0.3">
      <c r="A4" s="89" t="s">
        <v>82</v>
      </c>
      <c r="B4" s="135" t="s">
        <v>96</v>
      </c>
      <c r="C4" s="136" t="s">
        <v>205</v>
      </c>
      <c r="D4" s="137" t="s">
        <v>92</v>
      </c>
      <c r="E4" s="89"/>
      <c r="F4" s="89"/>
      <c r="G4" s="89"/>
      <c r="H4" s="89"/>
      <c r="I4" s="89"/>
      <c r="J4" s="89"/>
      <c r="K4" s="89"/>
      <c r="L4" s="89"/>
      <c r="M4" s="89"/>
      <c r="N4" s="89"/>
      <c r="O4" s="89"/>
      <c r="P4" s="89"/>
      <c r="Q4" s="89"/>
      <c r="R4" s="89"/>
      <c r="S4" s="89"/>
      <c r="T4" s="89"/>
      <c r="U4" s="89"/>
    </row>
    <row r="5" spans="1:21" ht="64.8" x14ac:dyDescent="0.3">
      <c r="A5" s="89" t="s">
        <v>83</v>
      </c>
      <c r="B5" s="138" t="s">
        <v>58</v>
      </c>
      <c r="C5" s="139" t="s">
        <v>206</v>
      </c>
      <c r="D5" s="140" t="s">
        <v>93</v>
      </c>
      <c r="E5" s="89"/>
      <c r="F5" s="89"/>
      <c r="G5" s="89"/>
      <c r="H5" s="89"/>
      <c r="I5" s="89"/>
      <c r="J5" s="89"/>
      <c r="K5" s="89"/>
      <c r="L5" s="89"/>
      <c r="M5" s="89"/>
      <c r="N5" s="89"/>
      <c r="O5" s="89"/>
      <c r="P5" s="89"/>
      <c r="Q5" s="89"/>
      <c r="R5" s="89"/>
      <c r="S5" s="89"/>
      <c r="T5" s="89"/>
      <c r="U5" s="89"/>
    </row>
    <row r="6" spans="1:21" ht="64.8" x14ac:dyDescent="0.3">
      <c r="A6" s="89" t="s">
        <v>80</v>
      </c>
      <c r="B6" s="141" t="s">
        <v>59</v>
      </c>
      <c r="C6" s="139" t="s">
        <v>210</v>
      </c>
      <c r="D6" s="140" t="s">
        <v>95</v>
      </c>
      <c r="E6" s="89"/>
      <c r="F6" s="89"/>
      <c r="G6" s="89"/>
      <c r="H6" s="89"/>
      <c r="I6" s="89"/>
      <c r="J6" s="89"/>
      <c r="K6" s="89"/>
      <c r="L6" s="89"/>
      <c r="M6" s="89"/>
      <c r="N6" s="89"/>
      <c r="O6" s="89"/>
      <c r="P6" s="89"/>
      <c r="Q6" s="89"/>
      <c r="R6" s="89"/>
      <c r="S6" s="89"/>
      <c r="T6" s="89"/>
      <c r="U6" s="89"/>
    </row>
    <row r="7" spans="1:21" ht="97.2" x14ac:dyDescent="0.3">
      <c r="A7" s="89" t="s">
        <v>7</v>
      </c>
      <c r="B7" s="142" t="s">
        <v>60</v>
      </c>
      <c r="C7" s="139" t="s">
        <v>211</v>
      </c>
      <c r="D7" s="140" t="s">
        <v>94</v>
      </c>
      <c r="E7" s="89"/>
      <c r="F7" s="89"/>
      <c r="G7" s="89"/>
      <c r="H7" s="89"/>
      <c r="I7" s="89"/>
      <c r="J7" s="89"/>
      <c r="K7" s="89"/>
      <c r="L7" s="89"/>
      <c r="M7" s="89"/>
      <c r="N7" s="89"/>
      <c r="O7" s="89"/>
      <c r="P7" s="89"/>
      <c r="Q7" s="89"/>
      <c r="R7" s="89"/>
      <c r="S7" s="89"/>
      <c r="T7" s="89"/>
      <c r="U7" s="89"/>
    </row>
    <row r="8" spans="1:21" ht="64.8" x14ac:dyDescent="0.3">
      <c r="A8" s="89" t="s">
        <v>84</v>
      </c>
      <c r="B8" s="143" t="s">
        <v>61</v>
      </c>
      <c r="C8" s="139" t="s">
        <v>207</v>
      </c>
      <c r="D8" s="140" t="s">
        <v>113</v>
      </c>
      <c r="E8" s="89"/>
      <c r="F8" s="89"/>
      <c r="G8" s="89"/>
      <c r="H8" s="89"/>
      <c r="I8" s="89"/>
      <c r="J8" s="89"/>
      <c r="K8" s="89"/>
      <c r="L8" s="89"/>
      <c r="M8" s="89"/>
      <c r="N8" s="89"/>
      <c r="O8" s="89"/>
      <c r="P8" s="89"/>
      <c r="Q8" s="89"/>
      <c r="R8" s="89"/>
      <c r="S8" s="89"/>
      <c r="T8" s="89"/>
      <c r="U8" s="89"/>
    </row>
    <row r="9" spans="1:21" s="23" customFormat="1" ht="20.399999999999999" x14ac:dyDescent="0.3">
      <c r="A9" s="87"/>
      <c r="B9" s="87"/>
      <c r="C9" s="147"/>
      <c r="D9" s="147"/>
      <c r="E9" s="87"/>
      <c r="F9" s="87"/>
      <c r="G9" s="87"/>
      <c r="H9" s="87"/>
      <c r="I9" s="87"/>
      <c r="J9" s="87"/>
      <c r="K9" s="87"/>
      <c r="L9" s="87"/>
      <c r="M9" s="87"/>
      <c r="N9" s="87"/>
      <c r="O9" s="87"/>
      <c r="P9" s="87"/>
      <c r="Q9" s="87"/>
      <c r="R9" s="87"/>
      <c r="S9" s="87"/>
      <c r="T9" s="87"/>
      <c r="U9" s="87"/>
    </row>
    <row r="10" spans="1:21" s="23" customFormat="1" x14ac:dyDescent="0.3">
      <c r="A10" s="87"/>
      <c r="B10" s="148"/>
      <c r="C10" s="148"/>
      <c r="D10" s="148"/>
      <c r="E10" s="87"/>
      <c r="F10" s="87"/>
      <c r="G10" s="87"/>
      <c r="H10" s="87"/>
      <c r="I10" s="87"/>
      <c r="J10" s="87"/>
      <c r="K10" s="87"/>
      <c r="L10" s="87"/>
      <c r="M10" s="87"/>
      <c r="N10" s="87"/>
      <c r="O10" s="87"/>
      <c r="P10" s="87"/>
      <c r="Q10" s="87"/>
      <c r="R10" s="87"/>
      <c r="S10" s="87"/>
      <c r="T10" s="87"/>
      <c r="U10" s="87"/>
    </row>
    <row r="11" spans="1:21" s="23" customFormat="1" x14ac:dyDescent="0.3">
      <c r="A11" s="87"/>
      <c r="B11" s="87" t="s">
        <v>90</v>
      </c>
      <c r="C11" s="87" t="s">
        <v>209</v>
      </c>
      <c r="D11" s="87" t="s">
        <v>143</v>
      </c>
      <c r="E11" s="87"/>
      <c r="F11" s="87"/>
      <c r="G11" s="87"/>
      <c r="H11" s="87"/>
      <c r="I11" s="87"/>
      <c r="J11" s="87"/>
      <c r="K11" s="87"/>
      <c r="L11" s="87"/>
      <c r="M11" s="87"/>
      <c r="N11" s="87"/>
      <c r="O11" s="87"/>
      <c r="P11" s="87"/>
      <c r="Q11" s="87"/>
      <c r="R11" s="87"/>
      <c r="S11" s="87"/>
      <c r="T11" s="87"/>
      <c r="U11" s="87"/>
    </row>
    <row r="12" spans="1:21" s="23" customFormat="1" x14ac:dyDescent="0.3">
      <c r="A12" s="87"/>
      <c r="B12" s="87" t="s">
        <v>88</v>
      </c>
      <c r="C12" s="87" t="s">
        <v>208</v>
      </c>
      <c r="D12" s="87" t="s">
        <v>144</v>
      </c>
      <c r="E12" s="87"/>
      <c r="F12" s="87"/>
      <c r="G12" s="87"/>
      <c r="H12" s="87"/>
      <c r="I12" s="87"/>
      <c r="J12" s="87"/>
      <c r="K12" s="87"/>
      <c r="L12" s="87"/>
      <c r="M12" s="87"/>
      <c r="N12" s="87"/>
      <c r="O12" s="87"/>
      <c r="P12" s="87"/>
      <c r="Q12" s="87"/>
      <c r="R12" s="87"/>
      <c r="S12" s="87"/>
      <c r="T12" s="87"/>
      <c r="U12" s="87"/>
    </row>
    <row r="13" spans="1:21" s="23" customFormat="1" x14ac:dyDescent="0.3">
      <c r="A13" s="87"/>
      <c r="B13" s="87"/>
      <c r="C13" s="87" t="s">
        <v>212</v>
      </c>
      <c r="D13" s="87" t="s">
        <v>145</v>
      </c>
      <c r="E13" s="87"/>
      <c r="F13" s="87"/>
      <c r="G13" s="87"/>
      <c r="H13" s="87"/>
      <c r="I13" s="87"/>
      <c r="J13" s="87"/>
      <c r="K13" s="87"/>
      <c r="L13" s="87"/>
      <c r="M13" s="87"/>
      <c r="N13" s="87"/>
      <c r="O13" s="87"/>
      <c r="P13" s="87"/>
      <c r="Q13" s="87"/>
      <c r="R13" s="87"/>
      <c r="S13" s="87"/>
      <c r="T13" s="87"/>
      <c r="U13" s="87"/>
    </row>
    <row r="14" spans="1:21" s="23" customFormat="1" x14ac:dyDescent="0.3">
      <c r="A14" s="87"/>
      <c r="B14" s="87"/>
      <c r="C14" s="87" t="s">
        <v>214</v>
      </c>
      <c r="D14" s="87" t="s">
        <v>146</v>
      </c>
      <c r="E14" s="87"/>
      <c r="F14" s="87"/>
      <c r="G14" s="87"/>
      <c r="H14" s="87"/>
      <c r="I14" s="87"/>
      <c r="J14" s="87"/>
      <c r="K14" s="87"/>
      <c r="L14" s="87"/>
      <c r="M14" s="87"/>
      <c r="N14" s="87"/>
      <c r="O14" s="87"/>
      <c r="P14" s="87"/>
      <c r="Q14" s="87"/>
      <c r="R14" s="87"/>
      <c r="S14" s="87"/>
      <c r="T14" s="87"/>
      <c r="U14" s="87"/>
    </row>
    <row r="15" spans="1:21" s="23" customFormat="1" x14ac:dyDescent="0.3">
      <c r="A15" s="87"/>
      <c r="B15" s="87"/>
      <c r="C15" s="87" t="s">
        <v>213</v>
      </c>
      <c r="D15" s="87" t="s">
        <v>147</v>
      </c>
      <c r="E15" s="87"/>
      <c r="F15" s="87"/>
      <c r="G15" s="87"/>
      <c r="H15" s="87"/>
      <c r="I15" s="87"/>
      <c r="J15" s="87"/>
      <c r="K15" s="87"/>
      <c r="L15" s="87"/>
      <c r="M15" s="87"/>
      <c r="N15" s="87"/>
      <c r="O15" s="87"/>
      <c r="P15" s="87"/>
      <c r="Q15" s="87"/>
      <c r="R15" s="87"/>
      <c r="S15" s="87"/>
      <c r="T15" s="87"/>
      <c r="U15" s="87"/>
    </row>
    <row r="16" spans="1:21" s="23" customFormat="1" x14ac:dyDescent="0.3">
      <c r="A16" s="87"/>
      <c r="B16" s="87"/>
      <c r="C16" s="87"/>
      <c r="D16" s="87"/>
      <c r="E16" s="87"/>
      <c r="F16" s="87"/>
      <c r="G16" s="87"/>
      <c r="H16" s="87"/>
      <c r="I16" s="87"/>
      <c r="J16" s="87"/>
      <c r="K16" s="87"/>
      <c r="L16" s="87"/>
      <c r="M16" s="87"/>
      <c r="N16" s="87"/>
      <c r="O16" s="87"/>
    </row>
    <row r="17" spans="1:15" s="23" customFormat="1" x14ac:dyDescent="0.3">
      <c r="A17" s="87"/>
      <c r="B17" s="87"/>
      <c r="C17" s="87"/>
      <c r="D17" s="87"/>
      <c r="E17" s="87"/>
      <c r="F17" s="87"/>
      <c r="G17" s="87"/>
      <c r="H17" s="87"/>
      <c r="I17" s="87"/>
      <c r="J17" s="87"/>
      <c r="K17" s="87"/>
      <c r="L17" s="87"/>
      <c r="M17" s="87"/>
      <c r="N17" s="87"/>
      <c r="O17" s="87"/>
    </row>
    <row r="18" spans="1:15" s="23" customFormat="1" x14ac:dyDescent="0.3">
      <c r="A18" s="87"/>
      <c r="B18" s="87"/>
      <c r="C18" s="87"/>
      <c r="D18" s="87"/>
      <c r="E18" s="87"/>
      <c r="F18" s="87"/>
      <c r="G18" s="87"/>
      <c r="H18" s="87"/>
      <c r="I18" s="87"/>
      <c r="J18" s="87"/>
      <c r="K18" s="87"/>
      <c r="L18" s="87"/>
      <c r="M18" s="87"/>
      <c r="N18" s="87"/>
      <c r="O18" s="87"/>
    </row>
    <row r="19" spans="1:15" s="23" customFormat="1" x14ac:dyDescent="0.3">
      <c r="A19" s="87"/>
      <c r="B19" s="87"/>
      <c r="C19" s="87"/>
      <c r="D19" s="87"/>
      <c r="E19" s="87"/>
      <c r="F19" s="87"/>
      <c r="G19" s="87"/>
      <c r="H19" s="87"/>
      <c r="I19" s="87"/>
      <c r="J19" s="87"/>
      <c r="K19" s="87"/>
      <c r="L19" s="87"/>
      <c r="M19" s="87"/>
      <c r="N19" s="87"/>
      <c r="O19" s="87"/>
    </row>
    <row r="20" spans="1:15" s="23" customFormat="1" x14ac:dyDescent="0.3">
      <c r="A20" s="87"/>
      <c r="B20" s="87"/>
      <c r="C20" s="87"/>
      <c r="D20" s="87"/>
      <c r="E20" s="87"/>
      <c r="F20" s="87"/>
      <c r="G20" s="87"/>
      <c r="H20" s="87"/>
      <c r="I20" s="87"/>
      <c r="J20" s="87"/>
      <c r="K20" s="87"/>
      <c r="L20" s="87"/>
      <c r="M20" s="87"/>
      <c r="N20" s="87"/>
      <c r="O20" s="87"/>
    </row>
    <row r="21" spans="1:15" s="23" customFormat="1" x14ac:dyDescent="0.3">
      <c r="A21" s="87"/>
      <c r="B21" s="87"/>
      <c r="C21" s="87"/>
      <c r="D21" s="87"/>
      <c r="E21" s="87"/>
      <c r="F21" s="87"/>
      <c r="G21" s="87"/>
      <c r="H21" s="87"/>
      <c r="I21" s="87"/>
      <c r="J21" s="87"/>
      <c r="K21" s="87"/>
      <c r="L21" s="87"/>
      <c r="M21" s="87"/>
      <c r="N21" s="87"/>
      <c r="O21" s="87"/>
    </row>
    <row r="22" spans="1:15" s="23" customFormat="1" ht="20.399999999999999" x14ac:dyDescent="0.3">
      <c r="A22" s="87"/>
      <c r="B22" s="87"/>
      <c r="C22" s="147"/>
      <c r="D22" s="147"/>
      <c r="E22" s="87"/>
      <c r="F22" s="87"/>
      <c r="G22" s="87"/>
      <c r="H22" s="87"/>
      <c r="I22" s="87"/>
      <c r="J22" s="87"/>
      <c r="K22" s="87"/>
      <c r="L22" s="87"/>
      <c r="M22" s="87"/>
      <c r="N22" s="87"/>
      <c r="O22" s="87"/>
    </row>
    <row r="23" spans="1:15" s="23" customFormat="1" ht="20.399999999999999" x14ac:dyDescent="0.3">
      <c r="A23" s="87"/>
      <c r="B23" s="87"/>
      <c r="C23" s="147"/>
      <c r="D23" s="147"/>
      <c r="E23" s="87"/>
      <c r="F23" s="87"/>
      <c r="G23" s="87"/>
      <c r="H23" s="87"/>
      <c r="I23" s="87"/>
      <c r="J23" s="87"/>
      <c r="K23" s="87"/>
      <c r="L23" s="87"/>
      <c r="M23" s="87"/>
      <c r="N23" s="87"/>
      <c r="O23" s="87"/>
    </row>
    <row r="24" spans="1:15" s="23" customFormat="1" ht="20.399999999999999" x14ac:dyDescent="0.3">
      <c r="A24" s="87"/>
      <c r="B24" s="87"/>
      <c r="C24" s="147"/>
      <c r="D24" s="147"/>
      <c r="E24" s="87"/>
      <c r="F24" s="87"/>
      <c r="G24" s="87"/>
      <c r="H24" s="87"/>
      <c r="I24" s="87"/>
      <c r="J24" s="87"/>
      <c r="K24" s="87"/>
      <c r="L24" s="87"/>
      <c r="M24" s="87"/>
      <c r="N24" s="87"/>
      <c r="O24" s="87"/>
    </row>
    <row r="25" spans="1:15" s="23" customFormat="1" ht="20.399999999999999" x14ac:dyDescent="0.3">
      <c r="A25" s="87"/>
      <c r="B25" s="87"/>
      <c r="C25" s="147"/>
      <c r="D25" s="147"/>
      <c r="E25" s="87"/>
      <c r="F25" s="87"/>
      <c r="G25" s="87"/>
      <c r="H25" s="87"/>
      <c r="I25" s="87"/>
      <c r="J25" s="87"/>
      <c r="K25" s="87"/>
      <c r="L25" s="87"/>
      <c r="M25" s="87"/>
      <c r="N25" s="87"/>
      <c r="O25" s="87"/>
    </row>
    <row r="26" spans="1:15" s="23" customFormat="1" ht="20.399999999999999" x14ac:dyDescent="0.3">
      <c r="A26" s="87"/>
      <c r="B26" s="87"/>
      <c r="C26" s="147"/>
      <c r="D26" s="147"/>
      <c r="E26" s="87"/>
      <c r="F26" s="87"/>
      <c r="G26" s="87"/>
      <c r="H26" s="87"/>
      <c r="I26" s="87"/>
      <c r="J26" s="87"/>
      <c r="K26" s="87"/>
      <c r="L26" s="87"/>
      <c r="M26" s="87"/>
      <c r="N26" s="87"/>
      <c r="O26" s="87"/>
    </row>
    <row r="27" spans="1:15" s="23" customFormat="1" ht="20.399999999999999" x14ac:dyDescent="0.3">
      <c r="A27" s="87"/>
      <c r="B27" s="87"/>
      <c r="C27" s="147"/>
      <c r="D27" s="147"/>
      <c r="E27" s="87"/>
      <c r="F27" s="87"/>
      <c r="G27" s="87"/>
      <c r="H27" s="87"/>
      <c r="I27" s="87"/>
      <c r="J27" s="87"/>
      <c r="K27" s="87"/>
      <c r="L27" s="87"/>
      <c r="M27" s="87"/>
      <c r="N27" s="87"/>
      <c r="O27" s="87"/>
    </row>
    <row r="28" spans="1:15" s="23" customFormat="1" ht="20.399999999999999" x14ac:dyDescent="0.3">
      <c r="A28" s="87"/>
      <c r="B28" s="87"/>
      <c r="C28" s="147"/>
      <c r="D28" s="147"/>
      <c r="E28" s="87"/>
      <c r="F28" s="87"/>
      <c r="G28" s="87"/>
      <c r="H28" s="87"/>
      <c r="I28" s="87"/>
      <c r="J28" s="87"/>
      <c r="K28" s="87"/>
      <c r="L28" s="87"/>
      <c r="M28" s="87"/>
      <c r="N28" s="87"/>
      <c r="O28" s="87"/>
    </row>
    <row r="29" spans="1:15" s="23" customFormat="1" ht="20.399999999999999" x14ac:dyDescent="0.3">
      <c r="A29" s="87"/>
      <c r="B29" s="87"/>
      <c r="C29" s="147"/>
      <c r="D29" s="147"/>
      <c r="E29" s="87"/>
      <c r="F29" s="87"/>
      <c r="G29" s="87"/>
      <c r="H29" s="87"/>
      <c r="I29" s="87"/>
      <c r="J29" s="87"/>
      <c r="K29" s="87"/>
      <c r="L29" s="87"/>
      <c r="M29" s="87"/>
      <c r="N29" s="87"/>
      <c r="O29" s="87"/>
    </row>
    <row r="30" spans="1:15" s="23" customFormat="1" ht="20.399999999999999" x14ac:dyDescent="0.3">
      <c r="A30" s="87"/>
      <c r="B30" s="87"/>
      <c r="C30" s="147"/>
      <c r="D30" s="147"/>
      <c r="E30" s="87"/>
      <c r="F30" s="87"/>
      <c r="G30" s="87"/>
      <c r="H30" s="87"/>
      <c r="I30" s="87"/>
      <c r="J30" s="87"/>
      <c r="K30" s="87"/>
      <c r="L30" s="87"/>
      <c r="M30" s="87"/>
      <c r="N30" s="87"/>
      <c r="O30" s="87"/>
    </row>
    <row r="31" spans="1:15" s="23" customFormat="1" ht="20.399999999999999" x14ac:dyDescent="0.3">
      <c r="A31" s="87"/>
      <c r="B31" s="87"/>
      <c r="C31" s="147"/>
      <c r="D31" s="147"/>
      <c r="E31" s="87"/>
      <c r="F31" s="87"/>
      <c r="G31" s="87"/>
      <c r="H31" s="87"/>
      <c r="I31" s="87"/>
      <c r="J31" s="87"/>
      <c r="K31" s="87"/>
      <c r="L31" s="87"/>
      <c r="M31" s="87"/>
      <c r="N31" s="87"/>
      <c r="O31" s="87"/>
    </row>
    <row r="32" spans="1:15" s="23" customFormat="1" ht="20.399999999999999" x14ac:dyDescent="0.3">
      <c r="A32" s="87"/>
      <c r="B32" s="87"/>
      <c r="C32" s="147"/>
      <c r="D32" s="147"/>
      <c r="E32" s="87"/>
      <c r="F32" s="87"/>
      <c r="G32" s="87"/>
      <c r="H32" s="87"/>
      <c r="I32" s="87"/>
      <c r="J32" s="87"/>
      <c r="K32" s="87"/>
      <c r="L32" s="87"/>
      <c r="M32" s="87"/>
      <c r="N32" s="87"/>
      <c r="O32" s="87"/>
    </row>
    <row r="33" spans="1:15" s="23" customFormat="1" ht="20.399999999999999" x14ac:dyDescent="0.3">
      <c r="A33" s="87"/>
      <c r="B33" s="87"/>
      <c r="C33" s="147"/>
      <c r="D33" s="147"/>
      <c r="E33" s="87"/>
      <c r="F33" s="87"/>
      <c r="G33" s="87"/>
      <c r="H33" s="87"/>
      <c r="I33" s="87"/>
      <c r="J33" s="87"/>
      <c r="K33" s="87"/>
      <c r="L33" s="87"/>
      <c r="M33" s="87"/>
      <c r="N33" s="87"/>
      <c r="O33" s="87"/>
    </row>
    <row r="34" spans="1:15" s="23" customFormat="1" ht="20.399999999999999" x14ac:dyDescent="0.3">
      <c r="A34" s="87"/>
      <c r="B34" s="87"/>
      <c r="C34" s="147"/>
      <c r="D34" s="147"/>
      <c r="E34" s="87"/>
      <c r="F34" s="87"/>
      <c r="G34" s="87"/>
      <c r="H34" s="87"/>
      <c r="I34" s="87"/>
      <c r="J34" s="87"/>
      <c r="K34" s="87"/>
      <c r="L34" s="87"/>
      <c r="M34" s="87"/>
      <c r="N34" s="87"/>
      <c r="O34" s="87"/>
    </row>
    <row r="35" spans="1:15" s="23" customFormat="1" ht="20.399999999999999" x14ac:dyDescent="0.3">
      <c r="A35" s="87"/>
      <c r="B35" s="87"/>
      <c r="C35" s="147"/>
      <c r="D35" s="147"/>
      <c r="E35" s="87"/>
      <c r="F35" s="87"/>
      <c r="G35" s="87"/>
      <c r="H35" s="87"/>
      <c r="I35" s="87"/>
      <c r="J35" s="87"/>
      <c r="K35" s="87"/>
      <c r="L35" s="87"/>
      <c r="M35" s="87"/>
      <c r="N35" s="87"/>
      <c r="O35" s="87"/>
    </row>
    <row r="36" spans="1:15" s="23" customFormat="1" ht="20.399999999999999" x14ac:dyDescent="0.3">
      <c r="A36" s="87"/>
      <c r="B36" s="87"/>
      <c r="C36" s="147"/>
      <c r="D36" s="147"/>
      <c r="E36" s="87"/>
      <c r="F36" s="87"/>
      <c r="G36" s="87"/>
      <c r="H36" s="87"/>
      <c r="I36" s="87"/>
      <c r="J36" s="87"/>
      <c r="K36" s="87"/>
      <c r="L36" s="87"/>
      <c r="M36" s="87"/>
      <c r="N36" s="87"/>
      <c r="O36" s="87"/>
    </row>
    <row r="37" spans="1:15" s="23" customFormat="1" ht="20.399999999999999" x14ac:dyDescent="0.3">
      <c r="A37" s="87"/>
      <c r="B37" s="87"/>
      <c r="C37" s="147"/>
      <c r="D37" s="147"/>
      <c r="E37" s="87"/>
      <c r="F37" s="87"/>
      <c r="G37" s="87"/>
      <c r="H37" s="87"/>
      <c r="I37" s="87"/>
      <c r="J37" s="87"/>
      <c r="K37" s="87"/>
      <c r="L37" s="87"/>
      <c r="M37" s="87"/>
      <c r="N37" s="87"/>
      <c r="O37" s="87"/>
    </row>
    <row r="38" spans="1:15" s="23" customFormat="1" ht="20.399999999999999" x14ac:dyDescent="0.3">
      <c r="A38" s="87"/>
      <c r="B38" s="87"/>
      <c r="C38" s="147"/>
      <c r="D38" s="147"/>
      <c r="E38" s="87"/>
      <c r="F38" s="87"/>
      <c r="G38" s="87"/>
      <c r="H38" s="87"/>
      <c r="I38" s="87"/>
      <c r="J38" s="87"/>
      <c r="K38" s="87"/>
      <c r="L38" s="87"/>
      <c r="M38" s="87"/>
      <c r="N38" s="87"/>
      <c r="O38" s="87"/>
    </row>
    <row r="39" spans="1:15" s="23" customFormat="1" ht="20.399999999999999" x14ac:dyDescent="0.3">
      <c r="A39" s="87"/>
      <c r="B39" s="87"/>
      <c r="C39" s="147"/>
      <c r="D39" s="147"/>
      <c r="E39" s="87"/>
      <c r="F39" s="87"/>
      <c r="G39" s="87"/>
      <c r="H39" s="87"/>
      <c r="I39" s="87"/>
      <c r="J39" s="87"/>
      <c r="K39" s="87"/>
      <c r="L39" s="87"/>
      <c r="M39" s="87"/>
      <c r="N39" s="87"/>
      <c r="O39" s="87"/>
    </row>
    <row r="40" spans="1:15" s="23" customFormat="1" ht="20.399999999999999" x14ac:dyDescent="0.3">
      <c r="A40" s="87"/>
      <c r="B40" s="87"/>
      <c r="C40" s="147"/>
      <c r="D40" s="147"/>
      <c r="E40" s="87"/>
      <c r="F40" s="87"/>
      <c r="G40" s="87"/>
      <c r="H40" s="87"/>
      <c r="I40" s="87"/>
      <c r="J40" s="87"/>
      <c r="K40" s="87"/>
      <c r="L40" s="87"/>
      <c r="M40" s="87"/>
      <c r="N40" s="87"/>
      <c r="O40" s="87"/>
    </row>
    <row r="41" spans="1:15" s="23" customFormat="1" ht="20.399999999999999" x14ac:dyDescent="0.3">
      <c r="A41" s="87"/>
      <c r="B41" s="87"/>
      <c r="C41" s="147"/>
      <c r="D41" s="147"/>
      <c r="E41" s="87"/>
      <c r="F41" s="87"/>
      <c r="G41" s="87"/>
      <c r="H41" s="87"/>
      <c r="I41" s="87"/>
      <c r="J41" s="87"/>
      <c r="K41" s="87"/>
      <c r="L41" s="87"/>
      <c r="M41" s="87"/>
      <c r="N41" s="87"/>
      <c r="O41" s="87"/>
    </row>
    <row r="42" spans="1:15" s="23" customFormat="1" ht="20.399999999999999" x14ac:dyDescent="0.3">
      <c r="A42" s="87"/>
      <c r="B42" s="87"/>
      <c r="C42" s="147"/>
      <c r="D42" s="147"/>
      <c r="E42" s="87"/>
      <c r="F42" s="87"/>
      <c r="G42" s="87"/>
      <c r="H42" s="87"/>
      <c r="I42" s="87"/>
      <c r="J42" s="87"/>
      <c r="K42" s="87"/>
      <c r="L42" s="87"/>
      <c r="M42" s="87"/>
      <c r="N42" s="87"/>
      <c r="O42" s="87"/>
    </row>
    <row r="43" spans="1:15" s="23" customFormat="1" ht="20.399999999999999" x14ac:dyDescent="0.3">
      <c r="A43" s="87"/>
      <c r="B43" s="87"/>
      <c r="C43" s="147"/>
      <c r="D43" s="147"/>
      <c r="E43" s="87"/>
      <c r="F43" s="87"/>
      <c r="G43" s="87"/>
      <c r="H43" s="87"/>
      <c r="I43" s="87"/>
      <c r="J43" s="87"/>
      <c r="K43" s="87"/>
      <c r="L43" s="87"/>
      <c r="M43" s="87"/>
      <c r="N43" s="87"/>
      <c r="O43" s="87"/>
    </row>
    <row r="44" spans="1:15" s="23" customFormat="1" ht="20.399999999999999" x14ac:dyDescent="0.3">
      <c r="A44" s="87"/>
      <c r="B44" s="87"/>
      <c r="C44" s="147"/>
      <c r="D44" s="147"/>
      <c r="E44" s="87"/>
      <c r="F44" s="87"/>
      <c r="G44" s="87"/>
      <c r="H44" s="87"/>
      <c r="I44" s="87"/>
      <c r="J44" s="87"/>
      <c r="K44" s="87"/>
      <c r="L44" s="87"/>
      <c r="M44" s="87"/>
      <c r="N44" s="87"/>
      <c r="O44" s="87"/>
    </row>
    <row r="45" spans="1:15" s="23" customFormat="1" ht="20.399999999999999" x14ac:dyDescent="0.3">
      <c r="A45" s="87"/>
      <c r="B45" s="87"/>
      <c r="C45" s="147"/>
      <c r="D45" s="147"/>
      <c r="E45" s="87"/>
      <c r="F45" s="87"/>
      <c r="G45" s="87"/>
      <c r="H45" s="87"/>
      <c r="I45" s="87"/>
      <c r="J45" s="87"/>
      <c r="K45" s="87"/>
      <c r="L45" s="87"/>
      <c r="M45" s="87"/>
      <c r="N45" s="87"/>
      <c r="O45" s="87"/>
    </row>
    <row r="46" spans="1:15" s="23" customFormat="1" ht="20.399999999999999" x14ac:dyDescent="0.3">
      <c r="A46" s="87"/>
      <c r="B46" s="87"/>
      <c r="C46" s="147"/>
      <c r="D46" s="147"/>
      <c r="E46" s="87"/>
      <c r="F46" s="87"/>
      <c r="G46" s="87"/>
      <c r="H46" s="87"/>
      <c r="I46" s="87"/>
      <c r="J46" s="87"/>
      <c r="K46" s="87"/>
      <c r="L46" s="87"/>
      <c r="M46" s="87"/>
      <c r="N46" s="87"/>
      <c r="O46" s="87"/>
    </row>
    <row r="47" spans="1:15" s="23" customFormat="1" ht="20.399999999999999" x14ac:dyDescent="0.3">
      <c r="A47" s="87"/>
      <c r="B47" s="87"/>
      <c r="C47" s="147"/>
      <c r="D47" s="147"/>
      <c r="E47" s="87"/>
      <c r="F47" s="87"/>
      <c r="G47" s="87"/>
      <c r="H47" s="87"/>
      <c r="I47" s="87"/>
      <c r="J47" s="87"/>
      <c r="K47" s="87"/>
      <c r="L47" s="87"/>
      <c r="M47" s="87"/>
      <c r="N47" s="87"/>
      <c r="O47" s="87"/>
    </row>
    <row r="48" spans="1:15" s="23" customFormat="1" ht="20.399999999999999" x14ac:dyDescent="0.3">
      <c r="A48" s="87"/>
      <c r="B48" s="87"/>
      <c r="C48" s="147"/>
      <c r="D48" s="147"/>
      <c r="E48" s="87"/>
      <c r="F48" s="87"/>
      <c r="G48" s="87"/>
      <c r="H48" s="87"/>
      <c r="I48" s="87"/>
      <c r="J48" s="87"/>
      <c r="K48" s="87"/>
      <c r="L48" s="87"/>
      <c r="M48" s="87"/>
      <c r="N48" s="87"/>
      <c r="O48" s="87"/>
    </row>
    <row r="49" spans="1:15" s="23" customFormat="1" ht="20.399999999999999" x14ac:dyDescent="0.3">
      <c r="A49" s="87"/>
      <c r="B49" s="87"/>
      <c r="C49" s="147"/>
      <c r="D49" s="147"/>
      <c r="E49" s="87"/>
      <c r="F49" s="87"/>
      <c r="G49" s="87"/>
      <c r="H49" s="87"/>
      <c r="I49" s="87"/>
      <c r="J49" s="87"/>
      <c r="K49" s="87"/>
      <c r="L49" s="87"/>
      <c r="M49" s="87"/>
      <c r="N49" s="87"/>
      <c r="O49" s="87"/>
    </row>
    <row r="50" spans="1:15" s="23" customFormat="1" ht="20.399999999999999" x14ac:dyDescent="0.3">
      <c r="A50" s="87"/>
      <c r="B50" s="87"/>
      <c r="C50" s="147"/>
      <c r="D50" s="147"/>
      <c r="E50" s="87"/>
      <c r="F50" s="87"/>
      <c r="G50" s="87"/>
      <c r="H50" s="87"/>
      <c r="I50" s="87"/>
      <c r="J50" s="87"/>
      <c r="K50" s="87"/>
      <c r="L50" s="87"/>
      <c r="M50" s="87"/>
      <c r="N50" s="87"/>
      <c r="O50" s="87"/>
    </row>
    <row r="51" spans="1:15" s="23" customFormat="1" ht="20.399999999999999" x14ac:dyDescent="0.3">
      <c r="A51" s="87"/>
      <c r="B51" s="87"/>
      <c r="C51" s="147"/>
      <c r="D51" s="147"/>
      <c r="E51" s="87"/>
      <c r="F51" s="87"/>
      <c r="G51" s="87"/>
      <c r="H51" s="87"/>
      <c r="I51" s="87"/>
      <c r="J51" s="87"/>
      <c r="K51" s="87"/>
      <c r="L51" s="87"/>
      <c r="M51" s="87"/>
      <c r="N51" s="87"/>
      <c r="O51" s="87"/>
    </row>
    <row r="52" spans="1:15" s="23" customFormat="1" ht="20.399999999999999" x14ac:dyDescent="0.3">
      <c r="A52" s="87"/>
      <c r="C52" s="149"/>
      <c r="D52" s="149"/>
    </row>
    <row r="53" spans="1:15" s="23" customFormat="1" ht="20.399999999999999" x14ac:dyDescent="0.3">
      <c r="A53" s="87"/>
      <c r="C53" s="149"/>
      <c r="D53" s="149"/>
    </row>
    <row r="54" spans="1:15" s="23" customFormat="1" ht="20.399999999999999" x14ac:dyDescent="0.3">
      <c r="A54" s="87"/>
      <c r="C54" s="149"/>
      <c r="D54" s="149"/>
    </row>
    <row r="55" spans="1:15" s="23" customFormat="1" ht="20.399999999999999" x14ac:dyDescent="0.3">
      <c r="A55" s="87"/>
      <c r="C55" s="149"/>
      <c r="D55" s="149"/>
    </row>
    <row r="56" spans="1:15" s="23" customFormat="1" ht="20.399999999999999" x14ac:dyDescent="0.3">
      <c r="A56" s="87"/>
      <c r="C56" s="149"/>
      <c r="D56" s="149"/>
    </row>
    <row r="57" spans="1:15" s="23" customFormat="1" ht="20.399999999999999" x14ac:dyDescent="0.3">
      <c r="A57" s="87"/>
      <c r="C57" s="149"/>
      <c r="D57" s="149"/>
    </row>
    <row r="58" spans="1:15" s="23" customFormat="1" ht="20.399999999999999" x14ac:dyDescent="0.3">
      <c r="A58" s="87"/>
      <c r="C58" s="149"/>
      <c r="D58" s="149"/>
    </row>
    <row r="59" spans="1:15" s="23" customFormat="1" ht="20.399999999999999" x14ac:dyDescent="0.3">
      <c r="A59" s="87"/>
      <c r="C59" s="149"/>
      <c r="D59" s="149"/>
    </row>
    <row r="60" spans="1:15" s="23" customFormat="1" ht="20.399999999999999" x14ac:dyDescent="0.3">
      <c r="A60" s="87"/>
      <c r="C60" s="149"/>
      <c r="D60" s="149"/>
    </row>
    <row r="61" spans="1:15" s="23" customFormat="1" ht="20.399999999999999" x14ac:dyDescent="0.3">
      <c r="A61" s="87"/>
      <c r="C61" s="149"/>
      <c r="D61" s="149"/>
    </row>
    <row r="62" spans="1:15" s="23" customFormat="1" ht="20.399999999999999" x14ac:dyDescent="0.3">
      <c r="A62" s="87"/>
      <c r="C62" s="149"/>
      <c r="D62" s="149"/>
    </row>
    <row r="63" spans="1:15" s="23" customFormat="1" ht="20.399999999999999" x14ac:dyDescent="0.3">
      <c r="A63" s="87"/>
      <c r="C63" s="149"/>
      <c r="D63" s="149"/>
    </row>
    <row r="64" spans="1:15" s="23" customFormat="1" ht="20.399999999999999" x14ac:dyDescent="0.3">
      <c r="A64" s="87"/>
      <c r="C64" s="149"/>
      <c r="D64" s="149"/>
    </row>
    <row r="65" spans="1:4" s="23" customFormat="1" ht="20.399999999999999" x14ac:dyDescent="0.3">
      <c r="A65" s="87"/>
      <c r="C65" s="149"/>
      <c r="D65" s="149"/>
    </row>
    <row r="66" spans="1:4" s="23" customFormat="1" ht="20.399999999999999" x14ac:dyDescent="0.3">
      <c r="A66" s="87"/>
      <c r="C66" s="149"/>
      <c r="D66" s="149"/>
    </row>
    <row r="67" spans="1:4" s="23" customFormat="1" ht="20.399999999999999" x14ac:dyDescent="0.3">
      <c r="A67" s="87"/>
      <c r="C67" s="149"/>
      <c r="D67" s="149"/>
    </row>
    <row r="68" spans="1:4" s="23" customFormat="1" ht="20.399999999999999" x14ac:dyDescent="0.3">
      <c r="A68" s="87"/>
      <c r="C68" s="149"/>
      <c r="D68" s="149"/>
    </row>
    <row r="69" spans="1:4" s="23" customFormat="1" ht="20.399999999999999" x14ac:dyDescent="0.3">
      <c r="A69" s="87"/>
      <c r="C69" s="149"/>
      <c r="D69" s="149"/>
    </row>
    <row r="70" spans="1:4" s="23" customFormat="1" ht="20.399999999999999" x14ac:dyDescent="0.3">
      <c r="A70" s="87"/>
      <c r="C70" s="149"/>
      <c r="D70" s="149"/>
    </row>
    <row r="71" spans="1:4" s="23" customFormat="1" ht="20.399999999999999" x14ac:dyDescent="0.3">
      <c r="A71" s="87"/>
      <c r="C71" s="149"/>
      <c r="D71" s="149"/>
    </row>
    <row r="72" spans="1:4" s="23" customFormat="1" ht="20.399999999999999" x14ac:dyDescent="0.3">
      <c r="A72" s="87"/>
      <c r="C72" s="149"/>
      <c r="D72" s="149"/>
    </row>
    <row r="73" spans="1:4" s="23" customFormat="1" ht="20.399999999999999" x14ac:dyDescent="0.3">
      <c r="A73" s="87"/>
      <c r="C73" s="149"/>
      <c r="D73" s="149"/>
    </row>
    <row r="74" spans="1:4" s="23" customFormat="1" ht="20.399999999999999" x14ac:dyDescent="0.3">
      <c r="A74" s="87"/>
      <c r="C74" s="149"/>
      <c r="D74" s="149"/>
    </row>
    <row r="75" spans="1:4" s="23" customFormat="1" ht="20.399999999999999" x14ac:dyDescent="0.3">
      <c r="A75" s="87"/>
      <c r="C75" s="149"/>
      <c r="D75" s="149"/>
    </row>
    <row r="76" spans="1:4" s="23" customFormat="1" ht="20.399999999999999" x14ac:dyDescent="0.3">
      <c r="A76" s="87"/>
      <c r="C76" s="149"/>
      <c r="D76" s="149"/>
    </row>
    <row r="77" spans="1:4" s="23" customFormat="1" ht="20.399999999999999" x14ac:dyDescent="0.3">
      <c r="A77" s="87"/>
      <c r="C77" s="149"/>
      <c r="D77" s="149"/>
    </row>
    <row r="78" spans="1:4" s="23" customFormat="1" ht="20.399999999999999" x14ac:dyDescent="0.3">
      <c r="A78" s="87"/>
      <c r="C78" s="149"/>
      <c r="D78" s="149"/>
    </row>
    <row r="79" spans="1:4" s="23" customFormat="1" ht="20.399999999999999" x14ac:dyDescent="0.3">
      <c r="A79" s="87"/>
      <c r="C79" s="149"/>
      <c r="D79" s="149"/>
    </row>
    <row r="80" spans="1:4" s="23" customFormat="1" ht="20.399999999999999" x14ac:dyDescent="0.3">
      <c r="A80" s="87"/>
      <c r="C80" s="149"/>
      <c r="D80" s="149"/>
    </row>
    <row r="81" spans="1:4" s="23" customFormat="1" ht="20.399999999999999" x14ac:dyDescent="0.3">
      <c r="A81" s="87"/>
      <c r="C81" s="149"/>
      <c r="D81" s="149"/>
    </row>
    <row r="82" spans="1:4" s="23" customFormat="1" ht="20.399999999999999" x14ac:dyDescent="0.3">
      <c r="A82" s="87"/>
      <c r="C82" s="149"/>
      <c r="D82" s="149"/>
    </row>
    <row r="83" spans="1:4" s="23" customFormat="1" ht="20.399999999999999" x14ac:dyDescent="0.3">
      <c r="A83" s="87"/>
      <c r="C83" s="149"/>
      <c r="D83" s="149"/>
    </row>
    <row r="84" spans="1:4" s="23" customFormat="1" ht="20.399999999999999" x14ac:dyDescent="0.3">
      <c r="A84" s="87"/>
      <c r="C84" s="149"/>
      <c r="D84" s="149"/>
    </row>
    <row r="85" spans="1:4" s="23" customFormat="1" ht="20.399999999999999" x14ac:dyDescent="0.3">
      <c r="A85" s="87"/>
      <c r="C85" s="149"/>
      <c r="D85" s="149"/>
    </row>
    <row r="86" spans="1:4" s="23" customFormat="1" ht="20.399999999999999" x14ac:dyDescent="0.3">
      <c r="A86" s="87"/>
      <c r="C86" s="149"/>
      <c r="D86" s="149"/>
    </row>
    <row r="87" spans="1:4" s="23" customFormat="1" ht="20.399999999999999" x14ac:dyDescent="0.3">
      <c r="A87" s="87"/>
      <c r="C87" s="149"/>
      <c r="D87" s="149"/>
    </row>
    <row r="88" spans="1:4" s="23" customFormat="1" ht="20.399999999999999" x14ac:dyDescent="0.3">
      <c r="A88" s="87"/>
      <c r="C88" s="149"/>
      <c r="D88" s="149"/>
    </row>
    <row r="89" spans="1:4" s="23" customFormat="1" ht="20.399999999999999" x14ac:dyDescent="0.3">
      <c r="A89" s="87"/>
      <c r="C89" s="149"/>
      <c r="D89" s="149"/>
    </row>
    <row r="90" spans="1:4" s="23" customFormat="1" ht="20.399999999999999" x14ac:dyDescent="0.3">
      <c r="A90" s="87"/>
      <c r="C90" s="149"/>
      <c r="D90" s="149"/>
    </row>
    <row r="91" spans="1:4" s="23" customFormat="1" ht="20.399999999999999" x14ac:dyDescent="0.3">
      <c r="A91" s="87"/>
      <c r="C91" s="149"/>
      <c r="D91" s="149"/>
    </row>
    <row r="92" spans="1:4" s="23" customFormat="1" ht="20.399999999999999" x14ac:dyDescent="0.3">
      <c r="A92" s="87"/>
      <c r="C92" s="149"/>
      <c r="D92" s="149"/>
    </row>
    <row r="93" spans="1:4" s="23" customFormat="1" ht="20.399999999999999" x14ac:dyDescent="0.3">
      <c r="A93" s="87"/>
      <c r="C93" s="149"/>
      <c r="D93" s="149"/>
    </row>
    <row r="94" spans="1:4" s="23" customFormat="1" ht="20.399999999999999" x14ac:dyDescent="0.3">
      <c r="A94" s="87"/>
      <c r="C94" s="149"/>
      <c r="D94" s="149"/>
    </row>
    <row r="95" spans="1:4" s="23" customFormat="1" ht="20.399999999999999" x14ac:dyDescent="0.3">
      <c r="A95" s="87"/>
      <c r="C95" s="149"/>
      <c r="D95" s="149"/>
    </row>
    <row r="96" spans="1:4" s="23" customFormat="1" ht="20.399999999999999" x14ac:dyDescent="0.3">
      <c r="A96" s="87"/>
      <c r="C96" s="149"/>
      <c r="D96" s="149"/>
    </row>
    <row r="97" spans="1:4" s="23" customFormat="1" ht="20.399999999999999" x14ac:dyDescent="0.3">
      <c r="A97" s="87"/>
      <c r="C97" s="149"/>
      <c r="D97" s="149"/>
    </row>
    <row r="98" spans="1:4" s="23" customFormat="1" ht="20.399999999999999" x14ac:dyDescent="0.3">
      <c r="A98" s="87"/>
      <c r="C98" s="149"/>
      <c r="D98" s="149"/>
    </row>
    <row r="99" spans="1:4" s="23" customFormat="1" ht="20.399999999999999" x14ac:dyDescent="0.3">
      <c r="A99" s="87"/>
      <c r="C99" s="149"/>
      <c r="D99" s="149"/>
    </row>
    <row r="100" spans="1:4" s="23" customFormat="1" ht="20.399999999999999" x14ac:dyDescent="0.3">
      <c r="A100" s="87"/>
      <c r="C100" s="149"/>
      <c r="D100" s="149"/>
    </row>
    <row r="101" spans="1:4" s="23" customFormat="1" ht="20.399999999999999" x14ac:dyDescent="0.3">
      <c r="A101" s="87"/>
      <c r="C101" s="149"/>
      <c r="D101" s="149"/>
    </row>
    <row r="102" spans="1:4" s="23" customFormat="1" ht="20.399999999999999" x14ac:dyDescent="0.3">
      <c r="A102" s="87"/>
      <c r="C102" s="149"/>
      <c r="D102" s="149"/>
    </row>
    <row r="103" spans="1:4" s="23" customFormat="1" ht="20.399999999999999" x14ac:dyDescent="0.3">
      <c r="A103" s="87"/>
      <c r="C103" s="149"/>
      <c r="D103" s="149"/>
    </row>
    <row r="104" spans="1:4" s="23" customFormat="1" ht="20.399999999999999" x14ac:dyDescent="0.3">
      <c r="A104" s="87"/>
      <c r="C104" s="149"/>
      <c r="D104" s="149"/>
    </row>
    <row r="105" spans="1:4" s="23" customFormat="1" ht="20.399999999999999" x14ac:dyDescent="0.3">
      <c r="A105" s="87"/>
      <c r="C105" s="149"/>
      <c r="D105" s="149"/>
    </row>
    <row r="106" spans="1:4" s="23" customFormat="1" ht="20.399999999999999" x14ac:dyDescent="0.3">
      <c r="A106" s="87"/>
      <c r="C106" s="149"/>
      <c r="D106" s="149"/>
    </row>
    <row r="107" spans="1:4" s="23" customFormat="1" ht="20.399999999999999" x14ac:dyDescent="0.3">
      <c r="A107" s="87"/>
      <c r="C107" s="149"/>
      <c r="D107" s="149"/>
    </row>
    <row r="108" spans="1:4" s="23" customFormat="1" ht="20.399999999999999" x14ac:dyDescent="0.3">
      <c r="A108" s="87"/>
      <c r="C108" s="149"/>
      <c r="D108" s="149"/>
    </row>
    <row r="109" spans="1:4" s="23" customFormat="1" ht="20.399999999999999" x14ac:dyDescent="0.3">
      <c r="A109" s="87"/>
      <c r="C109" s="149"/>
      <c r="D109" s="149"/>
    </row>
    <row r="110" spans="1:4" s="23" customFormat="1" ht="20.399999999999999" x14ac:dyDescent="0.3">
      <c r="A110" s="87"/>
      <c r="C110" s="149"/>
      <c r="D110" s="149"/>
    </row>
    <row r="111" spans="1:4" s="23" customFormat="1" ht="20.399999999999999" x14ac:dyDescent="0.3">
      <c r="A111" s="87"/>
      <c r="C111" s="149"/>
      <c r="D111" s="149"/>
    </row>
    <row r="112" spans="1:4" s="23" customFormat="1" ht="20.399999999999999" x14ac:dyDescent="0.3">
      <c r="A112" s="87"/>
      <c r="C112" s="149"/>
      <c r="D112" s="149"/>
    </row>
    <row r="113" spans="1:4" s="23" customFormat="1" ht="20.399999999999999" x14ac:dyDescent="0.3">
      <c r="A113" s="87"/>
      <c r="C113" s="149"/>
      <c r="D113" s="149"/>
    </row>
    <row r="114" spans="1:4" s="23" customFormat="1" ht="20.399999999999999" x14ac:dyDescent="0.3">
      <c r="A114" s="87"/>
      <c r="C114" s="149"/>
      <c r="D114" s="149"/>
    </row>
    <row r="115" spans="1:4" s="23" customFormat="1" ht="20.399999999999999" x14ac:dyDescent="0.3">
      <c r="A115" s="87"/>
      <c r="C115" s="149"/>
      <c r="D115" s="149"/>
    </row>
    <row r="116" spans="1:4" s="23" customFormat="1" ht="20.399999999999999" x14ac:dyDescent="0.3">
      <c r="A116" s="87"/>
      <c r="C116" s="149"/>
      <c r="D116" s="149"/>
    </row>
    <row r="117" spans="1:4" s="23" customFormat="1" ht="20.399999999999999" x14ac:dyDescent="0.3">
      <c r="A117" s="87"/>
      <c r="C117" s="149"/>
      <c r="D117" s="149"/>
    </row>
    <row r="118" spans="1:4" s="23" customFormat="1" ht="20.399999999999999" x14ac:dyDescent="0.3">
      <c r="A118" s="87"/>
      <c r="C118" s="149"/>
      <c r="D118" s="149"/>
    </row>
    <row r="119" spans="1:4" s="23" customFormat="1" ht="20.399999999999999" x14ac:dyDescent="0.3">
      <c r="A119" s="87"/>
      <c r="C119" s="149"/>
      <c r="D119" s="149"/>
    </row>
    <row r="120" spans="1:4" s="23" customFormat="1" ht="20.399999999999999" x14ac:dyDescent="0.3">
      <c r="A120" s="87"/>
      <c r="C120" s="149"/>
      <c r="D120" s="149"/>
    </row>
    <row r="121" spans="1:4" s="23" customFormat="1" ht="20.399999999999999" x14ac:dyDescent="0.3">
      <c r="A121" s="87"/>
      <c r="C121" s="149"/>
      <c r="D121" s="149"/>
    </row>
    <row r="122" spans="1:4" s="23" customFormat="1" ht="20.399999999999999" x14ac:dyDescent="0.3">
      <c r="A122" s="87"/>
      <c r="C122" s="149"/>
      <c r="D122" s="149"/>
    </row>
    <row r="123" spans="1:4" s="23" customFormat="1" ht="20.399999999999999" x14ac:dyDescent="0.3">
      <c r="A123" s="87"/>
      <c r="C123" s="149"/>
      <c r="D123" s="149"/>
    </row>
    <row r="124" spans="1:4" s="23" customFormat="1" ht="20.399999999999999" x14ac:dyDescent="0.3">
      <c r="A124" s="87"/>
      <c r="C124" s="149"/>
      <c r="D124" s="149"/>
    </row>
    <row r="125" spans="1:4" s="23" customFormat="1" ht="20.399999999999999" x14ac:dyDescent="0.3">
      <c r="A125" s="87"/>
      <c r="C125" s="149"/>
      <c r="D125" s="149"/>
    </row>
    <row r="126" spans="1:4" s="23" customFormat="1" ht="20.399999999999999" x14ac:dyDescent="0.3">
      <c r="A126" s="87"/>
      <c r="C126" s="149"/>
      <c r="D126" s="149"/>
    </row>
    <row r="127" spans="1:4" s="23" customFormat="1" ht="20.399999999999999" x14ac:dyDescent="0.3">
      <c r="A127" s="87"/>
      <c r="C127" s="149"/>
      <c r="D127" s="149"/>
    </row>
    <row r="128" spans="1:4" s="23" customFormat="1" ht="20.399999999999999" x14ac:dyDescent="0.3">
      <c r="A128" s="87"/>
      <c r="C128" s="149"/>
      <c r="D128" s="149"/>
    </row>
    <row r="129" spans="1:4" s="23" customFormat="1" ht="20.399999999999999" x14ac:dyDescent="0.3">
      <c r="A129" s="87"/>
      <c r="C129" s="149"/>
      <c r="D129" s="149"/>
    </row>
    <row r="130" spans="1:4" s="23" customFormat="1" ht="20.399999999999999" x14ac:dyDescent="0.3">
      <c r="A130" s="87"/>
      <c r="C130" s="149"/>
      <c r="D130" s="149"/>
    </row>
    <row r="131" spans="1:4" s="23" customFormat="1" ht="20.399999999999999" x14ac:dyDescent="0.3">
      <c r="A131" s="87"/>
      <c r="C131" s="149"/>
      <c r="D131" s="149"/>
    </row>
    <row r="132" spans="1:4" s="23" customFormat="1" ht="20.399999999999999" x14ac:dyDescent="0.3">
      <c r="A132" s="87"/>
      <c r="C132" s="149"/>
      <c r="D132" s="149"/>
    </row>
    <row r="133" spans="1:4" s="23" customFormat="1" ht="20.399999999999999" x14ac:dyDescent="0.3">
      <c r="A133" s="87"/>
      <c r="C133" s="149"/>
      <c r="D133" s="149"/>
    </row>
    <row r="134" spans="1:4" s="23" customFormat="1" ht="20.399999999999999" x14ac:dyDescent="0.3">
      <c r="A134" s="87"/>
      <c r="C134" s="149"/>
      <c r="D134" s="149"/>
    </row>
    <row r="135" spans="1:4" s="23" customFormat="1" ht="20.399999999999999" x14ac:dyDescent="0.3">
      <c r="A135" s="87"/>
      <c r="C135" s="149"/>
      <c r="D135" s="149"/>
    </row>
    <row r="136" spans="1:4" s="23" customFormat="1" ht="20.399999999999999" x14ac:dyDescent="0.3">
      <c r="A136" s="87"/>
      <c r="C136" s="149"/>
      <c r="D136" s="149"/>
    </row>
    <row r="137" spans="1:4" s="23" customFormat="1" ht="20.399999999999999" x14ac:dyDescent="0.3">
      <c r="A137" s="87"/>
      <c r="C137" s="149"/>
      <c r="D137" s="149"/>
    </row>
    <row r="138" spans="1:4" s="23" customFormat="1" ht="20.399999999999999" x14ac:dyDescent="0.3">
      <c r="A138" s="87"/>
      <c r="C138" s="149"/>
      <c r="D138" s="149"/>
    </row>
    <row r="139" spans="1:4" s="23" customFormat="1" ht="20.399999999999999" x14ac:dyDescent="0.3">
      <c r="A139" s="87"/>
      <c r="C139" s="149"/>
      <c r="D139" s="149"/>
    </row>
    <row r="140" spans="1:4" s="23" customFormat="1" ht="20.399999999999999" x14ac:dyDescent="0.3">
      <c r="A140" s="87"/>
      <c r="C140" s="149"/>
      <c r="D140" s="149"/>
    </row>
    <row r="141" spans="1:4" s="23" customFormat="1" ht="20.399999999999999" x14ac:dyDescent="0.3">
      <c r="A141" s="87"/>
      <c r="C141" s="149"/>
      <c r="D141" s="149"/>
    </row>
    <row r="142" spans="1:4" s="23" customFormat="1" ht="20.399999999999999" x14ac:dyDescent="0.3">
      <c r="A142" s="87"/>
      <c r="C142" s="149"/>
      <c r="D142" s="149"/>
    </row>
    <row r="143" spans="1:4" s="23" customFormat="1" ht="20.399999999999999" x14ac:dyDescent="0.3">
      <c r="A143" s="87"/>
      <c r="C143" s="149"/>
      <c r="D143" s="149"/>
    </row>
    <row r="144" spans="1:4" s="23" customFormat="1" ht="20.399999999999999" x14ac:dyDescent="0.3">
      <c r="A144" s="87"/>
      <c r="C144" s="149"/>
      <c r="D144" s="149"/>
    </row>
    <row r="145" spans="1:4" s="23" customFormat="1" ht="20.399999999999999" x14ac:dyDescent="0.3">
      <c r="A145" s="87"/>
      <c r="C145" s="149"/>
      <c r="D145" s="149"/>
    </row>
    <row r="146" spans="1:4" s="23" customFormat="1" ht="20.399999999999999" x14ac:dyDescent="0.3">
      <c r="A146" s="87"/>
      <c r="C146" s="149"/>
      <c r="D146" s="149"/>
    </row>
    <row r="147" spans="1:4" s="23" customFormat="1" ht="20.399999999999999" x14ac:dyDescent="0.3">
      <c r="A147" s="87"/>
      <c r="C147" s="149"/>
      <c r="D147" s="149"/>
    </row>
    <row r="148" spans="1:4" s="23" customFormat="1" ht="20.399999999999999" x14ac:dyDescent="0.3">
      <c r="A148" s="87"/>
      <c r="C148" s="149"/>
      <c r="D148" s="149"/>
    </row>
    <row r="149" spans="1:4" s="23" customFormat="1" ht="20.399999999999999" x14ac:dyDescent="0.3">
      <c r="A149" s="87"/>
      <c r="C149" s="149"/>
      <c r="D149" s="149"/>
    </row>
    <row r="150" spans="1:4" s="23" customFormat="1" ht="20.399999999999999" x14ac:dyDescent="0.3">
      <c r="A150" s="87"/>
      <c r="C150" s="149"/>
      <c r="D150" s="149"/>
    </row>
    <row r="151" spans="1:4" s="23" customFormat="1" ht="20.399999999999999" x14ac:dyDescent="0.3">
      <c r="A151" s="87"/>
      <c r="C151" s="149"/>
      <c r="D151" s="149"/>
    </row>
    <row r="152" spans="1:4" s="23" customFormat="1" ht="20.399999999999999" x14ac:dyDescent="0.3">
      <c r="A152" s="87"/>
      <c r="C152" s="149"/>
      <c r="D152" s="149"/>
    </row>
    <row r="153" spans="1:4" s="23" customFormat="1" ht="20.399999999999999" x14ac:dyDescent="0.3">
      <c r="A153" s="87"/>
      <c r="C153" s="149"/>
      <c r="D153" s="149"/>
    </row>
    <row r="154" spans="1:4" s="23" customFormat="1" ht="20.399999999999999" x14ac:dyDescent="0.3">
      <c r="A154" s="87"/>
      <c r="C154" s="149"/>
      <c r="D154" s="149"/>
    </row>
    <row r="155" spans="1:4" s="23" customFormat="1" ht="20.399999999999999" x14ac:dyDescent="0.3">
      <c r="A155" s="87"/>
      <c r="C155" s="149"/>
      <c r="D155" s="149"/>
    </row>
    <row r="156" spans="1:4" s="23" customFormat="1" ht="20.399999999999999" x14ac:dyDescent="0.3">
      <c r="A156" s="87"/>
      <c r="C156" s="149"/>
      <c r="D156" s="149"/>
    </row>
    <row r="157" spans="1:4" s="23" customFormat="1" ht="20.399999999999999" x14ac:dyDescent="0.3">
      <c r="A157" s="87"/>
      <c r="C157" s="149"/>
      <c r="D157" s="149"/>
    </row>
    <row r="158" spans="1:4" s="23" customFormat="1" ht="20.399999999999999" x14ac:dyDescent="0.3">
      <c r="A158" s="87"/>
      <c r="C158" s="149"/>
      <c r="D158" s="149"/>
    </row>
    <row r="159" spans="1:4" s="23" customFormat="1" ht="20.399999999999999" x14ac:dyDescent="0.3">
      <c r="A159" s="87"/>
      <c r="C159" s="149"/>
      <c r="D159" s="149"/>
    </row>
    <row r="160" spans="1:4" s="23" customFormat="1" ht="20.399999999999999" x14ac:dyDescent="0.3">
      <c r="A160" s="87"/>
      <c r="C160" s="149"/>
      <c r="D160" s="149"/>
    </row>
    <row r="161" spans="1:4" s="23" customFormat="1" ht="20.399999999999999" x14ac:dyDescent="0.3">
      <c r="A161" s="87"/>
      <c r="C161" s="149"/>
      <c r="D161" s="149"/>
    </row>
    <row r="162" spans="1:4" s="23" customFormat="1" ht="20.399999999999999" x14ac:dyDescent="0.3">
      <c r="A162" s="87"/>
      <c r="C162" s="149"/>
      <c r="D162" s="149"/>
    </row>
    <row r="163" spans="1:4" s="23" customFormat="1" ht="20.399999999999999" x14ac:dyDescent="0.3">
      <c r="A163" s="87"/>
      <c r="C163" s="149"/>
      <c r="D163" s="149"/>
    </row>
    <row r="164" spans="1:4" s="23" customFormat="1" ht="20.399999999999999" x14ac:dyDescent="0.3">
      <c r="A164" s="87"/>
      <c r="C164" s="149"/>
      <c r="D164" s="149"/>
    </row>
    <row r="165" spans="1:4" s="23" customFormat="1" ht="20.399999999999999" x14ac:dyDescent="0.3">
      <c r="A165" s="87"/>
      <c r="C165" s="149"/>
      <c r="D165" s="149"/>
    </row>
    <row r="166" spans="1:4" s="23" customFormat="1" ht="20.399999999999999" x14ac:dyDescent="0.3">
      <c r="A166" s="87"/>
      <c r="C166" s="149"/>
      <c r="D166" s="149"/>
    </row>
    <row r="167" spans="1:4" s="23" customFormat="1" ht="20.399999999999999" x14ac:dyDescent="0.3">
      <c r="A167" s="87"/>
      <c r="C167" s="149"/>
      <c r="D167" s="149"/>
    </row>
    <row r="168" spans="1:4" s="23" customFormat="1" ht="20.399999999999999" x14ac:dyDescent="0.3">
      <c r="A168" s="87"/>
      <c r="C168" s="149"/>
      <c r="D168" s="149"/>
    </row>
    <row r="169" spans="1:4" s="23" customFormat="1" ht="20.399999999999999" x14ac:dyDescent="0.3">
      <c r="A169" s="87"/>
      <c r="C169" s="149"/>
      <c r="D169" s="149"/>
    </row>
    <row r="170" spans="1:4" s="23" customFormat="1" ht="20.399999999999999" x14ac:dyDescent="0.3">
      <c r="A170" s="87"/>
      <c r="C170" s="149"/>
      <c r="D170" s="149"/>
    </row>
    <row r="171" spans="1:4" s="23" customFormat="1" ht="20.399999999999999" x14ac:dyDescent="0.3">
      <c r="A171" s="87"/>
      <c r="C171" s="149"/>
      <c r="D171" s="149"/>
    </row>
    <row r="172" spans="1:4" s="23" customFormat="1" ht="20.399999999999999" x14ac:dyDescent="0.3">
      <c r="A172" s="87"/>
      <c r="C172" s="149"/>
      <c r="D172" s="149"/>
    </row>
    <row r="173" spans="1:4" s="23" customFormat="1" ht="20.399999999999999" x14ac:dyDescent="0.3">
      <c r="A173" s="87"/>
      <c r="C173" s="149"/>
      <c r="D173" s="149"/>
    </row>
    <row r="174" spans="1:4" s="23" customFormat="1" ht="20.399999999999999" x14ac:dyDescent="0.3">
      <c r="A174" s="87"/>
      <c r="C174" s="149"/>
      <c r="D174" s="149"/>
    </row>
    <row r="175" spans="1:4" s="23" customFormat="1" ht="20.399999999999999" x14ac:dyDescent="0.3">
      <c r="A175" s="87"/>
      <c r="C175" s="149"/>
      <c r="D175" s="149"/>
    </row>
    <row r="176" spans="1:4" s="23" customFormat="1" ht="20.399999999999999" x14ac:dyDescent="0.3">
      <c r="A176" s="87"/>
      <c r="C176" s="149"/>
      <c r="D176" s="149"/>
    </row>
    <row r="177" spans="1:4" s="23" customFormat="1" ht="20.399999999999999" x14ac:dyDescent="0.3">
      <c r="A177" s="87"/>
      <c r="C177" s="149"/>
      <c r="D177" s="149"/>
    </row>
    <row r="178" spans="1:4" s="23" customFormat="1" ht="20.399999999999999" x14ac:dyDescent="0.3">
      <c r="A178" s="87"/>
      <c r="C178" s="149"/>
      <c r="D178" s="149"/>
    </row>
    <row r="179" spans="1:4" s="23" customFormat="1" ht="20.399999999999999" x14ac:dyDescent="0.3">
      <c r="A179" s="87"/>
      <c r="C179" s="149"/>
      <c r="D179" s="149"/>
    </row>
    <row r="180" spans="1:4" s="23" customFormat="1" ht="20.399999999999999" x14ac:dyDescent="0.3">
      <c r="A180" s="87"/>
      <c r="C180" s="149"/>
      <c r="D180" s="149"/>
    </row>
    <row r="181" spans="1:4" s="23" customFormat="1" ht="20.399999999999999" x14ac:dyDescent="0.3">
      <c r="A181" s="87"/>
      <c r="C181" s="149"/>
      <c r="D181" s="149"/>
    </row>
    <row r="182" spans="1:4" s="23" customFormat="1" ht="20.399999999999999" x14ac:dyDescent="0.3">
      <c r="A182" s="87"/>
      <c r="C182" s="149"/>
      <c r="D182" s="149"/>
    </row>
    <row r="183" spans="1:4" s="23" customFormat="1" ht="20.399999999999999" x14ac:dyDescent="0.3">
      <c r="A183" s="87"/>
      <c r="C183" s="149"/>
      <c r="D183" s="149"/>
    </row>
    <row r="184" spans="1:4" s="23" customFormat="1" ht="20.399999999999999" x14ac:dyDescent="0.3">
      <c r="A184" s="87"/>
      <c r="C184" s="149"/>
      <c r="D184" s="149"/>
    </row>
    <row r="185" spans="1:4" s="23" customFormat="1" ht="20.399999999999999" x14ac:dyDescent="0.3">
      <c r="A185" s="87"/>
      <c r="C185" s="149"/>
      <c r="D185" s="149"/>
    </row>
    <row r="186" spans="1:4" s="23" customFormat="1" ht="20.399999999999999" x14ac:dyDescent="0.3">
      <c r="A186" s="87"/>
      <c r="C186" s="149"/>
      <c r="D186" s="149"/>
    </row>
    <row r="187" spans="1:4" s="23" customFormat="1" ht="20.399999999999999" x14ac:dyDescent="0.3">
      <c r="A187" s="87"/>
      <c r="C187" s="149"/>
      <c r="D187" s="149"/>
    </row>
    <row r="188" spans="1:4" s="23" customFormat="1" ht="20.399999999999999" x14ac:dyDescent="0.3">
      <c r="A188" s="87"/>
      <c r="C188" s="149"/>
      <c r="D188" s="149"/>
    </row>
    <row r="189" spans="1:4" s="23" customFormat="1" ht="20.399999999999999" x14ac:dyDescent="0.3">
      <c r="A189" s="87"/>
      <c r="C189" s="149"/>
      <c r="D189" s="149"/>
    </row>
    <row r="190" spans="1:4" s="23" customFormat="1" ht="20.399999999999999" x14ac:dyDescent="0.3">
      <c r="A190" s="87"/>
      <c r="C190" s="149"/>
      <c r="D190" s="149"/>
    </row>
    <row r="191" spans="1:4" s="23" customFormat="1" ht="20.399999999999999" x14ac:dyDescent="0.3">
      <c r="A191" s="87"/>
      <c r="C191" s="149"/>
      <c r="D191" s="149"/>
    </row>
    <row r="192" spans="1:4" s="23" customFormat="1" ht="20.399999999999999" x14ac:dyDescent="0.3">
      <c r="A192" s="87"/>
      <c r="C192" s="149"/>
      <c r="D192" s="149"/>
    </row>
    <row r="193" spans="1:4" s="23" customFormat="1" ht="20.399999999999999" x14ac:dyDescent="0.3">
      <c r="A193" s="87"/>
      <c r="C193" s="149"/>
      <c r="D193" s="149"/>
    </row>
    <row r="194" spans="1:4" s="23" customFormat="1" ht="20.399999999999999" x14ac:dyDescent="0.3">
      <c r="A194" s="87"/>
      <c r="C194" s="149"/>
      <c r="D194" s="149"/>
    </row>
    <row r="195" spans="1:4" s="23" customFormat="1" ht="20.399999999999999" x14ac:dyDescent="0.3">
      <c r="A195" s="87"/>
      <c r="C195" s="149"/>
      <c r="D195" s="149"/>
    </row>
    <row r="196" spans="1:4" s="23" customFormat="1" ht="20.399999999999999" x14ac:dyDescent="0.3">
      <c r="A196" s="87"/>
      <c r="C196" s="149"/>
      <c r="D196" s="149"/>
    </row>
    <row r="197" spans="1:4" s="23" customFormat="1" ht="20.399999999999999" x14ac:dyDescent="0.3">
      <c r="A197" s="87"/>
      <c r="C197" s="149"/>
      <c r="D197" s="149"/>
    </row>
    <row r="198" spans="1:4" s="23" customFormat="1" ht="20.399999999999999" x14ac:dyDescent="0.3">
      <c r="A198" s="87"/>
      <c r="C198" s="149"/>
      <c r="D198" s="149"/>
    </row>
    <row r="199" spans="1:4" s="23" customFormat="1" ht="20.399999999999999" x14ac:dyDescent="0.3">
      <c r="A199" s="87"/>
      <c r="C199" s="149"/>
      <c r="D199" s="149"/>
    </row>
    <row r="200" spans="1:4" s="23" customFormat="1" ht="20.399999999999999" x14ac:dyDescent="0.3">
      <c r="A200" s="87"/>
      <c r="C200" s="149"/>
      <c r="D200" s="149"/>
    </row>
    <row r="201" spans="1:4" s="23" customFormat="1" ht="20.399999999999999" x14ac:dyDescent="0.3">
      <c r="A201" s="87"/>
      <c r="C201" s="149"/>
      <c r="D201" s="149"/>
    </row>
    <row r="202" spans="1:4" s="23" customFormat="1" ht="20.399999999999999" x14ac:dyDescent="0.3">
      <c r="A202" s="87"/>
      <c r="C202" s="149"/>
      <c r="D202" s="149"/>
    </row>
    <row r="203" spans="1:4" s="23" customFormat="1" ht="20.399999999999999" x14ac:dyDescent="0.3">
      <c r="A203" s="87"/>
      <c r="C203" s="149"/>
      <c r="D203" s="149"/>
    </row>
    <row r="204" spans="1:4" s="23" customFormat="1" ht="20.399999999999999" x14ac:dyDescent="0.3">
      <c r="A204" s="87"/>
      <c r="C204" s="149"/>
      <c r="D204" s="149"/>
    </row>
    <row r="205" spans="1:4" s="23" customFormat="1" ht="20.399999999999999" x14ac:dyDescent="0.3">
      <c r="A205" s="87"/>
      <c r="C205" s="149"/>
      <c r="D205" s="149"/>
    </row>
    <row r="206" spans="1:4" s="23" customFormat="1" ht="20.399999999999999" x14ac:dyDescent="0.3">
      <c r="A206" s="87"/>
      <c r="C206" s="149"/>
      <c r="D206" s="149"/>
    </row>
    <row r="207" spans="1:4" s="23" customFormat="1" ht="20.399999999999999" x14ac:dyDescent="0.3">
      <c r="A207" s="87"/>
      <c r="C207" s="149"/>
      <c r="D207" s="149"/>
    </row>
    <row r="208" spans="1:4" s="23" customFormat="1" x14ac:dyDescent="0.3">
      <c r="A208" s="87"/>
    </row>
    <row r="209" spans="1:8" s="23" customFormat="1" ht="20.399999999999999" x14ac:dyDescent="0.3">
      <c r="A209" s="87"/>
      <c r="B209" s="150" t="s">
        <v>87</v>
      </c>
      <c r="C209" s="150" t="s">
        <v>140</v>
      </c>
      <c r="D209" s="151" t="s">
        <v>87</v>
      </c>
      <c r="E209" s="151" t="s">
        <v>140</v>
      </c>
    </row>
    <row r="210" spans="1:8" s="23" customFormat="1" ht="42" x14ac:dyDescent="0.4">
      <c r="A210" s="87"/>
      <c r="B210" s="152" t="s">
        <v>89</v>
      </c>
      <c r="C210" s="152" t="s">
        <v>205</v>
      </c>
      <c r="D210" s="23" t="s">
        <v>89</v>
      </c>
      <c r="F210" s="23" t="str">
        <f>IF(NOT(ISBLANK(D210)),D210,IF(NOT(ISBLANK(E210)),"     "&amp;E210,FALSE))</f>
        <v>Afectación Económica o presupuestal</v>
      </c>
      <c r="G210" s="23" t="s">
        <v>89</v>
      </c>
      <c r="H210" s="23" t="str">
        <f ca="1">IF(NOT(ISERROR(MATCH(G210,_xlfn.ANCHORARRAY(B221),0))),F223&amp;"Por favor no seleccionar los criterios de impacto",G210)</f>
        <v>Afectación Económica o presupuestal</v>
      </c>
    </row>
    <row r="211" spans="1:8" s="23" customFormat="1" ht="42" x14ac:dyDescent="0.4">
      <c r="A211" s="87"/>
      <c r="B211" s="152" t="s">
        <v>89</v>
      </c>
      <c r="C211" s="152" t="s">
        <v>206</v>
      </c>
      <c r="E211" s="23" t="s">
        <v>205</v>
      </c>
      <c r="F211" s="23" t="str">
        <f t="shared" ref="F211:F221" si="0">IF(NOT(ISBLANK(D211)),D211,IF(NOT(ISBLANK(E211)),"     "&amp;E211,FALSE))</f>
        <v xml:space="preserve">     Afectación menor a 200 SMLMV</v>
      </c>
    </row>
    <row r="212" spans="1:8" s="23" customFormat="1" ht="42" x14ac:dyDescent="0.4">
      <c r="A212" s="87"/>
      <c r="B212" s="152" t="s">
        <v>89</v>
      </c>
      <c r="C212" s="152" t="s">
        <v>210</v>
      </c>
      <c r="E212" s="23" t="s">
        <v>206</v>
      </c>
      <c r="F212" s="23" t="str">
        <f t="shared" si="0"/>
        <v xml:space="preserve">     Entre 200 y 1000 SMLMV</v>
      </c>
    </row>
    <row r="213" spans="1:8" s="23" customFormat="1" ht="42" x14ac:dyDescent="0.4">
      <c r="A213" s="87"/>
      <c r="B213" s="152" t="s">
        <v>89</v>
      </c>
      <c r="C213" s="152" t="s">
        <v>211</v>
      </c>
      <c r="E213" s="23" t="s">
        <v>210</v>
      </c>
      <c r="F213" s="23" t="str">
        <f t="shared" si="0"/>
        <v xml:space="preserve">     Entre 1000 y 5000 SMLMV </v>
      </c>
    </row>
    <row r="214" spans="1:8" s="23" customFormat="1" ht="42" x14ac:dyDescent="0.4">
      <c r="A214" s="87"/>
      <c r="B214" s="152" t="s">
        <v>89</v>
      </c>
      <c r="C214" s="152" t="s">
        <v>207</v>
      </c>
      <c r="E214" s="23" t="s">
        <v>211</v>
      </c>
      <c r="F214" s="23" t="str">
        <f t="shared" si="0"/>
        <v xml:space="preserve">     Entre 5000 y 10000 SMLMV</v>
      </c>
    </row>
    <row r="215" spans="1:8" s="23" customFormat="1" ht="21" x14ac:dyDescent="0.4">
      <c r="A215" s="87"/>
      <c r="B215" s="152" t="s">
        <v>57</v>
      </c>
      <c r="C215" s="152" t="s">
        <v>92</v>
      </c>
      <c r="E215" s="23" t="s">
        <v>207</v>
      </c>
      <c r="F215" s="23" t="str">
        <f t="shared" si="0"/>
        <v xml:space="preserve">     Mayor a 10000 SMLMV</v>
      </c>
    </row>
    <row r="216" spans="1:8" s="23" customFormat="1" ht="63" x14ac:dyDescent="0.4">
      <c r="A216" s="87"/>
      <c r="B216" s="152" t="s">
        <v>57</v>
      </c>
      <c r="C216" s="152" t="s">
        <v>93</v>
      </c>
      <c r="D216" s="23" t="s">
        <v>57</v>
      </c>
      <c r="F216" s="23" t="str">
        <f t="shared" si="0"/>
        <v>Pérdida Reputacional</v>
      </c>
    </row>
    <row r="217" spans="1:8" s="23" customFormat="1" ht="42" x14ac:dyDescent="0.4">
      <c r="A217" s="87"/>
      <c r="B217" s="152" t="s">
        <v>57</v>
      </c>
      <c r="C217" s="152" t="s">
        <v>95</v>
      </c>
      <c r="E217" s="23" t="s">
        <v>92</v>
      </c>
      <c r="F217" s="23" t="str">
        <f>IF(NOT(ISBLANK(D217)),D217,IF(NOT(ISBLANK(E217)),"     "&amp;E217,FALSE))</f>
        <v xml:space="preserve">     El riesgo afecta la imagen de alguna área de la organización</v>
      </c>
    </row>
    <row r="218" spans="1:8" s="23" customFormat="1" ht="63" x14ac:dyDescent="0.4">
      <c r="A218" s="87"/>
      <c r="B218" s="152" t="s">
        <v>57</v>
      </c>
      <c r="C218" s="152" t="s">
        <v>94</v>
      </c>
      <c r="E218" s="23" t="s">
        <v>93</v>
      </c>
      <c r="F218" s="23" t="str">
        <f t="shared" si="0"/>
        <v xml:space="preserve">     El riesgo afecta la imagen de la entidad internamente, de conocimiento general, nivel interno, de junta dircetiva y accionistas y/o de provedores</v>
      </c>
    </row>
    <row r="219" spans="1:8" s="23" customFormat="1" ht="42" x14ac:dyDescent="0.4">
      <c r="A219" s="87"/>
      <c r="B219" s="152" t="s">
        <v>57</v>
      </c>
      <c r="C219" s="152" t="s">
        <v>113</v>
      </c>
      <c r="E219" s="23" t="s">
        <v>95</v>
      </c>
      <c r="F219" s="23" t="str">
        <f t="shared" si="0"/>
        <v xml:space="preserve">     El riesgo afecta la imagen de la entidad con algunos usuarios de relevancia frente al logro de los objetivos</v>
      </c>
    </row>
    <row r="220" spans="1:8" s="23" customFormat="1" x14ac:dyDescent="0.3">
      <c r="A220" s="87"/>
      <c r="E220" s="23" t="s">
        <v>94</v>
      </c>
      <c r="F220" s="23" t="str">
        <f t="shared" si="0"/>
        <v xml:space="preserve">     El riesgo afecta la imagen de de la entidad con efecto publicitario sostenido a nivel de sector administrativo, nivel departamental o municipal</v>
      </c>
    </row>
    <row r="221" spans="1:8" s="23" customFormat="1" x14ac:dyDescent="0.3">
      <c r="A221" s="87"/>
      <c r="B221" s="23" t="e" cm="1">
        <f t="array" aca="1" ref="B221:B223" ca="1">_xlfn.UNIQUE(Tabla1[[#All],[Criterios]])</f>
        <v>#NAME?</v>
      </c>
      <c r="E221" s="23" t="s">
        <v>113</v>
      </c>
      <c r="F221" s="23" t="str">
        <f t="shared" si="0"/>
        <v xml:space="preserve">     El riesgo afecta la imagen de la entidad a nivel nacional, con efecto publicitarios sostenible a nivel país</v>
      </c>
    </row>
    <row r="222" spans="1:8" s="23" customFormat="1" x14ac:dyDescent="0.3">
      <c r="A222" s="87"/>
      <c r="B222" s="23" t="e">
        <f ca="1"/>
        <v>#NAME?</v>
      </c>
    </row>
    <row r="223" spans="1:8" s="23" customFormat="1" x14ac:dyDescent="0.3">
      <c r="B223" s="23" t="e">
        <f ca="1"/>
        <v>#NAME?</v>
      </c>
      <c r="F223" s="153" t="s">
        <v>141</v>
      </c>
    </row>
    <row r="224" spans="1:8" s="23" customFormat="1" x14ac:dyDescent="0.3">
      <c r="F224" s="153" t="s">
        <v>142</v>
      </c>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heetViews>
  <sheetFormatPr baseColWidth="10" defaultColWidth="14.33203125" defaultRowHeight="13.8" x14ac:dyDescent="0.3"/>
  <cols>
    <col min="1" max="2" width="14.33203125" style="72"/>
    <col min="3" max="3" width="17" style="72" customWidth="1"/>
    <col min="4" max="4" width="14.33203125" style="72"/>
    <col min="5" max="5" width="46" style="72" customWidth="1"/>
    <col min="6" max="16384" width="14.33203125" style="72"/>
  </cols>
  <sheetData>
    <row r="1" spans="2:6" ht="24" customHeight="1" thickBot="1" x14ac:dyDescent="0.35">
      <c r="B1" s="445" t="s">
        <v>77</v>
      </c>
      <c r="C1" s="446"/>
      <c r="D1" s="446"/>
      <c r="E1" s="446"/>
      <c r="F1" s="447"/>
    </row>
    <row r="2" spans="2:6" ht="16.2" thickBot="1" x14ac:dyDescent="0.35">
      <c r="B2" s="73"/>
      <c r="C2" s="73"/>
      <c r="D2" s="73"/>
      <c r="E2" s="73"/>
      <c r="F2" s="73"/>
    </row>
    <row r="3" spans="2:6" ht="16.2" thickBot="1" x14ac:dyDescent="0.35">
      <c r="B3" s="449" t="s">
        <v>63</v>
      </c>
      <c r="C3" s="450"/>
      <c r="D3" s="450"/>
      <c r="E3" s="85" t="s">
        <v>64</v>
      </c>
      <c r="F3" s="86" t="s">
        <v>65</v>
      </c>
    </row>
    <row r="4" spans="2:6" ht="31.2" x14ac:dyDescent="0.3">
      <c r="B4" s="451" t="s">
        <v>66</v>
      </c>
      <c r="C4" s="453" t="s">
        <v>13</v>
      </c>
      <c r="D4" s="74" t="s">
        <v>14</v>
      </c>
      <c r="E4" s="75" t="s">
        <v>67</v>
      </c>
      <c r="F4" s="76">
        <v>0.25</v>
      </c>
    </row>
    <row r="5" spans="2:6" ht="46.8" x14ac:dyDescent="0.3">
      <c r="B5" s="452"/>
      <c r="C5" s="454"/>
      <c r="D5" s="77" t="s">
        <v>15</v>
      </c>
      <c r="E5" s="78" t="s">
        <v>68</v>
      </c>
      <c r="F5" s="79">
        <v>0.15</v>
      </c>
    </row>
    <row r="6" spans="2:6" ht="46.8" x14ac:dyDescent="0.3">
      <c r="B6" s="452"/>
      <c r="C6" s="454"/>
      <c r="D6" s="77" t="s">
        <v>16</v>
      </c>
      <c r="E6" s="78" t="s">
        <v>69</v>
      </c>
      <c r="F6" s="79">
        <v>0.1</v>
      </c>
    </row>
    <row r="7" spans="2:6" ht="62.4" x14ac:dyDescent="0.3">
      <c r="B7" s="452"/>
      <c r="C7" s="454" t="s">
        <v>17</v>
      </c>
      <c r="D7" s="77" t="s">
        <v>10</v>
      </c>
      <c r="E7" s="78" t="s">
        <v>70</v>
      </c>
      <c r="F7" s="79">
        <v>0.25</v>
      </c>
    </row>
    <row r="8" spans="2:6" ht="31.2" x14ac:dyDescent="0.3">
      <c r="B8" s="452"/>
      <c r="C8" s="454"/>
      <c r="D8" s="77" t="s">
        <v>9</v>
      </c>
      <c r="E8" s="78" t="s">
        <v>71</v>
      </c>
      <c r="F8" s="79">
        <v>0.15</v>
      </c>
    </row>
    <row r="9" spans="2:6" ht="46.8" x14ac:dyDescent="0.3">
      <c r="B9" s="452" t="s">
        <v>151</v>
      </c>
      <c r="C9" s="454" t="s">
        <v>18</v>
      </c>
      <c r="D9" s="77" t="s">
        <v>19</v>
      </c>
      <c r="E9" s="78" t="s">
        <v>72</v>
      </c>
      <c r="F9" s="80" t="s">
        <v>73</v>
      </c>
    </row>
    <row r="10" spans="2:6" ht="46.8" x14ac:dyDescent="0.3">
      <c r="B10" s="452"/>
      <c r="C10" s="454"/>
      <c r="D10" s="77" t="s">
        <v>20</v>
      </c>
      <c r="E10" s="78" t="s">
        <v>74</v>
      </c>
      <c r="F10" s="80" t="s">
        <v>73</v>
      </c>
    </row>
    <row r="11" spans="2:6" ht="46.8" x14ac:dyDescent="0.3">
      <c r="B11" s="452"/>
      <c r="C11" s="454" t="s">
        <v>21</v>
      </c>
      <c r="D11" s="77" t="s">
        <v>22</v>
      </c>
      <c r="E11" s="78" t="s">
        <v>75</v>
      </c>
      <c r="F11" s="80" t="s">
        <v>73</v>
      </c>
    </row>
    <row r="12" spans="2:6" ht="46.8" x14ac:dyDescent="0.3">
      <c r="B12" s="452"/>
      <c r="C12" s="454"/>
      <c r="D12" s="77" t="s">
        <v>23</v>
      </c>
      <c r="E12" s="78" t="s">
        <v>76</v>
      </c>
      <c r="F12" s="80" t="s">
        <v>73</v>
      </c>
    </row>
    <row r="13" spans="2:6" ht="31.2" x14ac:dyDescent="0.3">
      <c r="B13" s="452"/>
      <c r="C13" s="454" t="s">
        <v>24</v>
      </c>
      <c r="D13" s="77" t="s">
        <v>114</v>
      </c>
      <c r="E13" s="78" t="s">
        <v>117</v>
      </c>
      <c r="F13" s="80" t="s">
        <v>73</v>
      </c>
    </row>
    <row r="14" spans="2:6" ht="16.2" thickBot="1" x14ac:dyDescent="0.35">
      <c r="B14" s="455"/>
      <c r="C14" s="456"/>
      <c r="D14" s="81" t="s">
        <v>115</v>
      </c>
      <c r="E14" s="82" t="s">
        <v>116</v>
      </c>
      <c r="F14" s="83" t="s">
        <v>73</v>
      </c>
    </row>
    <row r="15" spans="2:6" ht="49.5" customHeight="1" x14ac:dyDescent="0.3">
      <c r="B15" s="448" t="s">
        <v>148</v>
      </c>
      <c r="C15" s="448"/>
      <c r="D15" s="448"/>
      <c r="E15" s="448"/>
      <c r="F15" s="448"/>
    </row>
    <row r="16" spans="2:6" ht="27" customHeight="1" x14ac:dyDescent="0.3">
      <c r="B16" s="84"/>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workbookViewId="0"/>
  </sheetViews>
  <sheetFormatPr baseColWidth="10" defaultRowHeight="14.4" x14ac:dyDescent="0.3"/>
  <sheetData>
    <row r="2" spans="2:5" x14ac:dyDescent="0.3">
      <c r="B2" t="s">
        <v>31</v>
      </c>
      <c r="E2" t="s">
        <v>128</v>
      </c>
    </row>
    <row r="3" spans="2:5" x14ac:dyDescent="0.3">
      <c r="B3" t="s">
        <v>32</v>
      </c>
      <c r="E3" t="s">
        <v>127</v>
      </c>
    </row>
    <row r="4" spans="2:5" x14ac:dyDescent="0.3">
      <c r="B4" t="s">
        <v>132</v>
      </c>
      <c r="E4" t="s">
        <v>129</v>
      </c>
    </row>
    <row r="5" spans="2:5" x14ac:dyDescent="0.3">
      <c r="B5" t="s">
        <v>131</v>
      </c>
    </row>
    <row r="8" spans="2:5" x14ac:dyDescent="0.3">
      <c r="B8" t="s">
        <v>85</v>
      </c>
    </row>
    <row r="9" spans="2:5" x14ac:dyDescent="0.3">
      <c r="B9" t="s">
        <v>40</v>
      </c>
    </row>
    <row r="10" spans="2:5" x14ac:dyDescent="0.3">
      <c r="B10" t="s">
        <v>41</v>
      </c>
    </row>
    <row r="13" spans="2:5" x14ac:dyDescent="0.3">
      <c r="B13" t="s">
        <v>124</v>
      </c>
    </row>
    <row r="14" spans="2:5" x14ac:dyDescent="0.3">
      <c r="B14" t="s">
        <v>118</v>
      </c>
    </row>
    <row r="15" spans="2:5" x14ac:dyDescent="0.3">
      <c r="B15" t="s">
        <v>121</v>
      </c>
    </row>
    <row r="16" spans="2:5" x14ac:dyDescent="0.3">
      <c r="B16" t="s">
        <v>119</v>
      </c>
    </row>
    <row r="17" spans="2:2" x14ac:dyDescent="0.3">
      <c r="B17" t="s">
        <v>120</v>
      </c>
    </row>
    <row r="18" spans="2:2" x14ac:dyDescent="0.3">
      <c r="B18" t="s">
        <v>122</v>
      </c>
    </row>
    <row r="19" spans="2:2" x14ac:dyDescent="0.3">
      <c r="B19" t="s">
        <v>123</v>
      </c>
    </row>
  </sheetData>
  <sortState xmlns:xlrd2="http://schemas.microsoft.com/office/spreadsheetml/2017/richdata2"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heetViews>
  <sheetFormatPr baseColWidth="10" defaultColWidth="11.44140625" defaultRowHeight="13.8" x14ac:dyDescent="0.3"/>
  <cols>
    <col min="1" max="1" width="32.88671875" style="9" customWidth="1"/>
    <col min="2" max="16384" width="11.44140625" style="9"/>
  </cols>
  <sheetData>
    <row r="3" spans="1:1" x14ac:dyDescent="0.3">
      <c r="A3" s="10" t="s">
        <v>14</v>
      </c>
    </row>
    <row r="4" spans="1:1" x14ac:dyDescent="0.3">
      <c r="A4" s="10" t="s">
        <v>15</v>
      </c>
    </row>
    <row r="5" spans="1:1" x14ac:dyDescent="0.3">
      <c r="A5" s="10" t="s">
        <v>16</v>
      </c>
    </row>
    <row r="6" spans="1:1" x14ac:dyDescent="0.3">
      <c r="A6" s="10" t="s">
        <v>10</v>
      </c>
    </row>
    <row r="7" spans="1:1" x14ac:dyDescent="0.3">
      <c r="A7" s="10" t="s">
        <v>9</v>
      </c>
    </row>
    <row r="8" spans="1:1" x14ac:dyDescent="0.3">
      <c r="A8" s="10" t="s">
        <v>19</v>
      </c>
    </row>
    <row r="9" spans="1:1" x14ac:dyDescent="0.3">
      <c r="A9" s="10" t="s">
        <v>20</v>
      </c>
    </row>
    <row r="10" spans="1:1" x14ac:dyDescent="0.3">
      <c r="A10" s="10" t="s">
        <v>22</v>
      </c>
    </row>
    <row r="11" spans="1:1" x14ac:dyDescent="0.3">
      <c r="A11" s="10" t="s">
        <v>23</v>
      </c>
    </row>
    <row r="12" spans="1:1" x14ac:dyDescent="0.3">
      <c r="A12" s="10" t="s">
        <v>25</v>
      </c>
    </row>
    <row r="13" spans="1:1" x14ac:dyDescent="0.3">
      <c r="A13" s="10" t="s">
        <v>26</v>
      </c>
    </row>
    <row r="14" spans="1:1" x14ac:dyDescent="0.3">
      <c r="A14" s="10" t="s">
        <v>27</v>
      </c>
    </row>
    <row r="16" spans="1:1" x14ac:dyDescent="0.3">
      <c r="A16" s="10" t="s">
        <v>30</v>
      </c>
    </row>
    <row r="17" spans="1:1" x14ac:dyDescent="0.3">
      <c r="A17" s="10" t="s">
        <v>31</v>
      </c>
    </row>
    <row r="18" spans="1:1" x14ac:dyDescent="0.3">
      <c r="A18" s="10" t="s">
        <v>32</v>
      </c>
    </row>
    <row r="20" spans="1:1" x14ac:dyDescent="0.3">
      <c r="A20" s="10" t="s">
        <v>40</v>
      </c>
    </row>
    <row r="21" spans="1:1" x14ac:dyDescent="0.3">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Maria Paula</cp:lastModifiedBy>
  <cp:lastPrinted>2020-05-13T01:12:22Z</cp:lastPrinted>
  <dcterms:created xsi:type="dcterms:W3CDTF">2020-03-24T23:12:47Z</dcterms:created>
  <dcterms:modified xsi:type="dcterms:W3CDTF">2023-07-25T21:37:00Z</dcterms:modified>
</cp:coreProperties>
</file>