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embeddings/oleObject21.bin" ContentType="application/vnd.openxmlformats-officedocument.oleObject"/>
  <Override PartName="/xl/drawings/drawing9.xml" ContentType="application/vnd.openxmlformats-officedocument.drawing+xml"/>
  <Override PartName="/xl/embeddings/oleObject2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LANES DE ACCION A 30 DE JUNIO PARA PUBLICAR\"/>
    </mc:Choice>
  </mc:AlternateContent>
  <bookViews>
    <workbookView xWindow="0" yWindow="0" windowWidth="12270" windowHeight="3270" firstSheet="4" activeTab="9"/>
  </bookViews>
  <sheets>
    <sheet name="MUJER" sheetId="17" r:id="rId1"/>
    <sheet name="ETNIAS." sheetId="10" r:id="rId2"/>
    <sheet name="LUCHA CONTRA LA POBREZA" sheetId="11" r:id="rId3"/>
    <sheet name="ADULTO MAYOR" sheetId="12" r:id="rId4"/>
    <sheet name="DISCAPACIDAD" sheetId="13" r:id="rId5"/>
    <sheet name="HABITANTE DE CALLE" sheetId="14" r:id="rId6"/>
    <sheet name="VÍCTIMAS" sheetId="15" r:id="rId7"/>
    <sheet name="NNA" sheetId="21" r:id="rId8"/>
    <sheet name="JUVENTUD" sheetId="18" r:id="rId9"/>
    <sheet name="CONTRATOS" sheetId="22" r:id="rId10"/>
  </sheets>
  <definedNames>
    <definedName name="_xlnm._FilterDatabase" localSheetId="9" hidden="1">CONTRATOS!$B$1:$D$159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8" i="22" l="1"/>
  <c r="T34" i="21" l="1"/>
  <c r="S26" i="17" l="1"/>
  <c r="I24" i="12" l="1"/>
  <c r="I22" i="12"/>
  <c r="F42" i="17" l="1"/>
  <c r="F26" i="17"/>
  <c r="E19" i="18" l="1"/>
  <c r="E21" i="18"/>
  <c r="E23" i="18"/>
  <c r="E25" i="18"/>
  <c r="E27" i="18"/>
  <c r="E28" i="18"/>
  <c r="E29" i="18"/>
  <c r="E30" i="18"/>
  <c r="E31" i="18"/>
  <c r="E32" i="18"/>
  <c r="E33" i="18"/>
  <c r="E35" i="18"/>
  <c r="E36" i="18"/>
  <c r="E37" i="18"/>
  <c r="E38" i="18"/>
  <c r="E39" i="18"/>
  <c r="E41" i="18"/>
  <c r="E42" i="18"/>
  <c r="E45" i="18"/>
  <c r="E46" i="18"/>
  <c r="E47" i="18"/>
  <c r="E48" i="18"/>
  <c r="E49" i="18"/>
  <c r="E51" i="18"/>
  <c r="F43" i="18"/>
  <c r="E43" i="18" s="1"/>
  <c r="F29" i="13" l="1"/>
  <c r="F17" i="13"/>
  <c r="F22" i="13"/>
  <c r="E23" i="12"/>
  <c r="E19" i="12"/>
  <c r="I29" i="12"/>
  <c r="I25" i="12"/>
  <c r="I21" i="12"/>
  <c r="I19" i="12"/>
  <c r="F17" i="11"/>
  <c r="F25" i="11"/>
  <c r="F23" i="11"/>
  <c r="F19" i="11"/>
  <c r="F65" i="21" l="1"/>
  <c r="F49" i="21"/>
  <c r="F37" i="21"/>
  <c r="F29" i="21"/>
  <c r="F23" i="21"/>
  <c r="F21" i="21"/>
  <c r="F17" i="21"/>
  <c r="F73" i="21" s="1"/>
  <c r="F27" i="21"/>
  <c r="E17" i="18"/>
  <c r="F22" i="11" l="1"/>
  <c r="F18" i="11"/>
  <c r="F26" i="11"/>
  <c r="F52" i="18" l="1"/>
  <c r="E52" i="18" s="1"/>
  <c r="F18" i="18"/>
  <c r="E18" i="18" s="1"/>
  <c r="F26" i="18"/>
  <c r="E26" i="18" s="1"/>
  <c r="F44" i="18" l="1"/>
  <c r="E44" i="18" s="1"/>
  <c r="F50" i="18"/>
  <c r="E50" i="18" s="1"/>
  <c r="F40" i="18"/>
  <c r="E40" i="18" s="1"/>
  <c r="F20" i="18"/>
  <c r="E20" i="18" s="1"/>
  <c r="F34" i="18"/>
  <c r="E34" i="18" s="1"/>
  <c r="F24" i="18"/>
  <c r="E24" i="18" s="1"/>
  <c r="U75" i="21"/>
  <c r="T75" i="21"/>
  <c r="T58" i="21"/>
  <c r="U46" i="21"/>
  <c r="R37" i="21"/>
  <c r="T73" i="21"/>
  <c r="T46" i="21"/>
  <c r="T67" i="21"/>
  <c r="R63" i="21"/>
  <c r="R65" i="21"/>
  <c r="F72" i="21" l="1"/>
  <c r="F48" i="21"/>
  <c r="F36" i="21"/>
  <c r="F24" i="21"/>
  <c r="R30" i="21" s="1"/>
  <c r="F50" i="21"/>
  <c r="F38" i="21"/>
  <c r="F30" i="21"/>
  <c r="F44" i="21"/>
  <c r="F22" i="21"/>
  <c r="F56" i="21"/>
  <c r="R58" i="21" s="1"/>
  <c r="R17" i="21"/>
  <c r="F20" i="21"/>
  <c r="R22" i="21" s="1"/>
  <c r="F18" i="21"/>
  <c r="R46" i="21" l="1"/>
  <c r="F70" i="21"/>
  <c r="F66" i="21" l="1"/>
  <c r="F18" i="15" l="1"/>
  <c r="F38" i="15"/>
  <c r="F30" i="15"/>
  <c r="F24" i="15"/>
  <c r="F48" i="15"/>
  <c r="F46" i="15"/>
  <c r="F44" i="15"/>
  <c r="F22" i="15"/>
  <c r="F26" i="15"/>
  <c r="F28" i="15"/>
  <c r="F32" i="14"/>
  <c r="F24" i="14"/>
  <c r="F22" i="14"/>
  <c r="F36" i="13"/>
  <c r="F28" i="13"/>
  <c r="F38" i="13" l="1"/>
  <c r="I20" i="12"/>
  <c r="I18" i="12"/>
  <c r="I30" i="12"/>
  <c r="V24" i="12"/>
  <c r="F24" i="12" l="1"/>
  <c r="E24" i="12" s="1"/>
  <c r="V18" i="12"/>
  <c r="V28" i="12"/>
  <c r="F20" i="12"/>
  <c r="F34" i="10"/>
  <c r="F32" i="10"/>
  <c r="F20" i="10"/>
  <c r="F18" i="10"/>
  <c r="F20" i="11"/>
  <c r="F28" i="11"/>
  <c r="F24" i="11"/>
  <c r="F38" i="10"/>
  <c r="F30" i="10"/>
  <c r="F24" i="10"/>
  <c r="S22" i="17" l="1"/>
  <c r="S48" i="17" s="1"/>
  <c r="F22" i="17" l="1"/>
  <c r="F36" i="17"/>
  <c r="R36" i="17" s="1"/>
  <c r="F20" i="17"/>
  <c r="F47" i="17" l="1"/>
  <c r="R45" i="21" l="1"/>
  <c r="E17" i="15" l="1"/>
  <c r="L17" i="15"/>
  <c r="E18" i="15"/>
  <c r="M17" i="15" s="1"/>
  <c r="E19" i="15"/>
  <c r="M19" i="15" s="1"/>
  <c r="L19" i="15"/>
  <c r="E20" i="15"/>
  <c r="E21" i="15"/>
  <c r="L21" i="15"/>
  <c r="E22" i="15"/>
  <c r="M21" i="15" s="1"/>
  <c r="N21" i="15" s="1"/>
  <c r="E23" i="15"/>
  <c r="L23" i="15"/>
  <c r="E24" i="15"/>
  <c r="M23" i="15" s="1"/>
  <c r="E25" i="15"/>
  <c r="L25" i="15"/>
  <c r="E26" i="15"/>
  <c r="E27" i="15"/>
  <c r="L27" i="15"/>
  <c r="E28" i="15"/>
  <c r="E29" i="15"/>
  <c r="L29" i="15"/>
  <c r="E30" i="15"/>
  <c r="E31" i="15"/>
  <c r="L31" i="15"/>
  <c r="E32" i="15"/>
  <c r="M31" i="15" s="1"/>
  <c r="E33" i="15"/>
  <c r="L33" i="15"/>
  <c r="F34" i="15"/>
  <c r="E35" i="15"/>
  <c r="L35" i="15"/>
  <c r="F36" i="15"/>
  <c r="F50" i="15" s="1"/>
  <c r="E37" i="15"/>
  <c r="L37" i="15"/>
  <c r="E39" i="15"/>
  <c r="L39" i="15"/>
  <c r="E40" i="15"/>
  <c r="M39" i="15" s="1"/>
  <c r="E41" i="15"/>
  <c r="M41" i="15" s="1"/>
  <c r="N41" i="15" s="1"/>
  <c r="L41" i="15"/>
  <c r="E42" i="15"/>
  <c r="E43" i="15"/>
  <c r="L43" i="15"/>
  <c r="E44" i="15"/>
  <c r="M43" i="15" s="1"/>
  <c r="E45" i="15"/>
  <c r="L45" i="15"/>
  <c r="E46" i="15"/>
  <c r="M45" i="15" s="1"/>
  <c r="E47" i="15"/>
  <c r="L47" i="15"/>
  <c r="E48" i="15"/>
  <c r="F49" i="15"/>
  <c r="G49" i="15"/>
  <c r="H49" i="15"/>
  <c r="I49" i="15"/>
  <c r="G50" i="15"/>
  <c r="H50" i="15"/>
  <c r="I50" i="15"/>
  <c r="E17" i="14"/>
  <c r="L17" i="14"/>
  <c r="E18" i="14"/>
  <c r="E19" i="14"/>
  <c r="L19" i="14"/>
  <c r="E20" i="14"/>
  <c r="M19" i="14" s="1"/>
  <c r="E21" i="14"/>
  <c r="L21" i="14"/>
  <c r="E22" i="14"/>
  <c r="E23" i="14"/>
  <c r="L23" i="14"/>
  <c r="E24" i="14"/>
  <c r="E25" i="14"/>
  <c r="L25" i="14"/>
  <c r="M25" i="14"/>
  <c r="E26" i="14"/>
  <c r="E27" i="14"/>
  <c r="L27" i="14"/>
  <c r="E28" i="14"/>
  <c r="E29" i="14"/>
  <c r="L29" i="14"/>
  <c r="E30" i="14"/>
  <c r="M29" i="14" s="1"/>
  <c r="E31" i="14"/>
  <c r="L31" i="14"/>
  <c r="E32" i="14"/>
  <c r="F33" i="14"/>
  <c r="G33" i="14"/>
  <c r="H33" i="14"/>
  <c r="I33" i="14"/>
  <c r="G34" i="14"/>
  <c r="H34" i="14"/>
  <c r="I34" i="14"/>
  <c r="E17" i="13"/>
  <c r="L17" i="13"/>
  <c r="E18" i="13"/>
  <c r="E19" i="13"/>
  <c r="L19" i="13"/>
  <c r="E20" i="13"/>
  <c r="E21" i="13"/>
  <c r="L21" i="13"/>
  <c r="E22" i="13"/>
  <c r="E23" i="13"/>
  <c r="L23" i="13"/>
  <c r="F24" i="13"/>
  <c r="E25" i="13"/>
  <c r="L25" i="13"/>
  <c r="F26" i="13"/>
  <c r="E26" i="13" s="1"/>
  <c r="E27" i="13"/>
  <c r="L27" i="13"/>
  <c r="E28" i="13"/>
  <c r="M27" i="13" s="1"/>
  <c r="E29" i="13"/>
  <c r="M29" i="13" s="1"/>
  <c r="L29" i="13"/>
  <c r="E30" i="13"/>
  <c r="E31" i="13"/>
  <c r="L31" i="13"/>
  <c r="E32" i="13"/>
  <c r="M31" i="13" s="1"/>
  <c r="E33" i="13"/>
  <c r="L33" i="13"/>
  <c r="F34" i="13"/>
  <c r="E34" i="13" s="1"/>
  <c r="E35" i="13"/>
  <c r="L35" i="13"/>
  <c r="E36" i="13"/>
  <c r="E37" i="13"/>
  <c r="L37" i="13"/>
  <c r="F39" i="13"/>
  <c r="G39" i="13"/>
  <c r="H39" i="13"/>
  <c r="I39" i="13"/>
  <c r="G40" i="13"/>
  <c r="H40" i="13"/>
  <c r="I40" i="13"/>
  <c r="E17" i="12"/>
  <c r="L17" i="12"/>
  <c r="L19" i="12"/>
  <c r="E20" i="12"/>
  <c r="E21" i="12"/>
  <c r="L21" i="12"/>
  <c r="E22" i="12"/>
  <c r="M21" i="12" s="1"/>
  <c r="L23" i="12"/>
  <c r="E25" i="12"/>
  <c r="L25" i="12"/>
  <c r="E26" i="12"/>
  <c r="E27" i="12"/>
  <c r="L27" i="12"/>
  <c r="E28" i="12"/>
  <c r="M27" i="12" s="1"/>
  <c r="N27" i="12" s="1"/>
  <c r="E29" i="12"/>
  <c r="L29" i="12"/>
  <c r="F30" i="12"/>
  <c r="F31" i="12"/>
  <c r="G31" i="12"/>
  <c r="H31" i="12"/>
  <c r="I31" i="12"/>
  <c r="G32" i="12"/>
  <c r="H32" i="12"/>
  <c r="E17" i="11"/>
  <c r="L17" i="11"/>
  <c r="E18" i="11"/>
  <c r="E19" i="11"/>
  <c r="L19" i="11"/>
  <c r="E20" i="11"/>
  <c r="E21" i="11"/>
  <c r="L21" i="11"/>
  <c r="E22" i="11"/>
  <c r="E23" i="11"/>
  <c r="L23" i="11"/>
  <c r="E24" i="11"/>
  <c r="E25" i="11"/>
  <c r="L25" i="11"/>
  <c r="E26" i="11"/>
  <c r="E27" i="11"/>
  <c r="L27" i="11"/>
  <c r="E28" i="11"/>
  <c r="M27" i="11" s="1"/>
  <c r="E29" i="11"/>
  <c r="L29" i="11"/>
  <c r="E30" i="11"/>
  <c r="F31" i="11"/>
  <c r="G31" i="11"/>
  <c r="H31" i="11"/>
  <c r="I31" i="11"/>
  <c r="F32" i="11"/>
  <c r="G32" i="11"/>
  <c r="H32" i="11"/>
  <c r="I32" i="11"/>
  <c r="E17" i="10"/>
  <c r="L17" i="10"/>
  <c r="R17" i="10"/>
  <c r="R43" i="10" s="1"/>
  <c r="E18" i="10"/>
  <c r="R18" i="10"/>
  <c r="E19" i="10"/>
  <c r="L19" i="10"/>
  <c r="E20" i="10"/>
  <c r="E21" i="10"/>
  <c r="L21" i="10"/>
  <c r="E22" i="10"/>
  <c r="M21" i="10" s="1"/>
  <c r="E23" i="10"/>
  <c r="M23" i="10" s="1"/>
  <c r="N23" i="10" s="1"/>
  <c r="L23" i="10"/>
  <c r="E24" i="10"/>
  <c r="E25" i="10"/>
  <c r="L25" i="10"/>
  <c r="E26" i="10"/>
  <c r="M25" i="10" s="1"/>
  <c r="E27" i="10"/>
  <c r="L27" i="10"/>
  <c r="R27" i="10"/>
  <c r="E28" i="10"/>
  <c r="M27" i="10" s="1"/>
  <c r="R28" i="10"/>
  <c r="E29" i="10"/>
  <c r="L29" i="10"/>
  <c r="E30" i="10"/>
  <c r="E31" i="10"/>
  <c r="L31" i="10"/>
  <c r="R31" i="10"/>
  <c r="E32" i="10"/>
  <c r="M31" i="10" s="1"/>
  <c r="R32" i="10"/>
  <c r="E33" i="10"/>
  <c r="L33" i="10"/>
  <c r="E34" i="10"/>
  <c r="M33" i="10" s="1"/>
  <c r="E35" i="10"/>
  <c r="L35" i="10"/>
  <c r="E36" i="10"/>
  <c r="E37" i="10"/>
  <c r="L37" i="10"/>
  <c r="E38" i="10"/>
  <c r="R38" i="10"/>
  <c r="E39" i="10"/>
  <c r="L39" i="10"/>
  <c r="R39" i="10"/>
  <c r="E40" i="10"/>
  <c r="E41" i="10"/>
  <c r="L41" i="10"/>
  <c r="E42" i="10"/>
  <c r="F43" i="10"/>
  <c r="G43" i="10"/>
  <c r="H43" i="10"/>
  <c r="I43" i="10"/>
  <c r="F44" i="10"/>
  <c r="G44" i="10"/>
  <c r="H44" i="10"/>
  <c r="I44" i="10"/>
  <c r="M39" i="10" l="1"/>
  <c r="M35" i="10"/>
  <c r="M25" i="11"/>
  <c r="F40" i="13"/>
  <c r="M19" i="13"/>
  <c r="N19" i="13" s="1"/>
  <c r="M27" i="15"/>
  <c r="M23" i="11"/>
  <c r="N23" i="11" s="1"/>
  <c r="F32" i="12"/>
  <c r="M41" i="10"/>
  <c r="M37" i="10"/>
  <c r="N37" i="10" s="1"/>
  <c r="N25" i="10"/>
  <c r="M19" i="10"/>
  <c r="M25" i="13"/>
  <c r="M27" i="14"/>
  <c r="M47" i="15"/>
  <c r="E34" i="15"/>
  <c r="M33" i="15" s="1"/>
  <c r="E36" i="15"/>
  <c r="M35" i="15" s="1"/>
  <c r="M29" i="11"/>
  <c r="M33" i="13"/>
  <c r="N33" i="13" s="1"/>
  <c r="M31" i="14"/>
  <c r="M29" i="15"/>
  <c r="N27" i="11"/>
  <c r="M17" i="14"/>
  <c r="E33" i="14"/>
  <c r="M35" i="13"/>
  <c r="N35" i="13" s="1"/>
  <c r="M21" i="13"/>
  <c r="N21" i="13" s="1"/>
  <c r="E39" i="13"/>
  <c r="E31" i="12"/>
  <c r="M25" i="12"/>
  <c r="N25" i="12" s="1"/>
  <c r="M17" i="11"/>
  <c r="N17" i="11" s="1"/>
  <c r="M19" i="11"/>
  <c r="E31" i="11"/>
  <c r="M29" i="10"/>
  <c r="E43" i="10"/>
  <c r="E49" i="15"/>
  <c r="M25" i="15"/>
  <c r="N23" i="15"/>
  <c r="E32" i="11"/>
  <c r="R44" i="10"/>
  <c r="N29" i="10"/>
  <c r="N33" i="10"/>
  <c r="N31" i="10"/>
  <c r="E44" i="10"/>
  <c r="N39" i="10"/>
  <c r="N19" i="10"/>
  <c r="E30" i="12"/>
  <c r="M29" i="12" s="1"/>
  <c r="N29" i="12" s="1"/>
  <c r="N21" i="12"/>
  <c r="M23" i="12"/>
  <c r="N23" i="12" s="1"/>
  <c r="I32" i="12"/>
  <c r="M19" i="12"/>
  <c r="N19" i="12" s="1"/>
  <c r="E18" i="12"/>
  <c r="M17" i="12" s="1"/>
  <c r="N17" i="12" s="1"/>
  <c r="N17" i="15"/>
  <c r="E38" i="15"/>
  <c r="M37" i="15" s="1"/>
  <c r="M23" i="14"/>
  <c r="M21" i="14"/>
  <c r="E34" i="14"/>
  <c r="F34" i="14"/>
  <c r="N27" i="13"/>
  <c r="N25" i="13"/>
  <c r="E38" i="13"/>
  <c r="M37" i="13" s="1"/>
  <c r="N37" i="13" s="1"/>
  <c r="E24" i="13"/>
  <c r="M23" i="13" s="1"/>
  <c r="N23" i="13" s="1"/>
  <c r="M17" i="13"/>
  <c r="N17" i="13" s="1"/>
  <c r="N19" i="11"/>
  <c r="M21" i="11"/>
  <c r="N21" i="11" s="1"/>
  <c r="N27" i="10"/>
  <c r="M17" i="10"/>
  <c r="N17" i="10" s="1"/>
  <c r="D159" i="22"/>
  <c r="E32" i="12" l="1"/>
  <c r="E50" i="15"/>
  <c r="E40" i="13"/>
  <c r="F74" i="21" l="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4" i="21" l="1"/>
  <c r="R66" i="21" l="1"/>
  <c r="G54" i="18" l="1"/>
  <c r="H54" i="18"/>
  <c r="I54" i="18"/>
  <c r="G53" i="18"/>
  <c r="H53" i="18"/>
  <c r="I53" i="18"/>
  <c r="F53" i="18"/>
  <c r="E53" i="18" l="1"/>
  <c r="R57" i="21"/>
  <c r="R55" i="21"/>
  <c r="F22" i="18"/>
  <c r="R18" i="21"/>
  <c r="R73" i="21"/>
  <c r="R72" i="21"/>
  <c r="R71" i="21"/>
  <c r="R70" i="21"/>
  <c r="R68" i="21"/>
  <c r="R67" i="21"/>
  <c r="R64" i="21"/>
  <c r="R62" i="21"/>
  <c r="R56" i="21"/>
  <c r="R44" i="21"/>
  <c r="R43" i="21"/>
  <c r="R38" i="21"/>
  <c r="R36" i="21"/>
  <c r="R34" i="21"/>
  <c r="R33" i="21"/>
  <c r="S37" i="21"/>
  <c r="R35" i="21"/>
  <c r="R29" i="21"/>
  <c r="R23" i="21"/>
  <c r="R21" i="21"/>
  <c r="M25" i="21"/>
  <c r="L25" i="21"/>
  <c r="L59" i="21"/>
  <c r="G74" i="21"/>
  <c r="H74" i="21"/>
  <c r="I74" i="21"/>
  <c r="G73" i="21"/>
  <c r="H73" i="21"/>
  <c r="I73" i="21"/>
  <c r="E22" i="18" l="1"/>
  <c r="F54" i="18"/>
  <c r="R74" i="21"/>
  <c r="N25" i="21"/>
  <c r="M59" i="21"/>
  <c r="N59" i="21" s="1"/>
  <c r="L41" i="18" l="1"/>
  <c r="M41" i="18" l="1"/>
  <c r="N41" i="18" s="1"/>
  <c r="L19" i="18" l="1"/>
  <c r="M49" i="18"/>
  <c r="L49" i="18"/>
  <c r="R43" i="17"/>
  <c r="R41" i="17"/>
  <c r="R39" i="17"/>
  <c r="R37" i="17"/>
  <c r="R35" i="17"/>
  <c r="R31" i="17"/>
  <c r="R25" i="17"/>
  <c r="R21" i="17"/>
  <c r="R15" i="17"/>
  <c r="R19" i="17"/>
  <c r="F48" i="17"/>
  <c r="G48" i="17"/>
  <c r="H48" i="17"/>
  <c r="I48" i="17"/>
  <c r="G47" i="17"/>
  <c r="H47" i="17"/>
  <c r="I4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R26" i="17"/>
  <c r="R44" i="17"/>
  <c r="L43" i="17"/>
  <c r="M43" i="17" l="1"/>
  <c r="R47" i="17"/>
  <c r="M19" i="18"/>
  <c r="N19" i="18" s="1"/>
  <c r="N49" i="18"/>
  <c r="E48" i="17"/>
  <c r="L39" i="21"/>
  <c r="M39" i="21" l="1"/>
  <c r="N39" i="21" s="1"/>
  <c r="R24" i="21" l="1"/>
  <c r="E17" i="21" l="1"/>
  <c r="E73" i="21" s="1"/>
  <c r="L17" i="21"/>
  <c r="L19" i="21"/>
  <c r="L21" i="21"/>
  <c r="L23" i="21"/>
  <c r="L27" i="21"/>
  <c r="L29" i="21"/>
  <c r="L31" i="21"/>
  <c r="L33" i="21"/>
  <c r="L35" i="21"/>
  <c r="L37" i="21"/>
  <c r="L41" i="21"/>
  <c r="L43" i="21"/>
  <c r="L45" i="21"/>
  <c r="L47" i="21"/>
  <c r="L49" i="21"/>
  <c r="L51" i="21"/>
  <c r="L53" i="21"/>
  <c r="L55" i="21"/>
  <c r="L57" i="21"/>
  <c r="L61" i="21"/>
  <c r="L63" i="21"/>
  <c r="L65" i="21"/>
  <c r="L67" i="21"/>
  <c r="L69" i="21"/>
  <c r="R69" i="21"/>
  <c r="R75" i="21" s="1"/>
  <c r="L71" i="21"/>
  <c r="M61" i="21" l="1"/>
  <c r="N61" i="21" s="1"/>
  <c r="M55" i="21"/>
  <c r="M69" i="21"/>
  <c r="N69" i="21" s="1"/>
  <c r="M51" i="21"/>
  <c r="N51" i="21" s="1"/>
  <c r="M17" i="21"/>
  <c r="N17" i="21" s="1"/>
  <c r="M21" i="21"/>
  <c r="N21" i="21" s="1"/>
  <c r="M33" i="21"/>
  <c r="N33" i="21" s="1"/>
  <c r="M37" i="21"/>
  <c r="N37" i="21" s="1"/>
  <c r="M67" i="21"/>
  <c r="M53" i="21"/>
  <c r="N53" i="21" s="1"/>
  <c r="M49" i="21"/>
  <c r="M41" i="21"/>
  <c r="N41" i="21" s="1"/>
  <c r="M31" i="21"/>
  <c r="N31" i="21" s="1"/>
  <c r="M29" i="21"/>
  <c r="N29" i="21" s="1"/>
  <c r="M63" i="21"/>
  <c r="N63" i="21" s="1"/>
  <c r="M23" i="21"/>
  <c r="N23" i="21" s="1"/>
  <c r="N67" i="21"/>
  <c r="M57" i="21"/>
  <c r="N57" i="21" s="1"/>
  <c r="M45" i="21"/>
  <c r="N45" i="21" s="1"/>
  <c r="M19" i="21"/>
  <c r="N19" i="21" s="1"/>
  <c r="M47" i="21"/>
  <c r="N47" i="21" s="1"/>
  <c r="M43" i="21"/>
  <c r="N43" i="21" s="1"/>
  <c r="M35" i="21"/>
  <c r="N35" i="21" s="1"/>
  <c r="M27" i="21"/>
  <c r="N27" i="21" s="1"/>
  <c r="M71" i="21"/>
  <c r="N71" i="21" s="1"/>
  <c r="M65" i="21"/>
  <c r="N65" i="21" s="1"/>
  <c r="N55" i="21"/>
  <c r="L45" i="17" l="1"/>
  <c r="R42" i="17" l="1"/>
  <c r="M45" i="17"/>
  <c r="L41" i="17"/>
  <c r="R40" i="17"/>
  <c r="M39" i="17"/>
  <c r="L39" i="17"/>
  <c r="R38" i="17"/>
  <c r="M37" i="17"/>
  <c r="L37" i="17"/>
  <c r="L35" i="17"/>
  <c r="L33" i="17"/>
  <c r="R32" i="17"/>
  <c r="L31" i="17"/>
  <c r="L29" i="17"/>
  <c r="L27" i="17"/>
  <c r="L25" i="17"/>
  <c r="L23" i="17"/>
  <c r="R22" i="17"/>
  <c r="L21" i="17"/>
  <c r="M21" i="17"/>
  <c r="R20" i="17"/>
  <c r="M19" i="17"/>
  <c r="L19" i="17"/>
  <c r="L17" i="17"/>
  <c r="E17" i="17"/>
  <c r="E47" i="17" s="1"/>
  <c r="R16" i="17"/>
  <c r="R48" i="17" l="1"/>
  <c r="M27" i="17"/>
  <c r="M33" i="17"/>
  <c r="M41" i="17"/>
  <c r="N41" i="17" s="1"/>
  <c r="M25" i="17"/>
  <c r="N25" i="17" s="1"/>
  <c r="M35" i="17"/>
  <c r="N35" i="17" s="1"/>
  <c r="M17" i="17"/>
  <c r="M23" i="17"/>
  <c r="M29" i="17"/>
  <c r="N29" i="17" s="1"/>
  <c r="N27" i="17"/>
  <c r="N21" i="17"/>
  <c r="L51" i="18" l="1"/>
  <c r="L47" i="18"/>
  <c r="L45" i="18"/>
  <c r="L43" i="18"/>
  <c r="L39" i="18"/>
  <c r="L37" i="18"/>
  <c r="L35" i="18"/>
  <c r="L33" i="18"/>
  <c r="L31" i="18"/>
  <c r="L29" i="18"/>
  <c r="L27" i="18"/>
  <c r="L25" i="18"/>
  <c r="L23" i="18"/>
  <c r="L21" i="18"/>
  <c r="L17" i="18"/>
  <c r="E54" i="18" l="1"/>
  <c r="M47" i="18"/>
  <c r="N47" i="18" s="1"/>
  <c r="M39" i="18"/>
  <c r="N39" i="18" s="1"/>
  <c r="M37" i="18"/>
  <c r="N37" i="18" s="1"/>
  <c r="M31" i="18"/>
  <c r="N31" i="18" s="1"/>
  <c r="M29" i="18"/>
  <c r="N29" i="18" s="1"/>
  <c r="M27" i="18"/>
  <c r="N27" i="18" s="1"/>
  <c r="M25" i="18"/>
  <c r="N25" i="18" s="1"/>
  <c r="M23" i="18"/>
  <c r="N23" i="18" s="1"/>
  <c r="M43" i="18"/>
  <c r="N43" i="18" s="1"/>
  <c r="M45" i="18"/>
  <c r="N45" i="18" s="1"/>
  <c r="M21" i="18"/>
  <c r="N21" i="18" s="1"/>
  <c r="M35" i="18"/>
  <c r="N35" i="18" s="1"/>
  <c r="M51" i="18"/>
  <c r="N51" i="18" s="1"/>
  <c r="M33" i="18"/>
  <c r="N33" i="18" s="1"/>
  <c r="M17" i="18"/>
  <c r="N17" i="18" s="1"/>
</calcChain>
</file>

<file path=xl/comments1.xml><?xml version="1.0" encoding="utf-8"?>
<comments xmlns="http://schemas.openxmlformats.org/spreadsheetml/2006/main">
  <authors>
    <author>EQUIPO-17</author>
  </authors>
  <commentList>
    <comment ref="A17" authorId="0" shapeId="0">
      <text>
        <r>
          <rPr>
            <sz val="9"/>
            <color indexed="81"/>
            <rFont val="Tahoma"/>
            <family val="2"/>
          </rPr>
          <t>Mesas de trabajo 
solicitudes a secretarias y sus respuestas
JAIME LOAIZA</t>
        </r>
      </text>
    </comment>
    <comment ref="A19" authorId="0" shapeId="0">
      <text>
        <r>
          <rPr>
            <sz val="9"/>
            <color indexed="81"/>
            <rFont val="Tahoma"/>
            <family val="2"/>
          </rPr>
          <t xml:space="preserve">Asistir a las asambleas y llevar oferta.
Cronograma que se debe de acordar con los gobernadores
KAREN PEREZ: Debe de coordinar esto
-Cleisser Cuero
-Jeimmy Acosta
-Mauricio Castro
</t>
        </r>
      </text>
    </comment>
    <comment ref="A21" authorId="0" shapeId="0">
      <text>
        <r>
          <rPr>
            <sz val="9"/>
            <color indexed="81"/>
            <rFont val="Tahoma"/>
            <family val="2"/>
          </rPr>
          <t>-Taller de alfarería
-Mesas de trabajo con los gobernadores
- Dotacion indigena- carpas,sillas..
PERSONAL ALFARERIA
CLEISSER CUERO Y KAREN -  Deben de coordinar y llevar el control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Celebraciones con la comunidad indigena</t>
        </r>
        <r>
          <rPr>
            <sz val="9"/>
            <color indexed="81"/>
            <rFont val="Tahoma"/>
            <family val="2"/>
          </rPr>
          <t xml:space="preserve">
-Posesion de los gobernadores
-Dia de los pueblos indigenas
-Dia de la mujer indigena
KAREN PEREZ - Llevar el control de las actas, asistencias</t>
        </r>
      </text>
    </comment>
    <comment ref="A25" authorId="0" shapeId="0">
      <text>
        <r>
          <rPr>
            <sz val="9"/>
            <color indexed="81"/>
            <rFont val="Tahoma"/>
            <family val="2"/>
          </rPr>
          <t>Coordinar con Jorge e ICBF - Intervención a los embera.
CLEISSER CUERO- Responsable</t>
        </r>
      </text>
    </comment>
    <comment ref="A29" authorId="0" shapeId="0">
      <text>
        <r>
          <rPr>
            <sz val="9"/>
            <color indexed="81"/>
            <rFont val="Tahoma"/>
            <family val="2"/>
          </rPr>
          <t xml:space="preserve">Eventos con comunidad etnica, tener en cuenta el contrato de logistica para su control. Aca se describen solo las actividades de pueblos </t>
        </r>
        <r>
          <rPr>
            <b/>
            <sz val="9"/>
            <color indexed="81"/>
            <rFont val="Tahoma"/>
            <family val="2"/>
          </rPr>
          <t>NARP</t>
        </r>
        <r>
          <rPr>
            <sz val="9"/>
            <color indexed="81"/>
            <rFont val="Tahoma"/>
            <family val="2"/>
          </rPr>
          <t xml:space="preserve"> y </t>
        </r>
        <r>
          <rPr>
            <b/>
            <sz val="9"/>
            <color indexed="81"/>
            <rFont val="Tahoma"/>
            <family val="2"/>
          </rPr>
          <t xml:space="preserve">ROM. </t>
        </r>
        <r>
          <rPr>
            <sz val="9"/>
            <color indexed="81"/>
            <rFont val="Tahoma"/>
            <family val="2"/>
          </rPr>
          <t>Los eventos indigenas se reportan en meta 1
-Dia de la Afrocolombianidad
-Dia de los pueblos gitanos</t>
        </r>
      </text>
    </comment>
    <comment ref="A31" authorId="0" shapeId="0">
      <text>
        <r>
          <rPr>
            <sz val="9"/>
            <color indexed="81"/>
            <rFont val="Tahoma"/>
            <family val="2"/>
          </rPr>
          <t>Esto debe irse reportando conforme el cronograma que se tiene para la formulacion
MAURICIO CASTRO Y JHON JAIRO</t>
        </r>
      </text>
    </comment>
    <comment ref="A35" authorId="0" shapeId="0">
      <text>
        <r>
          <rPr>
            <sz val="9"/>
            <color indexed="81"/>
            <rFont val="Tahoma"/>
            <family val="2"/>
          </rPr>
          <t>-Evento de socialización principal
-Socializacion con organizaciones
-Ronda de medios
-Socializacion en universidades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Proyectos productivos</t>
        </r>
        <r>
          <rPr>
            <sz val="9"/>
            <color indexed="81"/>
            <rFont val="Tahoma"/>
            <family val="2"/>
          </rPr>
          <t xml:space="preserve"> 
CLEISER CUERO diseña la estrategia y hace seguimiento a la implementacion
HANNIA LONDOÑO: Realiza el proceso contractual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</rPr>
          <t>Informes de meta que se reportan a Planeación.</t>
        </r>
        <r>
          <rPr>
            <sz val="9"/>
            <color indexed="81"/>
            <rFont val="Tahoma"/>
            <family val="2"/>
          </rPr>
          <t xml:space="preserve"> 
CLEISSER CUERO: proyecta informes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 xml:space="preserve">Dotacion etnica (Afro,gitanos)
</t>
        </r>
        <r>
          <rPr>
            <sz val="9"/>
            <color indexed="81"/>
            <rFont val="Tahoma"/>
            <family val="2"/>
          </rPr>
          <t>ANDRES GOMEZ: Estructura el proceso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Organizacines AFRO y Gitanas</t>
        </r>
      </text>
    </comment>
  </commentList>
</comments>
</file>

<file path=xl/comments2.xml><?xml version="1.0" encoding="utf-8"?>
<comments xmlns="http://schemas.openxmlformats.org/spreadsheetml/2006/main">
  <authors>
    <author>EQUIPO-17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Asistencia externa en la atencion de la Casa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Alcaldias al Barrio, ofertas institucionales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 xml:space="preserve">EQUIPO-
</t>
        </r>
        <r>
          <rPr>
            <sz val="9"/>
            <color indexed="81"/>
            <rFont val="Tahoma"/>
            <family val="2"/>
          </rPr>
          <t xml:space="preserve">cursos en areas productivas y emprendimiento a cargo de los contratistas
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1. Dia de la mujer
2. Dia de la familia
3. Dia de la madre lider
4. Rendicion de cuentas, Encuentro folclorico.
5. Fin de año</t>
        </r>
      </text>
    </comment>
  </commentList>
</comments>
</file>

<file path=xl/comments3.xml><?xml version="1.0" encoding="utf-8"?>
<comments xmlns="http://schemas.openxmlformats.org/spreadsheetml/2006/main">
  <authors>
    <author>EQUIPO-17</author>
  </authors>
  <commentList>
    <comment ref="A17" authorId="0" shapeId="0">
      <text>
        <r>
          <rPr>
            <sz val="9"/>
            <color indexed="81"/>
            <rFont val="Tahoma"/>
            <family val="2"/>
          </rPr>
          <t>Trabajo con Asociaciones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DOTACION $400, PERSONAL $110, AUX FUNERARIOS 40
Actividades con keralty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Alcaldias al barrio, ofertas institucionales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MANTENIMIENTO $300 LOGISTICA$86 
PERSONAL $100 , semanal debe de entregar reporte de las actividades en los centros</t>
        </r>
      </text>
    </comment>
    <comment ref="A25" authorId="0" shapeId="0">
      <text>
        <r>
          <rPr>
            <sz val="9"/>
            <color indexed="81"/>
            <rFont val="Tahoma"/>
            <family val="2"/>
          </rPr>
          <t xml:space="preserve">Informes psicosociales que generaron los ingresos al CBA
</t>
        </r>
      </text>
    </comment>
    <comment ref="A29" authorId="0" shapeId="0">
      <text>
        <r>
          <rPr>
            <sz val="9"/>
            <color indexed="81"/>
            <rFont val="Tahoma"/>
            <family val="2"/>
          </rPr>
          <t>Los que tienen asignada esta actividad, deben de generar mesas de trabajo con el equipo, liderar temas que contribuyan al seguimiento de estos objeticos, generar actas e informes</t>
        </r>
      </text>
    </comment>
  </commentList>
</comments>
</file>

<file path=xl/comments4.xml><?xml version="1.0" encoding="utf-8"?>
<comments xmlns="http://schemas.openxmlformats.org/spreadsheetml/2006/main">
  <authors>
    <author>EQUIPO-17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Proyectos productivos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Logistica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Taller de lengua de señas 
Taller de braile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Atencion integral externa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Batuta los domingos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Intervenciones psicosociales, para mercados, eventuales peticiones, acciones de tutela, etc...</t>
        </r>
      </text>
    </comment>
  </commentList>
</comments>
</file>

<file path=xl/comments5.xml><?xml version="1.0" encoding="utf-8"?>
<comments xmlns="http://schemas.openxmlformats.org/spreadsheetml/2006/main">
  <authors>
    <author>EQUIPO-17</author>
  </authors>
  <commentList>
    <comment ref="A2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Activacion de 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Consumo responsable</t>
        </r>
      </text>
    </comment>
  </commentList>
</comments>
</file>

<file path=xl/comments6.xml><?xml version="1.0" encoding="utf-8"?>
<comments xmlns="http://schemas.openxmlformats.org/spreadsheetml/2006/main">
  <authors>
    <author>EQUIPO-17</author>
  </authors>
  <commentList>
    <comment ref="A17" authorId="0" shapeId="0">
      <text>
        <r>
          <rPr>
            <sz val="9"/>
            <color indexed="81"/>
            <rFont val="Tahoma"/>
            <family val="2"/>
          </rPr>
          <t>Contrato de alojamiento, kits y personal
ABOGADO JUAN CARLOS GIL</t>
        </r>
      </text>
    </comment>
    <comment ref="A21" authorId="0" shapeId="0">
      <text>
        <r>
          <rPr>
            <sz val="9"/>
            <color indexed="81"/>
            <rFont val="Tahoma"/>
            <family val="2"/>
          </rPr>
          <t>Atencion en la oficina  de la UAO
Asistencia externa</t>
        </r>
      </text>
    </comment>
  </commentList>
</comments>
</file>

<file path=xl/sharedStrings.xml><?xml version="1.0" encoding="utf-8"?>
<sst xmlns="http://schemas.openxmlformats.org/spreadsheetml/2006/main" count="1519" uniqueCount="657">
  <si>
    <t>E</t>
  </si>
  <si>
    <t>P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</si>
  <si>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</si>
  <si>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</si>
  <si>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</si>
  <si>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</si>
  <si>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</si>
  <si>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</si>
  <si>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</si>
  <si>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</si>
  <si>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</si>
  <si>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</si>
  <si>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</si>
  <si>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</si>
  <si>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</si>
  <si>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</si>
  <si>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</si>
  <si>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</si>
  <si>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FUENTES DE FINANCIACION                             ( EN MILES DE $)</t>
  </si>
  <si>
    <t>COSTO TOTAL ( MILES DE PESOS)</t>
  </si>
  <si>
    <t>CANT.</t>
  </si>
  <si>
    <t>UNIDAD DE MEDIDA</t>
  </si>
  <si>
    <r>
      <t>PROG</t>
    </r>
    <r>
      <rPr>
        <b/>
        <sz val="12"/>
        <rFont val="Arial MT"/>
      </rPr>
      <t xml:space="preserve">  EJEC</t>
    </r>
  </si>
  <si>
    <t>PRINCIPALES ACTIVIDADES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</si>
  <si>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</si>
  <si>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</si>
  <si>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</si>
  <si>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</si>
  <si>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</si>
  <si>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</si>
  <si>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</si>
  <si>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</si>
  <si>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DIMENSION: </t>
  </si>
  <si>
    <t>SOCIOCULTURAL</t>
  </si>
  <si>
    <t>Estrategia implementada</t>
  </si>
  <si>
    <t>OBSERVACIONES:</t>
  </si>
  <si>
    <t>Política pública implementada</t>
  </si>
  <si>
    <t>VIBRA CON INCLUSION Y DIVERSIDAD</t>
  </si>
  <si>
    <t xml:space="preserve">INCLUSION SOCIAL Y PRODUCTIVA PARA LA POBLACION EN SITUACION DE VULNERABILIDAD   </t>
  </si>
  <si>
    <t>FORTALECIMIENTO DE LA DIVERSIDAD ETNICA Y CULTURAL EN EL MUNICIPIO DE IBAGUÉ</t>
  </si>
  <si>
    <t>p</t>
  </si>
  <si>
    <t>Atención Integral y orientación brindada</t>
  </si>
  <si>
    <t>Personas beneficiadas</t>
  </si>
  <si>
    <t>Eventos y/o socializaciones realizadas</t>
  </si>
  <si>
    <t>Fortalecimiento y seguimiento a proyectos productivos brindado</t>
  </si>
  <si>
    <t>Número de población atendida</t>
  </si>
  <si>
    <t>Política pública aprobada e implementada</t>
  </si>
  <si>
    <t xml:space="preserve">ATENCIÓN INTEGRAL DE POBLACIÓN EN CONDICION PERMANENTE DE DESPROTECCIÓN SOCIAL Y/O FAMILIAR.   </t>
  </si>
  <si>
    <t>COMPROMISO INTEGRAL DE LA MANO CON LOS ADULTOS MAYORES EN EL MUNICIPIO DE IBAGUÉ.</t>
  </si>
  <si>
    <t>Porcentaje de población atendida</t>
  </si>
  <si>
    <t>Número de comedores implementados</t>
  </si>
  <si>
    <t>Número de Adultos mayores beneficiados</t>
  </si>
  <si>
    <t>COMPROMISO DEL TERRITORIO INCLUYENTE CON LA DISCAPACIDAD EN EL MUNICIPIO DE IBAGUÉ</t>
  </si>
  <si>
    <t>1.1.3 Seguimiento y control a las unidades productivas para pérsonas con discapacidad, cuidadores y organización PcD</t>
  </si>
  <si>
    <t>6.1.3 Brindar atencion integral y orientacion a la poblacion con discapacidad que lo requiera mediante Asesorias juridicas, orientacion personalizada de sus necesidades.</t>
  </si>
  <si>
    <t>Número de Unidades productivas apoyadas</t>
  </si>
  <si>
    <t>Número de Personas con discapacidad beneficiadas</t>
  </si>
  <si>
    <t>Número de unidades productivas beneficiadas</t>
  </si>
  <si>
    <t>Número de programas implementados</t>
  </si>
  <si>
    <t>Número de personas beneficiadas</t>
  </si>
  <si>
    <t xml:space="preserve">No. de ayudas técnicas entregadas </t>
  </si>
  <si>
    <t>Política Pública actualizada e implementada</t>
  </si>
  <si>
    <t>Programa diseñado y ejecutado</t>
  </si>
  <si>
    <t>APOYO EN LA INCLUSIÓN SOCIAL AL HABITANTE DE CALLE EN EL MUNICIPIO DE IBAGUÉ.</t>
  </si>
  <si>
    <t>Politica  publica Formulada</t>
  </si>
  <si>
    <t>Plan de acción integral implementado</t>
  </si>
  <si>
    <t xml:space="preserve">Estrategia implementada </t>
  </si>
  <si>
    <t>Programa de Sensibilización  Implementado.</t>
  </si>
  <si>
    <t>IBAGUÉ POR LA GARANTIA DE LOA DERECHOS DE LAS VICTIMAS</t>
  </si>
  <si>
    <t>COMPROMISO POR LA GARANTÍA DE LOS DERECHOS DE LAS VÍCTIMAS EN EL MUNICIPIO DE IBAGUÉ.</t>
  </si>
  <si>
    <t>Porcentaje de poblacion beneficiada</t>
  </si>
  <si>
    <t>Porcentaje de rutas actualizadas y con seguimiento</t>
  </si>
  <si>
    <t>Número de planes implementados</t>
  </si>
  <si>
    <t>CRARIV implementado</t>
  </si>
  <si>
    <t>Capacitaciones realizadas</t>
  </si>
  <si>
    <t>Mesa de participación de victimas apoyada</t>
  </si>
  <si>
    <t>Caracterización actualizada</t>
  </si>
  <si>
    <t>Eventos y/o conmemoraciones realizados</t>
  </si>
  <si>
    <t>Politica publica implementada</t>
  </si>
  <si>
    <t>Porcentaje de población beneficiada</t>
  </si>
  <si>
    <r>
      <rPr>
        <b/>
        <sz val="12"/>
        <color rgb="FF000000"/>
        <rFont val="Arial MT"/>
      </rPr>
      <t>META DE PRODUCTO No. 1</t>
    </r>
    <r>
      <rPr>
        <sz val="12"/>
        <color rgb="FF000000"/>
        <rFont val="Arial mt"/>
      </rPr>
      <t>: Implementar política pública Población Indígena</t>
    </r>
  </si>
  <si>
    <r>
      <rPr>
        <b/>
        <sz val="12"/>
        <color rgb="FF000000"/>
        <rFont val="Arial MT"/>
      </rPr>
      <t>META DE PRODUCTO No. 2</t>
    </r>
    <r>
      <rPr>
        <sz val="12"/>
        <color rgb="FF000000"/>
        <rFont val="Arial mt"/>
      </rPr>
      <t>: Estrategia para el fortalecimiento integral, asesoría la población étnica que resida en el municipio de Ibagué</t>
    </r>
  </si>
  <si>
    <r>
      <rPr>
        <b/>
        <sz val="12"/>
        <color rgb="FF000000"/>
        <rFont val="Arial MT"/>
      </rPr>
      <t>META DE PRODUCTO No. 3</t>
    </r>
    <r>
      <rPr>
        <sz val="12"/>
        <color rgb="FF000000"/>
        <rFont val="Arial mt"/>
      </rPr>
      <t xml:space="preserve">: Aprobar e implementar política pública de la población afrodescendiente </t>
    </r>
  </si>
  <si>
    <r>
      <rPr>
        <b/>
        <sz val="12"/>
        <color rgb="FF000000"/>
        <rFont val="Arial MT"/>
      </rPr>
      <t xml:space="preserve">META DE PRODUCTO No. 4: </t>
    </r>
    <r>
      <rPr>
        <sz val="12"/>
        <color rgb="FF000000"/>
        <rFont val="Arial mt"/>
      </rPr>
      <t>Implementación de una estrategia para el fortalecimiento del modelo intercultural y de capacidades para las comunidades étnicas del municipio de Ibagué</t>
    </r>
  </si>
  <si>
    <r>
      <rPr>
        <b/>
        <sz val="12"/>
        <rFont val="Arial MT"/>
      </rPr>
      <t>META DE RESULTADO No. 1</t>
    </r>
    <r>
      <rPr>
        <sz val="12"/>
        <rFont val="Arial MT"/>
      </rPr>
      <t>: Implementar un plan de acción integral para la población étnica del municipio de Ibagué</t>
    </r>
  </si>
  <si>
    <t>MEJORAMIENTO EN LA LUCHA CONTRA LA POBREZA EN EL MUNICIPIO DE IBAGUE</t>
  </si>
  <si>
    <r>
      <rPr>
        <b/>
        <sz val="12"/>
        <rFont val="Arial"/>
        <family val="2"/>
      </rPr>
      <t>PROCESO:</t>
    </r>
    <r>
      <rPr>
        <sz val="12"/>
        <rFont val="Arial"/>
        <family val="2"/>
      </rPr>
      <t xml:space="preserve"> PLANEACION ESTRATEGICA Y TERRITORIAL</t>
    </r>
  </si>
  <si>
    <r>
      <t xml:space="preserve">Codigo: </t>
    </r>
    <r>
      <rPr>
        <sz val="12"/>
        <rFont val="Arial"/>
        <family val="2"/>
      </rPr>
      <t>FOR-08-PRO-PET-01</t>
    </r>
  </si>
  <si>
    <r>
      <t>Version:</t>
    </r>
    <r>
      <rPr>
        <sz val="12"/>
        <rFont val="Arial"/>
        <family val="2"/>
      </rPr>
      <t xml:space="preserve"> 01</t>
    </r>
  </si>
  <si>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PLAN DE ACCION</t>
    </r>
  </si>
  <si>
    <r>
      <t xml:space="preserve">Fecha: </t>
    </r>
    <r>
      <rPr>
        <sz val="12"/>
        <rFont val="Arial"/>
        <family val="2"/>
      </rPr>
      <t>31/08/2017</t>
    </r>
  </si>
  <si>
    <r>
      <t xml:space="preserve">Pagina: </t>
    </r>
    <r>
      <rPr>
        <sz val="12"/>
        <rFont val="Arial"/>
        <family val="2"/>
      </rPr>
      <t>1 de  1</t>
    </r>
  </si>
  <si>
    <r>
      <t>PROG</t>
    </r>
    <r>
      <rPr>
        <b/>
        <sz val="12"/>
        <rFont val="Arial"/>
        <family val="2"/>
      </rPr>
      <t xml:space="preserve">  EJEC</t>
    </r>
  </si>
  <si>
    <r>
      <rPr>
        <b/>
        <sz val="12"/>
        <rFont val="Arial"/>
        <family val="2"/>
      </rPr>
      <t xml:space="preserve">META DE RESULTADO NO. 1: </t>
    </r>
    <r>
      <rPr>
        <sz val="12"/>
        <rFont val="Arial"/>
        <family val="2"/>
      </rPr>
      <t>Beneficiar a 800 Habitantes de Calle con asistencia institucional</t>
    </r>
  </si>
  <si>
    <r>
      <rPr>
        <b/>
        <sz val="12"/>
        <rFont val="Arial"/>
        <family val="2"/>
      </rPr>
      <t>META DE PRODUCTO No. 1</t>
    </r>
    <r>
      <rPr>
        <sz val="12"/>
        <rFont val="Arial"/>
        <family val="2"/>
      </rPr>
      <t>: Formular e implementar la política pública de habitante de calle</t>
    </r>
  </si>
  <si>
    <r>
      <rPr>
        <b/>
        <sz val="12"/>
        <rFont val="Arial"/>
        <family val="2"/>
      </rPr>
      <t>META DE PRODUCTO No. 2</t>
    </r>
    <r>
      <rPr>
        <sz val="12"/>
        <rFont val="Arial"/>
        <family val="2"/>
      </rPr>
      <t>: Implementar Plan de Acción integral para los habitantes de calle</t>
    </r>
  </si>
  <si>
    <r>
      <rPr>
        <b/>
        <sz val="12"/>
        <rFont val="Arial"/>
        <family val="2"/>
      </rPr>
      <t>META DE PRODUCTO No. 3</t>
    </r>
    <r>
      <rPr>
        <sz val="12"/>
        <rFont val="Arial"/>
        <family val="2"/>
      </rPr>
      <t>: Implementar la estrategia de atención a los habitantes de calle con enfoque de resocialización.</t>
    </r>
  </si>
  <si>
    <r>
      <rPr>
        <b/>
        <sz val="12"/>
        <rFont val="Arial"/>
        <family val="2"/>
      </rPr>
      <t>META DE RESULTADO NO. 1</t>
    </r>
    <r>
      <rPr>
        <sz val="12"/>
        <rFont val="Arial"/>
        <family val="2"/>
      </rPr>
      <t>:Beneficiar a 400  habitantes de calle  (OSD 1, 2)</t>
    </r>
  </si>
  <si>
    <r>
      <rPr>
        <b/>
        <sz val="12"/>
        <rFont val="Arial"/>
        <family val="2"/>
      </rPr>
      <t>META DE PRODUCTO No. 4</t>
    </r>
    <r>
      <rPr>
        <sz val="12"/>
        <rFont val="Arial"/>
        <family val="2"/>
      </rPr>
      <t>:Realizar e implementar el programa de Sensibilización enfocadas a la prevención del consumo de sustancias psicoactivas, con actores sociales del municipio</t>
    </r>
  </si>
  <si>
    <t xml:space="preserve">Número de PcD beneficiadas </t>
  </si>
  <si>
    <t>Numero de Jornadas Realizadas</t>
  </si>
  <si>
    <t>Numero de Jornadas Realizadas.</t>
  </si>
  <si>
    <t>3.1.2 Beneficiar a personas con discapacidad mediante el suministro de ayudas tecnicas.</t>
  </si>
  <si>
    <t>Documento de diagnostico elaborado</t>
  </si>
  <si>
    <t>Numero de Jornadas realizadas</t>
  </si>
  <si>
    <t xml:space="preserve">3,1,1  Implementar comedores comunitarios para Beneficiar a los adultos mayores de la zona urbana y rural con la entrega de ayudas nutriocionales </t>
  </si>
  <si>
    <t>Numero de Eventos Realizados</t>
  </si>
  <si>
    <t>% de novedades Gestionadas</t>
  </si>
  <si>
    <t xml:space="preserve">3.1.1 Realizar valoracion a personas con discapacidad para la  entrega de  las ayudas tecnicas </t>
  </si>
  <si>
    <t>Número de valoraciones realizadas</t>
  </si>
  <si>
    <t>Numero de comedores comunitarios implementados</t>
  </si>
  <si>
    <t>% de entrega de auxilios funerarios</t>
  </si>
  <si>
    <t>7.1.2 Apoyar a la Mesa de participación de víctimas en su  funcionamiento y pago de incentivos</t>
  </si>
  <si>
    <t>% de personas beneficiadas</t>
  </si>
  <si>
    <r>
      <t xml:space="preserve">CODIGO PRESUPUESTAL:  </t>
    </r>
    <r>
      <rPr>
        <sz val="12"/>
        <rFont val="Arial"/>
        <family val="2"/>
      </rPr>
      <t xml:space="preserve">2113201010030302-01 211320201004-01  /  211320202007-01 /  211320202009-01      </t>
    </r>
    <r>
      <rPr>
        <b/>
        <sz val="12"/>
        <rFont val="Arial"/>
        <family val="2"/>
      </rPr>
      <t xml:space="preserve">  </t>
    </r>
  </si>
  <si>
    <r>
      <t xml:space="preserve">RUBRO: </t>
    </r>
    <r>
      <rPr>
        <sz val="12"/>
        <rFont val="Arial"/>
        <family val="2"/>
      </rPr>
      <t>COMPROMISO DEL TERRITORIO INCLUYENTE CON LA DISCAPACIDAD EN EL MUNICIPIO DE IBAGUE</t>
    </r>
  </si>
  <si>
    <r>
      <t xml:space="preserve">CODIGO PRESUPUESTAL:  </t>
    </r>
    <r>
      <rPr>
        <sz val="12"/>
        <rFont val="Arial"/>
        <family val="2"/>
      </rPr>
      <t>211320201004-01
211320202009-01</t>
    </r>
  </si>
  <si>
    <r>
      <t xml:space="preserve">Objetivos: </t>
    </r>
    <r>
      <rPr>
        <sz val="10"/>
        <rFont val="Arial"/>
        <family val="2"/>
      </rPr>
      <t>RESTABLECER EL ENFOQUE DE DERECHOS A LAS PERSONAS CON DISCAPACIDAD, RESALTANDO SUS CAPACIDADES DENTRO DE UNA SOCIEDAD DIVERSA COMO EN LA QUE VIVIMOS ACTUALMENTE, PRETENDIENDO QUE TODAS LAS ACCIONES VAYAN ENCAMINADAS A SUS DERECHOS COMO CIUDADANOS DENTRO DEL ESTADO COLOMBIANO, LOGRANDO EL RESTABLECIMIENTO DEL DERECHO A LA ACCESIBILIDAD EN TODO SENTIDO, LA PROMOCIÓN DEL EMPRENDIMIENTO Y LA INCLUSIÓN LABORAL DE LA POBLACIÓN, CON EL FIN DE TENER UNA SENSIBILIZACIÓN Y MAYOR TOMA DE CONCIENCIA POR APARTE DE LA POBLACIÓN DEL MUNICIPIO DE IBAGUÉ FRENTE A ESTA POBLACIÓN.</t>
    </r>
  </si>
  <si>
    <t>FUENTES DE FINANCIACION                             (EN MILES DE $)</t>
  </si>
  <si>
    <t>COSTO TOTAL (MILES DE PESOS)</t>
  </si>
  <si>
    <r>
      <t xml:space="preserve"> RUBRO: </t>
    </r>
    <r>
      <rPr>
        <sz val="12"/>
        <rFont val="Arial"/>
        <family val="2"/>
      </rPr>
      <t>APOYO EN LA INCLUSION SOCIAL AL HABITANTE DE CALLE EN EL MUNICIPIO DE IBAGUE</t>
    </r>
  </si>
  <si>
    <r>
      <t xml:space="preserve">CODIGO PRESUPUESTAL:     </t>
    </r>
    <r>
      <rPr>
        <sz val="12"/>
        <rFont val="Arial"/>
        <family val="2"/>
      </rPr>
      <t>211320202009-01</t>
    </r>
  </si>
  <si>
    <r>
      <t xml:space="preserve">RUBRO: </t>
    </r>
    <r>
      <rPr>
        <sz val="12"/>
        <rFont val="Arial"/>
        <family val="2"/>
      </rPr>
      <t>COMPROMISO INTEGRAL DE LA MANO CON LOS ADULTOS MAYORES EN EL MINICIPIO DE IBAGUE</t>
    </r>
  </si>
  <si>
    <r>
      <t xml:space="preserve">Objetivos: </t>
    </r>
    <r>
      <rPr>
        <sz val="11"/>
        <rFont val="Arial"/>
        <family val="2"/>
      </rPr>
      <t>DESARROLLAR ACTIVIDADES PERMANENTES DE ATENCIÓN INTEGRAL EN LAS ÁREAS DE MEDICINA, ENFERMERÍA, FISIOTERAPIA, PSICOLOGÍA, PSICOPEDAGOGÍA, EDUCACIÓN FÍSICA, ACTIVIDADES LÚDICAS RECREATIVAS Y CULTURALES QUE PROMUEVEN EL RECONOCIMIENTO SOCIAL, LA PERMANENCIA EN LA VIDA FAMILIAR Y LA PARTICIPACIÓN DEL ADULTO MAYOR DENTRO DE LA SOCIEDAD.</t>
    </r>
  </si>
  <si>
    <r>
      <t>RUBRO:</t>
    </r>
    <r>
      <rPr>
        <sz val="12"/>
        <rFont val="Arial"/>
        <family val="2"/>
      </rPr>
      <t xml:space="preserve"> COMPROMISO POR LA GARANTIA DE LOS DERECHOS DE LAS VICTIMAS EN EL MUNICIPIO DE IBAGUE</t>
    </r>
  </si>
  <si>
    <t>Mesa de vícitimas apoyada</t>
  </si>
  <si>
    <t>FUENTES DE FINANCIACION (EN MILES DE $)</t>
  </si>
  <si>
    <t>1.1.6 Beneficiar con asesoria jurídica al 100% de las  personas víctimas del conflcito armado que lo requieran.</t>
  </si>
  <si>
    <t>9.1.1 Realizar eventos de conmemoracion para las victimas de conflicto armando del municipio de ibague</t>
  </si>
  <si>
    <t>SECRETARÍA / ENTIDAD:  SECRETARÍA DE DESARROLLO SOCIAL COMUNITARIO      / GRUPO: DIRECCIÓN DE GRUPOS ETNICOS Y POBLACIÓN VULNERABLE</t>
  </si>
  <si>
    <t>número de mujeres madres cabezas de familia beneficiadas</t>
  </si>
  <si>
    <t>mujeres cuidadoras de pcd beneficiadas</t>
  </si>
  <si>
    <t>casa de la mujer gestionada</t>
  </si>
  <si>
    <t>ruta de atención implementada</t>
  </si>
  <si>
    <t>número de unidades productivas apoyadas</t>
  </si>
  <si>
    <t>porcentaje de mujeres y población lgbti atendidas</t>
  </si>
  <si>
    <t>Número de programas diseñados, actualizados e implementados</t>
  </si>
  <si>
    <t>No. De Boletines y/o informes publicados</t>
  </si>
  <si>
    <t>8.1.5 Generar boletines y/o informes con indicadores actualizados para ser publicados y fortalecer el Observatorio de los derechos de la Mujer y la Equidad de Género</t>
  </si>
  <si>
    <t>Ruta de atención implementada</t>
  </si>
  <si>
    <t>Centro de atención implementado</t>
  </si>
  <si>
    <t>7.1.1 Implementar el Centro de acogida y autocuidado para la atención integral de las mujeres habitantes de calle.</t>
  </si>
  <si>
    <t>6.1.1 implementar una estrategia para sensibilización y prevención de la violencia de genero y diversidad sexual.</t>
  </si>
  <si>
    <t>Proyectos Productivos estructurados</t>
  </si>
  <si>
    <t xml:space="preserve">5.1.4  Estructurar Proyectos productivos para beneficiar a mujeres y población LGBTI  </t>
  </si>
  <si>
    <t>No. De unidades productivas fortalecidas</t>
  </si>
  <si>
    <t xml:space="preserve">5.1.3 Fortalecer unidades productivas de mujeres vulnerables y población LGBTI. </t>
  </si>
  <si>
    <t>No. De eventos y/o conmemoraciones realizadas</t>
  </si>
  <si>
    <t>4.1.4 Realizar Eventos y/o conmemoraciones a la población LGBTI  del municipio de Ibague.</t>
  </si>
  <si>
    <t>4.1.3 Realizar Eventos y/o conmemoraciones a las Mujeres del municipio de Ibagué</t>
  </si>
  <si>
    <t>Porcentaje de población acompañada y asesorada que requierió el servicio.</t>
  </si>
  <si>
    <t>4.1.1 Acompañar y asesorar administrativa, psicológica y jurídicamente a las mujeres y población sexualmente diversa que requieran el servicio</t>
  </si>
  <si>
    <t>Estrategia de atención implementada</t>
  </si>
  <si>
    <t>3.1.2 Implementar estrategia para atender integralmente a las mujeres cuidadoras de PcD</t>
  </si>
  <si>
    <t>Plan de acción  implementado</t>
  </si>
  <si>
    <t>2.1.1  Implementar plan de acción de la politica publica de la poblacion LGBTIQ+</t>
  </si>
  <si>
    <t>No. De actividades administrativas y de gestión</t>
  </si>
  <si>
    <t>1.1.4 Actividades administrativas y de gestión de procesos de capacitación y formación.</t>
  </si>
  <si>
    <t>No. De capacitaciones realizadas</t>
  </si>
  <si>
    <t>1.1.1 Realizar  capacitaciones a mujeresy y población LGBTI en  areas productivas y no productivas.</t>
  </si>
  <si>
    <t>FORTALECIMIENTO A LA MUJER, EQUIDAD DE GÉNERO Y DIVERSIDAD SEXUAL EN EL MUNICIPIO DE IBAGUÉ.</t>
  </si>
  <si>
    <t xml:space="preserve">INCLUSION SOCIAL Y PRODUCTIVA PARA LA POBLACION EN SITUACION DE VULNERABILIDAD    </t>
  </si>
  <si>
    <t>VIBRA CON INCLUSIÓN Y DIVERSIDAD</t>
  </si>
  <si>
    <r>
      <t xml:space="preserve">Objetivos: </t>
    </r>
    <r>
      <rPr>
        <sz val="12"/>
        <rFont val="Arial"/>
        <family val="2"/>
      </rPr>
      <t>POTENCIAR EL PAPEL INTEGRAL DE LA MUJER IBAGUEREÑA, ATENDIENDO SUS INTERESES ESTRATÉGICOS Y NECESIDADES PRÁCTICAS A TRAVÉS DE LA PROMOCIÓN DE LA EQUIDAD DE GÉNERO Y EL FORTALECIMIENTO DE SU DESARROLLO INTEGRAL.</t>
    </r>
  </si>
  <si>
    <t>SECRETARÍA / ENTIDAD:  SECRETARÍA DE DESARROLLO SOCIAL COMUNITARIO      / GRUPO: MUJER GÉNERO Y DIVERSIDAD SEXUAL</t>
  </si>
  <si>
    <t>Número de comedores operando</t>
  </si>
  <si>
    <t>Número de Estrategia implementada</t>
  </si>
  <si>
    <t>Número de redes de apoyo fomentadas</t>
  </si>
  <si>
    <t>Número Hogar de paso implementado</t>
  </si>
  <si>
    <t>Número de estrategia diseñada e implementada</t>
  </si>
  <si>
    <t>Política Pública actualizada e implementada.</t>
  </si>
  <si>
    <t>Ruta Implementada</t>
  </si>
  <si>
    <t>Número de programa diseñado e implementado</t>
  </si>
  <si>
    <t>Número de estrategia implementada</t>
  </si>
  <si>
    <t>No. de Estrategia implementada</t>
  </si>
  <si>
    <t xml:space="preserve">Política Pública formulada </t>
  </si>
  <si>
    <t>16.1.2 Realizar jornadas de sensibilización y capacitación orientadas a la prevención del abuso explotación y comercio sexual de niños, niñas y adolescentes del municipio</t>
  </si>
  <si>
    <t>15.1.2 Realizar campaña de sensibilización y capacitación para la prevecnión de la violencia, contra niños, niñas y adolescentes</t>
  </si>
  <si>
    <t>Hogar de paso implementado</t>
  </si>
  <si>
    <t>14.1.3 Implementar el hogar de paso</t>
  </si>
  <si>
    <t>No. de beneficairios atendidos</t>
  </si>
  <si>
    <t>13.1.2 Beneficiar a niños y niñas, a través del programa de guardería nocturnas</t>
  </si>
  <si>
    <t>Campaña diseñada</t>
  </si>
  <si>
    <t xml:space="preserve">12.1.2 Realizar campañas de sensibilización sobre el derecho a la identidad </t>
  </si>
  <si>
    <t>Número de alianzas establecidas</t>
  </si>
  <si>
    <t>Número de actividades realizadas</t>
  </si>
  <si>
    <t>11.1.3 Realizar actividades educativas, pedagógicos, recreativas, culturales, de formación y/o capacitación dirigidas a niños, niñas y adolescentes del municipio</t>
  </si>
  <si>
    <t>No. de talleres realizados</t>
  </si>
  <si>
    <t>10.1.2 Realizar talleres, sobre la participación de niños niñas y adolecentes.</t>
  </si>
  <si>
    <t>9.1.6 Realizar entrega de auxilios funerarios según la demanda de la comunidad.</t>
  </si>
  <si>
    <t>9.1.2 Establecer alianzas con el sector público y el sector privado  para desarrollar acciones en favor del bienestar de los niños niñas y adolescentes del municipio en el marco de la implementación de la política pública de infancia.</t>
  </si>
  <si>
    <t>Política Pública actualizada</t>
  </si>
  <si>
    <t>9.1.1 Actualizar  la Política Pública de Infancia del municipio de Ibagué</t>
  </si>
  <si>
    <t>Ruta diseñada e implementada</t>
  </si>
  <si>
    <t>8.1.2 Diseñar e implementar la Ruta Integral de Atenciones  de primera infancia, Infancia y Adolescencia.</t>
  </si>
  <si>
    <t>8.1.1Establecer alianzas con el sector público y el sector privado  para el diseño y la implementación de la Ruta Integral de Atenciones</t>
  </si>
  <si>
    <t>7.1.4 Socializar y difundir la política pública de Primera Infancia</t>
  </si>
  <si>
    <t>Plan estratégico elaborado</t>
  </si>
  <si>
    <t>7.1.3 Elaborar el plan estrategico de la política Pública de Primera Infancia</t>
  </si>
  <si>
    <t>No. de alianzas realizadas</t>
  </si>
  <si>
    <t>5.1.6 Realizar talleres y/o capacitaciones y/o actividades psicosociales tanto a los beneficiarios del programa, como a su núcleo familia</t>
  </si>
  <si>
    <t>Número de visitas realizadas</t>
  </si>
  <si>
    <t>5.1.3 Realizar visitas de seguimiento a la prestación del servicio de los comedores comunitarios</t>
  </si>
  <si>
    <t>Número de NNA beneficiados</t>
  </si>
  <si>
    <t>5.1.2 Beneficiar a niños, niñas y adolescentes con  entrega de almuerzos calientes en el marco del programa comedores comunitarios</t>
  </si>
  <si>
    <t>4.1.1 Realizar campañas de sensibilización y capacitación orientadas a la generación de habilidades de autoprotección y autocuidado, dirigida a niños, niñas y adolescentes</t>
  </si>
  <si>
    <t>3.1.4 Realizar activiades de acompañamiento y seguimiento a las familias beneficiarias de la estrategia de fortalecimiento familiar.</t>
  </si>
  <si>
    <t>2.1.3 Realizar actividades recreativas en comunas y corregimientos del municipio</t>
  </si>
  <si>
    <t>No. de actividades realizadas</t>
  </si>
  <si>
    <t>1.1.2 Realizar actividades de acompañamiento asociado a la estrategia enfocada en madres gestantes y niños con alimentación complementaria</t>
  </si>
  <si>
    <r>
      <t xml:space="preserve">RUBRO: </t>
    </r>
    <r>
      <rPr>
        <sz val="12"/>
        <rFont val="Arial"/>
        <family val="2"/>
      </rPr>
      <t>FORTALECIMIENTO DE IBAGUE VIBRA CON NIÑAS, Y NIÑOS, PROTEGIDOS, SANOS Y FELICES EN EL MUNICIPIO DE IBAGUÉ</t>
    </r>
  </si>
  <si>
    <t>FORTALECIMIENTO DE IBAGUE VIBRA CON NIÑAS, Y NIÑOS, PROTEGIDOS, SANOS Y FELICES EN EL MUNICIPIO DE IBAGUÉ</t>
  </si>
  <si>
    <t>DESARROLLO INTEGRAL DE NIÑOS, NIÑAS, ADOLESCENTES Y SUS FAMILIAS</t>
  </si>
  <si>
    <t xml:space="preserve"> LA INFANCIA, LA ADOLESCENCIA Y LA JUVENTUD VIBRAN POR SUS DERECHOS</t>
  </si>
  <si>
    <r>
      <t xml:space="preserve">Objetivos: </t>
    </r>
    <r>
      <rPr>
        <sz val="12"/>
        <rFont val="Arial"/>
        <family val="2"/>
      </rPr>
      <t>PROMOVER LA AUTOGESTION Y AUTORREALIZACION DE LOS NNA ATRAVES DE ACTIVIDADES LUDICO PEDAGOGICAS -BENEFICIAR A NNA  EN LA SENSIBILIZACION Y FORMACION AYUDANDO A QUE TOMEN CONCIENCIA DE LA IMPORTANCIA DE LA ESCOLARIDAD Y CONSTRUCCION DE POREYECTO DE VIDA  ATRAVES DE ACTIVIDADES LUDICO-PEDAGOGICAS -LOGRAR LA PARTICIPACION DE LOS NNA EN LA SOCIEDAD Y EN LA TOMA DE DESICIONES DE LA GESTION LOCAL, HACIENDO USO DE SU LIBERTAD Y EL PLENO EJERCICIO DE SUS DERECHOS COMO CIUDADANOS- DISMINUIR EL PORCENTAJE DE NIÑOS Y NIÑAS EN SITUACION DE POBREZA EXTREMA- DISMINUIR LA TASA DE TRABAJO INFANTIL</t>
    </r>
  </si>
  <si>
    <t>SECRETARÍA / ENTIDAD:  SECRETARÍA DE DESARROLLO SOCIAL COMUNITARIO      / GRUPO: DIRECCIÓN DE INFANCIA ADOLESCENCIA Y JUVENTUD</t>
  </si>
  <si>
    <t>SECRETARÍA / ENTIDAD:  SECRETARÍA DE DESARROLLO SOCIAL COMUNITARIO      / GRUPO: JUVENTUD</t>
  </si>
  <si>
    <r>
      <t xml:space="preserve">Objetivos: </t>
    </r>
    <r>
      <rPr>
        <sz val="12"/>
        <rFont val="Arial"/>
        <family val="2"/>
      </rPr>
      <t>FORTALECER LAS RELACIONES CON LOS DISTINTOS GRUPOS JUVENILES DEL MUNICIPIO DE IBAGUÉ PARA DESARROLLAR CONJUNTAMENTE ACTIVIDADES QUE GARANTICEN EL BIENESTAR Y LA INCLUSIÓN DENTRO DE ESTE GRUPO DE POBLACIÓN.</t>
    </r>
  </si>
  <si>
    <t>FORTALECIMIENTO DE JOVENES QUE VIBRAN POR LA VIDA</t>
  </si>
  <si>
    <r>
      <t xml:space="preserve">RUBRO: </t>
    </r>
    <r>
      <rPr>
        <sz val="12"/>
        <rFont val="Arial"/>
        <family val="2"/>
      </rPr>
      <t>FORTALECIMIENTO DE JOVENES QUE VIBRAN POR LA VIDA</t>
    </r>
  </si>
  <si>
    <t>1.1.1 Realizar proceso de seguimiento a la implementación de la política Pública de Juventud</t>
  </si>
  <si>
    <t>proceso de seguimiento realizado</t>
  </si>
  <si>
    <t>No. de Actividades realizadas</t>
  </si>
  <si>
    <t>1.1.6 Realizar actividades culturales, artisticas y recreacionales para los jovenes.</t>
  </si>
  <si>
    <t>% Pobalción beneficiada</t>
  </si>
  <si>
    <t>1.1.9 Apoyar propuestas sociales-culturales de organizaciones juveniles (talleres,  campañas, sensibilización, estímulos)</t>
  </si>
  <si>
    <t>1.1.10 Realizar entrega de auxilios funerarios por demanda.</t>
  </si>
  <si>
    <t>2.1.2 Realizar talleres, foros, conversatorios, sobre la participación juvenil</t>
  </si>
  <si>
    <t>2.1.3 Apoyar logística y operativamente el funcionamiento del Consejo Municipal de Juventudes</t>
  </si>
  <si>
    <t>No. de acciones en apoyo al CMJ</t>
  </si>
  <si>
    <t>2.1.4 Diseñar una estrategia de acompañameinto  y seguimiento al Consejo Municipal de Juventudes.</t>
  </si>
  <si>
    <t>Estrategia de Acompañamiento y seguimiento diseñada</t>
  </si>
  <si>
    <t>3.1.1 Realizar boletines con información relevante de temas de juventud del municipio.</t>
  </si>
  <si>
    <t>4.1.1 Acompañar y asesorar psicológica y jurídicamente a los jovenes del municipio</t>
  </si>
  <si>
    <t>4.1.2 Realizar actividades y/o eventos enfocados en la generación de habilidades de autoprotección y autocuidado( material de promoción,transporte e insumos)</t>
  </si>
  <si>
    <t>5.1.2 Realizar jornadas de socialización de la Ruta de atención mental del municipio</t>
  </si>
  <si>
    <t>6.1.3 Vincular a jovenes a la estrategia ibagué y los jovenes construyen ciudad y territorio para el desarrollo de actividades artisticas, deportivas, culturales  etc. en comunas y corregimiento del  municipio</t>
  </si>
  <si>
    <t>No. de Jóvenes Vinculados</t>
  </si>
  <si>
    <t>Politica Publica implementada</t>
  </si>
  <si>
    <t>estrategia implementada</t>
  </si>
  <si>
    <t>No.  De estrategias implementadas</t>
  </si>
  <si>
    <t xml:space="preserve">Número de jovenes vinculados </t>
  </si>
  <si>
    <t>Actualización Realizada</t>
  </si>
  <si>
    <t>Consejo Municipal de Juventudes Fortalecido</t>
  </si>
  <si>
    <t>3.1.4 Aprobar el documento de la politica publica Afro, mediante la presentación ante el Concejo Municipal</t>
  </si>
  <si>
    <t xml:space="preserve">2.1.3 Realizar encuentros con la población étnica en expresión cultural, organizativa, participativa y de concertación. </t>
  </si>
  <si>
    <r>
      <t xml:space="preserve">CODIGO PRESUPUESTAL:    </t>
    </r>
    <r>
      <rPr>
        <sz val="12"/>
        <rFont val="Arial"/>
        <family val="2"/>
      </rPr>
      <t xml:space="preserve">211320202009-01  </t>
    </r>
    <r>
      <rPr>
        <b/>
        <sz val="12"/>
        <rFont val="Arial"/>
        <family val="2"/>
      </rPr>
      <t xml:space="preserve">     RUBRO: </t>
    </r>
    <r>
      <rPr>
        <sz val="12"/>
        <rFont val="Arial"/>
        <family val="2"/>
      </rPr>
      <t xml:space="preserve"> FORTALECIMIENTO DE LA DIVERSIDAD ETNICA Y CULTURAL EN EL MUNICIPIO DE IBAGUÉ </t>
    </r>
  </si>
  <si>
    <r>
      <rPr>
        <b/>
        <sz val="12"/>
        <rFont val="Arial"/>
        <family val="2"/>
      </rPr>
      <t>META DE PRODUCTO No. 4:</t>
    </r>
    <r>
      <rPr>
        <sz val="12"/>
        <rFont val="Arial"/>
        <family val="2"/>
      </rPr>
      <t xml:space="preserve">Fortalecimiento y seguimiento a iniciativas de proyectos productivos a personas del programa Familias en Acción y/o población vulnerable y/o en condición de pobreza, pobreza extrema y/o pobreza multidimensional </t>
    </r>
  </si>
  <si>
    <r>
      <rPr>
        <b/>
        <sz val="12"/>
        <rFont val="Arial"/>
        <family val="2"/>
      </rPr>
      <t>META DE RESULTADO No.1:</t>
    </r>
    <r>
      <rPr>
        <sz val="12"/>
        <rFont val="Arial"/>
        <family val="2"/>
      </rPr>
      <t xml:space="preserve"> Implementar Plan de acción integral para la población en condiciones de vulnerabilidad</t>
    </r>
  </si>
  <si>
    <t xml:space="preserve"> </t>
  </si>
  <si>
    <r>
      <rPr>
        <b/>
        <sz val="12"/>
        <rFont val="Arial"/>
        <family val="2"/>
      </rPr>
      <t xml:space="preserve">META DE PRODUCTO No. 3: </t>
    </r>
    <r>
      <rPr>
        <sz val="12"/>
        <rFont val="Arial"/>
        <family val="2"/>
      </rPr>
      <t>Realizar eventos y/o socializaciones anuales del programa familias en acción.</t>
    </r>
  </si>
  <si>
    <r>
      <rPr>
        <b/>
        <sz val="12"/>
        <rFont val="Arial"/>
        <family val="2"/>
      </rPr>
      <t xml:space="preserve">META DE PRODUCTO No. 2:  </t>
    </r>
    <r>
      <rPr>
        <sz val="12"/>
        <rFont val="Arial"/>
        <family val="2"/>
      </rPr>
      <t>Implementar procesos de formación en áreas productivas a personas del programa Familias en Acción y/o población vulnerable y/o en condición de pobreza, pobreza extrema y/o pobreza multidimensional.</t>
    </r>
  </si>
  <si>
    <r>
      <rPr>
        <b/>
        <sz val="12"/>
        <rFont val="Arial"/>
        <family val="2"/>
      </rPr>
      <t xml:space="preserve">META DE PRODUCTO No. 1: </t>
    </r>
    <r>
      <rPr>
        <sz val="12"/>
        <rFont val="Arial"/>
        <family val="2"/>
      </rPr>
      <t xml:space="preserve">Atención integral y orientación a las familias inscritas en el programa Familias en Acción y/o población vulnerable y/o en condición de pobreza, pobreza extrema y/o pobreza multidimensional </t>
    </r>
  </si>
  <si>
    <r>
      <t xml:space="preserve">Objetivos: </t>
    </r>
    <r>
      <rPr>
        <sz val="12"/>
        <rFont val="Arial"/>
        <family val="2"/>
      </rPr>
      <t>ARTICULAR LAS POLÍTICAS NACIONALES PARA LA SUPERACIÓN DE LA POBREZA Y FOCALIZACIÓN DE POBLACIONES VULNERABLES CON EL FIN DE DISMINUIR LOS DIFERENTES TIPOS DE POBREZA</t>
    </r>
  </si>
  <si>
    <t>% de atenciones y orientaciones  brindadas</t>
  </si>
  <si>
    <t>3.1.1. Realizar jornadas y/o campañas comunicacionales para la prevencion del consumo del alcohol y sustancias psicoactivas, minimizando los factores de riesgo con los diferentes actores sociales.</t>
  </si>
  <si>
    <t>Centro de acogida implementado</t>
  </si>
  <si>
    <t>1.1.1.  Implementar el centro de acogida y autocuidado brindando alojamiento, desayuno y cena, entrega de kits de aseo a los habitantes de calle.</t>
  </si>
  <si>
    <t>5.1.3 Por demanda beneficiar a niñas, niños, adolescentes y jóvenes del municipio, a través de orientacion y atención intregral.</t>
  </si>
  <si>
    <t>% de actividades realizadas.</t>
  </si>
  <si>
    <t>2.1.1 Por solicitud de la poblacion victima del conflicto armado realizar actividades de acompañamiento a las rutas de atención.</t>
  </si>
  <si>
    <t>% de personas beneficiadas.</t>
  </si>
  <si>
    <t>% de Ayudadas de Inmediatez entregadas</t>
  </si>
  <si>
    <r>
      <t>PROG</t>
    </r>
    <r>
      <rPr>
        <b/>
        <sz val="11"/>
        <rFont val="Arial"/>
        <family val="2"/>
      </rPr>
      <t xml:space="preserve">  EJEC</t>
    </r>
  </si>
  <si>
    <r>
      <t xml:space="preserve">Objetivos: </t>
    </r>
    <r>
      <rPr>
        <sz val="10"/>
        <rFont val="Arial"/>
        <family val="2"/>
      </rPr>
      <t>ESTE PROGRAMA BUSCA GARANTIZAR LA ATENCIÓN Y DESARROLLO INTEGRAL DE LAS PERSONAS HABITANTES DE/EN CALLE, CON EQUIDAD E INCLUSIÓN SOCIAL, PROMOVIENDO UNA CULTURA DE RESPETO Y LA CORRESPONSABILIDAD DE LOS DIFERENTES ACTORES EN EL MUNICIPIO DE IBAGUÉ.</t>
    </r>
  </si>
  <si>
    <t>Numero de encuentros realizados</t>
  </si>
  <si>
    <t>% Población Atendida</t>
  </si>
  <si>
    <t>No. Campañas realizadas</t>
  </si>
  <si>
    <t>No. talleres realizados</t>
  </si>
  <si>
    <t xml:space="preserve">Numero de  socialización realizadas </t>
  </si>
  <si>
    <t>1.1.7 Beneficiar a los jovenes del  municipio  mediante  asesoría psicocial y jurídica según demanda del servicio</t>
  </si>
  <si>
    <t>No.Propuestas apoyadas</t>
  </si>
  <si>
    <t>No. de talleres,foros y conversatorios  realizadas</t>
  </si>
  <si>
    <r>
      <t xml:space="preserve">CODIGO BPPIM: </t>
    </r>
    <r>
      <rPr>
        <sz val="12"/>
        <rFont val="Arial"/>
        <family val="2"/>
      </rPr>
      <t>2020730010055</t>
    </r>
  </si>
  <si>
    <t>7.1.7 Beneficiar a NNA con la entrega de Auxilios funerarios según demanda del servicio</t>
  </si>
  <si>
    <t>% NNA  beneficiados</t>
  </si>
  <si>
    <t>1.1.4 Realizar actividades educativas, pedagógicos, de formación y/o capacitación dirigidas a jóvenes del municipio.</t>
  </si>
  <si>
    <t>1.1.3 Realizar jornadas de capacitación e higiene a la población habitante de calle</t>
  </si>
  <si>
    <t xml:space="preserve">META </t>
  </si>
  <si>
    <t>Número de jornadas realizadas</t>
  </si>
  <si>
    <t>2.1.2 Realizar jornadas de atención integral al habitante de calle, mediante actividades de prevención e intervención al goce efectivo de sus derechos y entrega de auxilios funerarios</t>
  </si>
  <si>
    <r>
      <t xml:space="preserve">Objetivos: </t>
    </r>
    <r>
      <rPr>
        <sz val="9.4"/>
        <rFont val="Arial"/>
        <family val="2"/>
      </rPr>
      <t>BRINDAR ASESORÍA, ACOMPAÑAMIENTO Y HACER SEGUIMIENTO A LOS PROGRAMAS Y ESTRATEGIAS QUE CONTRIBUYEN AL FORTALECIMIENTO DE LA INTEGRIDAD ÉTNICA, CULTURAL Y SOCIAL, ESTABLECIENDO  LAS GARANTÍAS Y  EL RESPETO DE LOS DERECHOS DESDE LO COLECTIVO E INDIVIDUAL, CON EL FIN DE VISIBILIZAR LA POBLACIÓN ÉTNICA QUE HABITA EN LA CIUDAD DE IBAGUÉ (INDÍGENAS, AFROS Y RROM)  CONTRIBUYENDO  LA PERVIVENCIA DE LOS MISMOS.</t>
    </r>
  </si>
  <si>
    <r>
      <t xml:space="preserve">FECHA DE PROGRAMACION: </t>
    </r>
    <r>
      <rPr>
        <sz val="12"/>
        <rFont val="Arial"/>
        <family val="2"/>
      </rPr>
      <t>ENERO 2023</t>
    </r>
  </si>
  <si>
    <r>
      <t>FECHA DE PROGRAMACION:</t>
    </r>
    <r>
      <rPr>
        <sz val="12"/>
        <rFont val="Arial"/>
        <family val="2"/>
      </rPr>
      <t xml:space="preserve"> ENERO 2023</t>
    </r>
  </si>
  <si>
    <t xml:space="preserve">OBSERVACIONES:
</t>
  </si>
  <si>
    <t>2.1.1 Realizar talleres en DDHH, en normatividad y contenidos incluyentes y convencion de derechos de personas con discapacidad, dirigidas a personas con discapacidad cuidadores y poblacion en general.</t>
  </si>
  <si>
    <t>Número de talleres realizados</t>
  </si>
  <si>
    <t>3.1.3 Realizar jornadas de autocuidado que minimicen los factores de riesgo en la poblacion habitante de calle.</t>
  </si>
  <si>
    <t>4.1.3 Realizar Socialización interintitucional del documento</t>
  </si>
  <si>
    <t>4.1.5 Realizar el plan de acción de la politica publica</t>
  </si>
  <si>
    <t>4.1.6 Socializar en los diferentes espacios sociales, políticos y académicos de Ibagué, mediante medio físico y electrónico, estableciendo estrategias claras de difusión</t>
  </si>
  <si>
    <t>4.1.3 Fortalecer a organizaciones para que accedan a capital semilla</t>
  </si>
  <si>
    <t>10.1.5 Realizar el plan de acción de la política publica</t>
  </si>
  <si>
    <t>10.1.6 Socializar en los diferentes espacios sociales, políticos y académicos de Ibagué, mediante medio físico y electrónico, estableciendo estrategias claras de difusión</t>
  </si>
  <si>
    <t>7.1.1 Apoyar la participación de la mesa en los espacios institucionales</t>
  </si>
  <si>
    <t>8.1.2 Implementar la ruta de atención para protección de mujeres vícitma de todo tipo de violencia</t>
  </si>
  <si>
    <t>3.1.5 Realizar el plan de acción de la política publica</t>
  </si>
  <si>
    <t>1.1.3  Entrega de auxilios funerarios a la población vícitma que asi lo soliciten.</t>
  </si>
  <si>
    <t>Numero socializaciones realizadas</t>
  </si>
  <si>
    <t>plan de acción diseñado</t>
  </si>
  <si>
    <r>
      <t xml:space="preserve">RUBRO: </t>
    </r>
    <r>
      <rPr>
        <sz val="12"/>
        <rFont val="Arial"/>
        <family val="2"/>
      </rPr>
      <t>2113201010030302 - 211320201004 - 211320202007- 211320202009 MEJORAMIENTO EN LA LUCHA CONTRA LA POBREZA EN EL MUNICIPIO DE IBAGUE</t>
    </r>
  </si>
  <si>
    <r>
      <t xml:space="preserve">CODIGO PRESUPUESTAL: </t>
    </r>
    <r>
      <rPr>
        <sz val="12"/>
        <rFont val="Arial"/>
        <family val="2"/>
      </rPr>
      <t xml:space="preserve"> 211320202005-01
211320202009-01 /  211320202009-04 </t>
    </r>
    <r>
      <rPr>
        <b/>
        <sz val="12"/>
        <rFont val="Arial"/>
        <family val="2"/>
      </rPr>
      <t xml:space="preserve">   </t>
    </r>
  </si>
  <si>
    <r>
      <t xml:space="preserve">CODIGO PRESUPUESTAL: </t>
    </r>
    <r>
      <rPr>
        <sz val="12"/>
        <rFont val="Arial"/>
        <family val="2"/>
      </rPr>
      <t xml:space="preserve">     211320202009-01</t>
    </r>
  </si>
  <si>
    <t>10.1.5 Realizar seguimiento y control a unidades productivas.</t>
  </si>
  <si>
    <t>Informes de seguimiento</t>
  </si>
  <si>
    <t>6.1.2 Realizar acciones articuladas con entes del sector público y privado para beneficio de los niños, niñas, adolescentes y familias del municipio</t>
  </si>
  <si>
    <t>7.1.6 Reparar ámbitos y/o espacios culturales, recreativos y/o de atención integral para la primera infancia.</t>
  </si>
  <si>
    <t xml:space="preserve">Número de ambitos y/o  espacios reparados </t>
  </si>
  <si>
    <t xml:space="preserve">9.1.3 implementar la casa de la mujer </t>
  </si>
  <si>
    <t xml:space="preserve">casa de la mujer implementada </t>
  </si>
  <si>
    <t>5.1.1 Diseñar la estrategia de atención, orientación y seguimiento psicológico.</t>
  </si>
  <si>
    <t>Estrategia diseñada</t>
  </si>
  <si>
    <t>1.1.1.3 Llevar a cabo actividades de articulacion entre el sector público y el sector privado,en favor del bienestar de los jovenes del municipio.</t>
  </si>
  <si>
    <t>Número de acciones realizadas</t>
  </si>
  <si>
    <t>3.1.2 Realizar acciones de articulación  que permitan la implementación del observatorio de juventudes</t>
  </si>
  <si>
    <t>Articulación realizada</t>
  </si>
  <si>
    <t>4.1.2 Realizar ejercicios de difusión de material POP, asociado a la generación de habilidades de autoprotección y autocuidado, dirigida a niños, niñas y adolescentes del municipioes</t>
  </si>
  <si>
    <t>,</t>
  </si>
  <si>
    <r>
      <t xml:space="preserve">CODIGO PRESUPUESTAL: </t>
    </r>
    <r>
      <rPr>
        <sz val="12"/>
        <rFont val="Arial"/>
        <family val="2"/>
      </rPr>
      <t xml:space="preserve"> 2113201010030302 /  211320202006
211320202009 / 211320202005 / 211320202008 / 211320202005</t>
    </r>
    <r>
      <rPr>
        <b/>
        <sz val="12"/>
        <rFont val="Arial"/>
        <family val="2"/>
      </rPr>
      <t xml:space="preserve">   </t>
    </r>
  </si>
  <si>
    <t>13.1.1 Articular con el sector público y el sector privado, acciones en favor del bienestar de los niños niñas y adolescentes del municipio.</t>
  </si>
  <si>
    <r>
      <t xml:space="preserve">CODIGO PRESUPUESTAL: </t>
    </r>
    <r>
      <rPr>
        <sz val="12"/>
        <rFont val="Arial"/>
        <family val="2"/>
      </rPr>
      <t xml:space="preserve">2113201010030302 / 211320201004 /211320202008 / 211320202009 / </t>
    </r>
  </si>
  <si>
    <t>% de entregas realizadas</t>
  </si>
  <si>
    <t>1.1.8 Adecuaciones y dotación  en los centros de atención Integral para los jovenes del municipio</t>
  </si>
  <si>
    <t>FUENTES DE FINANCIACION                             
(EN MILES DE $)</t>
  </si>
  <si>
    <t>COSTO TOTAL 
(MILES DE PESOS)</t>
  </si>
  <si>
    <t>FUENTES DE FINANCIACION 
(EN MILES DE $)</t>
  </si>
  <si>
    <t>1.1.1 Coordinar la implementación, evaluación y seguimiento de la Política Pública</t>
  </si>
  <si>
    <t>Politica Pública Implementada conforme el plan de accion aprobado</t>
  </si>
  <si>
    <t>1.1.3 Apoyar los procesos de participación de las comunidades Indígenas.</t>
  </si>
  <si>
    <t>Proceso de participación apoyado por comunidad</t>
  </si>
  <si>
    <t>4.1.1 Promover y fomentar acciones para la recuperación, fortalecimiento, protección y salvaguarda de las lenguas nativas y la tradición oral y escrita de los grupos étnicos</t>
  </si>
  <si>
    <t>4.1.3 Apoyar el reconocimiento, la autodeterminación y la autonomía de la población étnica</t>
  </si>
  <si>
    <r>
      <t xml:space="preserve">
</t>
    </r>
    <r>
      <rPr>
        <b/>
        <sz val="12"/>
        <rFont val="Calibri"/>
        <family val="2"/>
      </rPr>
      <t>NOMBRE:  OSCAR ALBERTO HUERTAS MORENO</t>
    </r>
    <r>
      <rPr>
        <sz val="12"/>
        <rFont val="Calibri"/>
        <family val="2"/>
      </rPr>
      <t xml:space="preserve">
SECRETARIO DESARROLLO SOCIAL COMUNITARIO
</t>
    </r>
    <r>
      <rPr>
        <b/>
        <sz val="12"/>
        <rFont val="Calibri"/>
        <family val="2"/>
      </rPr>
      <t>FIRMA:________________________________</t>
    </r>
    <r>
      <rPr>
        <sz val="12"/>
        <rFont val="Calibri"/>
        <family val="2"/>
      </rPr>
      <t xml:space="preserve">
</t>
    </r>
    <r>
      <rPr>
        <b/>
        <sz val="12"/>
        <rFont val="Calibri"/>
        <family val="2"/>
      </rPr>
      <t>NOMBRE: ELIANA DEL PILAR ROZO RODRIGUEZ</t>
    </r>
    <r>
      <rPr>
        <sz val="12"/>
        <rFont val="Calibri"/>
        <family val="2"/>
      </rPr>
      <t xml:space="preserve">
DIRECTOR  DE  GRUPOS ETNICOS Y POBLACIÓN VULNERABLE
</t>
    </r>
    <r>
      <rPr>
        <b/>
        <sz val="12"/>
        <rFont val="Calibri"/>
        <family val="2"/>
      </rPr>
      <t>FIRMA:__________________________________</t>
    </r>
  </si>
  <si>
    <t>1.1.3 Gestionar novedades tipo 1 y tipo 2 a población vulnerable</t>
  </si>
  <si>
    <t>2.1.1 Realizar formacion en areas productivas y de emprendimiento a poblacion vulnerable como herramienta para el incremento de su productividad e independencia economica mediante la generacion de autoempleo.</t>
  </si>
  <si>
    <t>3.1.1 Apoyar y formular proyectos productivos a poblacion vulnerable</t>
  </si>
  <si>
    <t>4.1.2.  Apoyo logistico para realizacion de encuentros pedagogicos programa familias en accion.</t>
  </si>
  <si>
    <r>
      <t xml:space="preserve">
</t>
    </r>
    <r>
      <rPr>
        <b/>
        <sz val="12"/>
        <rFont val="Arial"/>
        <family val="2"/>
      </rPr>
      <t xml:space="preserve">
NOMBRE:  OSCAR ALBERTO HUERTAS MORENO
</t>
    </r>
    <r>
      <rPr>
        <sz val="12"/>
        <rFont val="Arial"/>
        <family val="2"/>
      </rPr>
      <t xml:space="preserve">SECRETARIO DESARROLLO SOCIAL COMUNITARIO
</t>
    </r>
    <r>
      <rPr>
        <b/>
        <sz val="12"/>
        <rFont val="Arial"/>
        <family val="2"/>
      </rPr>
      <t xml:space="preserve">
FIRMA:________________________________
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NOMBRE: ELIANA DEL PILAR ROZO RODRIGUEZ</t>
    </r>
    <r>
      <rPr>
        <sz val="12"/>
        <rFont val="Arial"/>
        <family val="2"/>
      </rPr>
      <t xml:space="preserve">
DIRECTOR  DE  GRUPOS ETNICOS Y POBLACIÓN VULNERABLE
</t>
    </r>
    <r>
      <rPr>
        <b/>
        <sz val="12"/>
        <rFont val="Arial"/>
        <family val="2"/>
      </rPr>
      <t>FIRMA:_______________________________</t>
    </r>
  </si>
  <si>
    <t xml:space="preserve">% de adultos mayores beneficiados </t>
  </si>
  <si>
    <t>Numero de adultos mayores beneficiados</t>
  </si>
  <si>
    <t>1.1.1 Por demanda brindar atención integral con enfoque étnico en los centros día y/o asociaciones mediante diferentes actividades para una ocupación adecuada del tiempo libre.</t>
  </si>
  <si>
    <t>4.1.1 Realizar un convenio de atención integral con personas de extra edad (mayores de 18 años) que apunten al desarrollo de habilidades para la vida.</t>
  </si>
  <si>
    <t>porcentaje de Unidades productivas con seguimiento</t>
  </si>
  <si>
    <t>1.1.2 Realizar entrega de unidades productivas a organizaciones, personas con discapacidad y cuidadores PcD urbanas y rurales.</t>
  </si>
  <si>
    <t>FUENTES DE FINANCIACION 
( EN MILES DE $)</t>
  </si>
  <si>
    <r>
      <rPr>
        <b/>
        <sz val="12"/>
        <rFont val="Arial"/>
        <family val="2"/>
      </rPr>
      <t xml:space="preserve">
NOMBRE:  OSCAR ALBERTO HUERTAS MORENO
</t>
    </r>
    <r>
      <rPr>
        <sz val="12"/>
        <rFont val="Arial"/>
        <family val="2"/>
      </rPr>
      <t xml:space="preserve">SECRETARIO DESARROLLO SOCIAL COMUNITARIO
</t>
    </r>
    <r>
      <rPr>
        <b/>
        <sz val="12"/>
        <rFont val="Arial"/>
        <family val="2"/>
      </rPr>
      <t xml:space="preserve">FIRMA:________________________________
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NOMBRE: ELIANA DEL PILAR ROZO RODRIGUEZ</t>
    </r>
    <r>
      <rPr>
        <sz val="12"/>
        <rFont val="Arial"/>
        <family val="2"/>
      </rPr>
      <t xml:space="preserve">
DIRECTOR  DE  GRUPOS ETNICOS Y POBLACIÓN VULNERABLE
</t>
    </r>
    <r>
      <rPr>
        <b/>
        <sz val="12"/>
        <rFont val="Arial"/>
        <family val="2"/>
      </rPr>
      <t>FIRMA:__________________________________</t>
    </r>
    <r>
      <rPr>
        <sz val="12"/>
        <rFont val="Arial"/>
        <family val="2"/>
      </rPr>
      <t xml:space="preserve">
</t>
    </r>
  </si>
  <si>
    <t>3.1.3 Articular con la unidad de victimas, Ministerio del Interior y Alcaldía para fortalecer el plan retorno.</t>
  </si>
  <si>
    <t>1.1.5 Apoyo psicosocial al 100% de las personas victimas del conflicto armado con enfoque etnico y diferencial.</t>
  </si>
  <si>
    <t>% de personas orientadas</t>
  </si>
  <si>
    <t>1.1.4 Orientar a la población victima según casos específicos de las personas para despejar sus preguntas</t>
  </si>
  <si>
    <r>
      <t xml:space="preserve">Objetivos: </t>
    </r>
    <r>
      <rPr>
        <sz val="9"/>
        <rFont val="Arial"/>
        <family val="2"/>
      </rPr>
      <t>REALIZAR Y COORDINAR DESDE EL ENTE TERRITORIAL DE FORMA ORDENADA Y EFICAZ LAS GESTIONES DE ATENCIÓN Y REPARACIÓN EN LA EJECUCIÓN E IMPLEMENTACIÓN DE LA POLÍTICA PUBLICA DE ATENCIÓN, ASISTENCIA Y REPARACIÓN INTEGRAL ENCAMINADA A SATISFACER LOS DERECHOS VERDAD, JUSTICIA Y REPARACIÓN</t>
    </r>
  </si>
  <si>
    <t>Recibos de energía Casa Social</t>
  </si>
  <si>
    <t>SDSC-CONTRATAR A MONTO AGOTABLE LA PRESTACIÓN DE SERVICIOS DE UN OPERADOR LOGÍSTICO QUE LLEVE A CABO LA ORGANIZACIÓN, ADMINISTRACIÓN Y REALIZACIÓN DE EVENTOS, ACTIVIDADES Y/O ESTRATEGIAS DESARROLLADAS POR LA SECRETARIA DE DESARROLLO SOCIAL COMUNITARIO.</t>
  </si>
  <si>
    <t>CONTRATAR LAS REPARACIONES LOCATIVAS EN EL CENTRO DE DESARROLLO INFANTIL C.D.I. SUEÑO ENCANTADO" UBICADO EN LA URBANIZACIÓN LA MARTINICA DE LA COMUNA 11 DE LA CIUDAD DE IBAGUE Y C.D.I. CHAPICENTRO UBICADO EN LA CARRERA 1 CALLE 15 DE LA COMUNA 1 DE IBAGUE".</t>
  </si>
  <si>
    <t>SDSC-DE-CONTRATAR LA PRESTACION DE SERVICIOS PARA BRINDAR ALOJAMIENTO TRANSITORIO Y DE EMERGENCIA A LAS VICTIMAS QUE SEAN OBJETO DE AYUDAS HUMANITARIAS DE ACUERDO CON LA LEY 1448 DE 2011, EN ELMARCO DEL SUB- PROGRAMA IBAGUÉ POR LA GARANTÍA DE LOS DERECHOS DE LAS VÍCTIMAS</t>
  </si>
  <si>
    <t>SDSC-PRESTACIÓN DE SERVICIOS DE BIENESTAR NUTRICIONAL PARA NIÑOS, NIÑAS Y ADOLESCENTES Y ADULTOS MAYORES DEL MUNICIPIO DE IBAGUÉ Y APROVECHAMIENTO DEL TIEMPO LIBRE (PARA LOS AM) SEGÚN LAS ESPECIFICACIONES TÉCNICAS ESTABLECIDAS”.</t>
  </si>
  <si>
    <t>“SDSC-DI-CONTRATAR CON UNA ENTIDAD SIN ANIMO DE LUCRO PARA BRINDAR ATENCIÓN INTEGRAL A LOS NIÑOS Y NIÑAS EN SITUACIONES ESPECÍFICAS DE VULNERACIÓN DE DERECHOS Y/O SITUACIÓN DE RIESGO MEDIANTE LA IMPLEMENTACIÓN DE LA GUARDERÍA NOCTURNA EN EL MUNICIPIO DE IBAGUÉ”.</t>
  </si>
  <si>
    <t>SDSC-DE-CONTRATO DE ARRENDAMIENTO DE UN BIEN INMUEBLE PARA EL FUNCIONAMIENTO DE LA CASA SOCIAL, ADSCRITA A LA DIRECCIÓN DE GRUPOS ETNICOS Y POBLACIÓN VULNERABLE DE LA SECRETARIA DE DESARROLLO SOCIAL COMUNITARIO DE LA ALCADÍA DE IBAGUE.</t>
  </si>
  <si>
    <t>SDSC-DI-AG79-CONTRATAR LA PRESTACIÓN DE SERVICIOS DE APOYO A LA GESTIÓN PARA EL FORTALECIMIENTO DEL SUBPROGRAMA "JOVENES QUE VIBRAN POR LA VIDA.</t>
  </si>
  <si>
    <t>SDSC-DI-P12-CONTRATAR LA PRESTACIÓN DE SERVICIOS PROFESIONALES PARA ADELANTAR ACOMPAÑAMIENTO PSICOSOCIAL EN EL MARCO DEL PROYECTO "FORTALECIMIENTO DE IBAGUÉ VIBRA CON NIÑAS Y NIÑOS, PROTEGIDOS, SANOS Y FELICES EN EL MUNICIPIO DE IBAGUÉ".</t>
  </si>
  <si>
    <t>SDSC-DI-AG60-CONTRATAR LA PRESTACIÓN DE SERVICIOS DE APOYO A LA GESTIÓN PARA EL FORTALECIMIENTO DEL SUBPROGRAMA "JOVENES QUE VIBRAN POR LA VIDA".</t>
  </si>
  <si>
    <t>SDSC-DE-AG15-PRESTACIÓN DE SERVICIOS DE APOYO A LA GESTION PARA DESARROLLAR ACTIVIDADES RELACIONADAS CON LA ATENCION Y ORIENTACION A LA POBLACIÓN DEL SUBPROGRAMA IBAGUE LUCHA CONTRA POBREZA DE LA DIRECCION DE GRUPOS ETNICOS Y POBLACION VULNERABLE</t>
  </si>
  <si>
    <t>SDSC-DI-P51 CONTRATAR LA PRESTACIÓN DE SERVICIOS PROFESIONALES PARA LA IMPLEMENTACIÓN DEL PROYECTO FORTALECIMIENTO DE IBAGUE VIBRA CON NIÑAS Y NIÑOS, PROTEGIDOS Y FELICES EN EL MUNICIPIO DE IBAGUE</t>
  </si>
  <si>
    <t>SDSC-DE-AG25 PRESTACIÓN DE SERVICIOS DE APOYO A LA GESTION PARA DESARROLLAR ACTIVIDADES RELACIONADAS CON LA ATENCION Y ORIENTACION A LA POBLACIÓN DEL ATENCION INTEGRAL DE POBLACION EN SITUACION PERMANENTE DE DESPROTECCION SOCIAL Y/O FAMILIAR DE LA DIRECCION DE GRUPOS ETNICOS Y POBLACIÓN VULNERABLE</t>
  </si>
  <si>
    <t>SDSC-DE-P39 PRESTACIÓN DE SERVICIOS PROFESIONALES PARA FORTALECER LA EJECUCIÓN DE LAS METAS, ACTIVIDADES Y ORIENTACION A LA POBLACIÓN DEL SUBPROGRAMA IBAGUE LUCHA CONTRA POBREZA DE LA DIRECCION DE GRUPOS ETNICOS Y POBLACION VULNERABLE.</t>
  </si>
  <si>
    <t>SDSC-DE-AG14 PRESTACIÓN DE SERVICIOS DE APOYO A LA GESTION PARA DESARROLLAR ACTIVIDADES RELACIONADAS CON LA ATENCION Y ORIENTACION A LA POBLACIÓN DEL SUBPROGRAMA IBAGUE LUCHA CONTRA POBREZA DE LA DIRECCION DE GRUPOS ETNICOS Y POBLACIÓN VULNERABLE</t>
  </si>
  <si>
    <t>SDSC-DI-AG87-CONTRATAR LA PRESTACIÓN DE SERVICIOS DE APOYO A LA GESTIÓN PARA LA IMPLEMENTACIÓN DEL PROYECTO "FORTALECIMIENTO DE LOS JÓVENES QUE VIBRAN POR LA VIDA EN EL MUNICIPIO DE IBAGUÉ".</t>
  </si>
  <si>
    <t>SDSC-DE-P33-PRESTACIÓN DE SERVICIOS PROFESIONALES PARA FORTALECER LA EJECUCIÓN DE LAS METAS, ACTIVIDADES Y ATENCIÓN PSICOSOCIAL DE LOS SUBPROGRAMA DE LA DIRECCIÓN DE GRUPOS ÉTNICOS Y POBLACIÓN VULNERABLE</t>
  </si>
  <si>
    <t>SDSC-DE-P37 PRESTACIÓN DE SERVICIOS PROFESIONALES PARA FORTALECER LA EJECUCIÓN DE LAS METAS, ACTIVIDADES Y ATENCION PSICOSOCIAL DE LOS SUBPROGRAMAS DE LA DIRECCION DE GRUPOS ETNICOS Y POBLACION VULNERABLE</t>
  </si>
  <si>
    <t>SDSC-DI-P93-CONTRATAR LA PRESTACIÓN DE SERVICIOS PROFESIONALES EN EL MARCO DEL PROYECTO "FORTALECIMIENTO DE LOS JÓVENES QUE VIBRAN POR LA VIDA EN EL MUNICIPIO DE IBAGUÉ".</t>
  </si>
  <si>
    <t>SDSC-DI-P31-CONTRATAR LA PRESTACIÓN DE SERVICIOS PROFESIONALES PARA EL FORTALECIMIENTO DEL PROGRAMA "DESARROLLO INTEGRAL DE NIÑOS, NIÑAS, ADOLESCENTES Y SUS FAMILIAS".</t>
  </si>
  <si>
    <t>SDSC-DE-AG22-PRESTACIÓN DE SERVICIOS DE APOYO A LA GESTION PARA DESARROLLAR ACTIVIDADES RELACIONADAS CON LA ATENCION Y ORIENTACION A LA POBLACIÓN DEL SUBPROGRAMA IBAGUE LUCHA CONTRA POBREZA DE LA DIRECCION DE GRUPOS ETNICOS Y POBLACIÓN VULNERABLE</t>
  </si>
  <si>
    <t>SDSC-DE-P45 PRESTACIÓN DE SERVICIOS PROFESIONALES PARA FORTALECER LA ATENCION, INTERPRETACION Y DIFUSION DE ACTIVIDADES DEL SUBPROGRAMA IBAGUE TERRITORIO INCLUYENTE CON LA DISCAPACIDAD DE LA DIRECCION DE GRUPOS ETNICOS Y POBLACION VULNERABLE</t>
  </si>
  <si>
    <t>SDSC-DI-AG88-CONTRATAR LA PRESTACIÓN DE SERVICIOS DE APOYO A LA GESTIÓN PARA LA IMPLEMENTACIÓN DEL PROYECTO "FORTALECIMIENTO DE IBAGUÉ VIBRA CON NIÑAS Y NIÑOS, PROTEGIDOS, SANOS Y FELICES EN EL MUNICIPIO DE IBAGUÉ" Y FORTALECIMIENTO DE LOS JÓVENES QUE VIBRAN POR LA VIDA EN EL MUNICIPIO DE IBAGUÉ.</t>
  </si>
  <si>
    <t>SDSC-DI-P32-CONTRATAR LA PRESTACIÓN DE SERVICIOS PROFESIONALES PARA EL DESARROLLO DE LOS PROCESOS DE PLANEACIÓN, SEGUIMIENTO Y EJECUCIÓN EN EL MARCO DE LOS PROYECTOS "FORTALECIMIENTO DE IBAGUÉ VIBRA CON NIÑAS Y NIÑOS, PROTEGIDOS, SANOS Y FELICES EN EL MUNICIPIO DE IBAGUÉ" Y FORTALECIMIENTO DE LOS JÓVENES QUE VIBRAN POR LA VIDA EN EL MUNICIPIO DE IBAGUÉ.</t>
  </si>
  <si>
    <t>SDSC-DE-AG23 PRESTACIÓN DE SERVICIOS DE APOYO A LA GESTION PARA DESARROLLAR ACTIVIDADES RELACIONADAS CON LA ATENCION Y ORIENTACION A LA POBLACIÓN DEL ATENCION INTEGRAL DE POBLACION EN SITUACION PERMANENTE DE DESPROTECCION SOCIAL Y/O FAMILIAR DE LA DIRECCION DE GRUPOS ETNICOS Y POBLACIÓN VULNERABLE</t>
  </si>
  <si>
    <t>SDSC-DE-AG04 PRESTACIÓN DE SERVICIOS DE APOYO A LA GESTION PARA DESARROLLAR ACTIVIDADES RELACIONADAS CON LA ATENCION Y ORIENTACION A LA POBLACIÓN DEL SUBPROGRAMA IBAGUE DE LA MANO CON LOS ADULTOS MAYORES DE LA DIRECCION DE GRUPOS ETNICOS Y POBLACIÓN VULNERABLE</t>
  </si>
  <si>
    <t>SDSC-DE-AG07 PRESTACIÓN DE SERVICIOS DE APOYO A LA GESTION PARA DESARROLLAR ACTIVIDADES RELACIONADAS CON LA ATENCION Y ORIENTACION A LA POBLACIÓN DEL SUBPROGRAMA IBAGUE DE LA MANO CON LOS ADULTOS MAYORES DE LA DIRECCION DE GRUPOS ETNICOS Y POBLACIÓN VULNERABLE</t>
  </si>
  <si>
    <t>SDSC-DM-P2-CONTRATAR LA PRESTACIÓN DE SERVICIOS PROFESIONALES PARA DESARROLLAR ACTIVIDADES ENMARCADAS EN EL PROYECTO DENOMINADO FORTALECIMIENTO A LA MUJER, GENERO Y DIVERSIDAD SEXUAL EN EL MUNICIPIO DE IBAGUÉ".</t>
  </si>
  <si>
    <t>SDSC-DI-IMPLEMENTACIÓN DE HOGAR DE PASO PARA LA ATENCIÓN DE NIÑOS, NIÑAS Y ADOLESCENTES QUE SE ENCUENTRAN EN ESTADO DE AMENAZA, INOBSERVANCIA O VULNERACIÓN DE LOS DERECHOS, EN EL MUNICIPIO DE IBAGUÉ.</t>
  </si>
  <si>
    <t>SDSC-DE-P36 PRESTACIÓN DE SERVICIOS PROFESIONALES PARA FORTALECER LA EJECUCIÓN DE LAS METAS Y ACTIVIDADES DEL PROGRAMA ATENCION INTEGRAL DE POBLACION EN SITUACION PERMANENTE DE DESPROTECCION SOCIAL Y/O FAMILIAR EN SITUACION DE VULNERABILIDAD DE LA ALCALDIA DE IBAGUE</t>
  </si>
  <si>
    <t>SDSC-DE-AG12 PRESTACIÓN DE SERVICIOS DE APOYO A LA GESTION PARA DESARROLLAR ACTIVIDADES RELACIONADAS CON LA ATENCION Y ORIENTACION A LA POBLACIÓN DEL SUBPROGRAMA IBAGUE LUCHA CONTRA POBREZA DE LA DIRECCION DE GRUPOS ETNICOS Y POBLACIÓN VULNERABLE</t>
  </si>
  <si>
    <t>SDSC-DE-AG26 PRESTACIÓN DE SERVICIOS DE APOYO A LA GESTION PARA DESARROLLAR ACTIVIDADES RELACIONADAS CON LA ATENCION Y ORIENTACION A LA POBLACIÓN DEL ATENCION INTEGRAL DE POBLACION EN SITUACION PERMANENTE DE DESPROTECCION SOCIAL Y/O FAMILIAR DE LA DIRECCION DE GRUPOS ETNICOS Y POBLACIÓN VULNERABLE</t>
  </si>
  <si>
    <t>SDSC-DI-P5-CONTRATAR LA PRESTACIÓN DE SERVICIOS PROFESIONALES EN EL MARCO DEL PROYECTO "FORTALECIMIENTO DE IBAGUÉ VIBRA CON NIÑAS Y NIÑOS, PROTEGIDOS, SANOS Y FELICES EN EL MUNICIPIO DE IBAGUÉ".</t>
  </si>
  <si>
    <t xml:space="preserve">SDSC-DE-P17 PRESTACIÓN DE SERVICIOS PROFESIONALES PARA FORTALECER LA EJECUCIÓN DE LAS METAS Y ACTIVIDADES DEL PROGRAMA ATENCION INTEGRAL DE POBLACION EN SITUACION PERMANENTE DE DESPROTECCION SOCIAL Y/O FAMILIAR EN SITUACION DE VULNERABILIDAD DE LA ALCALDIA DE IBAGUE </t>
  </si>
  <si>
    <t>CONTRATAR EL SERVICIO DE CUENTAS DE CORREO ELECTRÓNICO PARA LA ALCALDÍA MUNICIPAL DE IBAGUÉ; BAJO EL DOMINIO IBAGUE.GOV.CO</t>
  </si>
  <si>
    <t>SDSC-DI-P4-CONTRATAR LA PRESTACIÓN DE SERVICIOS PROFESIONALES PARA DESARROLLAR ACTIVIDADES EN EL MARCO DE LOS PROYECTOS "FORTALECIMIENTO DE IBAGUÉ VIBRA CON NIÑAS Y NIÑOS, PROTEGIDOS, SANOS Y FELICES EN EL MUNICIPIO DE IBAGUÉ" Y FORTALECIMIENTO DE LOS JÓVENES QUE VIBRAN POR LA VIDA EN EL MUNICIPIO DE IBAGUÉ.</t>
  </si>
  <si>
    <t>SDSC-DM-P1-CONTRATAR LA PRESTACIÓN DE SERVICIOS PROFESIONALES PARA DESARROLLAR ACTIVIDADES ENMARCADAS EN LOS PROYECTOS DENOMINADO FORTALECIMIENTO A LA MUJER, GENERO Y DIVERSIDAD SEXUAL EN EL MUNICIPIO DE IBAGUÉ Y "FORTALECIMIENTO DE LOS JÓVENES QUE VIBRAN POR LA VIDA EN EL MUNICIPIO DE IBAGUÉ".</t>
  </si>
  <si>
    <t>SDSC-DI-P43-CONTRATAR LA PRESTACIÓN DE SERVICIOS PROFESIONALES PARA LA IMPLEMENTACIÓN DEL PROYECTO "FORTALECIMIENTO DE LOS JÓVENES QUE VIBRAN POR LA VIDA EN EL MUNICIPIO DE IBAGUÉ".</t>
  </si>
  <si>
    <t>SDSC-DI-P10-CONTRATAR LA PRESTACIÓN DE SERVICIOS PROFESIONALES PARA DESARROLLAR ACTIVIDADES EN EL MARCO DE LOS PROYECTOS "FORTALECIMIENTO DE IBAGUÉ VIBRA CON NIÑAS Y NIÑOS, PROTEGIDOS, SANOS Y FELICES EN EL MUNICIPIO DE IBAGUÉ" Y FORTALECIMIENTO DE LOS JÓVENES QUE VIBRAN POR LA VIDA EN EL MUNICIPIO DE IBAGUÉ.</t>
  </si>
  <si>
    <t>SDSC-DI-P25-CONTRATAR LA PRESTACIÓN DE SERVICIOS PROFESIONALES PARA LA IMPLEMENTACIÓN DEL PROYECTO "FORTALECIMIENTO DE IBAGUÉ VIBRA CON NIÑAS Y NIÑOS, PROTEGIDOS, SANOS Y FELICES EN EL MUNICIPIO DE IBAGUÉ.</t>
  </si>
  <si>
    <t>SDSC-DI-P29-CONTRATAR LA PRESTACIÓN DE SERVICIOS PROFESIONALES PARA LA IMPLEMENTACIÓN DEL PROYECTO "FORTALECIMIENTO DE LOS JÓVENES QUE VIBRAN POR LA VIDA EN EL MUNICIPIO DE IBAGUÉ".</t>
  </si>
  <si>
    <t>SDSC-DE-P47 PRESTACIÓN DE SERVICIOS PROFESIONALES PARA DESARROLLAR ACTIVIDADES RELACIONADAS A LOS PROCESOS FINANCIEROS DE LOS SUBPROGRAMAS DE LA DIRECCION DE GRUPOS ETNICOS Y POBLACION VULNERABLE</t>
  </si>
  <si>
    <t>SDSC-DE-AG13 PRESTACIÓN DE SERVICIOS DE APOYO A LA GESTIÓN PARA PARA DESARROLLAR ACTIVIDADES RELACIONADAS CON LA ATENCION, ORIENTACION Y SISTEMATIZACION DE LA POBLACIÓN DEL SUBPROGRAMA DE LA MANO CON LOS ADULTOS MAYORES DE LA DIRECCION DE GRUPOS ETNICOS Y POBLACION VULNERABLE.</t>
  </si>
  <si>
    <t>SDSC-DE-P20-PRESTACIÓN DE SERVICIOS PROFESIONALES PARA FORTALECER LA EJECUCIÓN DE LAS METAS Y ACTIVIDADES DEL PROGRAMA INLCUSION SOCIAL Y PRODUCTIVA PARA LA POBLACION EN SITUACION DE VULNERABILIDAD DE LA ALCALDIA DE IBAGUE</t>
  </si>
  <si>
    <t>SDSC-DE-P15-PRESTACIÓN DE SERVICIOS PROFESIONALES PARA FORTALECER LA EJECUCIÓN DE LAS METAS Y ACTIVIDADES DEL SUBPROGRAMA IBAGUE TERRITORIO INCLUYENTE CON LA DISCAPACIDAD DE LA DIRECCION DE GRUPOS ETNICOS Y POBLACION VULNERABLE</t>
  </si>
  <si>
    <t>SDSC-DI-P36-CONTRATAR LA PRESTACIÓN DE SERVICIOS PROFESIONALES PARA ADELANTAR ACOMPAÑAMIENTO PSICOSOCIAL EN EL MARCO DE LOS PROYECTOS "FORTALECIMIENTO DE IBAGUÉ VIBRA CON NIÑAS Y NIÑOS, PROTEGIDOS, SANOS Y FELICES EN EL MUNICIPIO DE IBAGUÉ" Y FORTALECIMIENTO DE LOS JÓVENES QUE VIBRAN POR LA VIDA EN EL MUNICIPIO DE IBAGUÉ.</t>
  </si>
  <si>
    <t>SDSC-DE-P22-PRESTACIÓN DE SERVICIOS PROFESIONALES PARA FORTALECER LA EJECUCIÓN DE LAS METAS Y ACTIVIDADES DEL PROGRAMA ATENCION INTEGRAL DE POBLACION EN SITUACION PERMANENTE DE DESPROTECCION SOCIAL Y/O FAMILIAR EN SITUACION DE VULNERABILIDAD DE LA ALCALDIA DE IBAGUE</t>
  </si>
  <si>
    <t>SDSC-DI-AG61-CONTRATAR LA PRESTACIÓN DE SERVICIOS DE APOYO A LA GESTIÓN PARA LA IMPLEMENTACIÓN DEL PROYECTO FORTALECIMIENTO DE LOS JÓVENES QUE VIBRAN POR LA VIDA EN EL MUNICIPIO DE IBAGUÉ.</t>
  </si>
  <si>
    <t xml:space="preserve">SDSC-DI-AG62-CONTRATAR LA PRESTACIÓN DE SERVICIOS DE APOYO A LA GESTIÓN PARA LA IMPLEMENTACIÓN DEL PROYECTO FORTALECIMIENTO DE LOS JÓVENES QUE VIBRAN POR LA VIDA EN EL MUNICIPIO DE IBAGUÉ. </t>
  </si>
  <si>
    <t>SDSC-DI-AG54-CONTRATAR LA PRESTACIÓN DE SERVICIOS DE APOYO A LA GESTIÓN PARA LA IMPLEMENTACIÓN DEL PROYECTO "FORTALECIMIENTO DE LOS JÓVENES QUE VIBRAN POR LA VIDA EN EL MUNICIPIO DE IBAGUÉ".</t>
  </si>
  <si>
    <t>SDSC-DI-AG55-CONTRATAR LA PRESTACIÓN DE SERVICIOS DE APOYO A LA GESTIÓN PARA EL FORTALECIMIENTO DEL SUBPROGRAMA "IBAGUÉ VIBRA CON NIÑAS Y NIÑOS, PROTEGIDOS, SANOS Y FELICES".</t>
  </si>
  <si>
    <t>SDSC-DI-AG57-CONTRATAR LA PRESTACIÓN DE SERVICIOS DE APOYO A LA GESTIÓN PARA LA IMPLEMENTACIÓN DEL PROYECTO "FORTALECIMIENTO DE LOS JÓVENES QUE VIBRAN POR LA VIDA EN EL MUNICIPIO DE IBAGUÉ".</t>
  </si>
  <si>
    <t>SDSC-DI-P41-CONTRATAR LA PRESTACIÓN DE SERVICIOS PROFESIONALES PARA ADELANTAR ACOMPAÑAMIENTO PSICOSOCIAL EN EL MARCO DEL PROYECTO "FORTALECIMIENTO DE IBAGUÉ VIBRA CON NIÑAS Y NIÑOS, PROTEGIDOS, SANOS Y FELICES EN EL MUNICIPIO DE IBAGUÉ".</t>
  </si>
  <si>
    <t>SDSC-DI-P47-CONTRATAR LA PRESTACIÓN DE SERVICIOS PROFESIONALES PARA LA IMPLEMENTACIÓN DEL PROYECTO FORTALECIMIENTO DE LOS JÓVENES QUE VIBRAN POR LA VIDA EN EL MUNICIPIO DE IBAGUÉ.</t>
  </si>
  <si>
    <t>SDSC-CONTRATAR LA PRESTACION DE SERVICIOS DE UNA ENTIDAD SIN ANIMO DE LUCRO PARA BRINDAR ATENCION INTEGRAL A LOS ADULTOS MAYORES EN SITUACION DE ABANDONO SOCIAL Y/O FAMILIAR DEL MUNICIPIO DE IBAGUE</t>
  </si>
  <si>
    <t>SDSC-DI-P11-CONTRATAR LA PRESTACIÓN DE SERVICIOS PROFESIONALES PARA DESARROLLAR LOS PROCESOS JURÍDICOS Y CONTRACTUALES ENMARCADOS EN LOS PROYECTOS "FORTALECIMIENTO DE IBAGUÉ VIBRA CON NIÑAS Y NIÑOS, PROTEGIDOS, SANOS Y FELICES EN EL MUNICIPIO DE IBAGUÉ" Y FORTALECIMIENTO DE LOS JÓVENES QUE VIBRAN POR LA VIDA EN EL MUNICIPIO DE IBAGUÉ.</t>
  </si>
  <si>
    <t>SDSC-DI-P50- CONTRATAR LA PRESTACIÓN DE SERVICIOS PROFESIONALES PARA LA IMPLEMENTACIÓN DEL PROYECTO FORTALECIMIENTO DE LOS JÓVENES QUE VIBRAN POR LA VIDA EN EL MUNICIPIO DE IBAGUÉ.</t>
  </si>
  <si>
    <t>SDSC-DI-P26-CONTRATAR LA PRESTACIÓN DE SERVICIOS PROFESIONALES PARA ADELANTAR ACOMPAÑAMIENTO PSICOSOCIAL EN EL MARCO DE LOS PROYECTOS "FORTALECIMIENTO DE IBAGUÉ VIBRA CON NIÑAS Y NIÑOS, PROTEGIDOS, SANOS Y FELICES EN EL MUNICIPIO DE IBAGUÉ.</t>
  </si>
  <si>
    <t>SDSC-DI-P48-CONTRATAR LA PRESTACION DE SERVICIOS PROFESIONALES PARA EL DESARROLLO DE LOS PROCESOS DE PLANEACIÓN, SEGUIMIENTO Y EJECUCION ENMARCADOS EN EL PROYECTO DENOMINADO "FORTALECIMIENTO DE IBAGUÉ VIBRA CON NIÑAS Y NIÑOS, PROTEGIDOS, SANOS Y FELICES EN EL MUNICIPIO DE IBAGUÉ".</t>
  </si>
  <si>
    <t>SDSC-DI-P13-CONTRATAR LA PRESTACIÓN DE SERVICIOS PROFESIONALES PARA EL DESARROLLO DE LOS PROCESOS DE PLANEACIÓN, SEGUIMIENTO Y EJECUCIÓN ENMARCADOS EN EL PROYECTO DENOMINADO "FORTALECIMIENTO DE IBAGUÉ VIBRA CON NIÑAS Y NIÑOS, PROTEGIDOS, SANOS Y FELICES EN EL MUNICIPIO DE IBAGUÉ</t>
  </si>
  <si>
    <t>SDSC-DI-P23-CONTRATAR LA PRESTACIÓN DE SERVICIOS PROFESIONALES PARA EL FORTALECIMIENTO DEL PROGRAMA "DESARROLLO INTEGRAL DE NIÑOS, NIÑAS, ADOLESCENTES Y SUS FAMILIAS.</t>
  </si>
  <si>
    <t xml:space="preserve">SDSC-DI-P53-CONTRATAR LA PRESTACIÓN DE SERVICIOS PROFESIONALES PARA EL FORTALECIMIENTO DEL PROGRAMA "DESARROLLO INTEGRAL DE NIÑOS, NIÑAS, ADOLESCENTES Y SUS FAMILIAS". </t>
  </si>
  <si>
    <t>SDSC-DE-P03 PRESTACIÓN DE SERVICIOS PROFESIONALES PARA DESARROLLAR ACTIVIDADES RELACIONADAS A LOS PROCESOS FINANCIEROS DE LOS PROGRAMAS DE LA SECRETARIA DE DESARROLLO SOCIAL COMUNUTARIO.</t>
  </si>
  <si>
    <t>SDSC-1-CONTRATAR LA PRESTACIÓN DE SERVICIOS PROFESIONALES PARA DESARROLLAR LOS PROCESOS JURÍDICOS Y CONTRACTUALES ENMARCADOS EN EL PROYECTO DENOMINADO "FORTALECIMIENTO DE IBAGUÉ VIBRA CON NIÑAS Y NIÑOS, PROTEGIDOS, SANOS Y FELICES EN EL MUNICIPIO DE IBAGUÉ"</t>
  </si>
  <si>
    <t>SDSC-DI-P1-CONTRATAR LA PRESTACIÓN DE SERVICIOS PROFESIONALES PARA EL FORTALECIMIENTO DEL SUBPROGRAMA "IBAGUÉ VIBRA CON NIÑAS Y NIÑOS, PROTEGIDOS, SANOS Y FELICES.</t>
  </si>
  <si>
    <t>SDSC-DE-P24-PRESTACIÓN DE SERVICIOS PROFESIONALES PARA FORTALECER LA EJECUCIÓN DE LAS METAS Y ACTIVIDADES DEL PROGRAMA ATENCION INTEGRAL DE POBLACION EN SITUACION PERMANENTE DE DESPROTECCION SOCIAL Y/O FAMILIAR EN SITUACION DE VULNERABILIDAD DE LA ALCALDIA DE IBAGUE.</t>
  </si>
  <si>
    <t>Valor</t>
  </si>
  <si>
    <t>objeto</t>
  </si>
  <si>
    <t xml:space="preserve">No de Contrato </t>
  </si>
  <si>
    <t>1.1.6 Realizar actividades y/o eventos, estrategias de comunicación para la población indigena.</t>
  </si>
  <si>
    <t>2.1.2 Brindar auxilios funerarios a personas de población étnica que lo requieran</t>
  </si>
  <si>
    <t>Un Documento aprobado</t>
  </si>
  <si>
    <t>Un Plan de accion realizado</t>
  </si>
  <si>
    <t>Número de Actividades de socialización realizadas</t>
  </si>
  <si>
    <t>4.1.2 Realizar seguimiento Monitoreo y reportes de Control al proyecto</t>
  </si>
  <si>
    <t>4.1.3 llevar a cabo eventos conmemorativos  del programa familias en accion.</t>
  </si>
  <si>
    <t>3.1.2 Realizar actividades de seguimiento y control al proyecto</t>
  </si>
  <si>
    <t>% de Atenciónes integrales brindadas</t>
  </si>
  <si>
    <t xml:space="preserve">No. de actividades realizadas </t>
  </si>
  <si>
    <t>No. de ejercicios de difusión realizados</t>
  </si>
  <si>
    <t>No. de visitas realizadas al hogar de paso</t>
  </si>
  <si>
    <t>14.1.2 Realizar visitas de Acompañamiento  para asesorar la implementación y operatividad del hogar de paso.</t>
  </si>
  <si>
    <t>No. Campaña realizada</t>
  </si>
  <si>
    <t>No. Jornadas realizadas</t>
  </si>
  <si>
    <t>17.1.1 Llevar a cabo ejercios de difusion  de la Ruta Integral de Atenciones</t>
  </si>
  <si>
    <t>No. Actividad de difusión realizadas</t>
  </si>
  <si>
    <t>No. de Actividades y/o eventos realizados</t>
  </si>
  <si>
    <t>No. Centros de atención adecuados y/o dotados</t>
  </si>
  <si>
    <t>No. de Boletines realizados</t>
  </si>
  <si>
    <t>No. de Jóvenes acompañados</t>
  </si>
  <si>
    <t>No. Jornadas de socializadión realizadas</t>
  </si>
  <si>
    <t xml:space="preserve">No. de actividades y/o conmemoraciones realizadas </t>
  </si>
  <si>
    <t xml:space="preserve">% de cumplimiento plan estratégico para restitucion de derechos de la población indígena </t>
  </si>
  <si>
    <t xml:space="preserve">% de población etnica beneficiada que solicite y cumpla con los requisitos para auxilios funerarios </t>
  </si>
  <si>
    <t xml:space="preserve">No. de personas  beneficiadas de los  encuentros de expresión cultural </t>
  </si>
  <si>
    <t xml:space="preserve">No. de reportes de seguimiento realizados </t>
  </si>
  <si>
    <t xml:space="preserve">No. de organizaciones étnicas reconocidas </t>
  </si>
  <si>
    <t xml:space="preserve">% de Población vulnerable asesorada </t>
  </si>
  <si>
    <t>No. de Proyectos productivos apoyados</t>
  </si>
  <si>
    <t xml:space="preserve">Número de eventos conmemorativos del programa familiar en acción  realizados </t>
  </si>
  <si>
    <t>% adultos mayores de los CBA beneficiados</t>
  </si>
  <si>
    <t>1.1.4 Realizar jornadas para postular, socializar e informar las fechas de pagos e inscripciones de adultos mayores priorizados, activos y bloqueados del programa adulto mayor Colombia mayor</t>
  </si>
  <si>
    <t>2.1.1 .Beneficiar Adultos Mayores a través de la operatividad de los centro día, centro día vida mediante dotaciones, entrega de refrigerios, desarrollo de actividades de ocupación del tiempo libre, huertas caseras, recreación y deporte del municipio de ibague</t>
  </si>
  <si>
    <t>1.1.4 Realizacion de eventos de comercializacion para la promocion de las unidades productivas</t>
  </si>
  <si>
    <t>Numero de eventos   realizados</t>
  </si>
  <si>
    <t xml:space="preserve">No. de socializaciones realizadas </t>
  </si>
  <si>
    <t>No de planes de acción formulados</t>
  </si>
  <si>
    <t>No. de actividades de difusión realizadas</t>
  </si>
  <si>
    <t xml:space="preserve">No. de planes retornos articulados </t>
  </si>
  <si>
    <t xml:space="preserve">No. de organizaciones capacitadas en capital semilla </t>
  </si>
  <si>
    <t xml:space="preserve">No. de mesas insterinstitucionales apoyadas </t>
  </si>
  <si>
    <t>% de población victima que solicita registro en el RNI-IGED</t>
  </si>
  <si>
    <r>
      <rPr>
        <b/>
        <sz val="12"/>
        <rFont val="Calibri"/>
        <family val="2"/>
        <scheme val="minor"/>
      </rPr>
      <t>OBSERVACIONES:</t>
    </r>
    <r>
      <rPr>
        <sz val="12"/>
        <rFont val="Calibri"/>
        <family val="2"/>
        <scheme val="minor"/>
      </rPr>
      <t xml:space="preserve">
*A través del Decreto 0293 del 29 de mayo de 2023, se llevó a cabo incorporación de recursos asociado al presente proyecto, por valor de $47.848.000
*A través del Decreto 0371 del 26 de junio de 2023, se llevó a cabo incorporación de recursos asociado al presente proyecto, por valor de $172.144.000</t>
    </r>
  </si>
  <si>
    <r>
      <t xml:space="preserve">FECHA DE  SEGUIMIENTO:  </t>
    </r>
    <r>
      <rPr>
        <sz val="12"/>
        <rFont val="Arial"/>
        <family val="2"/>
      </rPr>
      <t>30 de junio de 2023</t>
    </r>
  </si>
  <si>
    <r>
      <t xml:space="preserve">FECHA DE  SEGUIMIENTO: </t>
    </r>
    <r>
      <rPr>
        <sz val="12"/>
        <rFont val="Arial"/>
        <family val="2"/>
      </rPr>
      <t xml:space="preserve"> 30 de junio de 2023</t>
    </r>
  </si>
  <si>
    <r>
      <t xml:space="preserve">FECHA DE  SEGUIMIENTO: </t>
    </r>
    <r>
      <rPr>
        <sz val="12"/>
        <rFont val="Arial"/>
        <family val="2"/>
      </rPr>
      <t>30 de junio de 2023</t>
    </r>
  </si>
  <si>
    <r>
      <t xml:space="preserve">FECHA DE  SEGUIMIENTO:  </t>
    </r>
    <r>
      <rPr>
        <sz val="12"/>
        <rFont val="Arial"/>
        <family val="2"/>
      </rPr>
      <t>30 de Junio de 2023</t>
    </r>
  </si>
  <si>
    <t xml:space="preserve">% de cumplimiento plan de trabajo enfocado en recuperación de saberes </t>
  </si>
  <si>
    <t>1.1.5 Implementar un plan de trabajo que busque la recuperación de saberes, sus cosmovisiones, visiones de derecho, practicas y tradiciones mediante: talleres, mesas de trabajo, procesos participativos, entrevistas, etc.</t>
  </si>
  <si>
    <t>1.1.7 Diseñar e implementar paln estrategico para la restitución de derechos para población indígena</t>
  </si>
  <si>
    <t>3.1.6 Realizar actividades de socialización de la Política Pública en espacios sociales, políticos y académicos de Ibagué, mediante medio físico y electrónico, estableciendo estrategias claras de difusión.</t>
  </si>
  <si>
    <t>No. de acciones promovidas y/o fomentadas</t>
  </si>
  <si>
    <t>1.1.1 Realizar acompañamiento psicosocial y juridico para apoyar el componente de bienestar comunitario a la poblacion vulnerable atendida por demanda.</t>
  </si>
  <si>
    <t>1.1.4 Prestar apoyo y aseoria en los pagos de los incentivos correspondenientes a los periodos a poblacion vulnerable atendida por demanda</t>
  </si>
  <si>
    <t xml:space="preserve">No. de  beneficiarios con formación en áreas productivas </t>
  </si>
  <si>
    <t>1.1.3 .Beneficar a los adultos mayores a través de  eventos,  acompañamiento psicológico, asesoría jurídica, medica y tradicional, entrega de ayudas técnicas y/o dotaciones, jornadas de sensibilizacion sobre derechos, entrega de kits nutricionales y entrega de auxilios funerarios.</t>
  </si>
  <si>
    <t>2.1.2 Beneficiar Adulto Mayores a través del  restablecimiento de derechos a los adultos mayores en situación de abandono y/o indigencia en los CBA (Centros de Bienestar al Adulto Mayor)</t>
  </si>
  <si>
    <t>No. Actividades de seguimiento realizadas</t>
  </si>
  <si>
    <t>2.1.3 Apoyar los eventos a demanda que realice la Secretaria de desarrollo social con el servicio de interpretacion de lengua de señas que permita adaptar los contenidos de estos a las personas con discapacidad auditiva.</t>
  </si>
  <si>
    <t>% de eventos apoyados</t>
  </si>
  <si>
    <t>Convenio realizado</t>
  </si>
  <si>
    <t>5.1.2 Beneficiar a personas con discapacidad a través de promoción de espacios y encuentro en las ciclovias.</t>
  </si>
  <si>
    <t>7.1.3 Realizar mesas de trabajo interinstitucionales con las diferentes secretarias y entidades decentralizadas para la construccion de documento diagnostico de la politica púlica de disacapacidad</t>
  </si>
  <si>
    <t>1.1.2 Entrega de ayuda de inmediatez de kits nutricionales, kits de aseo conforme a la ley 1448 de 2011, en el alojamiento transitorio y alimentación según demanda del servicio</t>
  </si>
  <si>
    <t>8.1.2 Apoyar a la unidad de victimas con el registro de personas a través de la herramienta RNI-IGED.</t>
  </si>
  <si>
    <t>10.1.3 Realizar Socialización interinstitucional del documento de Política Pública de Víctimas del conflicto armado</t>
  </si>
  <si>
    <t>SDSC-DI-IMPLEMENTACIÓN DE HOGAR DE PASO PARA LA ATENCIÓN DE NIÑOS, NIÑAS Y ADOLESCENTES QUE SE ENCUENTRAN EN ESTADO DE AMENAZA, INOBSERVANCIA O VULNERACIÓN DE LOS DERECHOS, EN EL MUNICIPIO DE IBAGUÉ</t>
  </si>
  <si>
    <t>SDSC-DE-P10 PRESTACIÓN DE SERVICIOS PROFESIONALES PARA FORTALECER LA EJECUCIÓN DE LAS METAS, ACTIVIDADES Y ATENCION PSICOSOCIAL DE LOS SUBPROGRAMAS DE LA DIRECCION DE GRUPOS ETNICOS Y POBLACION VULNERABLE</t>
  </si>
  <si>
    <t>DSC-DE-P29- PRESTACIÓN DE SERVICIOS PROFESIONALES PARA FORTALECER LA ATENCION Y ACTIVIDADES DEL SUBPROGRAMA IBAGUE POR LA GARANTIA DE LOS DERECHOS DE LAS VICTIMAS DE LA DIRECCION DE GRUPOS ETNICOS Y POBLACION VULNERABLE.</t>
  </si>
  <si>
    <t>SDSC-DI-AG82-CONTRATAR LA PRESTACIÓN DE SERVICIOS DE APOYO A LA GESTIÓN PARA LA IMPLEMENTACIÓN DE LOS PROYECTOS "FORTALECIMIENTO DE IBAGUÉ VIBRA CON NIÑAS Y NIÑOS, PROTEGIDOS, SANOS Y FELICES EN EL MUNICIPIO DE IBAGUÉ" Y FORTALECIMIENTO DE LOS JÓVENES QUE VIBRAN POR LA VIDA EN EL MUNICIPIO DE IBAGUÉ</t>
  </si>
  <si>
    <t>SDSC-DE-P41-PRESTACIÓN DE SERVICIOS PROFESIONALES CON EL FIN DE BRINDAR SOPORTE Y ASISTENCIA DEL SUBPROGRAMA DE LA MANO CON LOS ADULTOS MAYORES DE LA DIRECCION DE GRUPOS ETNICOS Y POBLACION VULNERABLE.</t>
  </si>
  <si>
    <t>SDSC-DE-P34 PRESTACIÓN DE SERVICIOS PROFESIONALES PARA FORTALECER LA EJECUCIÓN DE LAS METAS, ACTIVIDADES Y ATENCION PSICOSOCIAL DE LOS SUBPROGRAMAS DE LA DIRECCION DE GRUPOS ETNICOS Y POBLACION VULNERABLE</t>
  </si>
  <si>
    <t>SDSC-DE-P16- PRESTACIÓN DE SERVICIOS PROFESIONALES PARA FORTALECER LA EJECUCIÓN DE LAS METAS, ACTIVIDADES Y ATENCION PSICOSOCIAL DE LOS SUBPROGRAMAS DE LA DIRECCION DE GRUPOS ETNICOS Y POBLACION VULNERABLE</t>
  </si>
  <si>
    <t>SDSC-DI-P91-CONTRATAR LA PRESTACIÓN DE SERVICIOS PROFESIONALES PARA ADELANTAR ACOMPAÑAMIENTO  PSICOSOCIAL EN EL MARCO DE LOS PROYECTOS "FORTALECIMIENTO DE IBAGUÉ VIBRA CON NIÑAS Y NIÑOS, PROTEGIDOS, SANOS Y FELICES EN EL MUNICIPIO DE IBAGUÉ" Y FORTALECIMIENTO DE LOS JÓVENES QUE VIBRAN POR LA VIDA EN EL MUNICIPIO DE IBAGUÉ</t>
  </si>
  <si>
    <t>SDSC-DE-AG18- PRESTACIÓN DE SERVICIOS DE APOYO A LA GESTION PARA DESARROLLAR ACTIVIDADES RELACIONADAS CON LA ATENCION Y ORIENTACION A LA POBLACIÓN DEL ATENCION INTEGRAL DE POBLACION EN SITUACION PERMANENTE DE DESPROTECCION SOCIAL Y/O FAMILIAR DE LA DIRECCION DE GRUPOS ETNICOS Y POBLACIÓN VULNERABLE</t>
  </si>
  <si>
    <t>SDSC-DE-P09 -PRESTACIÓN DE SERVICIOS PROFESIONALES PARA FORTALECER LA EJECUCIÓN DE LAS METAS, ACTIVIDADES Y ATENCION PSICOSOCIAL DE LOS SUBPROGRAMAS DE LA DIRECCION DE GRUPOS ETNICOS Y POBLACION VULNERABLE</t>
  </si>
  <si>
    <t>SDSC-DI-AG63-CONTRATAR LA PRESTACIÓN DE SERVICIOS DE APOYO A LA GESTIÓN DE UN JUDICANTE PARA LA IMPLEMENTACIÓN DEL PROYECTO "JÓVENES QUE VIBRAN POR LA VIDA"</t>
  </si>
  <si>
    <t>SDSC-DE-AG10PRESTACIÓN DE SERVICIOS DE APOYO A LA GESTION PARA DESARROLLAR ACTIVIDADES RELACIONADAS CON LA ATENCION Y ORIENTACION A LA POBLACIÓN DEL ATENCION INTEGRAL DE POBLACION EN SITUACION PERMANENTE DE DESPROTECCION SOCIAL Y/O FAMILIAR DE LA DIRECCION DE GRUPOS ETNICOS Y POBLACIÓN VULNERABLE.</t>
  </si>
  <si>
    <t>SDSC-DI-P90-CONTRATAR LA PRESTACIÓN DE SERVICIOS PROFESIONALES PARA DESARROLLAR ACTIVIDADES EN EL MARCO DE LOS PROYECTOS "FORTALECIMIENTO DE IBAGUÉ VIBRA CON NIÑAS Y NIÑOS, PROTEGIDOS, SANOS Y FELICES EN EL MUNICIPIO DE IBAGUÉ" Y FORTALECIMIENTO DE LOS JÓVENES QUE VIBRAN POR LA VIDA EN EL MUNICIPIO DE IBAGUÉ</t>
  </si>
  <si>
    <t>SDSC-DI-P140-CONTRATAR LA PRESTACIÓN DE SERVICIOS PROFESIONALES PARA EL FORTALECIMIENTO DEL PROGRAMA "DESARROLLO INTEGRAL DE NIÑOS, NIÑAS, ADOLESCENTES Y SUS FAMILIAS".</t>
  </si>
  <si>
    <t>SDSC-DM-P7-CONTRATAR LA PRESTACIÓN DE SERVICIOS PROFESIONALES PARA ADELANTAR ACOMPAÑAMIENTO  PSICOSOCIAL EN EL MARCO DEL PROYECTO DENOMINADO FORTALECIMIENTO A LA MUJER, GENERO Y DIVERSIDAD SEXUAL EN EL MUNICIPIO DE IBAGUÉ".</t>
  </si>
  <si>
    <t>SDSC-DM-P4-CONTRATAR LA PRESTACIÓN DE SERVICIOS PROFESIONALES PARA ADELANTAR ACOMPAÑAMIENTO  PSICOSOCIAL EN EL MARCO DEL PROYECTO DENOMINADO FORTALECIMIENTO A LA MUJER, GENERO Y DIVERSIDAD SEXUAL EN EL MUNICIPIO DE IBAGUÉ".</t>
  </si>
  <si>
    <t>SDSC-DI-TA2-5-CONTRATAR LA PRESTACIÓN DE SERVICIOS DE APOYO A LA GESTIÓN PARA EL FORTALECIMIENTO DEL SUBPROGRAMA "JOVENES QUE VIBRAN POR LA VIDA".</t>
  </si>
  <si>
    <t>SDSC-DE-AG28 PRESTACIÓN DE SERVICIOS DE APOYO A LA GESTION PARA DESARROLLAR ACTIVIDADES RELACIONADAS CON LA ATENCION Y ORIENTACION A LA POBLACIÓN DEL ATENCION INTEGRAL DE POBLACION EN SITUACION PERMANENTE DE DESPROTECCION SOCIAL Y/O FAMILIAR DE LA DIRECCION DE GRUPOS ETNICOS Y POBLACIÓN VULNERABLE.</t>
  </si>
  <si>
    <t>SDSC-DI-P98-CONTRATAR LA PRESTACIÓN DE SERVICIOS PROFESIONALES PARA LA IMPLEMENTACIÓN DEL PROYECTO "FORTALECIMIENTO DE LOS JÓVENES QUE VIBRAN POR LA VIDA EN EL MUNICIPIO DE IBAGUÉ".</t>
  </si>
  <si>
    <t>SDSC-DI-P92-CONTRATAR LA PRESTACIÓN DE SERVICIOS PROFESIONALES PARA ADELANTAR ACOMPAÑAMIENTO  PSICOSOCIAL EN EL MARCO DEL PROYECTO "FORTALECIMIENTO DE IBAGUÉ VIBRA CON NIÑAS Y NIÑOS, PROTEGIDOS, SANOS Y FELICES EN EL MUNICIPIO DE IBAGUÉ".</t>
  </si>
  <si>
    <t>SDSC-DE-AG09 PRESTACIÓN DE SERVICIOS DE APOYO A LA GESTION PARA DESARROLLAR ACTIVIDADES RELACIONADAS CON LA ATENCION Y ORIENTACION A LA POBLACIÓN DEL SUBPROGRAMA DIVERSIDAD ETNICA CULTURAL DE LA DIRECCION DE GRUPOS ETNICOS Y POBLACIÓN VULNERABLE</t>
  </si>
  <si>
    <t>SDSC-DE- P35 PRESTACION DE SERVICIOS PROFESIONALES ESPECIALIZADOS PARA LA COORDINACION DE LA FORMULACION DE POLITICAS PUBLICAS DE LA SECRETARIA DE DESARROLLO SOCIAL COMUNITARIO.</t>
  </si>
  <si>
    <t>SDSC-DE-P01 PRESTACIÓN DE SERVICIOS PROFESIONALES PARA DESARROLLAR ACTIVIDADES RELACIONADAS CON EL FORTALECIMIENTO A LOS PROCESOS JURÍDICOS QUE SE ADELANTAN EN LOS PROGRAMAS DE LA DIRECCION DE GRUPOS ETNICOS Y POBLACION VULNERABLE</t>
  </si>
  <si>
    <t>SDSC-DM-P14-CONTRATAR LA PRESTACIÓN DE SERVICIOS PROFESIONALES DE UN POLITÃ“LOGO PARA EL DESARROLLO DE LOS PROCESOS DE PLANEACIÓN, SEGUIMIENTO Y EJECUCIÓN ENMARCADOS EN EL PROYECTO DENOMINADO FORTALECIMIENTO A LA MUJER, GENERO Y DIVERSIDAD SEXUAL EN EL MUNICIPIO DE IBAGUÉ</t>
  </si>
  <si>
    <t>SDSC-DM-P5-CONTRATAR LA PRESTACIÓN DE SERVICIOS PROFESIONALES PARA ADELANTAR ACOMPAÑAMIENTO  PSICOSOCIAL EN EL MARCO DEL PROYECTO DENOMINADO â€œFORTALECIMIENTO A LA MUJER, GENERO Y DIVERSIDAD SEXUAL EN EL MUNICIPIO DE IBAGUÉ".</t>
  </si>
  <si>
    <t>SDSC-DE-AG19 PRESTACIÓN DE SERVICIOS DE APOYO A LA GESTION PARA DESARROLLAR ACTIVIDADES RELACIONADAS CON LA ATENCION Y ORIENTACION A LA POBLACIÓN DEL ATENCION INTEGRAL DE POBLACION EN SITUACION PERMANENTE DE DESPROTECCION SOCIAL Y/O FAMILIAR DE LA DIRECCION DE GRUPOS ETNICOS Y POBLACIÓN VULNERABLE.</t>
  </si>
  <si>
    <t>SDSC-DE-P12 PRESTACIÓN DE SERVICIOS PROFESIONALES PARA FORTALECER LA EJECUCIÓN DE LAS METAS Y ACTIVIDADES DEL SUBPROGRAMA IBAGUE LUCHA CONTRA LA POBREZA DE LA DIRECCION DE GRUPOS ETNICOS Y POBLACION VULNERABLE</t>
  </si>
  <si>
    <t>SDSC-DI-P96-CONTRATAR LA PRESTACIÓN DE SERVICIOS PROFESIONALES PARA LA IMPLEMENTACIÓN DEL PROYECTO "FORTALECIMIENTO DE LOS JÓVENES QUE VIBRAN POR LA VIDA EN EL MUNICIPIO DE IBAGUÉ".</t>
  </si>
  <si>
    <t>SDSC-DM-P3-CONTRATAR LA PRESTACIÓN DE SERVICIOS PROFESIONALES PARA ADELANTAR ACOMPAÑAMIENTO  PSICOSOCIAL EN EL MARCO DEL PROYECTO DENOMINADO â€œFORTALECIMIENTO A LA MUJER, GENERO Y DIVERSIDAD SEXUAL EN EL MUNICIPIO DE IBAGUÉ".</t>
  </si>
  <si>
    <t>SDSC-DM-P8-CONTRATAR LA PRESTACIÓN DE SERVICIOS PROFESIONALES PARA ADELANTAR ACOMPAÑAMIENTO  PSICOSOCIAL EN EL MARCO DEL PROYECTO DENOMINADO FORTALECIMIENTO A LA MUJER, GENERO Y DIVERSIDAD SEXUAL EN EL MUNICIPIO DE IBAGUÉ".</t>
  </si>
  <si>
    <t>SDSC-DE-P46 PRESTACION DE SERVICIOS PROFESIONALES ESPECIALIZADOS PARA LA COORDINACION DE LA FORMULACION DE POLITICAS PUBLICAS DE LA SECRETARIA DE DESARROLLO SOCIAL COMUNITARIO.</t>
  </si>
  <si>
    <t>SDSC-DE-P06 PRESTACIÓN DE SERVICIOS PROFESIONALES PARA FORTALECER LA EJECUCIÓN DE LAS METAS, ACTIVIDADES Y ATENCION PSICOSOCIAL DE LOS SUBPROGRAMAS DE LA DIRECCION DE GRUPOS ETNICOS Y POBLACION VULNERABLE</t>
  </si>
  <si>
    <t>SDSC-DI-P97-CONTRATAR LA PRESTACIÓN DE SERVICIOS PROFESIONALES PARA LA IMPLEMENTACIÓN DEL PROYECTO "FORTALECIMIENTO DE LOS JÓVENES QUE VIBRAN POR LA VIDA EN EL MUNICIPIO DE IBAGUÉ".</t>
  </si>
  <si>
    <t>SDSC-DE-AG27 PRESTACIÓN DE SERVICIOS DE APOYO A LA GESTION PARA DESARROLLAR ACTIVIDADES RELACIONADAS CON LA ATENCION Y ORIENTACION A LA POBLACIÓN DEL ATENCION INTEGRAL DE POBLACION EN SITUACION PERMANENTE DE DESPROTECCION SOCIAL Y/O FAMILIAR DE LA DIRECCION DE GRUPOS ETNICOS Y POBLACIÓN VULNERABLE</t>
  </si>
  <si>
    <t>SDSC-DI-P14-CONTRATAR LA PRESTACIÓN DE SERVICIOS PROFESIONALES PARA LA IMPLEMENTACION DE LOS PROYECTOS â€œFORTALECIMIENTO DE IBAGUE COM NIÑOS, PROTEGIDOS, SANOS Y FELICES EN EL MUNICIPIO DE IBAGUEâ€ Y â€œFORTALECIMIENTO DE LOS JOVENES QUE VIBRAN POR LA VIDA EN EL MUNICIPIO DE IBAGUEâ€.</t>
  </si>
  <si>
    <t>SDSC-DI-AG100-CONTRATAR LA PRESTACIÓN DE SERVICIOS DE APOYO A LA GESTIÓN PARA LA IMPLEMENTACIÓN DEL PROYECTO "FORTALECIMIENTO DE IBAGUÉ VIBRA CON NIÑAS Y NIÑOS, PROTEGIDOS, SANOS Y FELICES EN EL MUNICIPIO DE IBAGUÉ</t>
  </si>
  <si>
    <t>SDSC-DE-AG03PRESTACIÓN DE SERVICIOS DE APOYO A LA GESTION PARA DESARROLLAR ACTIVIDADES RELACIONADAS CON LA ATENCION Y ORIENTACION A LA POBLACIÓN DEL SUBPROGRAMA IBAGUE DE LA MANO CON LOS ADULTOS MAYORES DE LA DIRECCION DE GRUPOS ETNICOS Y POBLACIÓN VULNERABLE</t>
  </si>
  <si>
    <t>SDSC-DI-P106-CONTRATAR LA PRESTACIÓN DE SERVICIOS PROFESIONALES PARA LA IMPLEMENTACIÓN DE LAS ACCIONES ENMARCADAS EN LOS PROYECTOS DENOMINADO FORTALECIMIENTO A LA MUJER, GENERO Y DIVERSIDAD SEXUAL EN EL MUNICIPIO DE IBAGUÉ Y "FORTALECIMIENTO DE LOS JÓVENES QUE VIBRAN POR LA VIDA EN EL MUNICIPIO DE IBAGUÉ".</t>
  </si>
  <si>
    <t>SDSC-DI-AG89- CONTRATAR LA PRESTACION DE SERVICIOS DE APOYO A LA GESTION PARA LA IMPLEMENTACION DEL PROYECTO "JOVENES QUE VIBRAN POR LA VIDA".</t>
  </si>
  <si>
    <t>SDSC-DE-P14-CONTRATAR LA PRESTACIÓN DE SERVICIOS PROFESIONALES PARA ADELANTAR ACOMPAÑAMIENTO  PSICOSOCIAL EN EL MARCO DEL PROYECTO DENOMINADO FORTALECIMIENTO A LA MUJER, GENERO Y DIVERSIDAD SEXUAL EN EL MUNICIPIO DE IBAGUÉ".</t>
  </si>
  <si>
    <t>SDSC-DI-P17-CONTRATAR LA PRESTACIÓN DE SERVICIOS PROFESIONALES DE UNA NUTRICIONISTA DIETISTA PARA LLEVAR A CABO LA IMPLEMENTACIÓN DE LOS COMEDORES COMUNITARIOS ENMARCADOS EN EL PROYECTO DENOMINADO "FORTALECIMIENTO DE IBAGUÉ VIBRA CON NIÑAS Y NIÑOS, PROTEGIDOS, SANOS Y FELICES EN EL MUNICIPIO DE IBAGUÉ".</t>
  </si>
  <si>
    <t>SDSC-DI-P15-CONTRATAR LA PRESTACIÓN DE SERVICIOS PROFESIONALES PARA LA IMPLEMENTACIÓN DEL PROYECTO "FORTALECIMIENTO DE IBAGUÉ VIBRA CON NIÑAS Y NIÑOS, PROTEGIDOS, SANOS Y FELICES EN EL MUNICIPIO DE IBAGUÉ</t>
  </si>
  <si>
    <t>SDSC-DI-P103-CONTRATAR LA PRESTACIÓN DE SERVICIOS PROFESIONALES PARA LA IMPLEMENTACIÓN DE LOS PROYECTOS "FORTALECIMIENTO DE IBAGUÉ VIBRA CON NIÑAS Y NIÑOS, PROTEGIDOS, SANOS Y FELICES EN EL MUNICIPIO DE IBAGUÉ" Y FORTALECIMIENTO DE LOS JÓVENES QUE VIBRAN POR LA VIDA EN EL MUNICIPIO DE IBAGUÉ</t>
  </si>
  <si>
    <t>SDSC-DE-AG11 PRESTACIÓN DE SERVICIOS DE APOYO A LA GESTION PARA DESARROLLAR ACTIVIDADES RELACIONADAS CON LA ATENCION Y ORIENTACION A LA POBLACIÓN DEL SUBPROGRAMA IBAGUE DE LA MANO CON LOS ADULTOS MAYORES DE LA DIRECCION DE GRUPOS ETNICOS Y POBLACIÓN VULNERABLE</t>
  </si>
  <si>
    <t>SDSC-DM-P6-CONTRATAR LA PRESTACIÓN DE SERVICIOS PROFESIONALES PARA ADELANTAR ACOMPAÑAMIENTO  PSICOSOCIAL EN EL MARCO DEL PROYECTO DENOMINADO FORTALECIMIENTO A LA MUJER, GENERO Y DIVERSIDAD SEXUAL EN EL MUNICIPIO DE IBAGUÉ".</t>
  </si>
  <si>
    <t>SDSC-DI-AG70-CONTRATAR LA PRESTACIÓN DE SERVICIOS DE APOYO A LA GESTIÓN ARA LA IMPLEMENTACIÓN DEL PROYECTO "FORTALECIMIENTO DE LOS JÓVENES QUE VIBRAN POR LA VIDA EN EL MUNICIPIO DE IBAGUÉ" .</t>
  </si>
  <si>
    <t>DSC-DI-AG80-CONTRATAR LA PRESTACIÓN DE SERVICIOS DE APOYO A LA GESTIÓN PARA LA IMPLEMENTACIÓN DEL PROYECTO DENOMINADO "FORTALECIMIENTO DE LOS JÓVENES QUE VIBRAN POR LA VIDA EN EL MUNICIPIO DE IBAGUÉ"</t>
  </si>
  <si>
    <t>SDSC-DI-AG104-CONTRATAR LA PRESTACIÓN DE SERVICIOS DE APOYO A LA GESTIÓN PARA LA IMPLEMENTACIÓN DEL PROYECTO "FORTALECIMIENTO DE IBAGUÉ VIBRA CON NIÑAS Y NIÑOS, PROTEGIDOS, SANOS Y FELICES EN EL MUNICIPIO DE IBAGUÉ</t>
  </si>
  <si>
    <t>SDSC-DI-P94-CONTRATAR LA PRESTACIÓN DE SERVICIOS PROFESIONALES PARA DESARROLLAR ACTIVIDADES EN EL MARCO DEL PROYECTO "FORTALECIMIENTO DE LOS JÓVENES QUE VIBRAN POR LA VIDA EN EL MUNICIPIO DE IBAGUÉ".</t>
  </si>
  <si>
    <t>SDSC-DE-AG02 PRESTACIÓN DE SERVICIOS DE APOYO A LA GESTION PARA DESARROLLAR ACTIVIDADES RELACIONADAS CON LA ATENCION Y ORIENTACION A LA POBLACIÓN DEL SUBPROGRAMA IBAGUE DE LA MANO CON LOS ADULTOS MAYORES DE LA DIRECCION DE GRUPOS ETNICOS Y POBLACIÓN VULNERABLE</t>
  </si>
  <si>
    <t>SDSC-DE-P51 PRESTACIÓN DE SERVICIOS PROFESIONALES PARA FORTALECER LA EJECUCIÓN DE LAS METAS, ACTIVIDADES Y ATENCION PSICOSOCIAL DE LOS SUBPROGRAMAS DE LA DIRECCION DE GRUPOS ETNICOS Y POBLACION VULNERABLE</t>
  </si>
  <si>
    <t>SDSC-DI-TA2-3-CONTRATAR LA PRESTACIÓN DE SERVICIOS DE APOYO A LA GESTIÓN PARA EL FORTALECIMIENTO DEL SUBPROGRAMA "JÓVENES QUE VIBRAN POR LA VIDA"</t>
  </si>
  <si>
    <t>SDSC-DI-P95-CONTRATAR LA PRESTACIÓN DE SERVICIOS PROFESIONALES PARA LA IMPLEMENTACIÓN DEL PROYECTO "FORTALECIMIENTO DE LOS JÓVENES QUE VIBRAN POR LA VIDA EN EL MUNICIPIO DE IBAGUÉ".</t>
  </si>
  <si>
    <t>SDSC-DI-P102-CONTRATAR LA PRESTACIÓN DE SERVICIOS PROFESIONALES PARA LA IMPLEMENTACIÓN DE LOS PROYECTOS "FORTALECIMIENTO DE IBAGUÉ VIBRA CON NIÑAS Y NIÑOS, PROTEGIDOS, SANOS Y FELICES EN EL MUNICIPIO DE IBAGUÉ" Y FORTALECIMIENTO DE LOS JÓVENES QUE VIBRAN POR LA VIDA EN EL MUNICIPIO DE IBAGUÉ</t>
  </si>
  <si>
    <t>SDSC-DE-P50 PRESTACIÓN DE SERVICIOS PROFESIONALES PARA FORTALECER LA EJECUCIÓN DE LAS METAS, ACTIVIDADES Y ATENCION PSICOSOCIAL DE LOS SUBPROGRAMAS DE LA DIRECCION DE GRUPOS ETNICOS Y POBLACION VULNERABLE</t>
  </si>
  <si>
    <t>SDSC-DI-P34-CONTRATAR LA PRESTACIÓN DE SERVICIOS PROFESIONALES PARA LA IMPLEMENTACIÓN DEL PROYECTO DENOMINADO "FORTALECIMIENTO DE LOS JÓVENES QUE VIBRAN POR LA VIDA EN EL MUNICIPIO DE IBAGUÉ".</t>
  </si>
  <si>
    <t>SDSC-DE-P13 PRESTACIÓN DE SERVICIOS PROFESIONALES PARA FORTALECER LA EJECUCIÓN DE LAS METAS Y ACTIVIDADES DEL SUBPROGRAMA IBAGUE LUCHA CONTRA LA POBREZA DE LA DIRECCION DE GRUPOS ETNICOS Y POBLACION VULNERABLE</t>
  </si>
  <si>
    <t>SDSC-DE-CONTRATAR CON UNA ENTIDAD SIN ANIMO DE LUCRO PARA BRINDAR ATENCIÓN INTEGRAL A LAS PERSONAS CON DISCAPACIDAD, EN EL MARCO DEL SUBPROGRAMA, IBAGUE TERRITORIO INCLUYENTE CON LA DISCAPACIDAD.</t>
  </si>
  <si>
    <t>SDSC-DI-AG73-CONTRATAR LA PRESTACIÓN DE SERVICIOS DE APOYO A LA GESTIÓN PARA LA IMPLEMENTACIÓN DEL PROYECTO "FORTALECIMIENTO DE LOS JÓVENES QUE VIBRAN POR LA VIDA EN EL MUNICIPIO DE IBAGUÉ".</t>
  </si>
  <si>
    <t>SDSC-DI-P18-CONTRATAR LA PRESTACIÓN DE SERVICIOS PROFESIONALES PARA ADELANTAR ACOMPAÑAMIENTO  PSICOSOCIAL EN EL MARCO DEL PROYECTO "FORTALECIMIENTO DE LOS JÓVENES QUE VIBRAN POR LA VIDA EN EL MUNICIPIO DE IBAGUÉ"</t>
  </si>
  <si>
    <t>SDSC-DI-AG72-CONTRATAR LA PRESTACIÓN DE SERVICIOS DE APOYO A LA GESTIÓN PARA LA IMPLEMENTACIÓN DEL PROYECTO "FORTALECIMIENTO DE LOS JÓVENES QUE VIBRAN POR LA VIDA EN EL MUNICIPIO DE IBAGUÉ"</t>
  </si>
  <si>
    <t>SDSC-DE-AG05 PRESTACIÓN DE SERVICIOS DE APOYO A LA GESTION PARA DESARROLLAR ACTIVIDADES RELACIONADAS CON LA ATENCION Y ORIENTACION A LA POBLACIÓN DEL SUBPROGRAMA IBAGUE DE LA MANO CON LOS ADULTOS MAYORES DE LA DIRECCION DE GRUPOS ETNICOS Y POBLACIÓN VULNERABLE</t>
  </si>
  <si>
    <t>SDSC-DI-TA2-4-CONTRATAR LA PRESTACIÓN DE SERVICIOS DE APOYO A LA GESTIÓN PARA EL FORTALECIMIENTO DEL SUBPROGRAMA "JOVENES QUE VIBRAN POR LA VIDA".</t>
  </si>
  <si>
    <t>SDSC-DI-P46-CONTRATAR LA PRESTACIÓN DE SERVICIOS PROFESIONALES PARA LA IMPLEMENTACIÓN DEL PROYECTO "FORTALECIMIENTO DE LOS JÓVENES QUE VIBRAN POR LA VIDA EN EL MUNICIPIO DE IBAGUÉ"</t>
  </si>
  <si>
    <t>SDSC-DI-TA2-6-CONTRATAR LA PRESTACIÓN DE SERVICIOS DE APOYO A LA GESTIÓN PARA EL FORTALECIMIENTO DEL SUBPROGRAMA "JOVENES QUE VIBRAN POR LA VIDA".</t>
  </si>
  <si>
    <t>SDSC-DM-P11-CONTRATAR LA PRESTACIÓN DE SERVICIOS PROFESIONALES DE UNA COMUNICADORA SOCIAL Y PERIODISTA PARA LA IMPLEMENTACIÓN DEL PROYECTO DENOMINADO FORTALECIMIENTO A LA MUJER, GENERO Y DIVERSIDAD SEXUAL EN EL MUNICIPIO DE IBAGUÉ".</t>
  </si>
  <si>
    <t>SDSC-DM-AG19 CONTRATAR LA PRESTACIÓN DE SERVICIOS DE APOYO A LA GESTIÓN PARA LA IMPLEMENTACIÓN DEL PROYECTO DENOMINADO FORTALECIMIENTO A LA MUJER, GENERO Y DIVERSIDAD SEXUAL EN EL MUNICIPIO DE IBAGUÉ</t>
  </si>
  <si>
    <t>SDSC-DE-P48 PRESTACIÓN DE SERVICIOS PROFESIONALES PARA FORTALECER LA EJECUCIÓN DE LAS METAS Y ACTIVIDADES DEL PROGRAMA ATENCION INTEGRAL DE POBLACION EN SITUACION PERMANENTE DE DESPROTECCION SOCIAL Y/O FAMILIAR EN SITUACION DE VULNERABILIDAD DE LA ALCALDIA DE IBAGUE</t>
  </si>
  <si>
    <t>SDSC-DM-P18-CONTRATAR LA PRESTACIÓN DE SERVICIOS PROFESIONALES PARA ADELANTAR ACOMPAÑAMIENTO  PSICOSOCIAL EN EL MARCO DEL PROYECTO DENOMINADO FORTALECIMIENTO A LA MUJER, GENERO Y DIVERSIDAD SEXUAL EN EL MUNICIPIO DE IBAGUÉ".</t>
  </si>
  <si>
    <t>SDSC-DM-AG12 CONTRATAR LA PRESTACIÓN DE SERVICIOS DE APOYO A LA GESTIÓN PARA LA IMPLEMENTACIÓN DEL PROYECTO DENOMINADO FORTALECIMIENTO A LA MUJER, GENERO Y DIVERSIDAD SEXUAL EN EL MUNICIPIO DE IBAGUÉ".</t>
  </si>
  <si>
    <t>SDSC-DE-P52 PRESTACIÓN DE SERVICIOS PROFESIONALES PARA FORTALECER LA EJECUCIÓN DE LAS METAS, ACTIVIDADES Y ATENCION PSICOSOCIAL DE LOS SUBPROGRAMAS DE LA DIRECCION DE GRUPOS ETNICOS Y POBLACION VULNERABLE</t>
  </si>
  <si>
    <t>SDSC-DE-P28 PRESTACIÓN DE SERVICIOS PROFESIONALES PARA DESARROLLAR ACTIVIDADES RELACIONADAS CON EL FORTALECIMIENTO A LOS PROCESOS JURÍDICOS QUE SE ADELANTAN EN LOS PROGRAMAS DE LA DIRECCION DE GRUPOS ETNICOS Y POBLACION VULNERABLE</t>
  </si>
  <si>
    <t>SDSC-DI-P45-CONTRATAR LA PRESTACIÓN DE SERVICIOS PROFESIONALES PARA LA IMPLEMENTACIÓN DEL PROYECTO "FORTALECIMIENTO DE LOS JÓVENES QUE VIBRAN POR LA VIDA EN EL MUNICIPIO DE IBAGUÉ".</t>
  </si>
  <si>
    <t>SDSC-DI-P39-CONTRATAR LA PRESTACIÓN DE SERVICIOS PROFESIONALES PARA LA IMPLEMENTACIÓN DEL PROYECTO "FORTALECIMIENTO DE LOS JÓVENES QUE VIBRAN POR LA VIDA EN EL MUNICIPIO DE IBAGUÉ"</t>
  </si>
  <si>
    <t>SDSC-DI-TA2-1-CONTRATAR LA PRESTACIÓN DE SERVICIOS PROFESIONALES PARA EL FORTALECIMIENTO DEL SUBPROGRAMA "JÓVENES QUE VIBRAN POR LA VIDA".</t>
  </si>
  <si>
    <t>SDSC-DE-AG29 PRESTACIÓN DE SERVICIOS DE APOYO A LA GESTIÓN PARA DESARROLLAR ACTIVIDADES RELACIONADAS CON LA ATENCION Y ORIENTACION A LA POBLACIÓN DEL ATENCIÓN INTEGRAL DE POBLACIÓN EN SITUACIÃ“N PERMANENTE DE DESPROTECCIÃ“N SOCIAL Y/O FAMILIAR DE LA DIRECCIÃ“N DE GRUPOS Ã‰TNICOS Y POBLACIÓN VULNERABLE.</t>
  </si>
  <si>
    <t>SDSC-DI-TA2-34-CONTRATAR LA PRESTACIÓN DE SERVICIOS DE APOYO A LA GESTIÓN PARA EL FORTALECIMIENTO DEL SUBPROGRAMA "JÓVENES QUE VIBRAN POR LA VIDA"</t>
  </si>
  <si>
    <t>SDSC-DI-AG65-CONTRATAR LA PRESTACIÓN DE SERVICIOS DE APOYO A LA GESTIÓN PARA LA IMPLEMENTACIÓN DEL PROYECTO "FORTALECIMIENTO DE LOS JÓVENES QUE VIBRAN POR LA VIDA EN EL MUNICIPIO DE IBAGUÉ"</t>
  </si>
  <si>
    <t>SDSC-DI-AG81-CONTRATAR LA PRESTACIÓN DE SERVICIOS DE APOYO A LA GESTIÓN PARA LA IMPLEMENTACIÓN DEL PROYECTO "FORTALECIMIENTO DE LOS JÓVENES QUE VIBRAN POR LA VIDA EN EL MUNICIPIO DE IBAGUÉ"</t>
  </si>
  <si>
    <t>SDSC-DI-AG76-CONTRATAR LA PRESTACIÓN DE SERVICIOS DE APOYO A LA GESTIÓN PARA LA IMPLEMENTACIÓN DEL PROYECTO "FORTALECIMIENTO DE LOS JÓVENES QUE VIBRAN POR LA VIDA EN EL MUNICIPIO DE IBAGUÉ"</t>
  </si>
  <si>
    <t>SDSC-DI-AG77-CONTRATAR LA PRESTACIÓN DE SERVICIOS DE APOYO A LA GESTIÓN PARA LA IMPLEMENTACIÓN DEL PROYECTO "FORTALECIMIENTO DE LOS JÓVENES QUE VIBRAN POR LA VIDA EN EL MUNICIPIO DE IBAGUÉ"</t>
  </si>
  <si>
    <t>SDSC-DI-AG68-CONTRATAR LA PRESTACIÓN DE SERVICIOS DE APOYO A LA GESTIÓN PARA LA IMPLEMENTACIÓN DEL PROYECTO "FORTALECIMIENTO DE LOS JÓVENES QUE VIBRAN POR LA VIDA EN EL MUNICIPIO DE IBAGUÉ"</t>
  </si>
  <si>
    <t>SDSC-DI-AG67-CONTRATAR LA PRESTACIÓN DE SERVICIOS DE APOYO A LA GESTIÓN PARA LA IMPLEMENTACIÓN DEL PROYECTO "FORTALECIMIENTO DE LOS JÓVENES QUE VIBRAN POR LA VIDA EN EL MUNICIPIO DE IBAGUÉ"</t>
  </si>
  <si>
    <t>SDSC-DI-P59-CONTRATAR LA PRESTACIÓN DE SERVICIOS PROFESIONALES PARA LA IMPLEMENTACIÓN DEL PROYECTO "FORTALECIMIENTO DE LOS JÓVENES QUE VIBRAN POR LA VIDA EN EL MUNICIPIO DE IBAGUÉ".</t>
  </si>
  <si>
    <t>SDSC-DE-CONTRATAR LA PRESTACION DE SERVICIOS PARA BRINDAR ALOJAMIENTO TRANSITORIO Y DE EMERGENCIA A LAS VICTIMAS QUE SEAN OBJETO DE AYUDAS HUMANITARIAS DE ACUERDO CON LA LEY 1448 DE 2011, EN ELMARCO DEL SUB- PROGRAMA "IBAGUÉ POR LA GARANTÃA DE LOS DERECHOS DE LAS VÃCTIMAS.</t>
  </si>
  <si>
    <t>SDSC-DE-P56 PRESTACIÓN DE SERVICIOS PROFESIONALES PARA FORTALECER LA EJECUCIÓN DE LAS METAS Y ACTIVIDADES DEL PROGRAMA ATENCION INTEGRAL DE POBLACION EN SITUACION PERMANENTE DE DESPROTECCION SOCIAL Y/O FAMILIAR EN SITUACION DE VULNERABILIDAD DE LA ALCALDIA DE IBAGUE</t>
  </si>
  <si>
    <t>SDSC-DI-AG56-CONTRATAR LA PRESTACIÓN DE SERVICIOS DE APOYO A LA GESTIÓN PARA LA IMPLEMENTACIÓN DEL PROYECTO "FORTALECIMIENTO DE LOS JÓVENES QUE VIBRAN POR LA VIDA EN EL MUNICIPIO DE IBAGUÉ"</t>
  </si>
  <si>
    <t>SDSC-DI-TA2-44-CONTRATAR LA PRESTACIÓN DE SERVICIOS DE APOYO A LA GESTIÓN PARA EL FORTALECIMIENTO DEL SUBPROGRAMA "JÓVENES QUE VIBRAN POR LA VIDA"</t>
  </si>
  <si>
    <t>SDSC-DI-TA2-45-CONTRATAR LA PRESTACIÓN DE SERVICIOS DE APOYO A LA GESTIÓN PARA EL FORTALECIMIENTO DEL SUBPROGRAMA "JÓVENES QUE VIBRAN POR LA VIDA"</t>
  </si>
  <si>
    <t>SDSC-DI-P19-CONTRATAR LA PRESTACIÓN DE SERVICIOS PROFESIONALES PARA ADELANTAR ACOMPAÑAMIENTO  PSICOSOCIAL EN EL MARCO DE LOS PROYECTOS "FORTALECIMIENTO DE IBAGUÉ VIBRA CON NIÑAS Y NIÑOS, PROTEGIDOS, SANOS Y FELICES EN EL MUNICIPIO DE IBAGUÉ" Y FORTALECIMIENTO DE LOS JÓVENES QUE VIBRAN POR LA VIDA EN EL MUNICIPIO DE IBAGUÉ</t>
  </si>
  <si>
    <t>Pagos a través de Resolución MESA DE VICTIMAS</t>
  </si>
  <si>
    <r>
      <t xml:space="preserve">META DE RESULTADO No. 1: </t>
    </r>
    <r>
      <rPr>
        <sz val="12"/>
        <rFont val="Arial"/>
        <family val="2"/>
      </rPr>
      <t>Beneficiar a 14.000 mujeres y población LGBT con atención y orientación</t>
    </r>
  </si>
  <si>
    <r>
      <rPr>
        <b/>
        <sz val="12"/>
        <rFont val="Arial"/>
        <family val="2"/>
      </rPr>
      <t xml:space="preserve">META DE PRODUCTO No. 1: </t>
    </r>
    <r>
      <rPr>
        <sz val="12"/>
        <rFont val="Arial"/>
        <family val="2"/>
      </rPr>
      <t>Diseñar, actualizar e implementar programas de formación para el desarrollo de capacidades y la transformación social de las mujeres y la población sexualmente diversa del municipio.</t>
    </r>
  </si>
  <si>
    <r>
      <t xml:space="preserve">
NOMBRE:  OSCAR ALBERTO HUERTAS MORENO</t>
    </r>
    <r>
      <rPr>
        <sz val="12"/>
        <rFont val="Arial"/>
        <family val="2"/>
      </rPr>
      <t xml:space="preserve">
SECRETARIO DESARROLLO SOCIAL COMUNITARIO
</t>
    </r>
    <r>
      <rPr>
        <b/>
        <sz val="12"/>
        <rFont val="Arial"/>
        <family val="2"/>
      </rPr>
      <t xml:space="preserve">
FIRMA:________________________________
NOMBRE: DIANA ALEJANDRA QUIMBAYO GORDILLO</t>
    </r>
    <r>
      <rPr>
        <sz val="12"/>
        <rFont val="Arial"/>
        <family val="2"/>
      </rPr>
      <t xml:space="preserve">
DIRECTORA DE MUJER, GÉNERO Y DIVERSIDAD SEXUAL
</t>
    </r>
    <r>
      <rPr>
        <b/>
        <sz val="12"/>
        <rFont val="Arial"/>
        <family val="2"/>
      </rPr>
      <t xml:space="preserve">FIRMA:__________________________________
</t>
    </r>
  </si>
  <si>
    <r>
      <rPr>
        <b/>
        <sz val="12"/>
        <rFont val="Arial"/>
        <family val="2"/>
      </rPr>
      <t xml:space="preserve">META DE PRODUCTO No. 2: </t>
    </r>
    <r>
      <rPr>
        <sz val="12"/>
        <rFont val="Arial"/>
        <family val="2"/>
      </rPr>
      <t>Atención integral y orientación a mujeres y población lgbti priorizada</t>
    </r>
  </si>
  <si>
    <r>
      <rPr>
        <b/>
        <sz val="12"/>
        <rFont val="Arial"/>
        <family val="2"/>
      </rPr>
      <t>META DE PRODUCTO No. 3:</t>
    </r>
    <r>
      <rPr>
        <sz val="12"/>
        <rFont val="Arial"/>
        <family val="2"/>
      </rPr>
      <t xml:space="preserve"> Promover estrategia para la inserción laboral y la generación de ingresos para las mujeres y la población lgbti</t>
    </r>
  </si>
  <si>
    <r>
      <rPr>
        <b/>
        <sz val="12"/>
        <rFont val="Arial"/>
        <family val="2"/>
      </rPr>
      <t xml:space="preserve">META DE PRODUCTO No. 4: </t>
    </r>
    <r>
      <rPr>
        <sz val="12"/>
        <rFont val="Arial"/>
        <family val="2"/>
      </rPr>
      <t>Implementar la estrategia municipal para la prevención de la violencia de género y diversidad sexual priorizada</t>
    </r>
  </si>
  <si>
    <r>
      <t xml:space="preserve">META DE PRODUCTO No. 5: </t>
    </r>
    <r>
      <rPr>
        <sz val="12"/>
        <rFont val="Arial"/>
        <family val="2"/>
      </rPr>
      <t>Implementar la estrategia de atención a las mujeres habitantes de calle.</t>
    </r>
  </si>
  <si>
    <r>
      <rPr>
        <b/>
        <sz val="12"/>
        <rFont val="Arial"/>
        <family val="2"/>
      </rPr>
      <t>META DE PRODUCTO No. 6:</t>
    </r>
    <r>
      <rPr>
        <sz val="12"/>
        <rFont val="Arial"/>
        <family val="2"/>
      </rPr>
      <t xml:space="preserve"> Implementar 1 ruta de atención para mujeres victimas de todo tipo de violencia</t>
    </r>
  </si>
  <si>
    <r>
      <rPr>
        <b/>
        <sz val="12"/>
        <rFont val="Arial"/>
        <family val="2"/>
      </rPr>
      <t>META DE PRODUCTO No. 7:</t>
    </r>
    <r>
      <rPr>
        <sz val="12"/>
        <rFont val="Arial"/>
        <family val="2"/>
      </rPr>
      <t xml:space="preserve"> Gestionar la casa de la mujer en el municipio de ibagué</t>
    </r>
  </si>
  <si>
    <r>
      <rPr>
        <b/>
        <sz val="12"/>
        <rFont val="Arial"/>
        <family val="2"/>
      </rPr>
      <t>META DE PRODUCTO No. 8:</t>
    </r>
    <r>
      <rPr>
        <sz val="12"/>
        <rFont val="Arial"/>
        <family val="2"/>
      </rPr>
      <t xml:space="preserve"> Implementar la política pública lgbti </t>
    </r>
  </si>
  <si>
    <r>
      <rPr>
        <b/>
        <sz val="12"/>
        <rFont val="Arial"/>
        <family val="2"/>
      </rPr>
      <t>META DE PRODUCTO No. 9:</t>
    </r>
    <r>
      <rPr>
        <sz val="12"/>
        <rFont val="Arial"/>
        <family val="2"/>
      </rPr>
      <t xml:space="preserve">  Beneficiar a mujeres cuidadoras de pcd mediante una estrategia de acción integral</t>
    </r>
  </si>
  <si>
    <r>
      <rPr>
        <b/>
        <sz val="12"/>
        <rFont val="Arial"/>
        <family val="2"/>
      </rPr>
      <t>META DE PRODUCTO No. 10:</t>
    </r>
    <r>
      <rPr>
        <sz val="12"/>
        <rFont val="Arial"/>
        <family val="2"/>
      </rPr>
      <t xml:space="preserve">  Beneficiar a mujeres cabezas de familiar para que por medio de proyectos productivos reciban ayuda del ente público o privado para la ejecución de estos proyectos. (entrega de insumos)</t>
    </r>
  </si>
  <si>
    <r>
      <rPr>
        <b/>
        <sz val="12"/>
        <rFont val="Arial"/>
        <family val="2"/>
      </rPr>
      <t>OBSERVACIONES:</t>
    </r>
    <r>
      <rPr>
        <sz val="12"/>
        <rFont val="Arial"/>
        <family val="2"/>
      </rPr>
      <t xml:space="preserve">
*A través del Decreto 0320 del 7 de junio de 2023, se llevó a cabo incorporación de recursos asociado al presente proyecto, por valor de $65.292.000</t>
    </r>
  </si>
  <si>
    <r>
      <rPr>
        <b/>
        <sz val="12"/>
        <rFont val="Arial"/>
        <family val="2"/>
      </rPr>
      <t>META DE RESULTADO No. 1</t>
    </r>
    <r>
      <rPr>
        <sz val="12"/>
        <rFont val="Arial"/>
        <family val="2"/>
      </rPr>
      <t>: Beneficiar 27.000 adultos
mayores en el marco de la implementación de la Política Pública.</t>
    </r>
  </si>
  <si>
    <r>
      <rPr>
        <b/>
        <sz val="12"/>
        <rFont val="Arial"/>
        <family val="2"/>
      </rPr>
      <t xml:space="preserve">META DE PRODUCTO No. 1: </t>
    </r>
    <r>
      <rPr>
        <sz val="12"/>
        <rFont val="Arial"/>
        <family val="2"/>
      </rPr>
      <t>Atención y orientación con enfoque diferencial a los Adultos mayores del área urbana y rural priorizados</t>
    </r>
  </si>
  <si>
    <r>
      <rPr>
        <b/>
        <sz val="12"/>
        <rFont val="Arial"/>
        <family val="2"/>
      </rPr>
      <t xml:space="preserve">
NOMBRE:  OSCAR ALBERTO HUERTAS MORENO
</t>
    </r>
    <r>
      <rPr>
        <sz val="12"/>
        <rFont val="Arial"/>
        <family val="2"/>
      </rPr>
      <t xml:space="preserve">SECRETARIO DESARROLLO SOCIAL COMUNITARIO
</t>
    </r>
    <r>
      <rPr>
        <b/>
        <sz val="12"/>
        <rFont val="Arial"/>
        <family val="2"/>
      </rPr>
      <t>FIRMA:________________________________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 xml:space="preserve">NOMBRE: ELIANA DEL PILAR ROZO RODRIGUEZ
</t>
    </r>
    <r>
      <rPr>
        <sz val="12"/>
        <rFont val="Arial"/>
        <family val="2"/>
      </rPr>
      <t xml:space="preserve">DIRECTOR  DE  GRUPOS ETNICOS Y POBLACIÓN VULNERABLE
</t>
    </r>
    <r>
      <rPr>
        <b/>
        <sz val="12"/>
        <rFont val="Arial"/>
        <family val="2"/>
      </rPr>
      <t xml:space="preserve">
FIRMA:__________________________________
</t>
    </r>
  </si>
  <si>
    <r>
      <rPr>
        <b/>
        <sz val="12"/>
        <rFont val="Arial"/>
        <family val="2"/>
      </rPr>
      <t>META DE PRODUCTO No. 2</t>
    </r>
    <r>
      <rPr>
        <sz val="12"/>
        <rFont val="Arial"/>
        <family val="2"/>
      </rPr>
      <t>: Implementación de comedores comunitarios que beneficien a los adultos mayores del área urbana y rural del municipio de Ibagué.</t>
    </r>
  </si>
  <si>
    <r>
      <rPr>
        <b/>
        <sz val="12"/>
        <rFont val="Arial"/>
        <family val="2"/>
      </rPr>
      <t>META DE PRODUCTO No. 3</t>
    </r>
    <r>
      <rPr>
        <sz val="12"/>
        <rFont val="Arial"/>
        <family val="2"/>
      </rPr>
      <t>: Fortalecer los centros vida y/o centros de bienestar de adulto mayor</t>
    </r>
  </si>
  <si>
    <r>
      <t>OBSERVACIONES: 
*</t>
    </r>
    <r>
      <rPr>
        <sz val="12"/>
        <rFont val="Arial"/>
        <family val="2"/>
      </rPr>
      <t xml:space="preserve">A través de Decreto 0175 del 21 de Marzo de 2023, se incorporaron recursos de estampillas  por valor de $2.904.897.672 
</t>
    </r>
  </si>
  <si>
    <r>
      <rPr>
        <b/>
        <sz val="12"/>
        <rFont val="Arial"/>
        <family val="2"/>
      </rPr>
      <t>META DE RESULTADO No. 1:</t>
    </r>
    <r>
      <rPr>
        <sz val="12"/>
        <rFont val="Arial"/>
        <family val="2"/>
      </rPr>
      <t>Brindar Atención a 5.000 personas con discapacidad del área urbana y rural</t>
    </r>
  </si>
  <si>
    <r>
      <rPr>
        <b/>
        <sz val="12"/>
        <rFont val="Arial"/>
        <family val="2"/>
      </rPr>
      <t xml:space="preserve">META DE PRODUCTO No. 1: </t>
    </r>
    <r>
      <rPr>
        <sz val="12"/>
        <rFont val="Arial"/>
        <family val="2"/>
      </rPr>
      <t>Apoyo y seguimiento a unidades productivas para  personas con  discapacidad y/o sus cuidadores.</t>
    </r>
  </si>
  <si>
    <r>
      <rPr>
        <b/>
        <sz val="12"/>
        <rFont val="Arial"/>
        <family val="2"/>
      </rPr>
      <t xml:space="preserve">NOMBRE:  OSCAR ALBERTO HUERTAS MORENO
</t>
    </r>
    <r>
      <rPr>
        <sz val="12"/>
        <rFont val="Arial"/>
        <family val="2"/>
      </rPr>
      <t xml:space="preserve">SECRETARIO DESARROLLO SOCIAL COMUNITARIO
</t>
    </r>
    <r>
      <rPr>
        <b/>
        <sz val="12"/>
        <rFont val="Arial"/>
        <family val="2"/>
      </rPr>
      <t>FIRMA:________________________________</t>
    </r>
    <r>
      <rPr>
        <sz val="12"/>
        <rFont val="Arial"/>
        <family val="2"/>
      </rPr>
      <t xml:space="preserve">
NOMBRE: </t>
    </r>
    <r>
      <rPr>
        <b/>
        <sz val="12"/>
        <rFont val="Arial"/>
        <family val="2"/>
      </rPr>
      <t>ELIANA DEL PILAR ROZO RODRIGUEZ</t>
    </r>
    <r>
      <rPr>
        <sz val="12"/>
        <rFont val="Arial"/>
        <family val="2"/>
      </rPr>
      <t xml:space="preserve">
DIRECTOR  DE  GRUPOS ETNICOS Y POBLACIÓN VULNERABLE
</t>
    </r>
    <r>
      <rPr>
        <b/>
        <sz val="12"/>
        <rFont val="Arial"/>
        <family val="2"/>
      </rPr>
      <t>FIRMA:__________________________________</t>
    </r>
    <r>
      <rPr>
        <sz val="12"/>
        <rFont val="Arial"/>
        <family val="2"/>
      </rPr>
      <t xml:space="preserve">
</t>
    </r>
  </si>
  <si>
    <r>
      <rPr>
        <b/>
        <sz val="12"/>
        <rFont val="Arial"/>
        <family val="2"/>
      </rPr>
      <t>META DE PRODUCTO No. 2: I</t>
    </r>
    <r>
      <rPr>
        <sz val="12"/>
        <rFont val="Arial"/>
        <family val="2"/>
      </rPr>
      <t>mplementar el Programa de Sensibilización y promoción de los DDHH y el desarrollo de capacidades educativas, culturales, para la población en condición de discapacidad.</t>
    </r>
  </si>
  <si>
    <r>
      <rPr>
        <b/>
        <sz val="12"/>
        <rFont val="Arial"/>
        <family val="2"/>
      </rPr>
      <t>META DE PRODUCTO No.3</t>
    </r>
    <r>
      <rPr>
        <sz val="12"/>
        <rFont val="Arial"/>
        <family val="2"/>
      </rPr>
      <t>:Implementación y Desarrollo del programa lúdico deportivo para el manejo adecuado del tiempo libre dirigido a la población en condición de discapacidad.</t>
    </r>
  </si>
  <si>
    <r>
      <rPr>
        <b/>
        <sz val="12"/>
        <rFont val="Arial"/>
        <family val="2"/>
      </rPr>
      <t>META DE PRODUCTO No. 4:</t>
    </r>
    <r>
      <rPr>
        <sz val="12"/>
        <rFont val="Arial"/>
        <family val="2"/>
      </rPr>
      <t xml:space="preserve"> Atención integral y/o apoyo nutricional a  1.000 personas con discapacidad</t>
    </r>
  </si>
  <si>
    <r>
      <rPr>
        <b/>
        <sz val="12"/>
        <rFont val="Arial"/>
        <family val="2"/>
      </rPr>
      <t>META DE PRODUCTO No. 5:</t>
    </r>
    <r>
      <rPr>
        <sz val="12"/>
        <rFont val="Arial"/>
        <family val="2"/>
      </rPr>
      <t xml:space="preserve"> Apoyar a personas con discapacidad, con entrega de ayudas técnicas.</t>
    </r>
  </si>
  <si>
    <r>
      <rPr>
        <b/>
        <sz val="12"/>
        <rFont val="Arial"/>
        <family val="2"/>
      </rPr>
      <t>META DE PRODUCTO No. 6</t>
    </r>
    <r>
      <rPr>
        <sz val="12"/>
        <rFont val="Arial"/>
        <family val="2"/>
      </rPr>
      <t>: Actualizar e implementar la política pública de discapacidad del Municipio de Ibagué</t>
    </r>
  </si>
  <si>
    <r>
      <rPr>
        <b/>
        <sz val="12"/>
        <rFont val="Arial"/>
        <family val="2"/>
      </rPr>
      <t>META DE PRODUCTO No.7:</t>
    </r>
    <r>
      <rPr>
        <sz val="12"/>
        <rFont val="Arial"/>
        <family val="2"/>
      </rPr>
      <t xml:space="preserve"> Diseñar e Implementar un programa de Formación para el Desarrollo de Capacidades y la Transformación Social de la Población en Condición de Discapacidad, con el Propósito de Lograr su Inclusión Social y Productiva</t>
    </r>
  </si>
  <si>
    <r>
      <rPr>
        <b/>
        <sz val="12"/>
        <rFont val="Arial"/>
        <family val="2"/>
      </rPr>
      <t xml:space="preserve">OBSERVACIONES:
</t>
    </r>
    <r>
      <rPr>
        <sz val="12"/>
        <rFont val="Arial"/>
        <family val="2"/>
      </rPr>
      <t>*A través del Decreto 0293 del 29 de mayo de 2023, se llevó a cabo incorporación de recursos asociado al presente proyecto, por valor de $13.248.000
*A través del Decreto 0320 del 07 de junio de 2023, se llevó a cabo incorporación de recursos asociado al presente proyecto, por valor de $30.492.000
*A través del Decreto 0371 del 26 de junio de 2023, se llevó a cabo incorporación de recursos asociado al presente proyecto, por valor de $12.180.000</t>
    </r>
  </si>
  <si>
    <r>
      <t>META DE RESULTADO No. 1:</t>
    </r>
    <r>
      <rPr>
        <sz val="10"/>
        <rFont val="Arial"/>
        <family val="2"/>
      </rPr>
      <t xml:space="preserve"> Garantizar la asistencia, atención y orientación a la población víctima del conflicto armado en el municipio de Ibagué.</t>
    </r>
  </si>
  <si>
    <r>
      <rPr>
        <b/>
        <sz val="10"/>
        <rFont val="Arial"/>
        <family val="2"/>
      </rPr>
      <t xml:space="preserve">META DE PRODUCTO No. 1: </t>
    </r>
    <r>
      <rPr>
        <sz val="10"/>
        <rFont val="Arial"/>
        <family val="2"/>
      </rPr>
      <t>Atención integral y orientación con enfoque diferencial y étnico a la población víctima del conflicto armado.</t>
    </r>
  </si>
  <si>
    <r>
      <t xml:space="preserve">
</t>
    </r>
    <r>
      <rPr>
        <b/>
        <sz val="12"/>
        <rFont val="Arial"/>
        <family val="2"/>
      </rPr>
      <t xml:space="preserve">NOMBRE:  OSCAR ALBERTO HUERTAS MORENO
</t>
    </r>
    <r>
      <rPr>
        <sz val="12"/>
        <rFont val="Arial"/>
        <family val="2"/>
      </rPr>
      <t xml:space="preserve">SECRETARIO DESARROLLO SOCIAL COMUNITARIO
</t>
    </r>
    <r>
      <rPr>
        <b/>
        <sz val="12"/>
        <rFont val="Arial"/>
        <family val="2"/>
      </rPr>
      <t xml:space="preserve">FIRMA:__________________________
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 xml:space="preserve">
NOMBRE: ELIANA DEL PILAR ROZO RODRIGUEZ
</t>
    </r>
    <r>
      <rPr>
        <sz val="12"/>
        <rFont val="Arial"/>
        <family val="2"/>
      </rPr>
      <t xml:space="preserve">DIRECTOR  DE  GRUPOS ETNICOS Y POBLACIÓN VULNERABLE
</t>
    </r>
    <r>
      <rPr>
        <b/>
        <sz val="12"/>
        <rFont val="Arial"/>
        <family val="2"/>
      </rPr>
      <t>FIRMA:_________________________</t>
    </r>
    <r>
      <rPr>
        <sz val="12"/>
        <rFont val="Arial"/>
        <family val="2"/>
      </rPr>
      <t xml:space="preserve">
</t>
    </r>
  </si>
  <si>
    <r>
      <rPr>
        <b/>
        <sz val="10"/>
        <rFont val="Arial"/>
        <family val="2"/>
      </rPr>
      <t xml:space="preserve">META DE PRODUCTO No. 2: </t>
    </r>
    <r>
      <rPr>
        <sz val="10"/>
        <rFont val="Arial"/>
        <family val="2"/>
      </rPr>
      <t>Actualización y seguimiento a las rutas de atención de población víctima del conflicto armado</t>
    </r>
  </si>
  <si>
    <r>
      <rPr>
        <b/>
        <sz val="10"/>
        <color rgb="FF000000"/>
        <rFont val="Arial"/>
        <family val="2"/>
      </rPr>
      <t xml:space="preserve">META DE PRODUCTO No. 3: </t>
    </r>
    <r>
      <rPr>
        <sz val="10"/>
        <color rgb="FF000000"/>
        <rFont val="Arial"/>
        <family val="2"/>
      </rPr>
      <t xml:space="preserve">Implementación del plan de retorno y reubicación de la población víctima del conflicto armado </t>
    </r>
  </si>
  <si>
    <r>
      <t xml:space="preserve">META DE PRODUCTO No. 4:  </t>
    </r>
    <r>
      <rPr>
        <sz val="10"/>
        <color rgb="FF000000"/>
        <rFont val="Arial"/>
        <family val="2"/>
      </rPr>
      <t>Implementar el  Centro Regional Para la atención y Reparación Integral a Victimas con enfoque étnico y diferencial</t>
    </r>
  </si>
  <si>
    <r>
      <rPr>
        <b/>
        <sz val="10"/>
        <color rgb="FF000000"/>
        <rFont val="Arial"/>
        <family val="2"/>
      </rPr>
      <t>META DE PRODUCTO No. 5</t>
    </r>
    <r>
      <rPr>
        <sz val="10"/>
        <color rgb="FF000000"/>
        <rFont val="Arial"/>
        <family val="2"/>
      </rPr>
      <t>: Estrategia para el fortalecimiento en capacidades de emprendimiento, áreas productivas, tecnología e innovación</t>
    </r>
  </si>
  <si>
    <r>
      <rPr>
        <b/>
        <sz val="10"/>
        <color rgb="FF000000"/>
        <rFont val="Arial"/>
        <family val="2"/>
      </rPr>
      <t>META DE PRODUCTO No. 6:</t>
    </r>
    <r>
      <rPr>
        <sz val="10"/>
        <color rgb="FF000000"/>
        <rFont val="Arial"/>
        <family val="2"/>
      </rPr>
      <t xml:space="preserve"> Apoyo a la Mesa de participación de  víctimas en su conformación, funcionamiento y pago de incentivos, de acuerdo a la ley 1448/2011.</t>
    </r>
  </si>
  <si>
    <r>
      <rPr>
        <b/>
        <sz val="10"/>
        <rFont val="Arial"/>
        <family val="2"/>
      </rPr>
      <t xml:space="preserve">META DE PRODUCTO No. 7: </t>
    </r>
    <r>
      <rPr>
        <sz val="10"/>
        <rFont val="Arial"/>
        <family val="2"/>
      </rPr>
      <t>Actualizar el proceso de caracterización de la población víctima del conflicto armado a través de la herramienta RNI-IGED con enfoque étnico y diferencia.</t>
    </r>
  </si>
  <si>
    <r>
      <rPr>
        <b/>
        <sz val="10"/>
        <rFont val="Arial"/>
        <family val="2"/>
      </rPr>
      <t xml:space="preserve">META DE PRODUCTO No. 8: </t>
    </r>
    <r>
      <rPr>
        <sz val="10"/>
        <rFont val="Arial"/>
        <family val="2"/>
      </rPr>
      <t>Realizar 10 conmemoraciones y/o eventos a la población víctima del conflicto armado</t>
    </r>
  </si>
  <si>
    <r>
      <t>META DE PRODUCTO N° 9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: Formular la politica publica de victimas del conflicto armado</t>
    </r>
  </si>
  <si>
    <r>
      <rPr>
        <b/>
        <sz val="10"/>
        <rFont val="Arial"/>
        <family val="2"/>
      </rPr>
      <t>META DE PRODUCTO No. 10:</t>
    </r>
    <r>
      <rPr>
        <sz val="10"/>
        <rFont val="Arial"/>
        <family val="2"/>
      </rPr>
      <t xml:space="preserve"> Atención integral y orientación con enfoque diferencial y étnico a los niños, niñas, adolescentes y jóvenes víctima del conflicto armado</t>
    </r>
  </si>
  <si>
    <r>
      <rPr>
        <b/>
        <sz val="12"/>
        <rFont val="Arial"/>
        <family val="2"/>
      </rPr>
      <t xml:space="preserve">META DE RESULTADO NO. 1: </t>
    </r>
    <r>
      <rPr>
        <sz val="12"/>
        <rFont val="Arial"/>
        <family val="2"/>
      </rPr>
      <t>10% de implementación de la Política Pública para el desarrollo integral de la primera infancia y fortalecimiento familiar</t>
    </r>
  </si>
  <si>
    <r>
      <rPr>
        <b/>
        <sz val="12"/>
        <rFont val="Arial"/>
        <family val="2"/>
      </rPr>
      <t>META DE PRODUCTO No.1</t>
    </r>
    <r>
      <rPr>
        <sz val="12"/>
        <rFont val="Arial"/>
        <family val="2"/>
      </rPr>
      <t xml:space="preserve">:Formular la Política Pública para el desarrollo integral de la primera infancia </t>
    </r>
  </si>
  <si>
    <r>
      <t xml:space="preserve">
</t>
    </r>
    <r>
      <rPr>
        <b/>
        <sz val="12"/>
        <rFont val="Arial"/>
        <family val="2"/>
      </rPr>
      <t xml:space="preserve">NOMBRE:  OSCAR ALBERTO HUERTAS MORENO
</t>
    </r>
    <r>
      <rPr>
        <sz val="12"/>
        <rFont val="Arial"/>
        <family val="2"/>
      </rPr>
      <t xml:space="preserve">SECRETARIO DESARROLLO SOCIAL COMUNITARIO
</t>
    </r>
    <r>
      <rPr>
        <b/>
        <sz val="12"/>
        <rFont val="Arial"/>
        <family val="2"/>
      </rPr>
      <t>FIRMA:____________________________________</t>
    </r>
    <r>
      <rPr>
        <sz val="12"/>
        <rFont val="Arial"/>
        <family val="2"/>
      </rPr>
      <t xml:space="preserve">
NOMBRE: </t>
    </r>
    <r>
      <rPr>
        <b/>
        <sz val="12"/>
        <rFont val="Arial"/>
        <family val="2"/>
      </rPr>
      <t>JORGE IVAN SABOGAL MENDEZ</t>
    </r>
    <r>
      <rPr>
        <sz val="12"/>
        <rFont val="Arial"/>
        <family val="2"/>
      </rPr>
      <t xml:space="preserve">
DIRECTOR DE INFANCIA ADOLESCENCIA Y JUVENTUD
FIRMA:__________________________________
</t>
    </r>
  </si>
  <si>
    <r>
      <rPr>
        <b/>
        <sz val="12"/>
        <rFont val="Arial"/>
        <family val="2"/>
      </rPr>
      <t>META DE PRODUCTO No. 2:</t>
    </r>
    <r>
      <rPr>
        <sz val="12"/>
        <rFont val="Arial"/>
        <family val="2"/>
      </rPr>
      <t xml:space="preserve"> Diseñar e implementar una estrategia enfocada en madres gestantes, lactantes y niños con alimentación complementaria.. </t>
    </r>
  </si>
  <si>
    <r>
      <rPr>
        <b/>
        <sz val="12"/>
        <rFont val="Arial"/>
        <family val="2"/>
      </rPr>
      <t>META DE PRODUCTO No. 3</t>
    </r>
    <r>
      <rPr>
        <sz val="12"/>
        <rFont val="Arial"/>
        <family val="2"/>
      </rPr>
      <t>: Diseñar e implementar una estrategia de recreación dirigida a la primera infancia, infancia y adolescencia</t>
    </r>
  </si>
  <si>
    <r>
      <t xml:space="preserve">META DE PRODUCTO No. 4 </t>
    </r>
    <r>
      <rPr>
        <sz val="12"/>
        <rFont val="Arial"/>
        <family val="2"/>
      </rPr>
      <t>Diseñar e implementar un programa de fortalecimiento familiar para el cuidado y crianza  no violenta por parte de los cuidadores (Cód KPT 4102001)</t>
    </r>
  </si>
  <si>
    <r>
      <rPr>
        <b/>
        <sz val="12"/>
        <rFont val="Arial"/>
        <family val="2"/>
      </rPr>
      <t>META DE PRODUCTO No. 5:</t>
    </r>
    <r>
      <rPr>
        <sz val="12"/>
        <rFont val="Arial"/>
        <family val="2"/>
      </rPr>
      <t xml:space="preserve"> Diseñar e implementar la Ruta Integral de Atenciones de primera infancia, Infancia y Adolescencia con enfoque diferencial y étnico (Cód KPT 4102001) </t>
    </r>
  </si>
  <si>
    <r>
      <t>META DE RESULTADO NO. 2:</t>
    </r>
    <r>
      <rPr>
        <sz val="12"/>
        <rFont val="Arial"/>
        <family val="2"/>
      </rPr>
      <t xml:space="preserve"> Implementar estrategia de formulación e implementación de la Ruta Integral de Atención de infancia y adolescencia.</t>
    </r>
  </si>
  <si>
    <r>
      <rPr>
        <b/>
        <sz val="12"/>
        <rFont val="Arial"/>
        <family val="2"/>
      </rPr>
      <t>META DE PRODUCTO No. 6</t>
    </r>
    <r>
      <rPr>
        <sz val="12"/>
        <rFont val="Arial"/>
        <family val="2"/>
      </rPr>
      <t xml:space="preserve">: Actualizar e Implementar la Política Pública de  infancia y adolescencia (Cód KPT 4102001) </t>
    </r>
  </si>
  <si>
    <r>
      <rPr>
        <b/>
        <sz val="12"/>
        <rFont val="Arial"/>
        <family val="2"/>
      </rPr>
      <t>META DE PRODUCTO No. 7</t>
    </r>
    <r>
      <rPr>
        <sz val="12"/>
        <rFont val="Arial"/>
        <family val="2"/>
      </rPr>
      <t xml:space="preserve">: Diseñar una estrategia de acompañamiento, fortalecimiento y cualificación de la mesa de participación de niños, niñas y adolescentes (Cód KPT 4102001) </t>
    </r>
  </si>
  <si>
    <r>
      <rPr>
        <b/>
        <sz val="12"/>
        <rFont val="Arial"/>
        <family val="2"/>
      </rPr>
      <t xml:space="preserve">META DE RESULTADO NO. 3: </t>
    </r>
    <r>
      <rPr>
        <sz val="12"/>
        <rFont val="Arial"/>
        <family val="2"/>
      </rPr>
      <t>Reducir la tasa de trabajo infantil a 4.1</t>
    </r>
  </si>
  <si>
    <r>
      <rPr>
        <b/>
        <sz val="12"/>
        <rFont val="Arial"/>
        <family val="2"/>
      </rPr>
      <t>META DE PRODUCTO No. 8:</t>
    </r>
    <r>
      <rPr>
        <sz val="12"/>
        <rFont val="Arial"/>
        <family val="2"/>
      </rPr>
      <t xml:space="preserve"> Diseñar e implementar una estrategia para estimular el buen uso del tiempo libre y la práctica de actividades culturales, deportivas o lúdicas de niños, niñas y adolescentes en riesgo de trabajo infantil con enfoque étnico y diferencial. (Cód KPT 4102001) </t>
    </r>
  </si>
  <si>
    <r>
      <rPr>
        <b/>
        <sz val="12"/>
        <rFont val="Arial"/>
        <family val="2"/>
      </rPr>
      <t>META DE RESULTADO NO. 2:</t>
    </r>
    <r>
      <rPr>
        <sz val="12"/>
        <rFont val="Arial"/>
        <family val="2"/>
      </rPr>
      <t xml:space="preserve"> Aumentar el número de Niños y niñas menores de 1 año con registro civil por lugar de residencia</t>
    </r>
  </si>
  <si>
    <r>
      <t>META DE PRODUCTO No. 9:</t>
    </r>
    <r>
      <rPr>
        <sz val="12"/>
        <rFont val="Arial"/>
        <family val="2"/>
      </rPr>
      <t xml:space="preserve"> Diseñar una estrategia orientada a garantizar el derecho a la identidad de niños, niñas y adolescentes del municipio (zona urbana/zona rural), que incluya mecanismos de sensibilización y comunicación, dirigidos a la comunidad frente a la expedición del documento de identidad. (Cód KPT 4102001) </t>
    </r>
  </si>
  <si>
    <r>
      <t xml:space="preserve">META DE RESULTADO NO. 2: </t>
    </r>
    <r>
      <rPr>
        <sz val="12"/>
        <rFont val="Arial"/>
        <family val="2"/>
      </rPr>
      <t>Implementar una guardería infantil nocturna</t>
    </r>
  </si>
  <si>
    <r>
      <t xml:space="preserve">META DE PRODUCTO No. 1O: </t>
    </r>
    <r>
      <rPr>
        <sz val="12"/>
        <rFont val="Arial"/>
        <family val="2"/>
      </rPr>
      <t xml:space="preserve">Diseñar una estrategia de articulación interinstitucional para la Implementación de la modalidad guardería infantil nocturna en el municipio de Ibagué. Cód KPT 4102001) </t>
    </r>
  </si>
  <si>
    <r>
      <rPr>
        <b/>
        <sz val="12"/>
        <rFont val="Arial"/>
        <family val="2"/>
      </rPr>
      <t>META DE RESULTADO NO. 1</t>
    </r>
    <r>
      <rPr>
        <sz val="12"/>
        <rFont val="Arial"/>
        <family val="2"/>
      </rPr>
      <t>: Disminuir la tasa de violencia contra niñas, niños y adolescentes (por cada 100.000 NNA entre 0 y 17 años)</t>
    </r>
  </si>
  <si>
    <r>
      <t>META DE PRODUCTO No. 11:</t>
    </r>
    <r>
      <rPr>
        <sz val="12"/>
        <rFont val="Arial"/>
        <family val="2"/>
      </rPr>
      <t xml:space="preserve"> Implementar Hogar paso</t>
    </r>
  </si>
  <si>
    <r>
      <rPr>
        <b/>
        <sz val="12"/>
        <rFont val="Arial"/>
        <family val="2"/>
      </rPr>
      <t>META DE RESULTADO NO. 2</t>
    </r>
    <r>
      <rPr>
        <sz val="12"/>
        <rFont val="Arial"/>
        <family val="2"/>
      </rPr>
      <t>: Implementar Red para la prevención, uso y abuso sexual de niños niñas y adolescentes</t>
    </r>
  </si>
  <si>
    <r>
      <t>META DE PRODUCTO No. 12:</t>
    </r>
    <r>
      <rPr>
        <sz val="12"/>
        <rFont val="Arial"/>
        <family val="2"/>
      </rPr>
      <t xml:space="preserve"> Fomentar red de apoyo comunitaria y educativa para disminuir la violencia contra niños, niñas y adolescentes (Cód KPT 4102001)</t>
    </r>
    <r>
      <rPr>
        <b/>
        <sz val="12"/>
        <rFont val="Arial"/>
        <family val="2"/>
      </rPr>
      <t xml:space="preserve"> </t>
    </r>
  </si>
  <si>
    <r>
      <t xml:space="preserve">META DE PRODUCTO NO. 13: </t>
    </r>
    <r>
      <rPr>
        <sz val="12"/>
        <rFont val="Arial"/>
        <family val="2"/>
      </rPr>
      <t xml:space="preserve">Implementar una estrategia orientada a la prevención del abuso explotación y comercio sexual de niños, niñas y adolescentes del municipio (Cód KPT 4102001) </t>
    </r>
  </si>
  <si>
    <r>
      <t xml:space="preserve">META DE PRODUCTO NO. 14: </t>
    </r>
    <r>
      <rPr>
        <sz val="12"/>
        <rFont val="Arial"/>
        <family val="2"/>
      </rPr>
      <t xml:space="preserve">Implementar la estrategia orientada a la generación de habilidades de autoprotección y autocuidado, dirigidos en niños, niñas y adolescentes, con prioridad para la población especial y con enfoque diferencial (Cód KPT 4102001) </t>
    </r>
  </si>
  <si>
    <r>
      <rPr>
        <b/>
        <sz val="12"/>
        <rFont val="Arial"/>
        <family val="2"/>
      </rPr>
      <t>META DE RESULTADO NO. 1:</t>
    </r>
    <r>
      <rPr>
        <sz val="12"/>
        <rFont val="Arial"/>
        <family val="2"/>
      </rPr>
      <t xml:space="preserve"> Aumentar el apoyo nutricional a NNA </t>
    </r>
  </si>
  <si>
    <r>
      <t xml:space="preserve">META DE PRODUCTO NO. 15: </t>
    </r>
    <r>
      <rPr>
        <sz val="12"/>
        <rFont val="Arial"/>
        <family val="2"/>
      </rPr>
      <t xml:space="preserve">Comedores para niños, niñas y adolescentes del área urbana y rural del municipio de Ibagué. (Cód KPT 4102001) </t>
    </r>
  </si>
  <si>
    <r>
      <rPr>
        <b/>
        <sz val="12"/>
        <rFont val="Arial"/>
        <family val="2"/>
      </rPr>
      <t>META DE RESULTADO NO. 1:</t>
    </r>
    <r>
      <rPr>
        <sz val="12"/>
        <rFont val="Arial"/>
        <family val="2"/>
      </rPr>
      <t xml:space="preserve"> Implementar Red para la prevención, uso y abuso sexual de niños niñas y adolescentes</t>
    </r>
  </si>
  <si>
    <r>
      <t>META DE PRODUCTO NO. 16:</t>
    </r>
    <r>
      <rPr>
        <sz val="12"/>
        <rFont val="Arial"/>
        <family val="2"/>
      </rPr>
      <t xml:space="preserve"> Implementar una estrategia de fortalecimiento de alianzas entre sector público, privado y la cooperación internacional en favor de los niños, niñas, adolescentes y las familias.</t>
    </r>
  </si>
  <si>
    <r>
      <rPr>
        <b/>
        <sz val="12"/>
        <rFont val="Arial"/>
        <family val="2"/>
      </rPr>
      <t>META DE PRODUCTO NO. 17:</t>
    </r>
    <r>
      <rPr>
        <sz val="12"/>
        <rFont val="Arial"/>
        <family val="2"/>
      </rPr>
      <t xml:space="preserve"> Implementar estrategia de formulación e implementación de la Ruta Integral de Atención de infancia y adolescencia.</t>
    </r>
  </si>
  <si>
    <r>
      <rPr>
        <b/>
        <sz val="12"/>
        <rFont val="Arial"/>
        <family val="2"/>
      </rPr>
      <t>OBSERVACIONES:</t>
    </r>
    <r>
      <rPr>
        <sz val="12"/>
        <rFont val="Arial"/>
        <family val="2"/>
      </rPr>
      <t xml:space="preserve">
*A través del Decreto 0268 del 11 de mayo de 2023, se llevó a cabo incorporación de recursos asociado al presente proyecto, por valor de $1200.000.000</t>
    </r>
  </si>
  <si>
    <r>
      <t>META DE RESULTADO No. 1:</t>
    </r>
    <r>
      <rPr>
        <sz val="12"/>
        <rFont val="Arial"/>
        <family val="2"/>
      </rPr>
      <t xml:space="preserve"> Aumentar al 40% de avance de la implementación de la política pública de juventud</t>
    </r>
  </si>
  <si>
    <r>
      <rPr>
        <b/>
        <sz val="12"/>
        <rFont val="Arial"/>
        <family val="2"/>
      </rPr>
      <t xml:space="preserve">META DE PRODUCTO No. 1: </t>
    </r>
    <r>
      <rPr>
        <sz val="12"/>
        <rFont val="Arial"/>
        <family val="2"/>
      </rPr>
      <t>Implementación y seguimiento de la Política Pública de Juventud (Acuerdo 016 de 2019)</t>
    </r>
  </si>
  <si>
    <r>
      <t xml:space="preserve">
NOMBRE:  OSCAR ALBERTO HUERTAS MORENO
</t>
    </r>
    <r>
      <rPr>
        <sz val="12"/>
        <rFont val="Arial"/>
        <family val="2"/>
      </rPr>
      <t xml:space="preserve">SECRETARIO DESARROLLO SOCIAL COMUNITARIO
</t>
    </r>
    <r>
      <rPr>
        <b/>
        <sz val="12"/>
        <rFont val="Arial"/>
        <family val="2"/>
      </rPr>
      <t xml:space="preserve">
FIRMA:________________________________
NOMBRE: JORGE IVAN SABOGAL MENDEZ</t>
    </r>
    <r>
      <rPr>
        <sz val="12"/>
        <rFont val="Arial"/>
        <family val="2"/>
      </rPr>
      <t xml:space="preserve">
DIRECTOR DE INFANCIA ADOLESCENCIA Y JUVENTUD
</t>
    </r>
    <r>
      <rPr>
        <b/>
        <sz val="12"/>
        <rFont val="Arial"/>
        <family val="2"/>
      </rPr>
      <t xml:space="preserve">FIRMA:__________________________________
</t>
    </r>
  </si>
  <si>
    <r>
      <rPr>
        <b/>
        <sz val="12"/>
        <rFont val="Arial"/>
        <family val="2"/>
      </rPr>
      <t xml:space="preserve">META DE PRODUCTO No. 2: </t>
    </r>
    <r>
      <rPr>
        <sz val="12"/>
        <rFont val="Arial"/>
        <family val="2"/>
      </rPr>
      <t>Implementar la estrategia orientada a la generación  de  habilidades de autoprotección y autocuidado, dirigidos a jóvenes con prioridad para la población especial y con enfoque diferencial</t>
    </r>
  </si>
  <si>
    <r>
      <rPr>
        <b/>
        <sz val="12"/>
        <rFont val="Arial"/>
        <family val="2"/>
      </rPr>
      <t>META DE PRODUCTO No. 3:</t>
    </r>
    <r>
      <rPr>
        <sz val="12"/>
        <rFont val="Arial"/>
        <family val="2"/>
      </rPr>
      <t xml:space="preserve"> Implementar una estrategia de atención, orientación y seguimiento psicológico enfocada al fortalecimiento familiar y la prevención de conductas suicidas en niñas, niños y jóvenes. </t>
    </r>
  </si>
  <si>
    <r>
      <rPr>
        <b/>
        <sz val="12"/>
        <rFont val="Arial"/>
        <family val="2"/>
      </rPr>
      <t xml:space="preserve">META DE PRODUCTO No. 4: </t>
    </r>
    <r>
      <rPr>
        <sz val="12"/>
        <rFont val="Arial"/>
        <family val="2"/>
      </rPr>
      <t>Implementar y fortalecer la estrategia "Ibagué y los jóvenes construyen ciudad"</t>
    </r>
  </si>
  <si>
    <r>
      <rPr>
        <b/>
        <sz val="12"/>
        <rFont val="Arial"/>
        <family val="2"/>
      </rPr>
      <t>META DE PRODUCTO No. 5:</t>
    </r>
    <r>
      <rPr>
        <sz val="12"/>
        <rFont val="Arial"/>
        <family val="2"/>
      </rPr>
      <t xml:space="preserve"> Crear el observatorio de juventudes que integre las caracterizaciones de la población juvenil del municipio de Ibagué.</t>
    </r>
  </si>
  <si>
    <r>
      <rPr>
        <b/>
        <sz val="12"/>
        <rFont val="Arial"/>
        <family val="2"/>
      </rPr>
      <t>META DE PRODUCTO No. 6:</t>
    </r>
    <r>
      <rPr>
        <sz val="12"/>
        <rFont val="Arial"/>
        <family val="2"/>
      </rPr>
      <t xml:space="preserve"> Fortalecer el Consejo Municipal de Juventudes</t>
    </r>
  </si>
  <si>
    <r>
      <rPr>
        <b/>
        <sz val="12"/>
        <rFont val="Arial"/>
        <family val="2"/>
      </rPr>
      <t>OBSERVACIONES:</t>
    </r>
    <r>
      <rPr>
        <sz val="12"/>
        <rFont val="Arial"/>
        <family val="2"/>
      </rPr>
      <t xml:space="preserve">
*A través del Decreto 0320 del 07 de junio de 2023, se llevó a cabo incorporación de recursos asociado al presente proyecto, por valor de 20.000.000</t>
    </r>
  </si>
  <si>
    <r>
      <t>FECHA DE  SEGUIMIENTO:</t>
    </r>
    <r>
      <rPr>
        <sz val="12"/>
        <rFont val="Arial"/>
        <family val="2"/>
      </rPr>
      <t xml:space="preserve">  30 de junio de 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</si>
</sst>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#,##0.0_);\(#,##0.0\)"/>
    <numFmt numFmtId="168" formatCode="_ &quot;$&quot;\ * #,##0_ ;_ &quot;$&quot;\ * \-#,##0_ ;_ &quot;$&quot;\ * &quot;-&quot;??_ ;_ @_ "/>
    <numFmt numFmtId="169" formatCode="_ * #,##0.00_ ;_ * \-#,##0.00_ ;_ * &quot;-&quot;??_ ;_ @_ "/>
    <numFmt numFmtId="170" formatCode="[$$-240A]#,##0"/>
    <numFmt numFmtId="171" formatCode="0.0"/>
    <numFmt numFmtId="172" formatCode="_-&quot;$&quot;\ * #,##0_-;\-&quot;$&quot;\ * #,##0_-;_-&quot;$&quot;\ * &quot;-&quot;??_-;_-@_-"/>
  </numFmts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rgb="FF000000"/>
      <name val="Arial mt"/>
    </font>
    <font>
      <sz val="12"/>
      <color theme="1"/>
      <name val="Arial MT"/>
    </font>
    <font>
      <b/>
      <sz val="12"/>
      <color rgb="FF000000"/>
      <name val="Arial MT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sz val="16"/>
      <name val="Arial"/>
      <family val="2"/>
    </font>
    <font>
      <b/>
      <sz val="9"/>
      <name val="Arial MT"/>
    </font>
    <font>
      <b/>
      <sz val="9.4"/>
      <name val="Arial"/>
      <family val="2"/>
    </font>
    <font>
      <sz val="9.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rgb="FF22222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222222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/>
      <bottom style="thin">
        <color rgb="FF222222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</borders>
  <cellStyleXfs count="11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</cellStyleXfs>
  <cellXfs count="870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2" fillId="0" borderId="0" xfId="3" applyFont="1" applyBorder="1"/>
    <xf numFmtId="165" fontId="3" fillId="0" borderId="0" xfId="3" applyFont="1" applyBorder="1"/>
    <xf numFmtId="165" fontId="3" fillId="0" borderId="0" xfId="3" applyFont="1" applyBorder="1" applyAlignment="1" applyProtection="1">
      <alignment vertical="center"/>
    </xf>
    <xf numFmtId="10" fontId="3" fillId="0" borderId="0" xfId="2" applyNumberFormat="1" applyFont="1" applyBorder="1" applyProtection="1"/>
    <xf numFmtId="0" fontId="2" fillId="0" borderId="9" xfId="1" applyFont="1" applyBorder="1"/>
    <xf numFmtId="10" fontId="5" fillId="0" borderId="1" xfId="2" applyNumberFormat="1" applyFont="1" applyBorder="1" applyAlignment="1">
      <alignment horizontal="center" vertical="center"/>
    </xf>
    <xf numFmtId="166" fontId="3" fillId="2" borderId="1" xfId="5" applyNumberFormat="1" applyFont="1" applyFill="1" applyBorder="1" applyAlignment="1" applyProtection="1">
      <alignment vertical="center"/>
    </xf>
    <xf numFmtId="164" fontId="2" fillId="0" borderId="0" xfId="1" applyNumberFormat="1" applyFont="1"/>
    <xf numFmtId="165" fontId="2" fillId="0" borderId="0" xfId="1" applyNumberFormat="1" applyFont="1"/>
    <xf numFmtId="2" fontId="2" fillId="0" borderId="0" xfId="1" applyNumberFormat="1" applyFont="1"/>
    <xf numFmtId="0" fontId="2" fillId="0" borderId="0" xfId="1" applyFont="1" applyAlignment="1">
      <alignment wrapText="1"/>
    </xf>
    <xf numFmtId="2" fontId="3" fillId="0" borderId="0" xfId="1" applyNumberFormat="1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left" wrapText="1"/>
    </xf>
    <xf numFmtId="39" fontId="3" fillId="0" borderId="0" xfId="1" applyNumberFormat="1" applyFont="1"/>
    <xf numFmtId="39" fontId="3" fillId="0" borderId="8" xfId="1" applyNumberFormat="1" applyFont="1" applyBorder="1"/>
    <xf numFmtId="167" fontId="2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5" borderId="1" xfId="1" applyFont="1" applyFill="1" applyBorder="1" applyAlignment="1">
      <alignment horizontal="left" vertical="center"/>
    </xf>
    <xf numFmtId="1" fontId="3" fillId="5" borderId="1" xfId="1" applyNumberFormat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>
      <alignment vertical="center"/>
    </xf>
    <xf numFmtId="39" fontId="3" fillId="5" borderId="1" xfId="1" applyNumberFormat="1" applyFont="1" applyFill="1" applyBorder="1" applyAlignment="1">
      <alignment vertical="center"/>
    </xf>
    <xf numFmtId="0" fontId="2" fillId="5" borderId="1" xfId="1" applyFont="1" applyFill="1" applyBorder="1"/>
    <xf numFmtId="2" fontId="3" fillId="5" borderId="1" xfId="1" applyNumberFormat="1" applyFont="1" applyFill="1" applyBorder="1" applyAlignment="1">
      <alignment vertical="center"/>
    </xf>
    <xf numFmtId="166" fontId="5" fillId="5" borderId="1" xfId="6" applyNumberFormat="1" applyFont="1" applyFill="1" applyBorder="1" applyAlignment="1">
      <alignment horizontal="right" vertical="center" wrapText="1"/>
    </xf>
    <xf numFmtId="0" fontId="5" fillId="0" borderId="0" xfId="1" applyFont="1"/>
    <xf numFmtId="0" fontId="4" fillId="0" borderId="1" xfId="1" applyFont="1" applyBorder="1"/>
    <xf numFmtId="0" fontId="4" fillId="0" borderId="17" xfId="1" applyFont="1" applyBorder="1" applyAlignment="1">
      <alignment vertical="center"/>
    </xf>
    <xf numFmtId="2" fontId="5" fillId="0" borderId="0" xfId="1" applyNumberFormat="1" applyFont="1" applyAlignment="1">
      <alignment vertical="center"/>
    </xf>
    <xf numFmtId="0" fontId="4" fillId="0" borderId="16" xfId="1" applyFont="1" applyBorder="1" applyAlignment="1">
      <alignment horizontal="left" vertical="center"/>
    </xf>
    <xf numFmtId="0" fontId="4" fillId="0" borderId="15" xfId="1" applyFont="1" applyBorder="1" applyAlignment="1">
      <alignment vertical="center" wrapText="1"/>
    </xf>
    <xf numFmtId="10" fontId="2" fillId="0" borderId="1" xfId="2" applyNumberFormat="1" applyFont="1" applyBorder="1"/>
    <xf numFmtId="0" fontId="2" fillId="0" borderId="8" xfId="1" applyFont="1" applyBorder="1"/>
    <xf numFmtId="0" fontId="4" fillId="0" borderId="15" xfId="1" applyFont="1" applyBorder="1" applyAlignment="1">
      <alignment vertical="top" wrapText="1"/>
    </xf>
    <xf numFmtId="166" fontId="2" fillId="0" borderId="1" xfId="1" applyNumberFormat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vertical="top"/>
    </xf>
    <xf numFmtId="3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168" fontId="2" fillId="2" borderId="1" xfId="3" applyNumberFormat="1" applyFont="1" applyFill="1" applyBorder="1" applyAlignment="1">
      <alignment horizontal="center" vertical="center"/>
    </xf>
    <xf numFmtId="167" fontId="14" fillId="3" borderId="19" xfId="0" applyNumberFormat="1" applyFont="1" applyFill="1" applyBorder="1" applyAlignment="1">
      <alignment horizontal="center" vertical="center"/>
    </xf>
    <xf numFmtId="0" fontId="19" fillId="0" borderId="0" xfId="0" applyFont="1"/>
    <xf numFmtId="0" fontId="4" fillId="2" borderId="15" xfId="1" applyFont="1" applyFill="1" applyBorder="1" applyAlignment="1">
      <alignment vertical="top" wrapText="1"/>
    </xf>
    <xf numFmtId="165" fontId="2" fillId="0" borderId="0" xfId="3" applyFont="1" applyBorder="1" applyAlignment="1" applyProtection="1">
      <alignment vertical="center"/>
    </xf>
    <xf numFmtId="10" fontId="4" fillId="0" borderId="1" xfId="2" applyNumberFormat="1" applyFont="1" applyBorder="1" applyAlignment="1">
      <alignment horizontal="center" vertical="center"/>
    </xf>
    <xf numFmtId="166" fontId="2" fillId="2" borderId="1" xfId="5" applyNumberFormat="1" applyFont="1" applyFill="1" applyBorder="1" applyAlignment="1" applyProtection="1">
      <alignment vertical="center"/>
    </xf>
    <xf numFmtId="1" fontId="2" fillId="5" borderId="1" xfId="1" applyNumberFormat="1" applyFont="1" applyFill="1" applyBorder="1" applyAlignment="1">
      <alignment horizontal="center" vertical="center" wrapText="1"/>
    </xf>
    <xf numFmtId="166" fontId="4" fillId="5" borderId="1" xfId="6" applyNumberFormat="1" applyFont="1" applyFill="1" applyBorder="1" applyAlignment="1">
      <alignment horizontal="right" vertical="center" wrapText="1"/>
    </xf>
    <xf numFmtId="39" fontId="2" fillId="5" borderId="1" xfId="1" applyNumberFormat="1" applyFont="1" applyFill="1" applyBorder="1" applyAlignment="1">
      <alignment vertical="center"/>
    </xf>
    <xf numFmtId="10" fontId="2" fillId="0" borderId="0" xfId="2" applyNumberFormat="1" applyFont="1" applyBorder="1" applyProtection="1"/>
    <xf numFmtId="39" fontId="2" fillId="0" borderId="0" xfId="1" applyNumberFormat="1" applyFont="1"/>
    <xf numFmtId="167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10" fontId="2" fillId="0" borderId="0" xfId="2" applyNumberFormat="1" applyFont="1"/>
    <xf numFmtId="0" fontId="4" fillId="0" borderId="16" xfId="1" applyFont="1" applyBorder="1" applyAlignment="1">
      <alignment vertical="top"/>
    </xf>
    <xf numFmtId="0" fontId="4" fillId="0" borderId="0" xfId="1" applyFont="1"/>
    <xf numFmtId="2" fontId="4" fillId="0" borderId="0" xfId="1" applyNumberFormat="1" applyFont="1" applyAlignment="1">
      <alignment vertical="center"/>
    </xf>
    <xf numFmtId="2" fontId="2" fillId="0" borderId="0" xfId="1" applyNumberFormat="1" applyFont="1" applyAlignment="1">
      <alignment vertical="center" wrapText="1"/>
    </xf>
    <xf numFmtId="0" fontId="2" fillId="2" borderId="0" xfId="1" applyFont="1" applyFill="1"/>
    <xf numFmtId="165" fontId="2" fillId="2" borderId="0" xfId="3" applyFont="1" applyFill="1" applyBorder="1" applyAlignment="1" applyProtection="1">
      <alignment vertical="center"/>
    </xf>
    <xf numFmtId="2" fontId="2" fillId="2" borderId="0" xfId="1" applyNumberFormat="1" applyFont="1" applyFill="1"/>
    <xf numFmtId="165" fontId="2" fillId="2" borderId="0" xfId="3" applyFont="1" applyFill="1" applyBorder="1"/>
    <xf numFmtId="164" fontId="2" fillId="2" borderId="0" xfId="1" applyNumberFormat="1" applyFont="1" applyFill="1"/>
    <xf numFmtId="0" fontId="21" fillId="0" borderId="0" xfId="0" applyFont="1"/>
    <xf numFmtId="166" fontId="2" fillId="0" borderId="0" xfId="1" applyNumberFormat="1" applyFont="1"/>
    <xf numFmtId="165" fontId="2" fillId="2" borderId="0" xfId="1" applyNumberFormat="1" applyFont="1" applyFill="1"/>
    <xf numFmtId="0" fontId="4" fillId="2" borderId="13" xfId="1" applyFont="1" applyFill="1" applyBorder="1" applyAlignment="1">
      <alignment vertical="top" wrapText="1"/>
    </xf>
    <xf numFmtId="42" fontId="2" fillId="2" borderId="1" xfId="5" applyFont="1" applyFill="1" applyBorder="1" applyAlignment="1">
      <alignment horizontal="center" vertical="center"/>
    </xf>
    <xf numFmtId="42" fontId="2" fillId="0" borderId="1" xfId="5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42" fontId="2" fillId="0" borderId="1" xfId="5" applyFont="1" applyBorder="1" applyAlignment="1">
      <alignment wrapText="1"/>
    </xf>
    <xf numFmtId="0" fontId="4" fillId="0" borderId="1" xfId="1" applyFont="1" applyBorder="1" applyAlignment="1">
      <alignment vertical="center" wrapText="1"/>
    </xf>
    <xf numFmtId="0" fontId="4" fillId="0" borderId="14" xfId="1" applyFont="1" applyBorder="1" applyAlignment="1">
      <alignment horizontal="left" vertical="top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/>
    </xf>
    <xf numFmtId="0" fontId="4" fillId="0" borderId="13" xfId="1" applyFont="1" applyBorder="1" applyAlignment="1">
      <alignment vertical="top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2" fillId="0" borderId="0" xfId="1" applyFont="1" applyAlignment="1"/>
    <xf numFmtId="0" fontId="21" fillId="0" borderId="0" xfId="0" applyFont="1" applyAlignment="1">
      <alignment vertical="center"/>
    </xf>
    <xf numFmtId="37" fontId="2" fillId="4" borderId="34" xfId="0" applyNumberFormat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37" fontId="2" fillId="4" borderId="23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left" vertical="center"/>
    </xf>
    <xf numFmtId="167" fontId="4" fillId="3" borderId="37" xfId="0" applyNumberFormat="1" applyFont="1" applyFill="1" applyBorder="1" applyAlignment="1">
      <alignment horizontal="center" vertical="center"/>
    </xf>
    <xf numFmtId="166" fontId="2" fillId="2" borderId="14" xfId="5" applyNumberFormat="1" applyFont="1" applyFill="1" applyBorder="1" applyAlignment="1" applyProtection="1">
      <alignment vertical="center"/>
    </xf>
    <xf numFmtId="2" fontId="2" fillId="0" borderId="0" xfId="1" applyNumberFormat="1" applyFont="1" applyAlignment="1">
      <alignment vertical="center"/>
    </xf>
    <xf numFmtId="10" fontId="22" fillId="0" borderId="1" xfId="2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167" fontId="2" fillId="2" borderId="0" xfId="1" applyNumberFormat="1" applyFont="1" applyFill="1"/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2" fontId="4" fillId="0" borderId="0" xfId="1" applyNumberFormat="1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/>
    </xf>
    <xf numFmtId="0" fontId="2" fillId="0" borderId="0" xfId="1" applyFont="1" applyBorder="1"/>
    <xf numFmtId="168" fontId="2" fillId="2" borderId="0" xfId="3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1" xfId="1" applyFont="1" applyBorder="1"/>
    <xf numFmtId="166" fontId="2" fillId="0" borderId="11" xfId="1" applyNumberFormat="1" applyFont="1" applyBorder="1"/>
    <xf numFmtId="0" fontId="4" fillId="0" borderId="14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6" fillId="0" borderId="14" xfId="1" applyFont="1" applyBorder="1" applyAlignment="1">
      <alignment horizontal="center"/>
    </xf>
    <xf numFmtId="0" fontId="2" fillId="0" borderId="0" xfId="1" applyFont="1" applyBorder="1" applyAlignment="1">
      <alignment vertical="center"/>
    </xf>
    <xf numFmtId="0" fontId="3" fillId="2" borderId="1" xfId="1" applyFont="1" applyFill="1" applyBorder="1"/>
    <xf numFmtId="166" fontId="2" fillId="0" borderId="13" xfId="1" applyNumberFormat="1" applyFont="1" applyBorder="1"/>
    <xf numFmtId="0" fontId="2" fillId="0" borderId="13" xfId="1" applyFont="1" applyBorder="1"/>
    <xf numFmtId="0" fontId="2" fillId="2" borderId="13" xfId="1" applyFont="1" applyFill="1" applyBorder="1"/>
    <xf numFmtId="166" fontId="21" fillId="2" borderId="1" xfId="1" applyNumberFormat="1" applyFont="1" applyFill="1" applyBorder="1"/>
    <xf numFmtId="9" fontId="2" fillId="0" borderId="0" xfId="7" applyFont="1"/>
    <xf numFmtId="44" fontId="31" fillId="0" borderId="0" xfId="10" applyFont="1"/>
    <xf numFmtId="166" fontId="2" fillId="9" borderId="11" xfId="1" applyNumberFormat="1" applyFont="1" applyFill="1" applyBorder="1"/>
    <xf numFmtId="172" fontId="30" fillId="0" borderId="0" xfId="10" applyNumberFormat="1" applyFont="1" applyAlignment="1">
      <alignment wrapText="1"/>
    </xf>
    <xf numFmtId="166" fontId="2" fillId="2" borderId="1" xfId="1" applyNumberFormat="1" applyFont="1" applyFill="1" applyBorder="1"/>
    <xf numFmtId="166" fontId="2" fillId="2" borderId="11" xfId="1" applyNumberFormat="1" applyFont="1" applyFill="1" applyBorder="1"/>
    <xf numFmtId="166" fontId="2" fillId="2" borderId="1" xfId="1" applyNumberFormat="1" applyFont="1" applyFill="1" applyBorder="1" applyAlignment="1">
      <alignment vertical="center"/>
    </xf>
    <xf numFmtId="0" fontId="2" fillId="2" borderId="0" xfId="1" applyFont="1" applyFill="1" applyAlignment="1">
      <alignment wrapText="1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44" fontId="31" fillId="2" borderId="0" xfId="10" applyFont="1" applyFill="1"/>
    <xf numFmtId="0" fontId="1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2" fontId="2" fillId="2" borderId="0" xfId="10" applyNumberFormat="1" applyFont="1" applyFill="1" applyAlignment="1">
      <alignment wrapText="1"/>
    </xf>
    <xf numFmtId="165" fontId="3" fillId="2" borderId="0" xfId="3" applyFont="1" applyFill="1" applyBorder="1" applyAlignment="1" applyProtection="1">
      <alignment vertical="center"/>
    </xf>
    <xf numFmtId="37" fontId="9" fillId="2" borderId="1" xfId="0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 vertical="center"/>
    </xf>
    <xf numFmtId="9" fontId="2" fillId="6" borderId="19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9" fontId="2" fillId="6" borderId="37" xfId="0" applyNumberFormat="1" applyFont="1" applyFill="1" applyBorder="1" applyAlignment="1">
      <alignment horizontal="center" vertical="center" wrapText="1"/>
    </xf>
    <xf numFmtId="3" fontId="2" fillId="6" borderId="34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 wrapText="1"/>
    </xf>
    <xf numFmtId="3" fontId="2" fillId="2" borderId="37" xfId="0" applyNumberFormat="1" applyFont="1" applyFill="1" applyBorder="1" applyAlignment="1">
      <alignment horizontal="center" vertical="center" wrapText="1"/>
    </xf>
    <xf numFmtId="166" fontId="2" fillId="2" borderId="0" xfId="1" applyNumberFormat="1" applyFont="1" applyFill="1"/>
    <xf numFmtId="166" fontId="2" fillId="2" borderId="1" xfId="1" applyNumberFormat="1" applyFont="1" applyFill="1" applyBorder="1" applyAlignment="1">
      <alignment horizontal="center" vertical="center"/>
    </xf>
    <xf numFmtId="0" fontId="26" fillId="2" borderId="14" xfId="1" applyFont="1" applyFill="1" applyBorder="1" applyAlignment="1">
      <alignment horizontal="center" vertical="center"/>
    </xf>
    <xf numFmtId="172" fontId="31" fillId="2" borderId="0" xfId="10" applyNumberFormat="1" applyFont="1" applyFill="1"/>
    <xf numFmtId="0" fontId="2" fillId="2" borderId="0" xfId="1" applyFont="1" applyFill="1" applyAlignment="1">
      <alignment vertical="center"/>
    </xf>
    <xf numFmtId="0" fontId="16" fillId="6" borderId="1" xfId="0" applyFont="1" applyFill="1" applyBorder="1" applyAlignment="1">
      <alignment horizontal="center" vertical="center" wrapText="1"/>
    </xf>
    <xf numFmtId="0" fontId="26" fillId="2" borderId="14" xfId="1" applyFont="1" applyFill="1" applyBorder="1" applyAlignment="1">
      <alignment horizontal="center"/>
    </xf>
    <xf numFmtId="172" fontId="2" fillId="2" borderId="0" xfId="10" applyNumberFormat="1" applyFont="1" applyFill="1"/>
    <xf numFmtId="0" fontId="4" fillId="0" borderId="1" xfId="1" applyFont="1" applyFill="1" applyBorder="1" applyAlignment="1">
      <alignment horizontal="center" vertical="center"/>
    </xf>
    <xf numFmtId="0" fontId="26" fillId="0" borderId="14" xfId="1" applyFont="1" applyFill="1" applyBorder="1" applyAlignment="1">
      <alignment horizontal="center"/>
    </xf>
    <xf numFmtId="166" fontId="21" fillId="0" borderId="1" xfId="1" applyNumberFormat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left"/>
    </xf>
    <xf numFmtId="2" fontId="4" fillId="0" borderId="0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1" fillId="0" borderId="0" xfId="1" applyFont="1" applyFill="1"/>
    <xf numFmtId="166" fontId="2" fillId="0" borderId="0" xfId="1" applyNumberFormat="1" applyFont="1" applyFill="1"/>
    <xf numFmtId="166" fontId="2" fillId="0" borderId="11" xfId="1" applyNumberFormat="1" applyFont="1" applyFill="1" applyBorder="1"/>
    <xf numFmtId="0" fontId="2" fillId="0" borderId="0" xfId="1" applyFont="1" applyFill="1" applyBorder="1"/>
    <xf numFmtId="0" fontId="4" fillId="0" borderId="0" xfId="1" applyFont="1" applyFill="1" applyBorder="1" applyAlignment="1">
      <alignment horizontal="center" vertical="center"/>
    </xf>
    <xf numFmtId="166" fontId="21" fillId="0" borderId="0" xfId="1" applyNumberFormat="1" applyFont="1" applyFill="1" applyBorder="1"/>
    <xf numFmtId="44" fontId="31" fillId="2" borderId="10" xfId="10" applyFont="1" applyFill="1" applyBorder="1"/>
    <xf numFmtId="166" fontId="2" fillId="0" borderId="1" xfId="1" applyNumberFormat="1" applyFont="1" applyFill="1" applyBorder="1"/>
    <xf numFmtId="166" fontId="2" fillId="0" borderId="0" xfId="1" applyNumberFormat="1" applyFont="1" applyFill="1" applyBorder="1"/>
    <xf numFmtId="0" fontId="27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5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2" fontId="5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2" fontId="4" fillId="0" borderId="0" xfId="1" applyNumberFormat="1" applyFont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10" fillId="0" borderId="0" xfId="0" applyFont="1"/>
    <xf numFmtId="0" fontId="14" fillId="0" borderId="0" xfId="0" applyFont="1" applyAlignment="1">
      <alignment horizontal="left" vertical="top" wrapText="1"/>
    </xf>
    <xf numFmtId="166" fontId="2" fillId="0" borderId="0" xfId="1" applyNumberFormat="1" applyFont="1" applyAlignment="1">
      <alignment horizontal="center" vertical="center" wrapText="1"/>
    </xf>
    <xf numFmtId="166" fontId="2" fillId="2" borderId="0" xfId="1" applyNumberFormat="1" applyFont="1" applyFill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9" fontId="16" fillId="2" borderId="1" xfId="7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2" fillId="0" borderId="0" xfId="0" applyFont="1"/>
    <xf numFmtId="9" fontId="16" fillId="6" borderId="1" xfId="0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/>
    </xf>
    <xf numFmtId="0" fontId="22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vertical="top"/>
    </xf>
    <xf numFmtId="0" fontId="2" fillId="0" borderId="1" xfId="1" applyFont="1" applyBorder="1"/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2" fontId="19" fillId="2" borderId="0" xfId="0" applyNumberFormat="1" applyFont="1" applyFill="1" applyAlignment="1">
      <alignment horizontal="center" vertical="center"/>
    </xf>
    <xf numFmtId="172" fontId="19" fillId="2" borderId="1" xfId="1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72" fontId="15" fillId="2" borderId="1" xfId="10" applyNumberFormat="1" applyFont="1" applyFill="1" applyBorder="1" applyAlignment="1">
      <alignment horizontal="center" vertical="center"/>
    </xf>
    <xf numFmtId="172" fontId="36" fillId="2" borderId="1" xfId="10" applyNumberFormat="1" applyFont="1" applyFill="1" applyBorder="1" applyAlignment="1">
      <alignment horizontal="center" vertical="center" wrapText="1"/>
    </xf>
    <xf numFmtId="172" fontId="37" fillId="2" borderId="1" xfId="10" applyNumberFormat="1" applyFont="1" applyFill="1" applyBorder="1" applyAlignment="1">
      <alignment horizontal="center" vertical="center"/>
    </xf>
    <xf numFmtId="172" fontId="19" fillId="2" borderId="14" xfId="10" applyNumberFormat="1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37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9" fontId="2" fillId="4" borderId="1" xfId="0" applyNumberFormat="1" applyFont="1" applyFill="1" applyBorder="1" applyAlignment="1">
      <alignment horizontal="center" vertical="center"/>
    </xf>
    <xf numFmtId="9" fontId="2" fillId="4" borderId="37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left" vertical="center"/>
    </xf>
    <xf numFmtId="166" fontId="2" fillId="0" borderId="1" xfId="5" applyNumberFormat="1" applyFont="1" applyFill="1" applyBorder="1" applyAlignment="1" applyProtection="1">
      <alignment vertical="center"/>
    </xf>
    <xf numFmtId="166" fontId="2" fillId="2" borderId="13" xfId="1" applyNumberFormat="1" applyFont="1" applyFill="1" applyBorder="1"/>
    <xf numFmtId="0" fontId="2" fillId="2" borderId="2" xfId="1" applyFont="1" applyFill="1" applyBorder="1" applyAlignment="1">
      <alignment horizontal="center" vertical="center"/>
    </xf>
    <xf numFmtId="3" fontId="39" fillId="10" borderId="10" xfId="0" applyNumberFormat="1" applyFont="1" applyFill="1" applyBorder="1" applyAlignment="1">
      <alignment horizontal="right" vertical="center" wrapText="1"/>
    </xf>
    <xf numFmtId="166" fontId="2" fillId="0" borderId="12" xfId="1" applyNumberFormat="1" applyFont="1" applyBorder="1"/>
    <xf numFmtId="9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9" fontId="9" fillId="2" borderId="1" xfId="7" applyFont="1" applyFill="1" applyBorder="1" applyAlignment="1">
      <alignment horizontal="center" vertical="center"/>
    </xf>
    <xf numFmtId="0" fontId="9" fillId="2" borderId="1" xfId="7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166" fontId="21" fillId="9" borderId="1" xfId="1" applyNumberFormat="1" applyFont="1" applyFill="1" applyBorder="1"/>
    <xf numFmtId="166" fontId="2" fillId="0" borderId="0" xfId="1" applyNumberFormat="1" applyFont="1" applyBorder="1"/>
    <xf numFmtId="0" fontId="2" fillId="0" borderId="1" xfId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0" xfId="1" applyFont="1" applyAlignment="1">
      <alignment horizontal="center"/>
    </xf>
    <xf numFmtId="2" fontId="4" fillId="0" borderId="0" xfId="1" applyNumberFormat="1" applyFont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2" fontId="4" fillId="0" borderId="13" xfId="1" applyNumberFormat="1" applyFont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 wrapText="1"/>
    </xf>
    <xf numFmtId="1" fontId="2" fillId="2" borderId="1" xfId="6" applyNumberFormat="1" applyFont="1" applyFill="1" applyBorder="1" applyAlignment="1">
      <alignment horizontal="center" vertical="center" wrapText="1"/>
    </xf>
    <xf numFmtId="0" fontId="2" fillId="2" borderId="1" xfId="1" applyFont="1" applyFill="1" applyBorder="1"/>
    <xf numFmtId="0" fontId="4" fillId="2" borderId="14" xfId="1" applyFont="1" applyFill="1" applyBorder="1" applyAlignment="1">
      <alignment horizontal="center" vertical="center"/>
    </xf>
    <xf numFmtId="9" fontId="2" fillId="2" borderId="1" xfId="7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166" fontId="4" fillId="5" borderId="1" xfId="3" applyNumberFormat="1" applyFont="1" applyFill="1" applyBorder="1" applyAlignment="1" applyProtection="1">
      <alignment vertical="center"/>
    </xf>
    <xf numFmtId="167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vertical="top"/>
    </xf>
    <xf numFmtId="0" fontId="21" fillId="2" borderId="0" xfId="0" applyFont="1" applyFill="1"/>
    <xf numFmtId="0" fontId="4" fillId="0" borderId="1" xfId="0" applyFont="1" applyBorder="1" applyAlignment="1">
      <alignment horizontal="left" vertical="center"/>
    </xf>
    <xf numFmtId="37" fontId="2" fillId="0" borderId="1" xfId="0" applyNumberFormat="1" applyFont="1" applyBorder="1" applyAlignment="1">
      <alignment horizontal="center" vertical="center"/>
    </xf>
    <xf numFmtId="9" fontId="2" fillId="0" borderId="1" xfId="7" applyFont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6" borderId="1" xfId="0" applyNumberFormat="1" applyFont="1" applyFill="1" applyBorder="1" applyAlignment="1">
      <alignment horizontal="center" vertical="center" wrapText="1"/>
    </xf>
    <xf numFmtId="9" fontId="21" fillId="6" borderId="1" xfId="0" applyNumberFormat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39" fontId="2" fillId="0" borderId="11" xfId="1" applyNumberFormat="1" applyFont="1" applyBorder="1"/>
    <xf numFmtId="0" fontId="2" fillId="0" borderId="11" xfId="0" applyFont="1" applyBorder="1"/>
    <xf numFmtId="39" fontId="2" fillId="0" borderId="8" xfId="1" applyNumberFormat="1" applyFont="1" applyBorder="1"/>
    <xf numFmtId="167" fontId="4" fillId="3" borderId="19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10" fontId="4" fillId="0" borderId="14" xfId="2" applyNumberFormat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9" fontId="2" fillId="2" borderId="11" xfId="0" applyNumberFormat="1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9" fontId="2" fillId="2" borderId="12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9" fontId="2" fillId="2" borderId="38" xfId="0" applyNumberFormat="1" applyFont="1" applyFill="1" applyBorder="1" applyAlignment="1">
      <alignment horizontal="center" vertical="center" wrapText="1"/>
    </xf>
    <xf numFmtId="9" fontId="2" fillId="2" borderId="36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" fontId="2" fillId="5" borderId="10" xfId="1" applyNumberFormat="1" applyFont="1" applyFill="1" applyBorder="1" applyAlignment="1">
      <alignment horizontal="center" vertical="center" wrapText="1"/>
    </xf>
    <xf numFmtId="166" fontId="4" fillId="5" borderId="10" xfId="6" applyNumberFormat="1" applyFont="1" applyFill="1" applyBorder="1" applyAlignment="1">
      <alignment horizontal="right" vertical="center" wrapText="1"/>
    </xf>
    <xf numFmtId="166" fontId="4" fillId="8" borderId="1" xfId="6" applyNumberFormat="1" applyFont="1" applyFill="1" applyBorder="1" applyAlignment="1">
      <alignment horizontal="right" vertical="center" wrapText="1"/>
    </xf>
    <xf numFmtId="167" fontId="4" fillId="3" borderId="2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1" fontId="2" fillId="0" borderId="34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" fontId="2" fillId="0" borderId="14" xfId="0" applyNumberFormat="1" applyFont="1" applyBorder="1" applyAlignment="1">
      <alignment horizontal="center" vertical="center"/>
    </xf>
    <xf numFmtId="0" fontId="2" fillId="2" borderId="1" xfId="9" applyFont="1" applyFill="1" applyBorder="1" applyAlignment="1">
      <alignment horizontal="center" vertical="center"/>
    </xf>
    <xf numFmtId="9" fontId="2" fillId="0" borderId="1" xfId="9" applyNumberFormat="1" applyFont="1" applyBorder="1" applyAlignment="1">
      <alignment horizontal="center" vertical="center" wrapText="1"/>
    </xf>
    <xf numFmtId="165" fontId="2" fillId="0" borderId="0" xfId="3" applyFont="1" applyFill="1" applyBorder="1" applyAlignment="1" applyProtection="1">
      <alignment vertical="center"/>
    </xf>
    <xf numFmtId="9" fontId="16" fillId="0" borderId="1" xfId="9" applyNumberFormat="1" applyFont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1" fontId="16" fillId="0" borderId="1" xfId="9" applyNumberFormat="1" applyFont="1" applyBorder="1" applyAlignment="1">
      <alignment horizontal="center" vertical="center"/>
    </xf>
    <xf numFmtId="0" fontId="2" fillId="2" borderId="1" xfId="9" applyFont="1" applyFill="1" applyBorder="1" applyAlignment="1">
      <alignment horizontal="center" vertical="center" wrapText="1"/>
    </xf>
    <xf numFmtId="9" fontId="21" fillId="2" borderId="1" xfId="9" applyNumberFormat="1" applyFont="1" applyFill="1" applyBorder="1" applyAlignment="1">
      <alignment horizontal="center" vertical="center" wrapText="1"/>
    </xf>
    <xf numFmtId="3" fontId="2" fillId="2" borderId="1" xfId="9" applyNumberFormat="1" applyFont="1" applyFill="1" applyBorder="1" applyAlignment="1">
      <alignment horizontal="center" vertical="center" wrapText="1"/>
    </xf>
    <xf numFmtId="3" fontId="21" fillId="2" borderId="1" xfId="9" applyNumberFormat="1" applyFont="1" applyFill="1" applyBorder="1" applyAlignment="1">
      <alignment horizontal="center" vertical="center" wrapText="1"/>
    </xf>
    <xf numFmtId="3" fontId="21" fillId="0" borderId="1" xfId="9" applyNumberFormat="1" applyFont="1" applyBorder="1" applyAlignment="1">
      <alignment horizontal="center" vertical="center" wrapText="1"/>
    </xf>
    <xf numFmtId="0" fontId="2" fillId="0" borderId="1" xfId="9" applyFont="1" applyBorder="1" applyAlignment="1">
      <alignment horizontal="center" vertical="center"/>
    </xf>
    <xf numFmtId="167" fontId="4" fillId="3" borderId="20" xfId="0" applyNumberFormat="1" applyFont="1" applyFill="1" applyBorder="1" applyAlignment="1">
      <alignment horizontal="center" vertical="center"/>
    </xf>
    <xf numFmtId="0" fontId="4" fillId="7" borderId="1" xfId="9" applyFont="1" applyFill="1" applyBorder="1" applyAlignment="1">
      <alignment horizontal="center" vertical="center" wrapText="1"/>
    </xf>
    <xf numFmtId="9" fontId="2" fillId="7" borderId="1" xfId="9" applyNumberFormat="1" applyFont="1" applyFill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 wrapText="1"/>
    </xf>
    <xf numFmtId="0" fontId="2" fillId="7" borderId="1" xfId="9" applyFont="1" applyFill="1" applyBorder="1" applyAlignment="1">
      <alignment horizontal="center" vertical="center" wrapText="1"/>
    </xf>
    <xf numFmtId="0" fontId="4" fillId="0" borderId="0" xfId="1" applyFont="1" applyFill="1"/>
    <xf numFmtId="2" fontId="4" fillId="0" borderId="0" xfId="1" applyNumberFormat="1" applyFont="1" applyFill="1" applyAlignment="1">
      <alignment vertical="center"/>
    </xf>
    <xf numFmtId="2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2" fillId="0" borderId="1" xfId="1" applyFont="1" applyFill="1" applyBorder="1"/>
    <xf numFmtId="1" fontId="2" fillId="0" borderId="1" xfId="1" applyNumberFormat="1" applyFont="1" applyBorder="1" applyAlignment="1">
      <alignment horizontal="center" vertical="center" wrapText="1"/>
    </xf>
    <xf numFmtId="166" fontId="2" fillId="2" borderId="1" xfId="3" applyNumberFormat="1" applyFont="1" applyFill="1" applyBorder="1" applyAlignment="1" applyProtection="1">
      <alignment vertical="center"/>
    </xf>
    <xf numFmtId="0" fontId="44" fillId="0" borderId="1" xfId="1" applyFont="1" applyFill="1" applyBorder="1" applyAlignment="1">
      <alignment horizontal="center" vertical="center"/>
    </xf>
    <xf numFmtId="9" fontId="2" fillId="0" borderId="1" xfId="7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3" xfId="0" applyFont="1" applyFill="1" applyBorder="1"/>
    <xf numFmtId="0" fontId="2" fillId="0" borderId="1" xfId="0" applyFont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1" fillId="0" borderId="0" xfId="0" applyFont="1" applyFill="1"/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" fontId="2" fillId="0" borderId="1" xfId="6" applyNumberFormat="1" applyFont="1" applyBorder="1" applyAlignment="1">
      <alignment horizontal="center" vertical="center" wrapText="1"/>
    </xf>
    <xf numFmtId="166" fontId="2" fillId="0" borderId="1" xfId="3" applyNumberFormat="1" applyFont="1" applyFill="1" applyBorder="1" applyAlignment="1" applyProtection="1">
      <alignment vertical="center"/>
    </xf>
    <xf numFmtId="166" fontId="2" fillId="0" borderId="11" xfId="3" applyNumberFormat="1" applyFont="1" applyFill="1" applyBorder="1" applyAlignment="1" applyProtection="1">
      <alignment vertical="center"/>
    </xf>
    <xf numFmtId="166" fontId="2" fillId="0" borderId="12" xfId="3" applyNumberFormat="1" applyFont="1" applyFill="1" applyBorder="1" applyAlignment="1" applyProtection="1">
      <alignment vertical="center"/>
    </xf>
    <xf numFmtId="166" fontId="2" fillId="0" borderId="0" xfId="3" applyNumberFormat="1" applyFont="1" applyFill="1" applyBorder="1" applyAlignment="1" applyProtection="1">
      <alignment vertical="center"/>
    </xf>
    <xf numFmtId="167" fontId="4" fillId="5" borderId="20" xfId="0" applyNumberFormat="1" applyFont="1" applyFill="1" applyBorder="1" applyAlignment="1">
      <alignment horizontal="center" vertical="center"/>
    </xf>
    <xf numFmtId="167" fontId="4" fillId="5" borderId="22" xfId="0" applyNumberFormat="1" applyFont="1" applyFill="1" applyBorder="1" applyAlignment="1">
      <alignment vertical="top"/>
    </xf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6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14" fontId="2" fillId="2" borderId="1" xfId="1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/>
    <xf numFmtId="0" fontId="4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9" fontId="2" fillId="2" borderId="1" xfId="7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 vertical="center" wrapText="1"/>
    </xf>
    <xf numFmtId="0" fontId="21" fillId="2" borderId="14" xfId="1" applyFont="1" applyFill="1" applyBorder="1" applyAlignment="1">
      <alignment horizontal="left" vertical="center" wrapText="1"/>
    </xf>
    <xf numFmtId="0" fontId="21" fillId="2" borderId="10" xfId="1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/>
    </xf>
    <xf numFmtId="2" fontId="2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wrapText="1"/>
    </xf>
    <xf numFmtId="2" fontId="2" fillId="0" borderId="1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top" wrapText="1"/>
    </xf>
    <xf numFmtId="2" fontId="4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2" fontId="4" fillId="0" borderId="1" xfId="1" applyNumberFormat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left" vertical="center"/>
    </xf>
    <xf numFmtId="1" fontId="2" fillId="0" borderId="6" xfId="1" applyNumberFormat="1" applyFont="1" applyBorder="1" applyAlignment="1">
      <alignment horizontal="left" vertical="center"/>
    </xf>
    <xf numFmtId="1" fontId="2" fillId="0" borderId="5" xfId="1" applyNumberFormat="1" applyFont="1" applyBorder="1" applyAlignment="1">
      <alignment horizontal="left" vertical="center"/>
    </xf>
    <xf numFmtId="0" fontId="20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171" fontId="2" fillId="2" borderId="1" xfId="1" applyNumberFormat="1" applyFont="1" applyFill="1" applyBorder="1" applyAlignment="1">
      <alignment horizontal="center" vertical="center"/>
    </xf>
    <xf numFmtId="171" fontId="2" fillId="2" borderId="14" xfId="1" applyNumberFormat="1" applyFont="1" applyFill="1" applyBorder="1" applyAlignment="1">
      <alignment horizontal="center" vertical="center"/>
    </xf>
    <xf numFmtId="171" fontId="2" fillId="2" borderId="10" xfId="1" applyNumberFormat="1" applyFont="1" applyFill="1" applyBorder="1" applyAlignment="1">
      <alignment horizontal="center" vertical="center"/>
    </xf>
    <xf numFmtId="9" fontId="2" fillId="2" borderId="14" xfId="7" applyFont="1" applyFill="1" applyBorder="1" applyAlignment="1" applyProtection="1">
      <alignment horizontal="center" vertical="center"/>
    </xf>
    <xf numFmtId="9" fontId="2" fillId="2" borderId="10" xfId="7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9" fontId="3" fillId="2" borderId="14" xfId="7" applyFont="1" applyFill="1" applyBorder="1" applyAlignment="1" applyProtection="1">
      <alignment horizontal="center" vertical="center"/>
    </xf>
    <xf numFmtId="9" fontId="3" fillId="2" borderId="10" xfId="7" applyFont="1" applyFill="1" applyBorder="1" applyAlignment="1" applyProtection="1">
      <alignment horizontal="center" vertical="center"/>
    </xf>
    <xf numFmtId="9" fontId="3" fillId="2" borderId="1" xfId="7" applyFont="1" applyFill="1" applyBorder="1" applyAlignment="1" applyProtection="1">
      <alignment horizontal="center" vertical="center"/>
    </xf>
    <xf numFmtId="0" fontId="3" fillId="2" borderId="1" xfId="9" applyFont="1" applyFill="1" applyBorder="1" applyAlignment="1">
      <alignment horizontal="left" vertical="center" wrapText="1"/>
    </xf>
    <xf numFmtId="0" fontId="3" fillId="2" borderId="14" xfId="9" applyFont="1" applyFill="1" applyBorder="1" applyAlignment="1">
      <alignment horizontal="left" vertical="center" wrapText="1"/>
    </xf>
    <xf numFmtId="0" fontId="3" fillId="2" borderId="10" xfId="9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/>
    <xf numFmtId="0" fontId="18" fillId="0" borderId="1" xfId="0" applyFont="1" applyBorder="1"/>
    <xf numFmtId="167" fontId="14" fillId="3" borderId="20" xfId="0" applyNumberFormat="1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2" xfId="0" applyFont="1" applyBorder="1"/>
    <xf numFmtId="2" fontId="14" fillId="3" borderId="20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5" fillId="5" borderId="13" xfId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2" borderId="13" xfId="1" applyFont="1" applyFill="1" applyBorder="1" applyAlignment="1">
      <alignment horizontal="left" vertical="top" wrapText="1"/>
    </xf>
    <xf numFmtId="0" fontId="4" fillId="2" borderId="12" xfId="1" applyFont="1" applyFill="1" applyBorder="1" applyAlignment="1">
      <alignment horizontal="left" vertical="top" wrapText="1"/>
    </xf>
    <xf numFmtId="0" fontId="4" fillId="2" borderId="11" xfId="1" applyFont="1" applyFill="1" applyBorder="1" applyAlignment="1">
      <alignment horizontal="left" vertical="top" wrapText="1"/>
    </xf>
    <xf numFmtId="2" fontId="2" fillId="0" borderId="13" xfId="1" applyNumberFormat="1" applyFont="1" applyBorder="1" applyAlignment="1">
      <alignment horizontal="left" vertical="center" wrapText="1"/>
    </xf>
    <xf numFmtId="2" fontId="2" fillId="0" borderId="12" xfId="1" applyNumberFormat="1" applyFont="1" applyBorder="1" applyAlignment="1">
      <alignment horizontal="left" vertical="center" wrapText="1"/>
    </xf>
    <xf numFmtId="2" fontId="2" fillId="0" borderId="11" xfId="1" applyNumberFormat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2" fontId="3" fillId="0" borderId="0" xfId="1" applyNumberFormat="1" applyFont="1" applyAlignment="1">
      <alignment horizontal="left" vertical="top" wrapText="1"/>
    </xf>
    <xf numFmtId="2" fontId="3" fillId="2" borderId="0" xfId="1" applyNumberFormat="1" applyFont="1" applyFill="1" applyAlignment="1">
      <alignment horizontal="left" vertical="top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2" fontId="5" fillId="0" borderId="0" xfId="1" applyNumberFormat="1" applyFont="1" applyAlignment="1">
      <alignment horizontal="center" vertical="center" wrapText="1"/>
    </xf>
    <xf numFmtId="0" fontId="2" fillId="0" borderId="14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13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2" fillId="0" borderId="7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3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8" fillId="0" borderId="7" xfId="1" applyFont="1" applyBorder="1" applyAlignment="1">
      <alignment horizontal="left" vertical="top" wrapText="1"/>
    </xf>
    <xf numFmtId="0" fontId="28" fillId="0" borderId="6" xfId="1" applyFont="1" applyBorder="1" applyAlignment="1">
      <alignment horizontal="left" vertical="top" wrapText="1"/>
    </xf>
    <xf numFmtId="0" fontId="28" fillId="0" borderId="5" xfId="1" applyFont="1" applyBorder="1" applyAlignment="1">
      <alignment horizontal="left" vertical="top" wrapText="1"/>
    </xf>
    <xf numFmtId="0" fontId="28" fillId="0" borderId="9" xfId="1" applyFont="1" applyBorder="1" applyAlignment="1">
      <alignment horizontal="left" vertical="top" wrapText="1"/>
    </xf>
    <xf numFmtId="0" fontId="28" fillId="0" borderId="0" xfId="1" applyFont="1" applyAlignment="1">
      <alignment horizontal="left" vertical="top" wrapText="1"/>
    </xf>
    <xf numFmtId="0" fontId="28" fillId="0" borderId="8" xfId="1" applyFont="1" applyBorder="1" applyAlignment="1">
      <alignment horizontal="left" vertical="top" wrapText="1"/>
    </xf>
    <xf numFmtId="0" fontId="28" fillId="0" borderId="4" xfId="1" applyFont="1" applyBorder="1" applyAlignment="1">
      <alignment horizontal="left" vertical="top" wrapText="1"/>
    </xf>
    <xf numFmtId="0" fontId="28" fillId="0" borderId="3" xfId="1" applyFont="1" applyBorder="1" applyAlignment="1">
      <alignment horizontal="left" vertical="top" wrapText="1"/>
    </xf>
    <xf numFmtId="0" fontId="28" fillId="0" borderId="2" xfId="1" applyFont="1" applyBorder="1" applyAlignment="1">
      <alignment horizontal="left" vertical="top" wrapText="1"/>
    </xf>
    <xf numFmtId="2" fontId="4" fillId="0" borderId="13" xfId="1" applyNumberFormat="1" applyFont="1" applyBorder="1" applyAlignment="1">
      <alignment horizontal="center" vertical="center" wrapText="1"/>
    </xf>
    <xf numFmtId="2" fontId="4" fillId="0" borderId="12" xfId="1" applyNumberFormat="1" applyFont="1" applyBorder="1" applyAlignment="1">
      <alignment horizontal="center" vertical="center" wrapText="1"/>
    </xf>
    <xf numFmtId="2" fontId="4" fillId="0" borderId="11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2" fontId="2" fillId="0" borderId="13" xfId="1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2" fillId="0" borderId="11" xfId="1" applyNumberFormat="1" applyFont="1" applyBorder="1" applyAlignment="1">
      <alignment horizontal="center" vertical="center" wrapText="1"/>
    </xf>
    <xf numFmtId="10" fontId="2" fillId="0" borderId="13" xfId="2" applyNumberFormat="1" applyFont="1" applyBorder="1" applyAlignment="1">
      <alignment horizontal="center"/>
    </xf>
    <xf numFmtId="10" fontId="2" fillId="0" borderId="12" xfId="2" applyNumberFormat="1" applyFont="1" applyBorder="1" applyAlignment="1">
      <alignment horizontal="center"/>
    </xf>
    <xf numFmtId="10" fontId="2" fillId="0" borderId="11" xfId="2" applyNumberFormat="1" applyFont="1" applyBorder="1" applyAlignment="1">
      <alignment horizontal="center"/>
    </xf>
    <xf numFmtId="2" fontId="5" fillId="0" borderId="0" xfId="1" applyNumberFormat="1" applyFont="1" applyAlignment="1">
      <alignment horizontal="center" vertical="center"/>
    </xf>
    <xf numFmtId="1" fontId="2" fillId="2" borderId="13" xfId="1" applyNumberFormat="1" applyFont="1" applyFill="1" applyBorder="1" applyAlignment="1">
      <alignment horizontal="left" vertical="center"/>
    </xf>
    <xf numFmtId="1" fontId="2" fillId="2" borderId="12" xfId="1" applyNumberFormat="1" applyFont="1" applyFill="1" applyBorder="1" applyAlignment="1">
      <alignment horizontal="left" vertical="center"/>
    </xf>
    <xf numFmtId="1" fontId="2" fillId="2" borderId="11" xfId="1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/>
    <xf numFmtId="0" fontId="2" fillId="4" borderId="25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vertical="center"/>
    </xf>
    <xf numFmtId="0" fontId="2" fillId="4" borderId="3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4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4" fillId="0" borderId="0" xfId="1" applyNumberFormat="1" applyFont="1" applyAlignment="1">
      <alignment horizontal="center" vertical="center" wrapText="1"/>
    </xf>
    <xf numFmtId="0" fontId="4" fillId="0" borderId="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2" fontId="4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horizontal="left" vertical="center" wrapText="1"/>
    </xf>
    <xf numFmtId="2" fontId="2" fillId="2" borderId="0" xfId="1" applyNumberFormat="1" applyFont="1" applyFill="1" applyAlignment="1">
      <alignment horizontal="left" vertical="top" wrapText="1"/>
    </xf>
    <xf numFmtId="14" fontId="2" fillId="6" borderId="1" xfId="0" applyNumberFormat="1" applyFont="1" applyFill="1" applyBorder="1" applyAlignment="1">
      <alignment horizontal="center" vertical="center"/>
    </xf>
    <xf numFmtId="171" fontId="2" fillId="2" borderId="1" xfId="7" applyNumberFormat="1" applyFont="1" applyFill="1" applyBorder="1" applyAlignment="1" applyProtection="1">
      <alignment horizontal="center" vertical="center"/>
    </xf>
    <xf numFmtId="0" fontId="4" fillId="0" borderId="7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2" fontId="2" fillId="0" borderId="0" xfId="1" applyNumberFormat="1" applyFont="1" applyAlignment="1">
      <alignment horizontal="left" vertical="top" wrapText="1"/>
    </xf>
    <xf numFmtId="0" fontId="4" fillId="0" borderId="14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/>
    <xf numFmtId="0" fontId="2" fillId="2" borderId="49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37" xfId="0" applyFont="1" applyFill="1" applyBorder="1"/>
    <xf numFmtId="0" fontId="2" fillId="4" borderId="20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4" fillId="5" borderId="13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167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1" fontId="2" fillId="2" borderId="1" xfId="7" applyNumberFormat="1" applyFont="1" applyFill="1" applyBorder="1" applyAlignment="1" applyProtection="1">
      <alignment horizontal="center" vertical="center"/>
    </xf>
    <xf numFmtId="14" fontId="2" fillId="6" borderId="14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40" fillId="10" borderId="52" xfId="0" applyFont="1" applyFill="1" applyBorder="1"/>
    <xf numFmtId="0" fontId="40" fillId="10" borderId="0" xfId="0" applyFont="1" applyFill="1"/>
    <xf numFmtId="0" fontId="2" fillId="2" borderId="1" xfId="0" applyFont="1" applyFill="1" applyBorder="1" applyAlignment="1">
      <alignment horizontal="left" vertical="center" wrapText="1"/>
    </xf>
    <xf numFmtId="14" fontId="2" fillId="6" borderId="10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22" fillId="0" borderId="7" xfId="1" applyFont="1" applyBorder="1" applyAlignment="1">
      <alignment horizontal="left" vertical="top" wrapText="1"/>
    </xf>
    <xf numFmtId="0" fontId="22" fillId="0" borderId="6" xfId="1" applyFont="1" applyBorder="1" applyAlignment="1">
      <alignment horizontal="left" vertical="top" wrapText="1"/>
    </xf>
    <xf numFmtId="0" fontId="22" fillId="0" borderId="5" xfId="1" applyFont="1" applyBorder="1" applyAlignment="1">
      <alignment horizontal="left" vertical="top" wrapText="1"/>
    </xf>
    <xf numFmtId="0" fontId="22" fillId="0" borderId="9" xfId="1" applyFont="1" applyBorder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0" fontId="22" fillId="0" borderId="8" xfId="1" applyFont="1" applyBorder="1" applyAlignment="1">
      <alignment horizontal="left" vertical="top" wrapText="1"/>
    </xf>
    <xf numFmtId="0" fontId="22" fillId="0" borderId="4" xfId="1" applyFont="1" applyBorder="1" applyAlignment="1">
      <alignment horizontal="left" vertical="top" wrapText="1"/>
    </xf>
    <xf numFmtId="0" fontId="22" fillId="0" borderId="3" xfId="1" applyFont="1" applyBorder="1" applyAlignment="1">
      <alignment horizontal="left" vertical="top" wrapText="1"/>
    </xf>
    <xf numFmtId="0" fontId="22" fillId="0" borderId="2" xfId="1" applyFont="1" applyBorder="1" applyAlignment="1">
      <alignment horizontal="left" vertical="top" wrapText="1"/>
    </xf>
    <xf numFmtId="0" fontId="2" fillId="2" borderId="1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167" fontId="4" fillId="3" borderId="20" xfId="0" applyNumberFormat="1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2" fontId="4" fillId="3" borderId="20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1" fillId="2" borderId="7" xfId="0" applyFont="1" applyFill="1" applyBorder="1" applyAlignment="1">
      <alignment vertical="center" wrapText="1"/>
    </xf>
    <xf numFmtId="0" fontId="21" fillId="2" borderId="46" xfId="0" applyFont="1" applyFill="1" applyBorder="1" applyAlignment="1">
      <alignment vertical="center" wrapText="1"/>
    </xf>
    <xf numFmtId="14" fontId="2" fillId="7" borderId="1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/>
    </xf>
    <xf numFmtId="0" fontId="24" fillId="0" borderId="7" xfId="1" applyFont="1" applyBorder="1" applyAlignment="1">
      <alignment horizontal="left" vertical="top" wrapText="1"/>
    </xf>
    <xf numFmtId="0" fontId="24" fillId="0" borderId="6" xfId="1" applyFont="1" applyBorder="1" applyAlignment="1">
      <alignment horizontal="left" vertical="top" wrapText="1"/>
    </xf>
    <xf numFmtId="0" fontId="24" fillId="0" borderId="5" xfId="1" applyFont="1" applyBorder="1" applyAlignment="1">
      <alignment horizontal="left" vertical="top" wrapText="1"/>
    </xf>
    <xf numFmtId="0" fontId="24" fillId="0" borderId="9" xfId="1" applyFont="1" applyBorder="1" applyAlignment="1">
      <alignment horizontal="left" vertical="top" wrapText="1"/>
    </xf>
    <xf numFmtId="0" fontId="24" fillId="0" borderId="0" xfId="1" applyFont="1" applyAlignment="1">
      <alignment horizontal="left" vertical="top" wrapText="1"/>
    </xf>
    <xf numFmtId="0" fontId="24" fillId="0" borderId="8" xfId="1" applyFont="1" applyBorder="1" applyAlignment="1">
      <alignment horizontal="left" vertical="top" wrapText="1"/>
    </xf>
    <xf numFmtId="0" fontId="24" fillId="0" borderId="4" xfId="1" applyFont="1" applyBorder="1" applyAlignment="1">
      <alignment horizontal="left" vertical="top" wrapText="1"/>
    </xf>
    <xf numFmtId="0" fontId="24" fillId="0" borderId="3" xfId="1" applyFont="1" applyBorder="1" applyAlignment="1">
      <alignment horizontal="left" vertical="top" wrapText="1"/>
    </xf>
    <xf numFmtId="0" fontId="24" fillId="0" borderId="2" xfId="1" applyFont="1" applyBorder="1" applyAlignment="1">
      <alignment horizontal="left" vertical="top" wrapText="1"/>
    </xf>
    <xf numFmtId="0" fontId="22" fillId="0" borderId="14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4" fontId="2" fillId="7" borderId="14" xfId="0" applyNumberFormat="1" applyFont="1" applyFill="1" applyBorder="1" applyAlignment="1">
      <alignment horizontal="center" vertical="center"/>
    </xf>
    <xf numFmtId="14" fontId="2" fillId="7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20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4" fillId="5" borderId="4" xfId="1" applyFont="1" applyFill="1" applyBorder="1" applyAlignment="1">
      <alignment horizontal="center" vertical="center"/>
    </xf>
    <xf numFmtId="0" fontId="2" fillId="5" borderId="18" xfId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25" xfId="0" applyFont="1" applyBorder="1" applyAlignment="1">
      <alignment vertical="center"/>
    </xf>
    <xf numFmtId="0" fontId="2" fillId="0" borderId="33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 vertical="center" wrapText="1"/>
    </xf>
    <xf numFmtId="0" fontId="25" fillId="0" borderId="18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/>
    </xf>
    <xf numFmtId="0" fontId="22" fillId="0" borderId="12" xfId="1" applyFont="1" applyBorder="1" applyAlignment="1">
      <alignment horizontal="center"/>
    </xf>
    <xf numFmtId="0" fontId="22" fillId="0" borderId="11" xfId="1" applyFont="1" applyBorder="1" applyAlignment="1">
      <alignment horizontal="center"/>
    </xf>
    <xf numFmtId="0" fontId="24" fillId="0" borderId="14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left" vertical="center" wrapText="1"/>
    </xf>
    <xf numFmtId="2" fontId="2" fillId="2" borderId="12" xfId="1" applyNumberFormat="1" applyFont="1" applyFill="1" applyBorder="1" applyAlignment="1">
      <alignment horizontal="left" vertical="center" wrapText="1"/>
    </xf>
    <xf numFmtId="2" fontId="2" fillId="2" borderId="11" xfId="1" applyNumberFormat="1" applyFont="1" applyFill="1" applyBorder="1" applyAlignment="1">
      <alignment horizontal="left" vertical="center" wrapText="1"/>
    </xf>
    <xf numFmtId="1" fontId="2" fillId="0" borderId="13" xfId="1" applyNumberFormat="1" applyFont="1" applyBorder="1" applyAlignment="1">
      <alignment horizontal="left" vertical="center"/>
    </xf>
    <xf numFmtId="1" fontId="2" fillId="0" borderId="12" xfId="1" applyNumberFormat="1" applyFont="1" applyBorder="1" applyAlignment="1">
      <alignment horizontal="left" vertical="center"/>
    </xf>
    <xf numFmtId="1" fontId="2" fillId="0" borderId="11" xfId="1" applyNumberFormat="1" applyFont="1" applyBorder="1" applyAlignment="1">
      <alignment horizontal="left" vertical="center"/>
    </xf>
    <xf numFmtId="0" fontId="24" fillId="0" borderId="14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9" fontId="2" fillId="2" borderId="14" xfId="1" applyNumberFormat="1" applyFont="1" applyFill="1" applyBorder="1" applyAlignment="1">
      <alignment horizontal="center" vertical="center"/>
    </xf>
    <xf numFmtId="9" fontId="2" fillId="2" borderId="10" xfId="1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/>
    </xf>
    <xf numFmtId="0" fontId="24" fillId="0" borderId="0" xfId="1" applyFont="1" applyBorder="1" applyAlignment="1">
      <alignment horizontal="left" vertical="top" wrapText="1"/>
    </xf>
    <xf numFmtId="2" fontId="4" fillId="0" borderId="13" xfId="1" applyNumberFormat="1" applyFont="1" applyBorder="1" applyAlignment="1">
      <alignment horizontal="center" vertical="center"/>
    </xf>
    <xf numFmtId="2" fontId="4" fillId="0" borderId="12" xfId="1" applyNumberFormat="1" applyFont="1" applyBorder="1" applyAlignment="1">
      <alignment horizontal="center" vertical="center"/>
    </xf>
    <xf numFmtId="2" fontId="4" fillId="0" borderId="11" xfId="1" applyNumberFormat="1" applyFont="1" applyBorder="1" applyAlignment="1">
      <alignment horizontal="center" vertical="center"/>
    </xf>
    <xf numFmtId="14" fontId="2" fillId="6" borderId="14" xfId="9" applyNumberFormat="1" applyFont="1" applyFill="1" applyBorder="1" applyAlignment="1">
      <alignment horizontal="center" vertical="center"/>
    </xf>
    <xf numFmtId="14" fontId="2" fillId="6" borderId="10" xfId="9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4" fillId="5" borderId="14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2" fillId="0" borderId="5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167" fontId="4" fillId="3" borderId="55" xfId="0" applyNumberFormat="1" applyFont="1" applyFill="1" applyBorder="1" applyAlignment="1">
      <alignment horizontal="center" vertical="center"/>
    </xf>
    <xf numFmtId="167" fontId="4" fillId="3" borderId="44" xfId="0" applyNumberFormat="1" applyFont="1" applyFill="1" applyBorder="1" applyAlignment="1">
      <alignment horizontal="center" vertical="center"/>
    </xf>
    <xf numFmtId="167" fontId="4" fillId="3" borderId="43" xfId="0" applyNumberFormat="1" applyFont="1" applyFill="1" applyBorder="1" applyAlignment="1">
      <alignment horizontal="center" vertical="center"/>
    </xf>
    <xf numFmtId="2" fontId="4" fillId="3" borderId="54" xfId="0" applyNumberFormat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2" fontId="4" fillId="3" borderId="53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167" fontId="2" fillId="0" borderId="20" xfId="0" applyNumberFormat="1" applyFont="1" applyBorder="1" applyAlignment="1">
      <alignment horizontal="left" vertical="center"/>
    </xf>
    <xf numFmtId="167" fontId="2" fillId="0" borderId="21" xfId="0" applyNumberFormat="1" applyFont="1" applyBorder="1" applyAlignment="1">
      <alignment horizontal="left" vertical="center"/>
    </xf>
    <xf numFmtId="167" fontId="2" fillId="0" borderId="22" xfId="0" applyNumberFormat="1" applyFont="1" applyBorder="1" applyAlignment="1">
      <alignment horizontal="left" vertical="center"/>
    </xf>
    <xf numFmtId="167" fontId="2" fillId="0" borderId="30" xfId="0" applyNumberFormat="1" applyFont="1" applyBorder="1" applyAlignment="1">
      <alignment horizontal="left" vertical="center"/>
    </xf>
    <xf numFmtId="167" fontId="2" fillId="0" borderId="31" xfId="0" applyNumberFormat="1" applyFont="1" applyBorder="1" applyAlignment="1">
      <alignment horizontal="left" vertical="center"/>
    </xf>
    <xf numFmtId="167" fontId="2" fillId="0" borderId="28" xfId="0" applyNumberFormat="1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49" fontId="2" fillId="0" borderId="20" xfId="0" applyNumberFormat="1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49" fontId="2" fillId="0" borderId="35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left" vertical="center" wrapText="1"/>
    </xf>
    <xf numFmtId="0" fontId="16" fillId="2" borderId="1" xfId="9" applyFont="1" applyFill="1" applyBorder="1" applyAlignment="1">
      <alignment horizontal="left" vertical="center" wrapText="1"/>
    </xf>
    <xf numFmtId="0" fontId="2" fillId="2" borderId="1" xfId="9" applyFont="1" applyFill="1" applyBorder="1" applyAlignment="1">
      <alignment vertical="center"/>
    </xf>
    <xf numFmtId="0" fontId="2" fillId="2" borderId="1" xfId="9" applyFont="1" applyFill="1" applyBorder="1" applyAlignment="1">
      <alignment horizontal="center" vertical="center" wrapText="1"/>
    </xf>
    <xf numFmtId="14" fontId="2" fillId="0" borderId="1" xfId="9" applyNumberFormat="1" applyFont="1" applyBorder="1" applyAlignment="1">
      <alignment horizontal="center" vertical="center"/>
    </xf>
    <xf numFmtId="9" fontId="2" fillId="0" borderId="1" xfId="7" applyFont="1" applyBorder="1" applyAlignment="1" applyProtection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2" borderId="1" xfId="9" applyFont="1" applyFill="1" applyBorder="1" applyAlignment="1">
      <alignment horizontal="left" vertical="center" wrapText="1"/>
    </xf>
    <xf numFmtId="0" fontId="34" fillId="0" borderId="1" xfId="1" applyFont="1" applyBorder="1" applyAlignment="1">
      <alignment horizontal="left" vertical="top" wrapText="1"/>
    </xf>
    <xf numFmtId="1" fontId="2" fillId="2" borderId="1" xfId="1" applyNumberFormat="1" applyFont="1" applyFill="1" applyBorder="1" applyAlignment="1">
      <alignment horizontal="left" vertical="center"/>
    </xf>
    <xf numFmtId="0" fontId="16" fillId="0" borderId="1" xfId="9" applyFont="1" applyBorder="1" applyAlignment="1">
      <alignment horizontal="left" vertical="center" wrapText="1"/>
    </xf>
    <xf numFmtId="0" fontId="2" fillId="0" borderId="1" xfId="9" applyFont="1" applyBorder="1" applyAlignment="1">
      <alignment vertical="center"/>
    </xf>
    <xf numFmtId="0" fontId="2" fillId="0" borderId="1" xfId="9" applyFont="1" applyBorder="1" applyAlignment="1">
      <alignment horizontal="center" vertical="center" wrapText="1"/>
    </xf>
    <xf numFmtId="0" fontId="1" fillId="7" borderId="1" xfId="9" applyFont="1" applyFill="1" applyBorder="1" applyAlignment="1">
      <alignment horizontal="left" vertical="center" wrapText="1"/>
    </xf>
    <xf numFmtId="170" fontId="1" fillId="7" borderId="1" xfId="9" applyNumberFormat="1" applyFont="1" applyFill="1" applyBorder="1" applyAlignment="1">
      <alignment horizontal="left" vertical="center" wrapText="1"/>
    </xf>
    <xf numFmtId="2" fontId="22" fillId="3" borderId="1" xfId="0" applyNumberFormat="1" applyFont="1" applyFill="1" applyBorder="1" applyAlignment="1">
      <alignment horizontal="center" vertical="center"/>
    </xf>
    <xf numFmtId="0" fontId="23" fillId="0" borderId="1" xfId="0" applyFont="1" applyBorder="1"/>
    <xf numFmtId="0" fontId="24" fillId="7" borderId="1" xfId="9" applyFont="1" applyFill="1" applyBorder="1" applyAlignment="1">
      <alignment horizontal="left" vertical="center" wrapText="1"/>
    </xf>
    <xf numFmtId="0" fontId="42" fillId="7" borderId="1" xfId="9" applyFont="1" applyFill="1" applyBorder="1" applyAlignment="1">
      <alignment horizontal="left" vertical="center" wrapText="1"/>
    </xf>
    <xf numFmtId="0" fontId="43" fillId="7" borderId="1" xfId="9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14" fontId="2" fillId="0" borderId="1" xfId="1" applyNumberFormat="1" applyFont="1" applyBorder="1" applyAlignment="1">
      <alignment horizontal="center" vertical="center"/>
    </xf>
    <xf numFmtId="0" fontId="2" fillId="2" borderId="41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horizontal="left" vertical="center" wrapText="1"/>
    </xf>
    <xf numFmtId="9" fontId="2" fillId="0" borderId="14" xfId="7" applyFont="1" applyBorder="1" applyAlignment="1" applyProtection="1">
      <alignment horizontal="center" vertical="center"/>
    </xf>
    <xf numFmtId="9" fontId="2" fillId="0" borderId="10" xfId="7" applyFont="1" applyBorder="1" applyAlignment="1" applyProtection="1">
      <alignment horizontal="center" vertical="center"/>
    </xf>
    <xf numFmtId="0" fontId="2" fillId="2" borderId="14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vertical="center" wrapText="1"/>
    </xf>
    <xf numFmtId="9" fontId="2" fillId="0" borderId="14" xfId="7" applyFont="1" applyBorder="1" applyAlignment="1" applyProtection="1">
      <alignment vertical="center"/>
    </xf>
    <xf numFmtId="9" fontId="2" fillId="0" borderId="10" xfId="7" applyFont="1" applyBorder="1" applyAlignment="1" applyProtection="1">
      <alignment vertical="center"/>
    </xf>
    <xf numFmtId="0" fontId="2" fillId="0" borderId="1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" fontId="2" fillId="0" borderId="14" xfId="1" applyNumberFormat="1" applyFont="1" applyBorder="1" applyAlignment="1">
      <alignment vertical="center"/>
    </xf>
    <xf numFmtId="1" fontId="2" fillId="0" borderId="10" xfId="1" applyNumberFormat="1" applyFont="1" applyBorder="1" applyAlignment="1">
      <alignment vertical="center"/>
    </xf>
    <xf numFmtId="1" fontId="2" fillId="0" borderId="14" xfId="1" applyNumberFormat="1" applyFont="1" applyBorder="1" applyAlignment="1">
      <alignment horizontal="center" vertical="center"/>
    </xf>
    <xf numFmtId="1" fontId="2" fillId="0" borderId="1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3" xfId="1" applyFont="1" applyFill="1" applyBorder="1" applyAlignment="1">
      <alignment horizontal="center" vertical="center"/>
    </xf>
    <xf numFmtId="14" fontId="2" fillId="0" borderId="14" xfId="1" applyNumberFormat="1" applyFont="1" applyBorder="1" applyAlignment="1">
      <alignment horizontal="center" vertical="center"/>
    </xf>
    <xf numFmtId="14" fontId="2" fillId="0" borderId="1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2" fillId="2" borderId="42" xfId="1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center" vertical="center"/>
    </xf>
    <xf numFmtId="0" fontId="2" fillId="5" borderId="21" xfId="0" applyFont="1" applyFill="1" applyBorder="1"/>
    <xf numFmtId="0" fontId="2" fillId="5" borderId="22" xfId="0" applyFont="1" applyFill="1" applyBorder="1"/>
    <xf numFmtId="167" fontId="4" fillId="5" borderId="20" xfId="0" applyNumberFormat="1" applyFont="1" applyFill="1" applyBorder="1" applyAlignment="1">
      <alignment horizontal="center" vertical="top"/>
    </xf>
    <xf numFmtId="2" fontId="4" fillId="5" borderId="21" xfId="0" applyNumberFormat="1" applyFont="1" applyFill="1" applyBorder="1" applyAlignment="1">
      <alignment horizontal="left" vertical="center"/>
    </xf>
    <xf numFmtId="166" fontId="2" fillId="0" borderId="13" xfId="1" applyNumberFormat="1" applyFont="1" applyBorder="1" applyAlignment="1">
      <alignment horizontal="center" vertical="center" wrapText="1"/>
    </xf>
    <xf numFmtId="166" fontId="2" fillId="2" borderId="13" xfId="1" applyNumberFormat="1" applyFont="1" applyFill="1" applyBorder="1" applyAlignment="1">
      <alignment horizontal="center" vertical="center" wrapText="1"/>
    </xf>
    <xf numFmtId="168" fontId="2" fillId="2" borderId="13" xfId="3" applyNumberFormat="1" applyFont="1" applyFill="1" applyBorder="1" applyAlignment="1">
      <alignment horizontal="center" vertical="center"/>
    </xf>
    <xf numFmtId="0" fontId="22" fillId="0" borderId="13" xfId="1" applyFont="1" applyBorder="1" applyAlignment="1">
      <alignment horizontal="center" vertical="center" wrapText="1"/>
    </xf>
    <xf numFmtId="1" fontId="2" fillId="0" borderId="13" xfId="1" applyNumberFormat="1" applyFont="1" applyBorder="1" applyAlignment="1">
      <alignment horizontal="center" vertical="center"/>
    </xf>
    <xf numFmtId="1" fontId="2" fillId="2" borderId="13" xfId="1" applyNumberFormat="1" applyFont="1" applyFill="1" applyBorder="1" applyAlignment="1">
      <alignment horizontal="center" vertical="center"/>
    </xf>
    <xf numFmtId="0" fontId="2" fillId="5" borderId="13" xfId="1" applyFont="1" applyFill="1" applyBorder="1"/>
    <xf numFmtId="39" fontId="2" fillId="0" borderId="0" xfId="1" applyNumberFormat="1" applyFont="1" applyBorder="1"/>
    <xf numFmtId="0" fontId="4" fillId="0" borderId="0" xfId="1" applyFont="1" applyBorder="1"/>
    <xf numFmtId="2" fontId="4" fillId="0" borderId="0" xfId="1" applyNumberFormat="1" applyFont="1" applyBorder="1" applyAlignment="1">
      <alignment vertical="center"/>
    </xf>
    <xf numFmtId="2" fontId="4" fillId="0" borderId="0" xfId="1" applyNumberFormat="1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/>
    </xf>
    <xf numFmtId="2" fontId="2" fillId="0" borderId="0" xfId="1" applyNumberFormat="1" applyFont="1" applyBorder="1" applyAlignment="1">
      <alignment vertical="center" wrapText="1"/>
    </xf>
    <xf numFmtId="2" fontId="2" fillId="0" borderId="0" xfId="1" applyNumberFormat="1" applyFont="1" applyBorder="1" applyAlignment="1">
      <alignment horizontal="left" vertical="center" wrapText="1"/>
    </xf>
    <xf numFmtId="2" fontId="2" fillId="0" borderId="0" xfId="1" applyNumberFormat="1" applyFont="1" applyBorder="1" applyAlignment="1">
      <alignment vertical="center"/>
    </xf>
    <xf numFmtId="2" fontId="2" fillId="0" borderId="0" xfId="1" applyNumberFormat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wrapText="1"/>
    </xf>
    <xf numFmtId="2" fontId="2" fillId="0" borderId="0" xfId="1" applyNumberFormat="1" applyFont="1" applyBorder="1" applyAlignment="1">
      <alignment horizontal="left" vertical="top" wrapText="1"/>
    </xf>
    <xf numFmtId="0" fontId="2" fillId="0" borderId="0" xfId="1" applyFont="1" applyBorder="1" applyAlignment="1">
      <alignment wrapText="1"/>
    </xf>
    <xf numFmtId="0" fontId="4" fillId="0" borderId="0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/>
    </xf>
    <xf numFmtId="172" fontId="30" fillId="0" borderId="0" xfId="10" applyNumberFormat="1" applyFont="1" applyFill="1" applyBorder="1" applyAlignment="1">
      <alignment wrapText="1"/>
    </xf>
    <xf numFmtId="172" fontId="30" fillId="0" borderId="0" xfId="10" applyNumberFormat="1" applyFont="1" applyFill="1" applyBorder="1"/>
    <xf numFmtId="165" fontId="2" fillId="0" borderId="0" xfId="1" applyNumberFormat="1" applyFont="1" applyBorder="1"/>
    <xf numFmtId="172" fontId="30" fillId="0" borderId="0" xfId="10" applyNumberFormat="1" applyFont="1" applyBorder="1"/>
    <xf numFmtId="0" fontId="26" fillId="0" borderId="0" xfId="1" applyFont="1" applyBorder="1" applyAlignment="1">
      <alignment horizontal="center"/>
    </xf>
    <xf numFmtId="166" fontId="2" fillId="2" borderId="0" xfId="1" applyNumberFormat="1" applyFont="1" applyFill="1" applyBorder="1"/>
    <xf numFmtId="0" fontId="4" fillId="2" borderId="0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center"/>
    </xf>
    <xf numFmtId="9" fontId="2" fillId="0" borderId="0" xfId="7" applyFont="1" applyBorder="1"/>
    <xf numFmtId="0" fontId="2" fillId="2" borderId="0" xfId="1" applyFont="1" applyFill="1" applyBorder="1"/>
    <xf numFmtId="0" fontId="21" fillId="0" borderId="0" xfId="0" applyFont="1" applyBorder="1"/>
    <xf numFmtId="0" fontId="21" fillId="2" borderId="0" xfId="0" applyFont="1" applyFill="1" applyBorder="1"/>
    <xf numFmtId="172" fontId="41" fillId="0" borderId="0" xfId="10" applyNumberFormat="1" applyFont="1" applyBorder="1"/>
    <xf numFmtId="2" fontId="2" fillId="0" borderId="0" xfId="1" applyNumberFormat="1" applyFont="1" applyBorder="1"/>
    <xf numFmtId="164" fontId="2" fillId="0" borderId="0" xfId="1" applyNumberFormat="1" applyFont="1" applyBorder="1"/>
    <xf numFmtId="0" fontId="3" fillId="0" borderId="0" xfId="1" applyFont="1" applyBorder="1"/>
    <xf numFmtId="0" fontId="5" fillId="0" borderId="0" xfId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horizontal="center" vertical="center"/>
    </xf>
    <xf numFmtId="172" fontId="31" fillId="2" borderId="0" xfId="10" applyNumberFormat="1" applyFont="1" applyFill="1" applyBorder="1" applyAlignment="1">
      <alignment wrapText="1"/>
    </xf>
    <xf numFmtId="2" fontId="2" fillId="2" borderId="0" xfId="1" applyNumberFormat="1" applyFont="1" applyFill="1" applyBorder="1" applyAlignment="1">
      <alignment horizontal="left" vertical="top" wrapText="1"/>
    </xf>
    <xf numFmtId="2" fontId="2" fillId="2" borderId="0" xfId="1" applyNumberFormat="1" applyFont="1" applyFill="1" applyBorder="1"/>
    <xf numFmtId="164" fontId="2" fillId="2" borderId="0" xfId="1" applyNumberFormat="1" applyFont="1" applyFill="1" applyBorder="1"/>
    <xf numFmtId="0" fontId="2" fillId="2" borderId="0" xfId="1" applyFont="1" applyFill="1" applyBorder="1" applyAlignment="1">
      <alignment horizontal="center"/>
    </xf>
    <xf numFmtId="165" fontId="2" fillId="2" borderId="0" xfId="1" applyNumberFormat="1" applyFont="1" applyFill="1" applyBorder="1"/>
    <xf numFmtId="0" fontId="3" fillId="2" borderId="0" xfId="1" applyFont="1" applyFill="1" applyBorder="1"/>
    <xf numFmtId="0" fontId="5" fillId="2" borderId="0" xfId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6" fontId="30" fillId="0" borderId="12" xfId="1" applyNumberFormat="1" applyFont="1" applyFill="1" applyBorder="1"/>
    <xf numFmtId="166" fontId="2" fillId="0" borderId="12" xfId="1" applyNumberFormat="1" applyFont="1" applyFill="1" applyBorder="1"/>
    <xf numFmtId="0" fontId="21" fillId="0" borderId="0" xfId="0" applyFont="1" applyFill="1" applyAlignment="1">
      <alignment vertical="center"/>
    </xf>
  </cellXfs>
  <cellStyles count="11">
    <cellStyle name="Millares [0]" xfId="6" builtinId="6"/>
    <cellStyle name="Millares [0] 2" xfId="8"/>
    <cellStyle name="Millares 2" xfId="4"/>
    <cellStyle name="Moneda" xfId="10" builtinId="4"/>
    <cellStyle name="Moneda [0]" xfId="5" builtinId="7"/>
    <cellStyle name="Moneda 2" xfId="3"/>
    <cellStyle name="Normal" xfId="0" builtinId="0"/>
    <cellStyle name="Normal 2" xfId="1"/>
    <cellStyle name="Normal 3" xfId="9"/>
    <cellStyle name="Porcentaje" xfId="7" builtinId="5"/>
    <cellStyle name="Porcentaje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521493</xdr:colOff>
      <xdr:row>0</xdr:row>
      <xdr:rowOff>174625</xdr:rowOff>
    </xdr:from>
    <xdr:to>
      <xdr:col>13</xdr:col>
      <xdr:colOff>774501</xdr:colOff>
      <xdr:row>3</xdr:row>
      <xdr:rowOff>380008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3618" y="174625"/>
          <a:ext cx="1253133" cy="1586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0</xdr:col>
          <xdr:colOff>4429125</xdr:colOff>
          <xdr:row>3</xdr:row>
          <xdr:rowOff>342900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521493</xdr:colOff>
      <xdr:row>0</xdr:row>
      <xdr:rowOff>174625</xdr:rowOff>
    </xdr:from>
    <xdr:to>
      <xdr:col>13</xdr:col>
      <xdr:colOff>774501</xdr:colOff>
      <xdr:row>3</xdr:row>
      <xdr:rowOff>380008</xdr:rowOff>
    </xdr:to>
    <xdr:pic>
      <xdr:nvPicPr>
        <xdr:cNvPr id="4" name="Imagen 3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9893" y="174625"/>
          <a:ext cx="1091208" cy="586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0</xdr:col>
          <xdr:colOff>4429125</xdr:colOff>
          <xdr:row>3</xdr:row>
          <xdr:rowOff>342900</xdr:rowOff>
        </xdr:to>
        <xdr:sp macro="" textlink="">
          <xdr:nvSpPr>
            <xdr:cNvPr id="28674" name="Object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521493</xdr:colOff>
      <xdr:row>0</xdr:row>
      <xdr:rowOff>174625</xdr:rowOff>
    </xdr:from>
    <xdr:to>
      <xdr:col>13</xdr:col>
      <xdr:colOff>774501</xdr:colOff>
      <xdr:row>3</xdr:row>
      <xdr:rowOff>380008</xdr:rowOff>
    </xdr:to>
    <xdr:pic>
      <xdr:nvPicPr>
        <xdr:cNvPr id="6" name="Imagen 5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" y="174625"/>
          <a:ext cx="1186458" cy="1586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0</xdr:col>
          <xdr:colOff>4429125</xdr:colOff>
          <xdr:row>3</xdr:row>
          <xdr:rowOff>342900</xdr:rowOff>
        </xdr:to>
        <xdr:sp macro="" textlink="">
          <xdr:nvSpPr>
            <xdr:cNvPr id="28675" name="Object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521493</xdr:colOff>
      <xdr:row>0</xdr:row>
      <xdr:rowOff>174625</xdr:rowOff>
    </xdr:from>
    <xdr:to>
      <xdr:col>13</xdr:col>
      <xdr:colOff>774501</xdr:colOff>
      <xdr:row>3</xdr:row>
      <xdr:rowOff>380008</xdr:rowOff>
    </xdr:to>
    <xdr:pic>
      <xdr:nvPicPr>
        <xdr:cNvPr id="8" name="Imagen 7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" y="174625"/>
          <a:ext cx="1186458" cy="1586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0</xdr:col>
          <xdr:colOff>4429125</xdr:colOff>
          <xdr:row>3</xdr:row>
          <xdr:rowOff>342900</xdr:rowOff>
        </xdr:to>
        <xdr:sp macro="" textlink="">
          <xdr:nvSpPr>
            <xdr:cNvPr id="28676" name="Object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884464</xdr:colOff>
      <xdr:row>0</xdr:row>
      <xdr:rowOff>15875</xdr:rowOff>
    </xdr:from>
    <xdr:to>
      <xdr:col>13</xdr:col>
      <xdr:colOff>523875</xdr:colOff>
      <xdr:row>3</xdr:row>
      <xdr:rowOff>174625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15875"/>
          <a:ext cx="850446" cy="771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495300</xdr:colOff>
          <xdr:row>0</xdr:row>
          <xdr:rowOff>95250</xdr:rowOff>
        </xdr:from>
        <xdr:to>
          <xdr:col>0</xdr:col>
          <xdr:colOff>2133600</xdr:colOff>
          <xdr:row>3</xdr:row>
          <xdr:rowOff>114300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590551</xdr:colOff>
      <xdr:row>0</xdr:row>
      <xdr:rowOff>56125</xdr:rowOff>
    </xdr:from>
    <xdr:to>
      <xdr:col>13</xdr:col>
      <xdr:colOff>457201</xdr:colOff>
      <xdr:row>3</xdr:row>
      <xdr:rowOff>174625</xdr:rowOff>
    </xdr:to>
    <xdr:pic>
      <xdr:nvPicPr>
        <xdr:cNvPr id="4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1" y="56125"/>
          <a:ext cx="704850" cy="69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942975</xdr:colOff>
          <xdr:row>0</xdr:row>
          <xdr:rowOff>104775</xdr:rowOff>
        </xdr:from>
        <xdr:to>
          <xdr:col>1</xdr:col>
          <xdr:colOff>3686175</xdr:colOff>
          <xdr:row>3</xdr:row>
          <xdr:rowOff>123825</xdr:rowOff>
        </xdr:to>
        <xdr:sp macro="" textlink="">
          <xdr:nvSpPr>
            <xdr:cNvPr id="11323" name="Object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19050</xdr:rowOff>
        </xdr:from>
        <xdr:to>
          <xdr:col>0</xdr:col>
          <xdr:colOff>4371975</xdr:colOff>
          <xdr:row>3</xdr:row>
          <xdr:rowOff>142875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609600</xdr:colOff>
      <xdr:row>0</xdr:row>
      <xdr:rowOff>51283</xdr:rowOff>
    </xdr:from>
    <xdr:to>
      <xdr:col>13</xdr:col>
      <xdr:colOff>381000</xdr:colOff>
      <xdr:row>3</xdr:row>
      <xdr:rowOff>163116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83050" y="51283"/>
          <a:ext cx="781050" cy="740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19050</xdr:rowOff>
        </xdr:from>
        <xdr:to>
          <xdr:col>0</xdr:col>
          <xdr:colOff>4371975</xdr:colOff>
          <xdr:row>3</xdr:row>
          <xdr:rowOff>142875</xdr:rowOff>
        </xdr:to>
        <xdr:sp macro="" textlink="">
          <xdr:nvSpPr>
            <xdr:cNvPr id="14354" name="Object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609600</xdr:colOff>
      <xdr:row>0</xdr:row>
      <xdr:rowOff>51283</xdr:rowOff>
    </xdr:from>
    <xdr:to>
      <xdr:col>13</xdr:col>
      <xdr:colOff>381000</xdr:colOff>
      <xdr:row>3</xdr:row>
      <xdr:rowOff>163116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51283"/>
          <a:ext cx="609600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571500</xdr:colOff>
          <xdr:row>0</xdr:row>
          <xdr:rowOff>66675</xdr:rowOff>
        </xdr:from>
        <xdr:to>
          <xdr:col>0</xdr:col>
          <xdr:colOff>3467100</xdr:colOff>
          <xdr:row>3</xdr:row>
          <xdr:rowOff>142875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3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635000</xdr:colOff>
      <xdr:row>0</xdr:row>
      <xdr:rowOff>14883</xdr:rowOff>
    </xdr:from>
    <xdr:to>
      <xdr:col>13</xdr:col>
      <xdr:colOff>675822</xdr:colOff>
      <xdr:row>3</xdr:row>
      <xdr:rowOff>201216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0" y="14883"/>
          <a:ext cx="977447" cy="805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571500</xdr:colOff>
          <xdr:row>0</xdr:row>
          <xdr:rowOff>66675</xdr:rowOff>
        </xdr:from>
        <xdr:to>
          <xdr:col>1</xdr:col>
          <xdr:colOff>3467100</xdr:colOff>
          <xdr:row>3</xdr:row>
          <xdr:rowOff>142875</xdr:rowOff>
        </xdr:to>
        <xdr:sp macro="" textlink="">
          <xdr:nvSpPr>
            <xdr:cNvPr id="17416" name="Object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666750</xdr:colOff>
      <xdr:row>0</xdr:row>
      <xdr:rowOff>0</xdr:rowOff>
    </xdr:from>
    <xdr:to>
      <xdr:col>13</xdr:col>
      <xdr:colOff>466272</xdr:colOff>
      <xdr:row>3</xdr:row>
      <xdr:rowOff>186333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0"/>
          <a:ext cx="637722" cy="75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571500</xdr:colOff>
          <xdr:row>0</xdr:row>
          <xdr:rowOff>66675</xdr:rowOff>
        </xdr:from>
        <xdr:to>
          <xdr:col>1</xdr:col>
          <xdr:colOff>3467100</xdr:colOff>
          <xdr:row>3</xdr:row>
          <xdr:rowOff>142875</xdr:rowOff>
        </xdr:to>
        <xdr:sp macro="" textlink="">
          <xdr:nvSpPr>
            <xdr:cNvPr id="17423" name="Object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666750</xdr:colOff>
      <xdr:row>0</xdr:row>
      <xdr:rowOff>0</xdr:rowOff>
    </xdr:from>
    <xdr:to>
      <xdr:col>13</xdr:col>
      <xdr:colOff>466272</xdr:colOff>
      <xdr:row>3</xdr:row>
      <xdr:rowOff>186333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0"/>
          <a:ext cx="637722" cy="75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0</xdr:row>
          <xdr:rowOff>104775</xdr:rowOff>
        </xdr:from>
        <xdr:to>
          <xdr:col>0</xdr:col>
          <xdr:colOff>3924300</xdr:colOff>
          <xdr:row>3</xdr:row>
          <xdr:rowOff>171450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4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555625</xdr:colOff>
      <xdr:row>0</xdr:row>
      <xdr:rowOff>14883</xdr:rowOff>
    </xdr:from>
    <xdr:to>
      <xdr:col>13</xdr:col>
      <xdr:colOff>523875</xdr:colOff>
      <xdr:row>3</xdr:row>
      <xdr:rowOff>166057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0375" y="14883"/>
          <a:ext cx="904875" cy="770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0</xdr:row>
          <xdr:rowOff>104775</xdr:rowOff>
        </xdr:from>
        <xdr:to>
          <xdr:col>0</xdr:col>
          <xdr:colOff>3924300</xdr:colOff>
          <xdr:row>3</xdr:row>
          <xdr:rowOff>171450</xdr:rowOff>
        </xdr:to>
        <xdr:sp macro="" textlink="">
          <xdr:nvSpPr>
            <xdr:cNvPr id="20488" name="Object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555625</xdr:colOff>
      <xdr:row>0</xdr:row>
      <xdr:rowOff>14883</xdr:rowOff>
    </xdr:from>
    <xdr:to>
      <xdr:col>13</xdr:col>
      <xdr:colOff>523875</xdr:colOff>
      <xdr:row>3</xdr:row>
      <xdr:rowOff>166057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4025" y="14883"/>
          <a:ext cx="806450" cy="722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0</xdr:row>
          <xdr:rowOff>104775</xdr:rowOff>
        </xdr:from>
        <xdr:to>
          <xdr:col>0</xdr:col>
          <xdr:colOff>3924300</xdr:colOff>
          <xdr:row>3</xdr:row>
          <xdr:rowOff>171450</xdr:rowOff>
        </xdr:to>
        <xdr:sp macro="" textlink="">
          <xdr:nvSpPr>
            <xdr:cNvPr id="20495" name="Object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555625</xdr:colOff>
      <xdr:row>0</xdr:row>
      <xdr:rowOff>14883</xdr:rowOff>
    </xdr:from>
    <xdr:to>
      <xdr:col>13</xdr:col>
      <xdr:colOff>523875</xdr:colOff>
      <xdr:row>3</xdr:row>
      <xdr:rowOff>166057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4025" y="14883"/>
          <a:ext cx="806450" cy="722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133350</xdr:rowOff>
        </xdr:from>
        <xdr:to>
          <xdr:col>0</xdr:col>
          <xdr:colOff>4343400</xdr:colOff>
          <xdr:row>3</xdr:row>
          <xdr:rowOff>95250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5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440530</xdr:colOff>
      <xdr:row>0</xdr:row>
      <xdr:rowOff>38695</xdr:rowOff>
    </xdr:from>
    <xdr:to>
      <xdr:col>13</xdr:col>
      <xdr:colOff>619124</xdr:colOff>
      <xdr:row>3</xdr:row>
      <xdr:rowOff>131949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6780" y="38695"/>
          <a:ext cx="1178719" cy="147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133350</xdr:rowOff>
        </xdr:from>
        <xdr:to>
          <xdr:col>1</xdr:col>
          <xdr:colOff>4343400</xdr:colOff>
          <xdr:row>3</xdr:row>
          <xdr:rowOff>95250</xdr:rowOff>
        </xdr:to>
        <xdr:sp macro="" textlink="">
          <xdr:nvSpPr>
            <xdr:cNvPr id="23557" name="Object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4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440530</xdr:colOff>
      <xdr:row>0</xdr:row>
      <xdr:rowOff>38695</xdr:rowOff>
    </xdr:from>
    <xdr:to>
      <xdr:col>13</xdr:col>
      <xdr:colOff>619124</xdr:colOff>
      <xdr:row>3</xdr:row>
      <xdr:rowOff>131949</xdr:rowOff>
    </xdr:to>
    <xdr:pic>
      <xdr:nvPicPr>
        <xdr:cNvPr id="6" name="Imagen 1" descr="CAPITAL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8930" y="38695"/>
          <a:ext cx="1016794" cy="664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133350</xdr:rowOff>
        </xdr:from>
        <xdr:to>
          <xdr:col>1</xdr:col>
          <xdr:colOff>4343400</xdr:colOff>
          <xdr:row>3</xdr:row>
          <xdr:rowOff>95250</xdr:rowOff>
        </xdr:to>
        <xdr:sp macro="" textlink="">
          <xdr:nvSpPr>
            <xdr:cNvPr id="23560" name="Object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4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440530</xdr:colOff>
      <xdr:row>0</xdr:row>
      <xdr:rowOff>38695</xdr:rowOff>
    </xdr:from>
    <xdr:to>
      <xdr:col>13</xdr:col>
      <xdr:colOff>619124</xdr:colOff>
      <xdr:row>3</xdr:row>
      <xdr:rowOff>131949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8930" y="38695"/>
          <a:ext cx="1016794" cy="664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104775</xdr:rowOff>
        </xdr:from>
        <xdr:to>
          <xdr:col>0</xdr:col>
          <xdr:colOff>4400550</xdr:colOff>
          <xdr:row>3</xdr:row>
          <xdr:rowOff>104775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6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511968</xdr:colOff>
      <xdr:row>0</xdr:row>
      <xdr:rowOff>33934</xdr:rowOff>
    </xdr:from>
    <xdr:to>
      <xdr:col>13</xdr:col>
      <xdr:colOff>742950</xdr:colOff>
      <xdr:row>3</xdr:row>
      <xdr:rowOff>197410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71168" y="33934"/>
          <a:ext cx="1240632" cy="1287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104775</xdr:rowOff>
        </xdr:from>
        <xdr:to>
          <xdr:col>0</xdr:col>
          <xdr:colOff>4400550</xdr:colOff>
          <xdr:row>3</xdr:row>
          <xdr:rowOff>104775</xdr:rowOff>
        </xdr:to>
        <xdr:sp macro="" textlink="">
          <xdr:nvSpPr>
            <xdr:cNvPr id="26631" name="Object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511968</xdr:colOff>
      <xdr:row>0</xdr:row>
      <xdr:rowOff>33934</xdr:rowOff>
    </xdr:from>
    <xdr:to>
      <xdr:col>13</xdr:col>
      <xdr:colOff>742950</xdr:colOff>
      <xdr:row>3</xdr:row>
      <xdr:rowOff>197410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0368" y="33934"/>
          <a:ext cx="1069182" cy="725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104775</xdr:rowOff>
        </xdr:from>
        <xdr:to>
          <xdr:col>0</xdr:col>
          <xdr:colOff>4400550</xdr:colOff>
          <xdr:row>3</xdr:row>
          <xdr:rowOff>104775</xdr:rowOff>
        </xdr:to>
        <xdr:sp macro="" textlink="">
          <xdr:nvSpPr>
            <xdr:cNvPr id="26637" name="Object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511968</xdr:colOff>
      <xdr:row>0</xdr:row>
      <xdr:rowOff>33934</xdr:rowOff>
    </xdr:from>
    <xdr:to>
      <xdr:col>13</xdr:col>
      <xdr:colOff>742950</xdr:colOff>
      <xdr:row>3</xdr:row>
      <xdr:rowOff>197410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0368" y="33934"/>
          <a:ext cx="1069182" cy="725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775607</xdr:colOff>
      <xdr:row>0</xdr:row>
      <xdr:rowOff>0</xdr:rowOff>
    </xdr:from>
    <xdr:to>
      <xdr:col>13</xdr:col>
      <xdr:colOff>149679</xdr:colOff>
      <xdr:row>3</xdr:row>
      <xdr:rowOff>190499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08286" y="0"/>
          <a:ext cx="884464" cy="802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38100</xdr:rowOff>
        </xdr:from>
        <xdr:to>
          <xdr:col>0</xdr:col>
          <xdr:colOff>3714750</xdr:colOff>
          <xdr:row>3</xdr:row>
          <xdr:rowOff>190500</xdr:rowOff>
        </xdr:to>
        <xdr:sp macro="" textlink="">
          <xdr:nvSpPr>
            <xdr:cNvPr id="39938" name="Object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7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352425</xdr:colOff>
          <xdr:row>0</xdr:row>
          <xdr:rowOff>447675</xdr:rowOff>
        </xdr:from>
        <xdr:to>
          <xdr:col>0</xdr:col>
          <xdr:colOff>3933825</xdr:colOff>
          <xdr:row>3</xdr:row>
          <xdr:rowOff>238125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8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110133</xdr:rowOff>
    </xdr:from>
    <xdr:to>
      <xdr:col>13</xdr:col>
      <xdr:colOff>669726</xdr:colOff>
      <xdr:row>3</xdr:row>
      <xdr:rowOff>363141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0868" y="110133"/>
          <a:ext cx="1567458" cy="164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11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14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5.xml"/><Relationship Id="rId3" Type="http://schemas.openxmlformats.org/officeDocument/2006/relationships/vmlDrawing" Target="../drawings/vmlDrawing6.vml"/><Relationship Id="rId7" Type="http://schemas.openxmlformats.org/officeDocument/2006/relationships/oleObject" Target="../embeddings/oleObject17.bin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mments" Target="../comments6.xml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20.bin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1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83"/>
  <sheetViews>
    <sheetView topLeftCell="B37" zoomScale="94" zoomScaleNormal="94" zoomScalePageLayoutView="50" workbookViewId="0">
      <selection activeCell="N31" sqref="N31:N32"/>
    </sheetView>
  </sheetViews>
  <sheetFormatPr baseColWidth="10" defaultColWidth="12.5703125" defaultRowHeight="15"/>
  <cols>
    <col min="1" max="1" width="66.7109375" style="1" customWidth="1"/>
    <col min="2" max="2" width="10.28515625" style="1" customWidth="1"/>
    <col min="3" max="3" width="23.7109375" style="1" customWidth="1"/>
    <col min="4" max="4" width="10" style="1" customWidth="1"/>
    <col min="5" max="5" width="26" style="1" customWidth="1"/>
    <col min="6" max="6" width="23.7109375" style="1" customWidth="1"/>
    <col min="7" max="7" width="8" style="1" customWidth="1"/>
    <col min="8" max="8" width="13.42578125" style="1" customWidth="1"/>
    <col min="9" max="9" width="13.7109375" style="1" customWidth="1"/>
    <col min="10" max="10" width="15.85546875" style="60" customWidth="1"/>
    <col min="11" max="11" width="16.85546875" style="60" customWidth="1"/>
    <col min="12" max="12" width="11" style="1" customWidth="1"/>
    <col min="13" max="13" width="14" style="1" customWidth="1"/>
    <col min="14" max="14" width="16.7109375" style="1" customWidth="1"/>
    <col min="15" max="15" width="16.42578125" style="1" customWidth="1"/>
    <col min="16" max="16" width="9.5703125" style="1" customWidth="1"/>
    <col min="17" max="17" width="8.7109375" style="1" customWidth="1"/>
    <col min="18" max="18" width="20" style="65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19" ht="37.5" customHeight="1">
      <c r="A1" s="409"/>
      <c r="B1" s="410" t="s">
        <v>86</v>
      </c>
      <c r="C1" s="410"/>
      <c r="D1" s="410"/>
      <c r="E1" s="410"/>
      <c r="F1" s="410"/>
      <c r="G1" s="410"/>
      <c r="H1" s="410"/>
      <c r="I1" s="411" t="s">
        <v>87</v>
      </c>
      <c r="J1" s="411"/>
      <c r="K1" s="411"/>
      <c r="L1" s="411"/>
      <c r="M1" s="409"/>
      <c r="N1" s="409"/>
      <c r="O1" s="62"/>
    </row>
    <row r="2" spans="1:19" ht="37.5" customHeight="1">
      <c r="A2" s="409"/>
      <c r="B2" s="410"/>
      <c r="C2" s="410"/>
      <c r="D2" s="410"/>
      <c r="E2" s="410"/>
      <c r="F2" s="410"/>
      <c r="G2" s="410"/>
      <c r="H2" s="410"/>
      <c r="I2" s="411" t="s">
        <v>88</v>
      </c>
      <c r="J2" s="411"/>
      <c r="K2" s="411"/>
      <c r="L2" s="411"/>
      <c r="M2" s="409"/>
      <c r="N2" s="409"/>
      <c r="O2" s="62"/>
    </row>
    <row r="3" spans="1:19" ht="33.75" customHeight="1">
      <c r="A3" s="409"/>
      <c r="B3" s="410" t="s">
        <v>89</v>
      </c>
      <c r="C3" s="410"/>
      <c r="D3" s="410"/>
      <c r="E3" s="410"/>
      <c r="F3" s="410"/>
      <c r="G3" s="410"/>
      <c r="H3" s="410"/>
      <c r="I3" s="411" t="s">
        <v>90</v>
      </c>
      <c r="J3" s="411"/>
      <c r="K3" s="411"/>
      <c r="L3" s="411"/>
      <c r="M3" s="409"/>
      <c r="N3" s="409"/>
      <c r="O3" s="62"/>
    </row>
    <row r="4" spans="1:19" ht="38.25" customHeight="1">
      <c r="A4" s="409"/>
      <c r="B4" s="410"/>
      <c r="C4" s="410"/>
      <c r="D4" s="410"/>
      <c r="E4" s="410"/>
      <c r="F4" s="410"/>
      <c r="G4" s="410"/>
      <c r="H4" s="410"/>
      <c r="I4" s="411" t="s">
        <v>91</v>
      </c>
      <c r="J4" s="411"/>
      <c r="K4" s="411"/>
      <c r="L4" s="411"/>
      <c r="M4" s="409"/>
      <c r="N4" s="409"/>
      <c r="O4" s="62"/>
    </row>
    <row r="5" spans="1:19" ht="38.25" customHeight="1">
      <c r="A5" s="409"/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62"/>
    </row>
    <row r="6" spans="1:19" ht="31.5" customHeight="1">
      <c r="A6" s="411" t="s">
        <v>164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62"/>
    </row>
    <row r="7" spans="1:19" ht="15.75">
      <c r="A7" s="34" t="s">
        <v>282</v>
      </c>
      <c r="B7" s="411" t="s">
        <v>464</v>
      </c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</row>
    <row r="8" spans="1:19" ht="15.75">
      <c r="A8" s="81" t="s">
        <v>32</v>
      </c>
      <c r="B8" s="418" t="s">
        <v>33</v>
      </c>
      <c r="C8" s="418"/>
      <c r="D8" s="418"/>
      <c r="E8" s="418"/>
      <c r="F8" s="418"/>
      <c r="G8" s="419" t="s">
        <v>163</v>
      </c>
      <c r="H8" s="419"/>
      <c r="I8" s="419"/>
      <c r="J8" s="420" t="s">
        <v>31</v>
      </c>
      <c r="K8" s="420"/>
      <c r="L8" s="420"/>
      <c r="M8" s="420"/>
      <c r="N8" s="420"/>
      <c r="O8" s="63"/>
    </row>
    <row r="9" spans="1:19" ht="15.75">
      <c r="A9" s="97" t="s">
        <v>30</v>
      </c>
      <c r="B9" s="421" t="s">
        <v>162</v>
      </c>
      <c r="C9" s="418"/>
      <c r="D9" s="418"/>
      <c r="E9" s="418"/>
      <c r="F9" s="418"/>
      <c r="G9" s="419"/>
      <c r="H9" s="419"/>
      <c r="I9" s="419"/>
      <c r="J9" s="253" t="s">
        <v>29</v>
      </c>
      <c r="K9" s="422" t="s">
        <v>28</v>
      </c>
      <c r="L9" s="422"/>
      <c r="M9" s="422"/>
      <c r="N9" s="253" t="s">
        <v>27</v>
      </c>
      <c r="O9" s="63"/>
      <c r="Q9" s="259"/>
    </row>
    <row r="10" spans="1:19" ht="46.5" customHeight="1">
      <c r="A10" s="78" t="s">
        <v>26</v>
      </c>
      <c r="B10" s="421" t="s">
        <v>161</v>
      </c>
      <c r="C10" s="421"/>
      <c r="D10" s="421"/>
      <c r="E10" s="421"/>
      <c r="F10" s="421"/>
      <c r="G10" s="419"/>
      <c r="H10" s="419"/>
      <c r="I10" s="419"/>
      <c r="J10" s="76"/>
      <c r="K10" s="416"/>
      <c r="L10" s="416"/>
      <c r="M10" s="416"/>
      <c r="N10" s="77"/>
      <c r="O10" s="63"/>
      <c r="Q10" s="260"/>
    </row>
    <row r="11" spans="1:19" ht="42.75" customHeight="1">
      <c r="A11" s="80" t="s">
        <v>25</v>
      </c>
      <c r="B11" s="421" t="s">
        <v>160</v>
      </c>
      <c r="C11" s="421"/>
      <c r="D11" s="421"/>
      <c r="E11" s="421"/>
      <c r="F11" s="421"/>
      <c r="G11" s="419"/>
      <c r="H11" s="419"/>
      <c r="I11" s="419"/>
      <c r="J11" s="98"/>
      <c r="K11" s="412"/>
      <c r="L11" s="412"/>
      <c r="M11" s="412"/>
      <c r="N11" s="75"/>
      <c r="O11" s="63"/>
      <c r="Q11" s="64"/>
    </row>
    <row r="12" spans="1:19" ht="15.75">
      <c r="A12" s="79" t="s">
        <v>24</v>
      </c>
      <c r="B12" s="423">
        <v>2020730010050</v>
      </c>
      <c r="C12" s="424"/>
      <c r="D12" s="424"/>
      <c r="E12" s="424"/>
      <c r="F12" s="425"/>
      <c r="G12" s="419"/>
      <c r="H12" s="419"/>
      <c r="I12" s="419"/>
      <c r="J12" s="76"/>
      <c r="K12" s="416"/>
      <c r="L12" s="416"/>
      <c r="M12" s="416"/>
      <c r="N12" s="77"/>
      <c r="O12" s="63"/>
      <c r="Q12" s="64"/>
    </row>
    <row r="13" spans="1:19" ht="43.5" customHeight="1">
      <c r="A13" s="428" t="s">
        <v>317</v>
      </c>
      <c r="B13" s="428"/>
      <c r="C13" s="428"/>
      <c r="D13" s="428"/>
      <c r="E13" s="428"/>
      <c r="F13" s="428"/>
      <c r="G13" s="419"/>
      <c r="H13" s="419"/>
      <c r="I13" s="419"/>
      <c r="J13" s="254"/>
      <c r="K13" s="417"/>
      <c r="L13" s="417"/>
      <c r="M13" s="417"/>
      <c r="N13" s="74"/>
      <c r="O13" s="63"/>
      <c r="Q13" s="95"/>
    </row>
    <row r="14" spans="1:19" ht="28.5" customHeight="1">
      <c r="A14" s="415" t="s">
        <v>23</v>
      </c>
      <c r="B14" s="426" t="s">
        <v>92</v>
      </c>
      <c r="C14" s="413" t="s">
        <v>21</v>
      </c>
      <c r="D14" s="413" t="s">
        <v>20</v>
      </c>
      <c r="E14" s="413" t="s">
        <v>19</v>
      </c>
      <c r="F14" s="413" t="s">
        <v>18</v>
      </c>
      <c r="G14" s="413"/>
      <c r="H14" s="413"/>
      <c r="I14" s="413"/>
      <c r="J14" s="413" t="s">
        <v>17</v>
      </c>
      <c r="K14" s="413"/>
      <c r="L14" s="414" t="s">
        <v>16</v>
      </c>
      <c r="M14" s="414"/>
      <c r="N14" s="414"/>
      <c r="P14" s="216"/>
      <c r="Q14" s="266" t="s">
        <v>278</v>
      </c>
      <c r="R14" s="84" t="s">
        <v>27</v>
      </c>
    </row>
    <row r="15" spans="1:19" ht="33.75" customHeight="1">
      <c r="A15" s="415"/>
      <c r="B15" s="413"/>
      <c r="C15" s="413"/>
      <c r="D15" s="413"/>
      <c r="E15" s="413"/>
      <c r="F15" s="413"/>
      <c r="G15" s="413"/>
      <c r="H15" s="413"/>
      <c r="I15" s="413"/>
      <c r="J15" s="413"/>
      <c r="K15" s="413"/>
      <c r="L15" s="413" t="s">
        <v>15</v>
      </c>
      <c r="M15" s="413" t="s">
        <v>14</v>
      </c>
      <c r="N15" s="415" t="s">
        <v>13</v>
      </c>
      <c r="P15" s="111" t="s">
        <v>1</v>
      </c>
      <c r="Q15" s="110">
        <v>1</v>
      </c>
      <c r="R15" s="119">
        <f>F17+F19</f>
        <v>61000000</v>
      </c>
      <c r="S15" s="121"/>
    </row>
    <row r="16" spans="1:19" ht="39.75" customHeight="1">
      <c r="A16" s="415"/>
      <c r="B16" s="413"/>
      <c r="C16" s="413"/>
      <c r="D16" s="413"/>
      <c r="E16" s="413"/>
      <c r="F16" s="263" t="s">
        <v>12</v>
      </c>
      <c r="G16" s="263" t="s">
        <v>11</v>
      </c>
      <c r="H16" s="263" t="s">
        <v>10</v>
      </c>
      <c r="I16" s="51" t="s">
        <v>9</v>
      </c>
      <c r="J16" s="263" t="s">
        <v>8</v>
      </c>
      <c r="K16" s="262" t="s">
        <v>7</v>
      </c>
      <c r="L16" s="413"/>
      <c r="M16" s="413"/>
      <c r="N16" s="415"/>
      <c r="P16" s="111" t="s">
        <v>0</v>
      </c>
      <c r="Q16" s="256"/>
      <c r="R16" s="119">
        <f>F18+F20</f>
        <v>48729000</v>
      </c>
    </row>
    <row r="17" spans="1:19" s="65" customFormat="1" ht="27" customHeight="1">
      <c r="A17" s="404" t="s">
        <v>159</v>
      </c>
      <c r="B17" s="84" t="s">
        <v>1</v>
      </c>
      <c r="C17" s="401" t="s">
        <v>158</v>
      </c>
      <c r="D17" s="271">
        <v>2</v>
      </c>
      <c r="E17" s="52">
        <f t="shared" ref="E17:E46" si="0">F17</f>
        <v>11000000</v>
      </c>
      <c r="F17" s="52">
        <v>11000000</v>
      </c>
      <c r="G17" s="52">
        <v>0</v>
      </c>
      <c r="H17" s="52">
        <v>0</v>
      </c>
      <c r="I17" s="52">
        <v>0</v>
      </c>
      <c r="J17" s="392">
        <v>44946</v>
      </c>
      <c r="K17" s="392">
        <v>45275</v>
      </c>
      <c r="L17" s="397">
        <f>D18/D17</f>
        <v>0</v>
      </c>
      <c r="M17" s="397">
        <f>E18/E17</f>
        <v>0.61172727272727268</v>
      </c>
      <c r="N17" s="427">
        <v>0</v>
      </c>
      <c r="Q17" s="127"/>
    </row>
    <row r="18" spans="1:19" s="65" customFormat="1" ht="27" customHeight="1">
      <c r="A18" s="405"/>
      <c r="B18" s="84" t="s">
        <v>0</v>
      </c>
      <c r="C18" s="401"/>
      <c r="D18" s="272">
        <v>0</v>
      </c>
      <c r="E18" s="52">
        <f t="shared" si="0"/>
        <v>6729000</v>
      </c>
      <c r="F18" s="52">
        <v>6729000</v>
      </c>
      <c r="G18" s="52">
        <v>0</v>
      </c>
      <c r="H18" s="52">
        <v>0</v>
      </c>
      <c r="I18" s="52">
        <v>0</v>
      </c>
      <c r="J18" s="392"/>
      <c r="K18" s="392"/>
      <c r="L18" s="397"/>
      <c r="M18" s="397"/>
      <c r="N18" s="427"/>
      <c r="P18" s="273"/>
      <c r="Q18" s="274" t="s">
        <v>278</v>
      </c>
      <c r="R18" s="84" t="s">
        <v>27</v>
      </c>
    </row>
    <row r="19" spans="1:19" s="65" customFormat="1" ht="25.5" customHeight="1">
      <c r="A19" s="404" t="s">
        <v>157</v>
      </c>
      <c r="B19" s="84" t="s">
        <v>1</v>
      </c>
      <c r="C19" s="406" t="s">
        <v>156</v>
      </c>
      <c r="D19" s="272">
        <v>2</v>
      </c>
      <c r="E19" s="52">
        <f t="shared" si="0"/>
        <v>50000000</v>
      </c>
      <c r="F19" s="52">
        <v>50000000</v>
      </c>
      <c r="G19" s="52">
        <v>0</v>
      </c>
      <c r="H19" s="52">
        <v>0</v>
      </c>
      <c r="I19" s="52">
        <v>0</v>
      </c>
      <c r="J19" s="392">
        <v>44946</v>
      </c>
      <c r="K19" s="392">
        <v>45275</v>
      </c>
      <c r="L19" s="397">
        <f>D20/D19</f>
        <v>0</v>
      </c>
      <c r="M19" s="397">
        <f>E20/E19</f>
        <v>0.84</v>
      </c>
      <c r="N19" s="427">
        <v>0</v>
      </c>
      <c r="P19" s="128" t="s">
        <v>1</v>
      </c>
      <c r="Q19" s="129">
        <v>8</v>
      </c>
      <c r="R19" s="119">
        <f>F21</f>
        <v>125000000</v>
      </c>
    </row>
    <row r="20" spans="1:19" s="65" customFormat="1" ht="25.5" customHeight="1">
      <c r="A20" s="405"/>
      <c r="B20" s="84" t="s">
        <v>0</v>
      </c>
      <c r="C20" s="407"/>
      <c r="D20" s="272">
        <v>0</v>
      </c>
      <c r="E20" s="52">
        <f t="shared" si="0"/>
        <v>42000000</v>
      </c>
      <c r="F20" s="52">
        <f>10000000+6000000+10000000+2000000+10000000+2000000+2000000</f>
        <v>42000000</v>
      </c>
      <c r="G20" s="52">
        <v>0</v>
      </c>
      <c r="H20" s="52">
        <v>0</v>
      </c>
      <c r="I20" s="52">
        <v>0</v>
      </c>
      <c r="J20" s="392"/>
      <c r="K20" s="392"/>
      <c r="L20" s="397"/>
      <c r="M20" s="397"/>
      <c r="N20" s="427"/>
      <c r="P20" s="128" t="s">
        <v>0</v>
      </c>
      <c r="Q20" s="130"/>
      <c r="R20" s="119">
        <f>F22</f>
        <v>90000000</v>
      </c>
      <c r="S20" s="158">
        <v>7200000</v>
      </c>
    </row>
    <row r="21" spans="1:19" s="65" customFormat="1" ht="25.5" customHeight="1">
      <c r="A21" s="391" t="s">
        <v>155</v>
      </c>
      <c r="B21" s="84" t="s">
        <v>1</v>
      </c>
      <c r="C21" s="401" t="s">
        <v>154</v>
      </c>
      <c r="D21" s="271">
        <v>1</v>
      </c>
      <c r="E21" s="52">
        <f t="shared" si="0"/>
        <v>125000000</v>
      </c>
      <c r="F21" s="52">
        <v>125000000</v>
      </c>
      <c r="G21" s="52">
        <v>0</v>
      </c>
      <c r="H21" s="52">
        <v>0</v>
      </c>
      <c r="I21" s="52">
        <v>0</v>
      </c>
      <c r="J21" s="392">
        <v>44946</v>
      </c>
      <c r="K21" s="392">
        <v>45275</v>
      </c>
      <c r="L21" s="397">
        <f>D22/D21</f>
        <v>0</v>
      </c>
      <c r="M21" s="397">
        <f>E22/E21</f>
        <v>0.72</v>
      </c>
      <c r="N21" s="429">
        <f>L21*L21/M21</f>
        <v>0</v>
      </c>
      <c r="P21" s="128" t="s">
        <v>1</v>
      </c>
      <c r="Q21" s="129">
        <v>9</v>
      </c>
      <c r="R21" s="124">
        <f>F23</f>
        <v>5000000</v>
      </c>
      <c r="S21" s="154"/>
    </row>
    <row r="22" spans="1:19" s="65" customFormat="1" ht="25.5" customHeight="1">
      <c r="A22" s="391"/>
      <c r="B22" s="84" t="s">
        <v>0</v>
      </c>
      <c r="C22" s="401"/>
      <c r="D22" s="272">
        <v>0</v>
      </c>
      <c r="E22" s="52">
        <f t="shared" si="0"/>
        <v>90000000</v>
      </c>
      <c r="F22" s="52">
        <f>12500000+9400000+9300000+14750000+13000000+3000000+6439000+2000000+13575000+2000000+2000000+2036000</f>
        <v>90000000</v>
      </c>
      <c r="G22" s="52">
        <v>0</v>
      </c>
      <c r="H22" s="52">
        <v>0</v>
      </c>
      <c r="I22" s="52">
        <v>0</v>
      </c>
      <c r="J22" s="392"/>
      <c r="K22" s="392"/>
      <c r="L22" s="397"/>
      <c r="M22" s="397"/>
      <c r="N22" s="429"/>
      <c r="P22" s="128" t="s">
        <v>0</v>
      </c>
      <c r="Q22" s="130"/>
      <c r="R22" s="124">
        <f>F24</f>
        <v>0</v>
      </c>
      <c r="S22" s="158">
        <f>5100000+3600000+2677000+4250000</f>
        <v>15627000</v>
      </c>
    </row>
    <row r="23" spans="1:19" s="65" customFormat="1" ht="33" customHeight="1">
      <c r="A23" s="391" t="s">
        <v>153</v>
      </c>
      <c r="B23" s="84" t="s">
        <v>1</v>
      </c>
      <c r="C23" s="401" t="s">
        <v>152</v>
      </c>
      <c r="D23" s="271">
        <v>1</v>
      </c>
      <c r="E23" s="52">
        <f t="shared" si="0"/>
        <v>5000000</v>
      </c>
      <c r="F23" s="52">
        <v>5000000</v>
      </c>
      <c r="G23" s="52">
        <v>0</v>
      </c>
      <c r="H23" s="52">
        <v>0</v>
      </c>
      <c r="I23" s="52">
        <v>0</v>
      </c>
      <c r="J23" s="392">
        <v>44946</v>
      </c>
      <c r="K23" s="392">
        <v>45275</v>
      </c>
      <c r="L23" s="397">
        <f>D24/D23</f>
        <v>0</v>
      </c>
      <c r="M23" s="397">
        <f>E24/E23</f>
        <v>0</v>
      </c>
      <c r="N23" s="427">
        <v>0</v>
      </c>
    </row>
    <row r="24" spans="1:19" s="65" customFormat="1" ht="33" customHeight="1">
      <c r="A24" s="391"/>
      <c r="B24" s="84" t="s">
        <v>0</v>
      </c>
      <c r="C24" s="401"/>
      <c r="D24" s="271">
        <v>0</v>
      </c>
      <c r="E24" s="52">
        <f t="shared" si="0"/>
        <v>0</v>
      </c>
      <c r="F24" s="52">
        <v>0</v>
      </c>
      <c r="G24" s="52">
        <v>0</v>
      </c>
      <c r="H24" s="52">
        <v>0</v>
      </c>
      <c r="I24" s="52">
        <v>0</v>
      </c>
      <c r="J24" s="392"/>
      <c r="K24" s="392"/>
      <c r="L24" s="397"/>
      <c r="M24" s="397"/>
      <c r="N24" s="427"/>
      <c r="P24" s="273"/>
      <c r="Q24" s="274" t="s">
        <v>278</v>
      </c>
      <c r="R24" s="84" t="s">
        <v>27</v>
      </c>
      <c r="S24" s="131"/>
    </row>
    <row r="25" spans="1:19" s="65" customFormat="1" ht="48" customHeight="1">
      <c r="A25" s="391" t="s">
        <v>151</v>
      </c>
      <c r="B25" s="84" t="s">
        <v>1</v>
      </c>
      <c r="C25" s="401" t="s">
        <v>150</v>
      </c>
      <c r="D25" s="275">
        <v>1</v>
      </c>
      <c r="E25" s="52">
        <f t="shared" si="0"/>
        <v>171366284</v>
      </c>
      <c r="F25" s="52">
        <v>171366284</v>
      </c>
      <c r="G25" s="52">
        <v>0</v>
      </c>
      <c r="H25" s="52">
        <v>0</v>
      </c>
      <c r="I25" s="52">
        <v>0</v>
      </c>
      <c r="J25" s="392">
        <v>44946</v>
      </c>
      <c r="K25" s="392">
        <v>45275</v>
      </c>
      <c r="L25" s="432">
        <f>D26/D25</f>
        <v>0.5</v>
      </c>
      <c r="M25" s="432">
        <f>E26/E25</f>
        <v>0.43761789804580231</v>
      </c>
      <c r="N25" s="430">
        <f>L25*L25/M25</f>
        <v>0.5712746236303029</v>
      </c>
      <c r="P25" s="128" t="s">
        <v>1</v>
      </c>
      <c r="Q25" s="129">
        <v>2</v>
      </c>
      <c r="R25" s="119">
        <f>F25+F27+F29</f>
        <v>251366284</v>
      </c>
      <c r="S25" s="131"/>
    </row>
    <row r="26" spans="1:19" s="65" customFormat="1" ht="48" customHeight="1">
      <c r="A26" s="391"/>
      <c r="B26" s="84" t="s">
        <v>0</v>
      </c>
      <c r="C26" s="401"/>
      <c r="D26" s="275">
        <v>0.5</v>
      </c>
      <c r="E26" s="52">
        <f t="shared" si="0"/>
        <v>74992953</v>
      </c>
      <c r="F26" s="52">
        <f>15200000+438453+10000000+10000000+9062000+2000000+7000000+9600000+5000000+6692500</f>
        <v>74992953</v>
      </c>
      <c r="G26" s="52">
        <v>0</v>
      </c>
      <c r="H26" s="52">
        <v>0</v>
      </c>
      <c r="I26" s="52">
        <v>0</v>
      </c>
      <c r="J26" s="392"/>
      <c r="K26" s="392"/>
      <c r="L26" s="433"/>
      <c r="M26" s="433"/>
      <c r="N26" s="431"/>
      <c r="P26" s="128" t="s">
        <v>0</v>
      </c>
      <c r="Q26" s="130"/>
      <c r="R26" s="250">
        <f>F26+F28+F30</f>
        <v>124992953</v>
      </c>
      <c r="S26" s="158">
        <f>2677000+7200000+438453</f>
        <v>10315453</v>
      </c>
    </row>
    <row r="27" spans="1:19" s="65" customFormat="1" ht="29.25" customHeight="1">
      <c r="A27" s="404" t="s">
        <v>149</v>
      </c>
      <c r="B27" s="84" t="s">
        <v>1</v>
      </c>
      <c r="C27" s="406" t="s">
        <v>147</v>
      </c>
      <c r="D27" s="271">
        <v>2</v>
      </c>
      <c r="E27" s="52">
        <f t="shared" si="0"/>
        <v>40000000</v>
      </c>
      <c r="F27" s="52">
        <v>40000000</v>
      </c>
      <c r="G27" s="52">
        <v>0</v>
      </c>
      <c r="H27" s="52">
        <v>0</v>
      </c>
      <c r="I27" s="52">
        <v>0</v>
      </c>
      <c r="J27" s="392">
        <v>44946</v>
      </c>
      <c r="K27" s="392">
        <v>45275</v>
      </c>
      <c r="L27" s="397">
        <f>D28/D27</f>
        <v>0.5</v>
      </c>
      <c r="M27" s="397">
        <f>E28/E27</f>
        <v>0.625</v>
      </c>
      <c r="N27" s="427">
        <f>L27*L27/M27</f>
        <v>0.4</v>
      </c>
      <c r="S27" s="131"/>
    </row>
    <row r="28" spans="1:19" s="65" customFormat="1" ht="34.5" customHeight="1">
      <c r="A28" s="405"/>
      <c r="B28" s="84" t="s">
        <v>0</v>
      </c>
      <c r="C28" s="407"/>
      <c r="D28" s="271">
        <v>1</v>
      </c>
      <c r="E28" s="52">
        <f t="shared" si="0"/>
        <v>25000000</v>
      </c>
      <c r="F28" s="52">
        <v>25000000</v>
      </c>
      <c r="G28" s="52">
        <v>0</v>
      </c>
      <c r="H28" s="52">
        <v>0</v>
      </c>
      <c r="I28" s="52">
        <v>0</v>
      </c>
      <c r="J28" s="392"/>
      <c r="K28" s="392"/>
      <c r="L28" s="397"/>
      <c r="M28" s="397"/>
      <c r="N28" s="427"/>
      <c r="S28" s="131"/>
    </row>
    <row r="29" spans="1:19" s="65" customFormat="1" ht="34.5" customHeight="1">
      <c r="A29" s="391" t="s">
        <v>148</v>
      </c>
      <c r="B29" s="84" t="s">
        <v>1</v>
      </c>
      <c r="C29" s="401" t="s">
        <v>147</v>
      </c>
      <c r="D29" s="271">
        <v>4</v>
      </c>
      <c r="E29" s="52">
        <f t="shared" si="0"/>
        <v>40000000</v>
      </c>
      <c r="F29" s="52">
        <v>40000000</v>
      </c>
      <c r="G29" s="52">
        <v>0</v>
      </c>
      <c r="H29" s="52">
        <v>0</v>
      </c>
      <c r="I29" s="52">
        <v>0</v>
      </c>
      <c r="J29" s="392">
        <v>44946</v>
      </c>
      <c r="K29" s="392">
        <v>45275</v>
      </c>
      <c r="L29" s="397">
        <f>D30/D29</f>
        <v>0.25</v>
      </c>
      <c r="M29" s="397">
        <f>E30/E29</f>
        <v>0.625</v>
      </c>
      <c r="N29" s="429">
        <f>L29*L29/M29</f>
        <v>0.1</v>
      </c>
      <c r="S29" s="131"/>
    </row>
    <row r="30" spans="1:19" s="65" customFormat="1" ht="34.5" customHeight="1">
      <c r="A30" s="391"/>
      <c r="B30" s="84" t="s">
        <v>0</v>
      </c>
      <c r="C30" s="401"/>
      <c r="D30" s="271">
        <v>1</v>
      </c>
      <c r="E30" s="52">
        <f t="shared" si="0"/>
        <v>25000000</v>
      </c>
      <c r="F30" s="52">
        <v>25000000</v>
      </c>
      <c r="G30" s="52">
        <v>0</v>
      </c>
      <c r="H30" s="52">
        <v>0</v>
      </c>
      <c r="I30" s="52">
        <v>0</v>
      </c>
      <c r="J30" s="392"/>
      <c r="K30" s="392"/>
      <c r="L30" s="397"/>
      <c r="M30" s="397"/>
      <c r="N30" s="429"/>
      <c r="S30" s="131"/>
    </row>
    <row r="31" spans="1:19" s="65" customFormat="1" ht="23.25" customHeight="1">
      <c r="A31" s="408" t="s">
        <v>146</v>
      </c>
      <c r="B31" s="84" t="s">
        <v>1</v>
      </c>
      <c r="C31" s="401" t="s">
        <v>145</v>
      </c>
      <c r="D31" s="271">
        <v>40</v>
      </c>
      <c r="E31" s="52">
        <f t="shared" si="0"/>
        <v>0</v>
      </c>
      <c r="F31" s="52">
        <v>0</v>
      </c>
      <c r="G31" s="52">
        <v>0</v>
      </c>
      <c r="H31" s="52">
        <v>0</v>
      </c>
      <c r="I31" s="52">
        <v>0</v>
      </c>
      <c r="J31" s="392">
        <v>44946</v>
      </c>
      <c r="K31" s="392">
        <v>45275</v>
      </c>
      <c r="L31" s="397">
        <f>D32/D31</f>
        <v>0</v>
      </c>
      <c r="M31" s="397">
        <v>0</v>
      </c>
      <c r="N31" s="427">
        <v>0</v>
      </c>
      <c r="P31" s="128" t="s">
        <v>1</v>
      </c>
      <c r="Q31" s="129">
        <v>3</v>
      </c>
      <c r="R31" s="119">
        <f>F31+F33</f>
        <v>10000000</v>
      </c>
      <c r="S31" s="131"/>
    </row>
    <row r="32" spans="1:19" s="65" customFormat="1" ht="23.25" customHeight="1">
      <c r="A32" s="408"/>
      <c r="B32" s="84" t="s">
        <v>0</v>
      </c>
      <c r="C32" s="401"/>
      <c r="D32" s="271">
        <v>0</v>
      </c>
      <c r="E32" s="52">
        <f t="shared" si="0"/>
        <v>0</v>
      </c>
      <c r="F32" s="52">
        <v>0</v>
      </c>
      <c r="G32" s="52">
        <v>0</v>
      </c>
      <c r="H32" s="52">
        <v>0</v>
      </c>
      <c r="I32" s="52">
        <v>0</v>
      </c>
      <c r="J32" s="392"/>
      <c r="K32" s="392"/>
      <c r="L32" s="397"/>
      <c r="M32" s="397"/>
      <c r="N32" s="427"/>
      <c r="P32" s="128" t="s">
        <v>0</v>
      </c>
      <c r="Q32" s="130"/>
      <c r="R32" s="119">
        <f>F32+F34</f>
        <v>0</v>
      </c>
      <c r="S32" s="131"/>
    </row>
    <row r="33" spans="1:21" s="65" customFormat="1" ht="24" customHeight="1">
      <c r="A33" s="402" t="s">
        <v>144</v>
      </c>
      <c r="B33" s="84" t="s">
        <v>1</v>
      </c>
      <c r="C33" s="406" t="s">
        <v>143</v>
      </c>
      <c r="D33" s="271">
        <v>3</v>
      </c>
      <c r="E33" s="52">
        <f t="shared" si="0"/>
        <v>10000000</v>
      </c>
      <c r="F33" s="52">
        <v>10000000</v>
      </c>
      <c r="G33" s="52">
        <v>0</v>
      </c>
      <c r="H33" s="52">
        <v>0</v>
      </c>
      <c r="I33" s="52">
        <v>0</v>
      </c>
      <c r="J33" s="392">
        <v>44946</v>
      </c>
      <c r="K33" s="392">
        <v>45275</v>
      </c>
      <c r="L33" s="397">
        <f>D34/D33</f>
        <v>0</v>
      </c>
      <c r="M33" s="397">
        <f>E34/E33</f>
        <v>0</v>
      </c>
      <c r="N33" s="429">
        <v>0</v>
      </c>
      <c r="S33" s="131"/>
    </row>
    <row r="34" spans="1:21" s="65" customFormat="1" ht="24" customHeight="1">
      <c r="A34" s="403"/>
      <c r="B34" s="84" t="s">
        <v>0</v>
      </c>
      <c r="C34" s="407"/>
      <c r="D34" s="271">
        <v>0</v>
      </c>
      <c r="E34" s="52">
        <f t="shared" si="0"/>
        <v>0</v>
      </c>
      <c r="F34" s="52">
        <v>0</v>
      </c>
      <c r="G34" s="52">
        <v>0</v>
      </c>
      <c r="H34" s="52">
        <v>0</v>
      </c>
      <c r="I34" s="52">
        <v>0</v>
      </c>
      <c r="J34" s="392"/>
      <c r="K34" s="392"/>
      <c r="L34" s="397"/>
      <c r="M34" s="397"/>
      <c r="N34" s="429"/>
      <c r="P34" s="273"/>
      <c r="Q34" s="274" t="s">
        <v>278</v>
      </c>
      <c r="R34" s="84" t="s">
        <v>27</v>
      </c>
      <c r="S34" s="131"/>
    </row>
    <row r="35" spans="1:21" s="65" customFormat="1" ht="24" customHeight="1">
      <c r="A35" s="391" t="s">
        <v>142</v>
      </c>
      <c r="B35" s="84" t="s">
        <v>1</v>
      </c>
      <c r="C35" s="401" t="s">
        <v>34</v>
      </c>
      <c r="D35" s="271">
        <v>1</v>
      </c>
      <c r="E35" s="52">
        <f t="shared" si="0"/>
        <v>121313000</v>
      </c>
      <c r="F35" s="52">
        <v>121313000</v>
      </c>
      <c r="G35" s="52">
        <v>0</v>
      </c>
      <c r="H35" s="52">
        <v>0</v>
      </c>
      <c r="I35" s="52">
        <v>0</v>
      </c>
      <c r="J35" s="392">
        <v>44946</v>
      </c>
      <c r="K35" s="392">
        <v>45275</v>
      </c>
      <c r="L35" s="397">
        <f>D36/D35</f>
        <v>0</v>
      </c>
      <c r="M35" s="397">
        <f>E36/E35</f>
        <v>0.43452474178365058</v>
      </c>
      <c r="N35" s="398">
        <f>L35*L35/M35</f>
        <v>0</v>
      </c>
      <c r="P35" s="128" t="s">
        <v>1</v>
      </c>
      <c r="Q35" s="129">
        <v>4</v>
      </c>
      <c r="R35" s="119">
        <f>F35</f>
        <v>121313000</v>
      </c>
      <c r="S35" s="131"/>
    </row>
    <row r="36" spans="1:21" s="65" customFormat="1" ht="25.5" customHeight="1">
      <c r="A36" s="391"/>
      <c r="B36" s="84" t="s">
        <v>0</v>
      </c>
      <c r="C36" s="401"/>
      <c r="D36" s="271">
        <v>0</v>
      </c>
      <c r="E36" s="52">
        <f t="shared" si="0"/>
        <v>52713500</v>
      </c>
      <c r="F36" s="52">
        <f>12500000+2200000+2200000+1062000+2300000+3000000+7739000+10000000+5020000+6692500</f>
        <v>52713500</v>
      </c>
      <c r="G36" s="52">
        <v>0</v>
      </c>
      <c r="H36" s="52">
        <v>0</v>
      </c>
      <c r="I36" s="52">
        <v>0</v>
      </c>
      <c r="J36" s="392"/>
      <c r="K36" s="392"/>
      <c r="L36" s="397"/>
      <c r="M36" s="397"/>
      <c r="N36" s="398"/>
      <c r="P36" s="128" t="s">
        <v>0</v>
      </c>
      <c r="Q36" s="130"/>
      <c r="R36" s="119">
        <f>F36</f>
        <v>52713500</v>
      </c>
      <c r="S36" s="158">
        <v>2677000</v>
      </c>
    </row>
    <row r="37" spans="1:21" s="65" customFormat="1" ht="25.5" customHeight="1">
      <c r="A37" s="391" t="s">
        <v>141</v>
      </c>
      <c r="B37" s="84" t="s">
        <v>1</v>
      </c>
      <c r="C37" s="401" t="s">
        <v>140</v>
      </c>
      <c r="D37" s="271">
        <v>1</v>
      </c>
      <c r="E37" s="52">
        <f t="shared" si="0"/>
        <v>100000000</v>
      </c>
      <c r="F37" s="52">
        <v>100000000</v>
      </c>
      <c r="G37" s="52">
        <v>0</v>
      </c>
      <c r="H37" s="52">
        <v>0</v>
      </c>
      <c r="I37" s="52">
        <v>0</v>
      </c>
      <c r="J37" s="392">
        <v>44946</v>
      </c>
      <c r="K37" s="392">
        <v>45275</v>
      </c>
      <c r="L37" s="397">
        <f>D38/D37</f>
        <v>0</v>
      </c>
      <c r="M37" s="397">
        <f>E38/E37</f>
        <v>0</v>
      </c>
      <c r="N37" s="398">
        <v>0</v>
      </c>
      <c r="P37" s="128" t="s">
        <v>1</v>
      </c>
      <c r="Q37" s="129">
        <v>5</v>
      </c>
      <c r="R37" s="119">
        <f>F37</f>
        <v>100000000</v>
      </c>
      <c r="S37" s="131"/>
    </row>
    <row r="38" spans="1:21" s="65" customFormat="1" ht="25.5" customHeight="1">
      <c r="A38" s="391"/>
      <c r="B38" s="84" t="s">
        <v>0</v>
      </c>
      <c r="C38" s="401"/>
      <c r="D38" s="271">
        <v>0</v>
      </c>
      <c r="E38" s="52">
        <f t="shared" si="0"/>
        <v>0</v>
      </c>
      <c r="F38" s="52">
        <v>0</v>
      </c>
      <c r="G38" s="52">
        <v>0</v>
      </c>
      <c r="H38" s="52">
        <v>0</v>
      </c>
      <c r="I38" s="52">
        <v>0</v>
      </c>
      <c r="J38" s="392"/>
      <c r="K38" s="392"/>
      <c r="L38" s="397"/>
      <c r="M38" s="397"/>
      <c r="N38" s="398"/>
      <c r="P38" s="128" t="s">
        <v>0</v>
      </c>
      <c r="Q38" s="130"/>
      <c r="R38" s="119">
        <f>F38</f>
        <v>0</v>
      </c>
      <c r="S38" s="131"/>
    </row>
    <row r="39" spans="1:21" s="65" customFormat="1" ht="20.25" customHeight="1">
      <c r="A39" s="391" t="s">
        <v>295</v>
      </c>
      <c r="B39" s="84" t="s">
        <v>1</v>
      </c>
      <c r="C39" s="401" t="s">
        <v>139</v>
      </c>
      <c r="D39" s="271">
        <v>1</v>
      </c>
      <c r="E39" s="52">
        <f t="shared" si="0"/>
        <v>300000000</v>
      </c>
      <c r="F39" s="52">
        <v>300000000</v>
      </c>
      <c r="G39" s="52">
        <v>0</v>
      </c>
      <c r="H39" s="52">
        <v>0</v>
      </c>
      <c r="I39" s="52">
        <v>0</v>
      </c>
      <c r="J39" s="392">
        <v>44946</v>
      </c>
      <c r="K39" s="392">
        <v>45275</v>
      </c>
      <c r="L39" s="397">
        <f>D40/D39</f>
        <v>0</v>
      </c>
      <c r="M39" s="397">
        <f>E40/E39</f>
        <v>0</v>
      </c>
      <c r="N39" s="398">
        <v>0</v>
      </c>
      <c r="P39" s="128" t="s">
        <v>1</v>
      </c>
      <c r="Q39" s="129">
        <v>6</v>
      </c>
      <c r="R39" s="119">
        <f>F39+F41</f>
        <v>315000000</v>
      </c>
      <c r="S39" s="131"/>
    </row>
    <row r="40" spans="1:21" s="65" customFormat="1" ht="20.25">
      <c r="A40" s="391"/>
      <c r="B40" s="84" t="s">
        <v>0</v>
      </c>
      <c r="C40" s="401"/>
      <c r="D40" s="271">
        <v>0</v>
      </c>
      <c r="E40" s="52">
        <f t="shared" si="0"/>
        <v>0</v>
      </c>
      <c r="F40" s="52">
        <v>0</v>
      </c>
      <c r="G40" s="52">
        <v>0</v>
      </c>
      <c r="H40" s="52">
        <v>0</v>
      </c>
      <c r="I40" s="52">
        <v>0</v>
      </c>
      <c r="J40" s="392"/>
      <c r="K40" s="392"/>
      <c r="L40" s="397"/>
      <c r="M40" s="397"/>
      <c r="N40" s="398"/>
      <c r="P40" s="128" t="s">
        <v>0</v>
      </c>
      <c r="Q40" s="130"/>
      <c r="R40" s="250">
        <f>F40+F42</f>
        <v>15000000</v>
      </c>
      <c r="S40" s="131"/>
    </row>
    <row r="41" spans="1:21" s="65" customFormat="1" ht="32.25" customHeight="1">
      <c r="A41" s="391" t="s">
        <v>138</v>
      </c>
      <c r="B41" s="84" t="s">
        <v>1</v>
      </c>
      <c r="C41" s="401" t="s">
        <v>137</v>
      </c>
      <c r="D41" s="271">
        <v>4</v>
      </c>
      <c r="E41" s="52">
        <f t="shared" si="0"/>
        <v>15000000</v>
      </c>
      <c r="F41" s="52">
        <v>15000000</v>
      </c>
      <c r="G41" s="52">
        <v>0</v>
      </c>
      <c r="H41" s="52">
        <v>0</v>
      </c>
      <c r="I41" s="52">
        <v>0</v>
      </c>
      <c r="J41" s="392">
        <v>44946</v>
      </c>
      <c r="K41" s="392">
        <v>45275</v>
      </c>
      <c r="L41" s="397">
        <f>D42/D41</f>
        <v>0</v>
      </c>
      <c r="M41" s="397">
        <f>E42/E41</f>
        <v>1</v>
      </c>
      <c r="N41" s="398">
        <f>L41*L41/M41</f>
        <v>0</v>
      </c>
      <c r="P41" s="128" t="s">
        <v>1</v>
      </c>
      <c r="Q41" s="129">
        <v>10</v>
      </c>
      <c r="R41" s="119">
        <f>F45</f>
        <v>25000000</v>
      </c>
      <c r="S41" s="131"/>
    </row>
    <row r="42" spans="1:21" s="65" customFormat="1" ht="32.25" customHeight="1">
      <c r="A42" s="391"/>
      <c r="B42" s="84" t="s">
        <v>0</v>
      </c>
      <c r="C42" s="401"/>
      <c r="D42" s="271">
        <v>0</v>
      </c>
      <c r="E42" s="52">
        <f t="shared" si="0"/>
        <v>15000000</v>
      </c>
      <c r="F42" s="52">
        <f>5000000+10000000</f>
        <v>15000000</v>
      </c>
      <c r="G42" s="52">
        <v>0</v>
      </c>
      <c r="H42" s="52">
        <v>0</v>
      </c>
      <c r="I42" s="52">
        <v>0</v>
      </c>
      <c r="J42" s="392"/>
      <c r="K42" s="392"/>
      <c r="L42" s="397"/>
      <c r="M42" s="397"/>
      <c r="N42" s="398"/>
      <c r="P42" s="128" t="s">
        <v>0</v>
      </c>
      <c r="Q42" s="130"/>
      <c r="R42" s="119">
        <f>F46</f>
        <v>0</v>
      </c>
      <c r="S42" s="158">
        <v>0</v>
      </c>
    </row>
    <row r="43" spans="1:21" s="65" customFormat="1" ht="23.25" customHeight="1">
      <c r="A43" s="391" t="s">
        <v>308</v>
      </c>
      <c r="B43" s="84" t="s">
        <v>1</v>
      </c>
      <c r="C43" s="401" t="s">
        <v>309</v>
      </c>
      <c r="D43" s="271">
        <v>1</v>
      </c>
      <c r="E43" s="52">
        <f t="shared" si="0"/>
        <v>12612716</v>
      </c>
      <c r="F43" s="52">
        <v>12612716</v>
      </c>
      <c r="G43" s="52">
        <v>0</v>
      </c>
      <c r="H43" s="52">
        <v>0</v>
      </c>
      <c r="I43" s="52">
        <v>0</v>
      </c>
      <c r="J43" s="392">
        <v>44946</v>
      </c>
      <c r="K43" s="392">
        <v>45275</v>
      </c>
      <c r="L43" s="397">
        <f>D44/D43</f>
        <v>0</v>
      </c>
      <c r="M43" s="397">
        <f>E44/E43</f>
        <v>0</v>
      </c>
      <c r="N43" s="398">
        <v>0</v>
      </c>
      <c r="P43" s="111" t="s">
        <v>1</v>
      </c>
      <c r="Q43" s="129">
        <v>7</v>
      </c>
      <c r="R43" s="125">
        <f>F43</f>
        <v>12612716</v>
      </c>
      <c r="S43" s="131"/>
    </row>
    <row r="44" spans="1:21" s="65" customFormat="1" ht="23.25" customHeight="1">
      <c r="A44" s="391"/>
      <c r="B44" s="84" t="s">
        <v>0</v>
      </c>
      <c r="C44" s="401"/>
      <c r="D44" s="271">
        <v>0</v>
      </c>
      <c r="E44" s="52">
        <f t="shared" si="0"/>
        <v>0</v>
      </c>
      <c r="F44" s="52">
        <v>0</v>
      </c>
      <c r="G44" s="52">
        <v>0</v>
      </c>
      <c r="H44" s="52">
        <v>0</v>
      </c>
      <c r="I44" s="52">
        <v>0</v>
      </c>
      <c r="J44" s="392"/>
      <c r="K44" s="392"/>
      <c r="L44" s="397"/>
      <c r="M44" s="397"/>
      <c r="N44" s="398"/>
      <c r="P44" s="111" t="s">
        <v>0</v>
      </c>
      <c r="Q44" s="175"/>
      <c r="R44" s="125">
        <f>F44</f>
        <v>0</v>
      </c>
      <c r="S44" s="131"/>
    </row>
    <row r="45" spans="1:21" s="65" customFormat="1" ht="15.75" customHeight="1">
      <c r="A45" s="391" t="s">
        <v>303</v>
      </c>
      <c r="B45" s="84" t="s">
        <v>1</v>
      </c>
      <c r="C45" s="401" t="s">
        <v>304</v>
      </c>
      <c r="D45" s="271">
        <v>2</v>
      </c>
      <c r="E45" s="52">
        <f t="shared" si="0"/>
        <v>25000000</v>
      </c>
      <c r="F45" s="52">
        <v>25000000</v>
      </c>
      <c r="G45" s="52">
        <v>0</v>
      </c>
      <c r="H45" s="52">
        <v>0</v>
      </c>
      <c r="I45" s="52">
        <v>0</v>
      </c>
      <c r="J45" s="392">
        <v>44946</v>
      </c>
      <c r="K45" s="392">
        <v>45275</v>
      </c>
      <c r="L45" s="397">
        <f>D46/D45</f>
        <v>0</v>
      </c>
      <c r="M45" s="397">
        <f>E46/E45</f>
        <v>0</v>
      </c>
      <c r="N45" s="398">
        <v>0</v>
      </c>
      <c r="S45" s="131"/>
    </row>
    <row r="46" spans="1:21" s="65" customFormat="1" ht="20.25" customHeight="1">
      <c r="A46" s="391"/>
      <c r="B46" s="84" t="s">
        <v>0</v>
      </c>
      <c r="C46" s="401"/>
      <c r="D46" s="271">
        <v>0</v>
      </c>
      <c r="E46" s="52">
        <f t="shared" si="0"/>
        <v>0</v>
      </c>
      <c r="F46" s="52">
        <v>0</v>
      </c>
      <c r="G46" s="52">
        <v>0</v>
      </c>
      <c r="H46" s="52">
        <v>0</v>
      </c>
      <c r="I46" s="52">
        <v>0</v>
      </c>
      <c r="J46" s="392"/>
      <c r="K46" s="392"/>
      <c r="L46" s="397"/>
      <c r="M46" s="397"/>
      <c r="N46" s="398"/>
      <c r="S46" s="131"/>
    </row>
    <row r="47" spans="1:21" ht="19.5" customHeight="1">
      <c r="A47" s="395" t="s">
        <v>6</v>
      </c>
      <c r="B47" s="192" t="s">
        <v>1</v>
      </c>
      <c r="C47" s="396"/>
      <c r="D47" s="276"/>
      <c r="E47" s="277">
        <f>E17+E19+E21+E23+E25+E27+E29+E31+E33+E35+E37+E39+E41+E43+E45</f>
        <v>1026292000</v>
      </c>
      <c r="F47" s="277">
        <f>F17+F19+F21+F23+F25+F27+F29+F31+F33+F35+F37+F39+F41+F43+F45</f>
        <v>1026292000</v>
      </c>
      <c r="G47" s="277">
        <f t="shared" ref="G47:I48" si="1">G17+G19+G21+G23+G25+G27+G29+G31+G33+G35+G37+G39+G41+G43+G45</f>
        <v>0</v>
      </c>
      <c r="H47" s="277">
        <f t="shared" si="1"/>
        <v>0</v>
      </c>
      <c r="I47" s="277">
        <f t="shared" si="1"/>
        <v>0</v>
      </c>
      <c r="J47" s="28"/>
      <c r="K47" s="55"/>
      <c r="L47" s="55"/>
      <c r="M47" s="55"/>
      <c r="N47" s="55"/>
      <c r="P47" s="111" t="s">
        <v>1</v>
      </c>
      <c r="Q47" s="129"/>
      <c r="R47" s="125">
        <f>R15+R19+R21+R25+R31+R35+R37+R39+R41+R43</f>
        <v>1026292000</v>
      </c>
      <c r="S47" s="121"/>
      <c r="U47" s="65"/>
    </row>
    <row r="48" spans="1:21" ht="20.25" customHeight="1">
      <c r="A48" s="395"/>
      <c r="B48" s="192" t="s">
        <v>0</v>
      </c>
      <c r="C48" s="396"/>
      <c r="D48" s="276"/>
      <c r="E48" s="277">
        <f>E18+E20+E22+E24+E26+E28+E30+E32+E34+E36+E38+E40+E42+E44+E46</f>
        <v>331435453</v>
      </c>
      <c r="F48" s="277">
        <f>F18+F20+F22+F24+F26+F28+F30+F32+F34+F36+F38+F40+F42+F44+F46</f>
        <v>331435453</v>
      </c>
      <c r="G48" s="277">
        <f t="shared" si="1"/>
        <v>0</v>
      </c>
      <c r="H48" s="277">
        <f t="shared" si="1"/>
        <v>0</v>
      </c>
      <c r="I48" s="277">
        <f t="shared" si="1"/>
        <v>0</v>
      </c>
      <c r="J48" s="28"/>
      <c r="K48" s="55"/>
      <c r="L48" s="55"/>
      <c r="M48" s="55"/>
      <c r="N48" s="55"/>
      <c r="P48" s="111" t="s">
        <v>0</v>
      </c>
      <c r="Q48" s="175"/>
      <c r="R48" s="125">
        <f>R16+R20+R22+R26+R32+R36+R38+R40+R42+R44</f>
        <v>331435453</v>
      </c>
      <c r="S48" s="125">
        <f>S16+S20+S22+S26+S32+S36+S38+S40+S42+S44</f>
        <v>35819453</v>
      </c>
    </row>
    <row r="49" spans="1:50" s="65" customFormat="1" ht="20.25" customHeight="1">
      <c r="A49" s="278" t="s">
        <v>5</v>
      </c>
      <c r="B49" s="399" t="s">
        <v>4</v>
      </c>
      <c r="C49" s="394"/>
      <c r="D49" s="394"/>
      <c r="E49" s="400" t="s">
        <v>3</v>
      </c>
      <c r="F49" s="394"/>
      <c r="G49" s="394"/>
      <c r="H49" s="394"/>
      <c r="I49" s="279"/>
      <c r="J49" s="393" t="s">
        <v>2</v>
      </c>
      <c r="K49" s="394"/>
      <c r="L49" s="394"/>
      <c r="M49" s="394"/>
      <c r="N49" s="394"/>
      <c r="O49" s="280"/>
      <c r="P49" s="131"/>
      <c r="Q49" s="131"/>
      <c r="R49" s="131"/>
      <c r="S49" s="131"/>
      <c r="AR49" s="280"/>
      <c r="AS49" s="280"/>
      <c r="AT49" s="280"/>
      <c r="AU49" s="280"/>
      <c r="AV49" s="280"/>
      <c r="AW49" s="280"/>
      <c r="AX49" s="280"/>
    </row>
    <row r="50" spans="1:50" ht="57.75" customHeight="1">
      <c r="A50" s="388" t="s">
        <v>578</v>
      </c>
      <c r="B50" s="383" t="s">
        <v>579</v>
      </c>
      <c r="C50" s="384"/>
      <c r="D50" s="385"/>
      <c r="E50" s="386" t="s">
        <v>136</v>
      </c>
      <c r="F50" s="387"/>
      <c r="G50" s="387"/>
      <c r="H50" s="281" t="s">
        <v>1</v>
      </c>
      <c r="I50" s="282">
        <v>5</v>
      </c>
      <c r="J50" s="374" t="s">
        <v>580</v>
      </c>
      <c r="K50" s="375"/>
      <c r="L50" s="375"/>
      <c r="M50" s="375"/>
      <c r="N50" s="376"/>
      <c r="O50" s="70"/>
      <c r="P50" s="131"/>
      <c r="Q50" s="131"/>
      <c r="R50" s="131"/>
      <c r="S50" s="131"/>
      <c r="AR50" s="70"/>
      <c r="AS50" s="70"/>
      <c r="AT50" s="70"/>
      <c r="AU50" s="70"/>
      <c r="AV50" s="70"/>
      <c r="AW50" s="70"/>
      <c r="AX50" s="70"/>
    </row>
    <row r="51" spans="1:50" ht="57.75" customHeight="1">
      <c r="A51" s="388"/>
      <c r="B51" s="385"/>
      <c r="C51" s="385"/>
      <c r="D51" s="385"/>
      <c r="E51" s="387"/>
      <c r="F51" s="387"/>
      <c r="G51" s="387"/>
      <c r="H51" s="281" t="s">
        <v>0</v>
      </c>
      <c r="I51" s="282">
        <v>0</v>
      </c>
      <c r="J51" s="377"/>
      <c r="K51" s="378"/>
      <c r="L51" s="378"/>
      <c r="M51" s="378"/>
      <c r="N51" s="379"/>
      <c r="O51" s="70"/>
      <c r="P51" s="131"/>
      <c r="Q51" s="131"/>
      <c r="R51" s="131"/>
      <c r="S51" s="131"/>
      <c r="AR51" s="70"/>
      <c r="AS51" s="70"/>
      <c r="AT51" s="70"/>
      <c r="AU51" s="70"/>
      <c r="AV51" s="70"/>
      <c r="AW51" s="70"/>
      <c r="AX51" s="70"/>
    </row>
    <row r="52" spans="1:50" ht="23.25" customHeight="1">
      <c r="A52" s="388" t="s">
        <v>578</v>
      </c>
      <c r="B52" s="383" t="s">
        <v>581</v>
      </c>
      <c r="C52" s="385"/>
      <c r="D52" s="385"/>
      <c r="E52" s="386" t="s">
        <v>135</v>
      </c>
      <c r="F52" s="387"/>
      <c r="G52" s="387"/>
      <c r="H52" s="281" t="s">
        <v>1</v>
      </c>
      <c r="I52" s="283">
        <v>1</v>
      </c>
      <c r="J52" s="377"/>
      <c r="K52" s="378"/>
      <c r="L52" s="378"/>
      <c r="M52" s="378"/>
      <c r="N52" s="379"/>
      <c r="O52" s="70"/>
      <c r="P52" s="131"/>
      <c r="Q52" s="131"/>
      <c r="R52" s="131"/>
      <c r="S52" s="131"/>
      <c r="AR52" s="70"/>
      <c r="AS52" s="70"/>
      <c r="AT52" s="70"/>
      <c r="AU52" s="70"/>
      <c r="AV52" s="70"/>
      <c r="AW52" s="70"/>
      <c r="AX52" s="70"/>
    </row>
    <row r="53" spans="1:50" ht="25.5" customHeight="1">
      <c r="A53" s="388"/>
      <c r="B53" s="385"/>
      <c r="C53" s="385"/>
      <c r="D53" s="385"/>
      <c r="E53" s="387"/>
      <c r="F53" s="387"/>
      <c r="G53" s="387"/>
      <c r="H53" s="281" t="s">
        <v>0</v>
      </c>
      <c r="I53" s="283">
        <v>0.5</v>
      </c>
      <c r="J53" s="377"/>
      <c r="K53" s="378"/>
      <c r="L53" s="378"/>
      <c r="M53" s="378"/>
      <c r="N53" s="379"/>
      <c r="O53" s="70"/>
      <c r="P53" s="131"/>
      <c r="Q53" s="131"/>
      <c r="R53" s="131"/>
      <c r="S53" s="131"/>
      <c r="AR53" s="70"/>
      <c r="AS53" s="70"/>
      <c r="AT53" s="70"/>
      <c r="AU53" s="70"/>
      <c r="AV53" s="70"/>
      <c r="AW53" s="70"/>
      <c r="AX53" s="70"/>
    </row>
    <row r="54" spans="1:50" ht="35.25" customHeight="1">
      <c r="A54" s="388" t="s">
        <v>578</v>
      </c>
      <c r="B54" s="383" t="s">
        <v>582</v>
      </c>
      <c r="C54" s="385"/>
      <c r="D54" s="385"/>
      <c r="E54" s="386" t="s">
        <v>134</v>
      </c>
      <c r="F54" s="387"/>
      <c r="G54" s="387"/>
      <c r="H54" s="281" t="s">
        <v>1</v>
      </c>
      <c r="I54" s="282">
        <v>40</v>
      </c>
      <c r="J54" s="377"/>
      <c r="K54" s="378"/>
      <c r="L54" s="378"/>
      <c r="M54" s="378"/>
      <c r="N54" s="379"/>
      <c r="O54" s="70"/>
      <c r="P54" s="131"/>
      <c r="Q54" s="131"/>
      <c r="R54" s="131"/>
      <c r="S54" s="131"/>
      <c r="AR54" s="70"/>
      <c r="AS54" s="70"/>
      <c r="AT54" s="70"/>
      <c r="AU54" s="70"/>
      <c r="AV54" s="70"/>
      <c r="AW54" s="70"/>
      <c r="AX54" s="70"/>
    </row>
    <row r="55" spans="1:50" ht="35.25" customHeight="1">
      <c r="A55" s="388"/>
      <c r="B55" s="385"/>
      <c r="C55" s="385"/>
      <c r="D55" s="385"/>
      <c r="E55" s="387"/>
      <c r="F55" s="387"/>
      <c r="G55" s="387"/>
      <c r="H55" s="281" t="s">
        <v>0</v>
      </c>
      <c r="I55" s="282">
        <v>0</v>
      </c>
      <c r="J55" s="377"/>
      <c r="K55" s="378"/>
      <c r="L55" s="378"/>
      <c r="M55" s="378"/>
      <c r="N55" s="379"/>
      <c r="O55" s="70"/>
      <c r="P55" s="131"/>
      <c r="Q55" s="131"/>
      <c r="R55" s="131"/>
      <c r="S55" s="131"/>
      <c r="AR55" s="70"/>
      <c r="AS55" s="70"/>
      <c r="AT55" s="70"/>
      <c r="AU55" s="70"/>
      <c r="AV55" s="70"/>
      <c r="AW55" s="70"/>
      <c r="AX55" s="70"/>
    </row>
    <row r="56" spans="1:50" ht="35.25" customHeight="1">
      <c r="A56" s="388" t="s">
        <v>578</v>
      </c>
      <c r="B56" s="383" t="s">
        <v>583</v>
      </c>
      <c r="C56" s="384"/>
      <c r="D56" s="385"/>
      <c r="E56" s="386" t="s">
        <v>34</v>
      </c>
      <c r="F56" s="387"/>
      <c r="G56" s="387"/>
      <c r="H56" s="281" t="s">
        <v>1</v>
      </c>
      <c r="I56" s="283">
        <v>1</v>
      </c>
      <c r="J56" s="377"/>
      <c r="K56" s="378"/>
      <c r="L56" s="378"/>
      <c r="M56" s="378"/>
      <c r="N56" s="379"/>
      <c r="P56" s="131"/>
      <c r="Q56" s="131"/>
      <c r="R56" s="131"/>
      <c r="S56" s="131"/>
    </row>
    <row r="57" spans="1:50" ht="50.25" customHeight="1">
      <c r="A57" s="388"/>
      <c r="B57" s="385"/>
      <c r="C57" s="385"/>
      <c r="D57" s="385"/>
      <c r="E57" s="387"/>
      <c r="F57" s="387"/>
      <c r="G57" s="387"/>
      <c r="H57" s="281" t="s">
        <v>0</v>
      </c>
      <c r="I57" s="283">
        <v>0.5</v>
      </c>
      <c r="J57" s="377"/>
      <c r="K57" s="378"/>
      <c r="L57" s="378"/>
      <c r="M57" s="378"/>
      <c r="N57" s="379"/>
      <c r="P57" s="131"/>
      <c r="Q57" s="131"/>
      <c r="R57" s="131"/>
      <c r="S57" s="131"/>
    </row>
    <row r="58" spans="1:50" ht="35.25" customHeight="1">
      <c r="A58" s="388" t="s">
        <v>578</v>
      </c>
      <c r="B58" s="389" t="s">
        <v>584</v>
      </c>
      <c r="C58" s="384"/>
      <c r="D58" s="385"/>
      <c r="E58" s="390" t="s">
        <v>34</v>
      </c>
      <c r="F58" s="390"/>
      <c r="G58" s="390"/>
      <c r="H58" s="281" t="s">
        <v>1</v>
      </c>
      <c r="I58" s="282">
        <v>1</v>
      </c>
      <c r="J58" s="377"/>
      <c r="K58" s="378"/>
      <c r="L58" s="378"/>
      <c r="M58" s="378"/>
      <c r="N58" s="379"/>
      <c r="P58" s="131"/>
      <c r="Q58" s="131"/>
      <c r="R58" s="131"/>
      <c r="S58" s="131"/>
    </row>
    <row r="59" spans="1:50" ht="24.75" customHeight="1">
      <c r="A59" s="388"/>
      <c r="B59" s="385"/>
      <c r="C59" s="385"/>
      <c r="D59" s="385"/>
      <c r="E59" s="390"/>
      <c r="F59" s="390"/>
      <c r="G59" s="390"/>
      <c r="H59" s="281" t="s">
        <v>0</v>
      </c>
      <c r="I59" s="282">
        <v>0</v>
      </c>
      <c r="J59" s="377"/>
      <c r="K59" s="378"/>
      <c r="L59" s="378"/>
      <c r="M59" s="378"/>
      <c r="N59" s="379"/>
      <c r="P59" s="131"/>
      <c r="Q59" s="131"/>
      <c r="R59" s="131"/>
      <c r="S59" s="131"/>
    </row>
    <row r="60" spans="1:50" ht="35.25" customHeight="1">
      <c r="A60" s="388" t="s">
        <v>578</v>
      </c>
      <c r="B60" s="383" t="s">
        <v>585</v>
      </c>
      <c r="C60" s="384"/>
      <c r="D60" s="385"/>
      <c r="E60" s="386" t="s">
        <v>133</v>
      </c>
      <c r="F60" s="387"/>
      <c r="G60" s="387"/>
      <c r="H60" s="281" t="s">
        <v>1</v>
      </c>
      <c r="I60" s="282">
        <v>1</v>
      </c>
      <c r="J60" s="377"/>
      <c r="K60" s="378"/>
      <c r="L60" s="378"/>
      <c r="M60" s="378"/>
      <c r="N60" s="379"/>
      <c r="P60" s="131"/>
      <c r="Q60" s="131"/>
      <c r="R60" s="131"/>
      <c r="S60" s="131"/>
    </row>
    <row r="61" spans="1:50" ht="20.25" customHeight="1">
      <c r="A61" s="388"/>
      <c r="B61" s="385"/>
      <c r="C61" s="385"/>
      <c r="D61" s="385"/>
      <c r="E61" s="387"/>
      <c r="F61" s="387"/>
      <c r="G61" s="387"/>
      <c r="H61" s="281" t="s">
        <v>0</v>
      </c>
      <c r="I61" s="282">
        <v>0</v>
      </c>
      <c r="J61" s="377"/>
      <c r="K61" s="378"/>
      <c r="L61" s="378"/>
      <c r="M61" s="378"/>
      <c r="N61" s="379"/>
      <c r="S61" s="121"/>
    </row>
    <row r="62" spans="1:50" ht="35.25" customHeight="1">
      <c r="A62" s="388" t="s">
        <v>578</v>
      </c>
      <c r="B62" s="383" t="s">
        <v>586</v>
      </c>
      <c r="C62" s="384"/>
      <c r="D62" s="385"/>
      <c r="E62" s="386" t="s">
        <v>132</v>
      </c>
      <c r="F62" s="387"/>
      <c r="G62" s="387"/>
      <c r="H62" s="281" t="s">
        <v>1</v>
      </c>
      <c r="I62" s="282">
        <v>1</v>
      </c>
      <c r="J62" s="377"/>
      <c r="K62" s="378"/>
      <c r="L62" s="378"/>
      <c r="M62" s="378"/>
      <c r="N62" s="379"/>
      <c r="S62" s="121"/>
    </row>
    <row r="63" spans="1:50" ht="35.25" customHeight="1">
      <c r="A63" s="388"/>
      <c r="B63" s="385"/>
      <c r="C63" s="385"/>
      <c r="D63" s="385"/>
      <c r="E63" s="387"/>
      <c r="F63" s="387"/>
      <c r="G63" s="387"/>
      <c r="H63" s="281" t="s">
        <v>0</v>
      </c>
      <c r="I63" s="282">
        <v>0</v>
      </c>
      <c r="J63" s="377"/>
      <c r="K63" s="378"/>
      <c r="L63" s="378"/>
      <c r="M63" s="378"/>
      <c r="N63" s="379"/>
      <c r="S63" s="121"/>
    </row>
    <row r="64" spans="1:50" ht="35.25" customHeight="1">
      <c r="A64" s="388" t="s">
        <v>578</v>
      </c>
      <c r="B64" s="383" t="s">
        <v>587</v>
      </c>
      <c r="C64" s="384"/>
      <c r="D64" s="385"/>
      <c r="E64" s="390" t="s">
        <v>36</v>
      </c>
      <c r="F64" s="390"/>
      <c r="G64" s="390"/>
      <c r="H64" s="281" t="s">
        <v>1</v>
      </c>
      <c r="I64" s="282">
        <v>1</v>
      </c>
      <c r="J64" s="377"/>
      <c r="K64" s="378"/>
      <c r="L64" s="378"/>
      <c r="M64" s="378"/>
      <c r="N64" s="379"/>
      <c r="S64" s="121"/>
    </row>
    <row r="65" spans="1:19" ht="35.25" customHeight="1">
      <c r="A65" s="388"/>
      <c r="B65" s="385"/>
      <c r="C65" s="385"/>
      <c r="D65" s="385"/>
      <c r="E65" s="390"/>
      <c r="F65" s="390"/>
      <c r="G65" s="390"/>
      <c r="H65" s="281" t="s">
        <v>0</v>
      </c>
      <c r="I65" s="282">
        <v>0</v>
      </c>
      <c r="J65" s="377"/>
      <c r="K65" s="378"/>
      <c r="L65" s="378"/>
      <c r="M65" s="378"/>
      <c r="N65" s="379"/>
      <c r="S65" s="121"/>
    </row>
    <row r="66" spans="1:19" ht="35.25" customHeight="1">
      <c r="A66" s="388" t="s">
        <v>578</v>
      </c>
      <c r="B66" s="383" t="s">
        <v>588</v>
      </c>
      <c r="C66" s="384"/>
      <c r="D66" s="385"/>
      <c r="E66" s="390" t="s">
        <v>131</v>
      </c>
      <c r="F66" s="390"/>
      <c r="G66" s="390"/>
      <c r="H66" s="281" t="s">
        <v>1</v>
      </c>
      <c r="I66" s="282">
        <v>45</v>
      </c>
      <c r="J66" s="377"/>
      <c r="K66" s="378"/>
      <c r="L66" s="378"/>
      <c r="M66" s="378"/>
      <c r="N66" s="379"/>
      <c r="S66" s="121"/>
    </row>
    <row r="67" spans="1:19" ht="35.25" customHeight="1">
      <c r="A67" s="388"/>
      <c r="B67" s="385"/>
      <c r="C67" s="385"/>
      <c r="D67" s="385"/>
      <c r="E67" s="390"/>
      <c r="F67" s="390"/>
      <c r="G67" s="390"/>
      <c r="H67" s="281" t="s">
        <v>0</v>
      </c>
      <c r="I67" s="282">
        <v>0</v>
      </c>
      <c r="J67" s="377"/>
      <c r="K67" s="378"/>
      <c r="L67" s="378"/>
      <c r="M67" s="378"/>
      <c r="N67" s="379"/>
      <c r="S67" s="121"/>
    </row>
    <row r="68" spans="1:19" ht="35.25" customHeight="1">
      <c r="A68" s="388" t="s">
        <v>578</v>
      </c>
      <c r="B68" s="383" t="s">
        <v>589</v>
      </c>
      <c r="C68" s="384"/>
      <c r="D68" s="385"/>
      <c r="E68" s="386" t="s">
        <v>130</v>
      </c>
      <c r="F68" s="386"/>
      <c r="G68" s="386"/>
      <c r="H68" s="281" t="s">
        <v>1</v>
      </c>
      <c r="I68" s="282">
        <v>50</v>
      </c>
      <c r="J68" s="377"/>
      <c r="K68" s="378"/>
      <c r="L68" s="378"/>
      <c r="M68" s="378"/>
      <c r="N68" s="379"/>
    </row>
    <row r="69" spans="1:19" ht="50.25" customHeight="1">
      <c r="A69" s="388"/>
      <c r="B69" s="385"/>
      <c r="C69" s="385"/>
      <c r="D69" s="385"/>
      <c r="E69" s="386"/>
      <c r="F69" s="386"/>
      <c r="G69" s="386"/>
      <c r="H69" s="281" t="s">
        <v>0</v>
      </c>
      <c r="I69" s="282">
        <v>0</v>
      </c>
      <c r="J69" s="380"/>
      <c r="K69" s="381"/>
      <c r="L69" s="381"/>
      <c r="M69" s="381"/>
      <c r="N69" s="382"/>
    </row>
    <row r="70" spans="1:19" ht="35.25" customHeight="1">
      <c r="A70" s="383" t="s">
        <v>590</v>
      </c>
      <c r="B70" s="383"/>
      <c r="C70" s="383"/>
      <c r="D70" s="383"/>
      <c r="E70" s="383"/>
      <c r="F70" s="383"/>
      <c r="G70" s="383"/>
      <c r="H70" s="383"/>
      <c r="I70" s="383"/>
      <c r="J70" s="383"/>
      <c r="K70" s="383"/>
      <c r="L70" s="383"/>
      <c r="M70" s="383"/>
      <c r="N70" s="383"/>
    </row>
    <row r="71" spans="1:19" ht="35.25" customHeight="1"/>
    <row r="72" spans="1:19" ht="35.25" customHeight="1"/>
    <row r="75" spans="1:19" ht="47.25" customHeight="1"/>
    <row r="76" spans="1:19" ht="53.25" customHeight="1"/>
    <row r="77" spans="1:19" ht="53.25" customHeight="1"/>
    <row r="78" spans="1:19" ht="29.25" customHeight="1"/>
    <row r="79" spans="1:19" ht="29.25" customHeight="1"/>
    <row r="80" spans="1:19" ht="38.25" customHeight="1"/>
    <row r="81" s="1" customFormat="1" ht="38.25" customHeight="1"/>
    <row r="82" s="1" customFormat="1" ht="27.75" customHeight="1"/>
    <row r="83" s="1" customFormat="1" ht="27.75" customHeight="1"/>
  </sheetData>
  <mergeCells count="177">
    <mergeCell ref="A43:A44"/>
    <mergeCell ref="C43:C44"/>
    <mergeCell ref="J43:J44"/>
    <mergeCell ref="K43:K44"/>
    <mergeCell ref="L43:L44"/>
    <mergeCell ref="M43:M44"/>
    <mergeCell ref="N43:N44"/>
    <mergeCell ref="N35:N36"/>
    <mergeCell ref="J33:J34"/>
    <mergeCell ref="K33:K34"/>
    <mergeCell ref="L33:L34"/>
    <mergeCell ref="J35:J36"/>
    <mergeCell ref="K35:K36"/>
    <mergeCell ref="L35:L36"/>
    <mergeCell ref="M35:M36"/>
    <mergeCell ref="J39:J40"/>
    <mergeCell ref="K39:K40"/>
    <mergeCell ref="L39:L40"/>
    <mergeCell ref="J37:J38"/>
    <mergeCell ref="J41:J42"/>
    <mergeCell ref="K41:K42"/>
    <mergeCell ref="L41:L42"/>
    <mergeCell ref="M41:M42"/>
    <mergeCell ref="N41:N42"/>
    <mergeCell ref="A41:A42"/>
    <mergeCell ref="C41:C42"/>
    <mergeCell ref="N37:N38"/>
    <mergeCell ref="N39:N40"/>
    <mergeCell ref="M39:M40"/>
    <mergeCell ref="K37:K38"/>
    <mergeCell ref="L37:L38"/>
    <mergeCell ref="M37:M38"/>
    <mergeCell ref="C25:C26"/>
    <mergeCell ref="L25:L26"/>
    <mergeCell ref="M25:M26"/>
    <mergeCell ref="C29:C30"/>
    <mergeCell ref="J31:J32"/>
    <mergeCell ref="K31:K32"/>
    <mergeCell ref="C33:C34"/>
    <mergeCell ref="C21:C22"/>
    <mergeCell ref="J29:J30"/>
    <mergeCell ref="K29:K30"/>
    <mergeCell ref="K23:K24"/>
    <mergeCell ref="L23:L24"/>
    <mergeCell ref="M23:M24"/>
    <mergeCell ref="J23:J24"/>
    <mergeCell ref="J25:J26"/>
    <mergeCell ref="K25:K26"/>
    <mergeCell ref="J27:J28"/>
    <mergeCell ref="K27:K28"/>
    <mergeCell ref="L27:L28"/>
    <mergeCell ref="L17:L18"/>
    <mergeCell ref="M17:M18"/>
    <mergeCell ref="M15:M16"/>
    <mergeCell ref="N15:N16"/>
    <mergeCell ref="N21:N22"/>
    <mergeCell ref="N25:N26"/>
    <mergeCell ref="M33:M34"/>
    <mergeCell ref="N33:N34"/>
    <mergeCell ref="N17:N18"/>
    <mergeCell ref="M27:M28"/>
    <mergeCell ref="N27:N28"/>
    <mergeCell ref="N23:N24"/>
    <mergeCell ref="L31:L32"/>
    <mergeCell ref="L21:L22"/>
    <mergeCell ref="M21:M22"/>
    <mergeCell ref="L29:L30"/>
    <mergeCell ref="M29:M30"/>
    <mergeCell ref="M31:M32"/>
    <mergeCell ref="B10:F10"/>
    <mergeCell ref="K10:M10"/>
    <mergeCell ref="B12:F12"/>
    <mergeCell ref="B14:B16"/>
    <mergeCell ref="N31:N32"/>
    <mergeCell ref="J21:J22"/>
    <mergeCell ref="K21:K22"/>
    <mergeCell ref="B11:F11"/>
    <mergeCell ref="A13:F13"/>
    <mergeCell ref="A19:A20"/>
    <mergeCell ref="C19:C20"/>
    <mergeCell ref="J19:J20"/>
    <mergeCell ref="K19:K20"/>
    <mergeCell ref="L19:L20"/>
    <mergeCell ref="M19:M20"/>
    <mergeCell ref="N19:N20"/>
    <mergeCell ref="A17:A18"/>
    <mergeCell ref="C17:C18"/>
    <mergeCell ref="J17:J18"/>
    <mergeCell ref="K17:K18"/>
    <mergeCell ref="N29:N30"/>
    <mergeCell ref="L15:L16"/>
    <mergeCell ref="C14:C16"/>
    <mergeCell ref="D14:D16"/>
    <mergeCell ref="A1:A4"/>
    <mergeCell ref="B1:H2"/>
    <mergeCell ref="I1:L1"/>
    <mergeCell ref="M1:N4"/>
    <mergeCell ref="I2:L2"/>
    <mergeCell ref="K11:M11"/>
    <mergeCell ref="J14:K15"/>
    <mergeCell ref="L14:N14"/>
    <mergeCell ref="B3:H4"/>
    <mergeCell ref="I3:L3"/>
    <mergeCell ref="I4:L4"/>
    <mergeCell ref="A14:A16"/>
    <mergeCell ref="E14:E16"/>
    <mergeCell ref="F14:I15"/>
    <mergeCell ref="A5:N5"/>
    <mergeCell ref="A6:N6"/>
    <mergeCell ref="K12:M12"/>
    <mergeCell ref="K13:M13"/>
    <mergeCell ref="B7:N7"/>
    <mergeCell ref="B8:F8"/>
    <mergeCell ref="G8:I13"/>
    <mergeCell ref="J8:N8"/>
    <mergeCell ref="B9:F9"/>
    <mergeCell ref="K9:M9"/>
    <mergeCell ref="A23:A24"/>
    <mergeCell ref="A27:A28"/>
    <mergeCell ref="A25:A26"/>
    <mergeCell ref="A29:A30"/>
    <mergeCell ref="A35:A36"/>
    <mergeCell ref="C35:C36"/>
    <mergeCell ref="A37:A38"/>
    <mergeCell ref="C37:C38"/>
    <mergeCell ref="A39:A40"/>
    <mergeCell ref="C39:C40"/>
    <mergeCell ref="C27:C28"/>
    <mergeCell ref="A31:A32"/>
    <mergeCell ref="C31:C32"/>
    <mergeCell ref="A21:A22"/>
    <mergeCell ref="A66:A67"/>
    <mergeCell ref="B66:D67"/>
    <mergeCell ref="E66:G67"/>
    <mergeCell ref="J45:J46"/>
    <mergeCell ref="A68:A69"/>
    <mergeCell ref="B68:D69"/>
    <mergeCell ref="E68:G69"/>
    <mergeCell ref="E60:G61"/>
    <mergeCell ref="A62:A63"/>
    <mergeCell ref="J49:N49"/>
    <mergeCell ref="A50:A51"/>
    <mergeCell ref="A47:A48"/>
    <mergeCell ref="C47:C48"/>
    <mergeCell ref="K45:K46"/>
    <mergeCell ref="L45:L46"/>
    <mergeCell ref="M45:M46"/>
    <mergeCell ref="N45:N46"/>
    <mergeCell ref="B49:D49"/>
    <mergeCell ref="E49:H49"/>
    <mergeCell ref="A45:A46"/>
    <mergeCell ref="C45:C46"/>
    <mergeCell ref="A33:A34"/>
    <mergeCell ref="C23:C24"/>
    <mergeCell ref="J50:N69"/>
    <mergeCell ref="A70:N70"/>
    <mergeCell ref="B50:D51"/>
    <mergeCell ref="E50:G51"/>
    <mergeCell ref="A52:A53"/>
    <mergeCell ref="B52:D53"/>
    <mergeCell ref="E52:G53"/>
    <mergeCell ref="A54:A55"/>
    <mergeCell ref="B54:D55"/>
    <mergeCell ref="E54:G55"/>
    <mergeCell ref="A56:A57"/>
    <mergeCell ref="B56:D57"/>
    <mergeCell ref="E56:G57"/>
    <mergeCell ref="A58:A59"/>
    <mergeCell ref="B58:D59"/>
    <mergeCell ref="E58:G59"/>
    <mergeCell ref="A60:A61"/>
    <mergeCell ref="B60:D61"/>
    <mergeCell ref="B62:D63"/>
    <mergeCell ref="E62:G63"/>
    <mergeCell ref="A64:A65"/>
    <mergeCell ref="B64:D65"/>
    <mergeCell ref="E64:G65"/>
  </mergeCells>
  <pageMargins left="0.31496062992125984" right="0.31496062992125984" top="0.74803149606299213" bottom="0.74803149606299213" header="0.31496062992125984" footer="0.31496062992125984"/>
  <pageSetup paperSize="14" scale="57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28673" r:id="rId4">
          <objectPr defaultSize="0" autoPict="0" r:id="rId5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0</xdr:col>
                <xdr:colOff>4429125</xdr:colOff>
                <xdr:row>3</xdr:row>
                <xdr:rowOff>342900</xdr:rowOff>
              </to>
            </anchor>
          </objectPr>
        </oleObject>
      </mc:Choice>
      <mc:Fallback>
        <oleObject shapeId="28673" r:id="rId4"/>
      </mc:Fallback>
    </mc:AlternateContent>
    <mc:AlternateContent xmlns:mc="http://schemas.openxmlformats.org/markup-compatibility/2006">
      <mc:Choice Requires="x14">
        <oleObject shapeId="28674" r:id="rId6">
          <objectPr defaultSize="0" autoPict="0" r:id="rId5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0</xdr:col>
                <xdr:colOff>4429125</xdr:colOff>
                <xdr:row>3</xdr:row>
                <xdr:rowOff>342900</xdr:rowOff>
              </to>
            </anchor>
          </objectPr>
        </oleObject>
      </mc:Choice>
      <mc:Fallback>
        <oleObject shapeId="28674" r:id="rId6"/>
      </mc:Fallback>
    </mc:AlternateContent>
    <mc:AlternateContent xmlns:mc="http://schemas.openxmlformats.org/markup-compatibility/2006">
      <mc:Choice Requires="x14">
        <oleObject shapeId="28675" r:id="rId7">
          <objectPr defaultSize="0" autoPict="0" r:id="rId5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0</xdr:col>
                <xdr:colOff>4429125</xdr:colOff>
                <xdr:row>3</xdr:row>
                <xdr:rowOff>342900</xdr:rowOff>
              </to>
            </anchor>
          </objectPr>
        </oleObject>
      </mc:Choice>
      <mc:Fallback>
        <oleObject shapeId="28675" r:id="rId7"/>
      </mc:Fallback>
    </mc:AlternateContent>
    <mc:AlternateContent xmlns:mc="http://schemas.openxmlformats.org/markup-compatibility/2006">
      <mc:Choice Requires="x14">
        <oleObject shapeId="28676" r:id="rId8">
          <objectPr defaultSize="0" autoPict="0" r:id="rId5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0</xdr:col>
                <xdr:colOff>4429125</xdr:colOff>
                <xdr:row>3</xdr:row>
                <xdr:rowOff>342900</xdr:rowOff>
              </to>
            </anchor>
          </objectPr>
        </oleObject>
      </mc:Choice>
      <mc:Fallback>
        <oleObject shapeId="28676" r:id="rId8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9"/>
  <sheetViews>
    <sheetView tabSelected="1" topLeftCell="A100" workbookViewId="0">
      <selection activeCell="G103" sqref="G103"/>
    </sheetView>
  </sheetViews>
  <sheetFormatPr baseColWidth="10" defaultColWidth="11.42578125" defaultRowHeight="15.75"/>
  <cols>
    <col min="1" max="1" width="11.42578125" style="217"/>
    <col min="2" max="2" width="11.140625" style="217" customWidth="1"/>
    <col min="3" max="3" width="76" style="219" customWidth="1"/>
    <col min="4" max="4" width="22.7109375" style="218" customWidth="1"/>
    <col min="5" max="16384" width="11.42578125" style="217"/>
  </cols>
  <sheetData>
    <row r="1" spans="2:4" ht="31.5">
      <c r="B1" s="234" t="s">
        <v>419</v>
      </c>
      <c r="C1" s="234" t="s">
        <v>418</v>
      </c>
      <c r="D1" s="233" t="s">
        <v>417</v>
      </c>
    </row>
    <row r="2" spans="2:4" ht="78.75">
      <c r="B2" s="226">
        <v>52</v>
      </c>
      <c r="C2" s="222" t="s">
        <v>416</v>
      </c>
      <c r="D2" s="221">
        <v>29750000</v>
      </c>
    </row>
    <row r="3" spans="2:4" ht="47.25">
      <c r="B3" s="223">
        <v>95</v>
      </c>
      <c r="C3" s="222" t="s">
        <v>415</v>
      </c>
      <c r="D3" s="221">
        <v>17850000</v>
      </c>
    </row>
    <row r="4" spans="2:4" ht="63">
      <c r="B4" s="223">
        <v>96</v>
      </c>
      <c r="C4" s="222" t="s">
        <v>414</v>
      </c>
      <c r="D4" s="221">
        <v>44450000</v>
      </c>
    </row>
    <row r="5" spans="2:4" ht="63">
      <c r="B5" s="223">
        <v>220</v>
      </c>
      <c r="C5" s="222" t="s">
        <v>413</v>
      </c>
      <c r="D5" s="221">
        <v>25200000</v>
      </c>
    </row>
    <row r="6" spans="2:4" ht="47.25">
      <c r="B6" s="223">
        <v>221</v>
      </c>
      <c r="C6" s="222" t="s">
        <v>412</v>
      </c>
      <c r="D6" s="221">
        <v>22400000</v>
      </c>
    </row>
    <row r="7" spans="2:4" ht="47.25">
      <c r="B7" s="223">
        <v>222</v>
      </c>
      <c r="C7" s="222" t="s">
        <v>411</v>
      </c>
      <c r="D7" s="221">
        <v>22400000</v>
      </c>
    </row>
    <row r="8" spans="2:4" ht="78.75">
      <c r="B8" s="223">
        <v>223</v>
      </c>
      <c r="C8" s="225" t="s">
        <v>410</v>
      </c>
      <c r="D8" s="221">
        <v>44450000</v>
      </c>
    </row>
    <row r="9" spans="2:4" ht="78.75">
      <c r="B9" s="223">
        <v>423</v>
      </c>
      <c r="C9" s="222" t="s">
        <v>409</v>
      </c>
      <c r="D9" s="221">
        <v>17850000</v>
      </c>
    </row>
    <row r="10" spans="2:4" ht="63">
      <c r="B10" s="223">
        <v>424</v>
      </c>
      <c r="C10" s="222" t="s">
        <v>408</v>
      </c>
      <c r="D10" s="221">
        <v>20300000</v>
      </c>
    </row>
    <row r="11" spans="2:4" ht="47.25">
      <c r="B11" s="223">
        <v>462</v>
      </c>
      <c r="C11" s="222" t="s">
        <v>407</v>
      </c>
      <c r="D11" s="221">
        <v>17850000</v>
      </c>
    </row>
    <row r="12" spans="2:4" ht="94.5">
      <c r="B12" s="223">
        <v>463</v>
      </c>
      <c r="C12" s="222" t="s">
        <v>406</v>
      </c>
      <c r="D12" s="221">
        <v>29750000</v>
      </c>
    </row>
    <row r="13" spans="2:4" ht="63">
      <c r="B13" s="223">
        <v>492</v>
      </c>
      <c r="C13" s="222" t="s">
        <v>405</v>
      </c>
      <c r="D13" s="221">
        <v>1900000000</v>
      </c>
    </row>
    <row r="14" spans="2:4" ht="47.25">
      <c r="B14" s="223">
        <v>505</v>
      </c>
      <c r="C14" s="222" t="s">
        <v>404</v>
      </c>
      <c r="D14" s="221">
        <v>17850000</v>
      </c>
    </row>
    <row r="15" spans="2:4" ht="63">
      <c r="B15" s="223">
        <v>506</v>
      </c>
      <c r="C15" s="225" t="s">
        <v>403</v>
      </c>
      <c r="D15" s="221">
        <v>17850000</v>
      </c>
    </row>
    <row r="16" spans="2:4" ht="47.25">
      <c r="B16" s="223">
        <v>507</v>
      </c>
      <c r="C16" s="222" t="s">
        <v>402</v>
      </c>
      <c r="D16" s="221">
        <v>14329000</v>
      </c>
    </row>
    <row r="17" spans="2:4" ht="47.25">
      <c r="B17" s="223">
        <v>508</v>
      </c>
      <c r="C17" s="222" t="s">
        <v>401</v>
      </c>
      <c r="D17" s="221">
        <v>14329000</v>
      </c>
    </row>
    <row r="18" spans="2:4" ht="47.25">
      <c r="B18" s="223">
        <v>509</v>
      </c>
      <c r="C18" s="225" t="s">
        <v>400</v>
      </c>
      <c r="D18" s="221">
        <v>14329000</v>
      </c>
    </row>
    <row r="19" spans="2:4" ht="47.25">
      <c r="B19" s="223">
        <v>510</v>
      </c>
      <c r="C19" s="222" t="s">
        <v>399</v>
      </c>
      <c r="D19" s="221">
        <v>14329000</v>
      </c>
    </row>
    <row r="20" spans="2:4" ht="47.25">
      <c r="B20" s="223">
        <v>525</v>
      </c>
      <c r="C20" s="222" t="s">
        <v>398</v>
      </c>
      <c r="D20" s="221">
        <v>14329000</v>
      </c>
    </row>
    <row r="21" spans="2:4" ht="78.75">
      <c r="B21" s="226">
        <v>526</v>
      </c>
      <c r="C21" s="222" t="s">
        <v>397</v>
      </c>
      <c r="D21" s="221">
        <v>25200000</v>
      </c>
    </row>
    <row r="22" spans="2:4" ht="94.5">
      <c r="B22" s="223">
        <v>527</v>
      </c>
      <c r="C22" s="222" t="s">
        <v>396</v>
      </c>
      <c r="D22" s="221">
        <v>17850000</v>
      </c>
    </row>
    <row r="23" spans="2:4" ht="63">
      <c r="B23" s="223">
        <v>615</v>
      </c>
      <c r="C23" s="222" t="s">
        <v>395</v>
      </c>
      <c r="D23" s="221">
        <v>20300000</v>
      </c>
    </row>
    <row r="24" spans="2:4" ht="63">
      <c r="B24" s="223">
        <v>616</v>
      </c>
      <c r="C24" s="222" t="s">
        <v>394</v>
      </c>
      <c r="D24" s="221">
        <v>37100000</v>
      </c>
    </row>
    <row r="25" spans="2:4" ht="78.75">
      <c r="B25" s="223">
        <v>619</v>
      </c>
      <c r="C25" s="222" t="s">
        <v>393</v>
      </c>
      <c r="D25" s="227">
        <v>12271000</v>
      </c>
    </row>
    <row r="26" spans="2:4" ht="63">
      <c r="B26" s="223">
        <v>620</v>
      </c>
      <c r="C26" s="222" t="s">
        <v>392</v>
      </c>
      <c r="D26" s="221">
        <v>25200000</v>
      </c>
    </row>
    <row r="27" spans="2:4" ht="47.25">
      <c r="B27" s="223">
        <v>692</v>
      </c>
      <c r="C27" s="225" t="s">
        <v>391</v>
      </c>
      <c r="D27" s="221">
        <v>21315000</v>
      </c>
    </row>
    <row r="28" spans="2:4" ht="63">
      <c r="B28" s="223">
        <v>693</v>
      </c>
      <c r="C28" s="222" t="s">
        <v>390</v>
      </c>
      <c r="D28" s="221">
        <v>20300000</v>
      </c>
    </row>
    <row r="29" spans="2:4" ht="78.75">
      <c r="B29" s="223">
        <v>694</v>
      </c>
      <c r="C29" s="222" t="s">
        <v>389</v>
      </c>
      <c r="D29" s="221">
        <v>21600000</v>
      </c>
    </row>
    <row r="30" spans="2:4" ht="47.25">
      <c r="B30" s="232">
        <v>695</v>
      </c>
      <c r="C30" s="231" t="s">
        <v>388</v>
      </c>
      <c r="D30" s="230">
        <v>17850000</v>
      </c>
    </row>
    <row r="31" spans="2:4" ht="78.75">
      <c r="B31" s="223">
        <v>770</v>
      </c>
      <c r="C31" s="222" t="s">
        <v>387</v>
      </c>
      <c r="D31" s="221">
        <v>29750000</v>
      </c>
    </row>
    <row r="32" spans="2:4" ht="78.75">
      <c r="B32" s="232">
        <v>775</v>
      </c>
      <c r="C32" s="231" t="s">
        <v>386</v>
      </c>
      <c r="D32" s="230">
        <v>28500000</v>
      </c>
    </row>
    <row r="33" spans="2:4" ht="31.5">
      <c r="B33" s="223">
        <v>798</v>
      </c>
      <c r="C33" s="222" t="s">
        <v>385</v>
      </c>
      <c r="D33" s="229">
        <v>5903589</v>
      </c>
    </row>
    <row r="34" spans="2:4" ht="78.75">
      <c r="B34" s="223">
        <v>848</v>
      </c>
      <c r="C34" s="222" t="s">
        <v>384</v>
      </c>
      <c r="D34" s="228">
        <v>20300000</v>
      </c>
    </row>
    <row r="35" spans="2:4" ht="47.25">
      <c r="B35" s="223">
        <v>849</v>
      </c>
      <c r="C35" s="222" t="s">
        <v>383</v>
      </c>
      <c r="D35" s="221">
        <v>28500000</v>
      </c>
    </row>
    <row r="36" spans="2:4" ht="78.75">
      <c r="B36" s="223">
        <v>850</v>
      </c>
      <c r="C36" s="222" t="s">
        <v>382</v>
      </c>
      <c r="D36" s="221">
        <v>12271000</v>
      </c>
    </row>
    <row r="37" spans="2:4" ht="63">
      <c r="B37" s="223">
        <v>853</v>
      </c>
      <c r="C37" s="222" t="s">
        <v>381</v>
      </c>
      <c r="D37" s="221">
        <v>12271000</v>
      </c>
    </row>
    <row r="38" spans="2:4" ht="78.75">
      <c r="B38" s="223">
        <v>854</v>
      </c>
      <c r="C38" s="222" t="s">
        <v>380</v>
      </c>
      <c r="D38" s="221">
        <v>25200000</v>
      </c>
    </row>
    <row r="39" spans="2:4" ht="63">
      <c r="B39" s="223">
        <v>857</v>
      </c>
      <c r="C39" s="222" t="s">
        <v>379</v>
      </c>
      <c r="D39" s="221">
        <v>352506000</v>
      </c>
    </row>
    <row r="40" spans="2:4" ht="63">
      <c r="B40" s="223">
        <v>866</v>
      </c>
      <c r="C40" s="225" t="s">
        <v>378</v>
      </c>
      <c r="D40" s="221">
        <v>25200000</v>
      </c>
    </row>
    <row r="41" spans="2:4" ht="78.75">
      <c r="B41" s="223">
        <v>867</v>
      </c>
      <c r="C41" s="222" t="s">
        <v>377</v>
      </c>
      <c r="D41" s="227">
        <v>14329000</v>
      </c>
    </row>
    <row r="42" spans="2:4" ht="78.75">
      <c r="B42" s="223">
        <v>868</v>
      </c>
      <c r="C42" s="222" t="s">
        <v>376</v>
      </c>
      <c r="D42" s="221">
        <v>11445000</v>
      </c>
    </row>
    <row r="43" spans="2:4" ht="78.75">
      <c r="B43" s="223">
        <v>869</v>
      </c>
      <c r="C43" s="224" t="s">
        <v>375</v>
      </c>
      <c r="D43" s="221">
        <v>11445000</v>
      </c>
    </row>
    <row r="44" spans="2:4" ht="94.5">
      <c r="B44" s="223">
        <v>887</v>
      </c>
      <c r="C44" s="222" t="s">
        <v>374</v>
      </c>
      <c r="D44" s="221">
        <v>16062000</v>
      </c>
    </row>
    <row r="45" spans="2:4" ht="78.75">
      <c r="B45" s="223">
        <v>888</v>
      </c>
      <c r="C45" s="222" t="s">
        <v>373</v>
      </c>
      <c r="D45" s="221">
        <v>11690000</v>
      </c>
    </row>
    <row r="46" spans="2:4" ht="63">
      <c r="B46" s="223">
        <v>889</v>
      </c>
      <c r="C46" s="225" t="s">
        <v>372</v>
      </c>
      <c r="D46" s="221">
        <v>20300000</v>
      </c>
    </row>
    <row r="47" spans="2:4" ht="63">
      <c r="B47" s="223">
        <v>890</v>
      </c>
      <c r="C47" s="224" t="s">
        <v>371</v>
      </c>
      <c r="D47" s="221">
        <v>14329000</v>
      </c>
    </row>
    <row r="48" spans="2:4" ht="47.25">
      <c r="B48" s="223">
        <v>955</v>
      </c>
      <c r="C48" s="222" t="s">
        <v>370</v>
      </c>
      <c r="D48" s="221">
        <v>17850000</v>
      </c>
    </row>
    <row r="49" spans="2:4" ht="47.25">
      <c r="B49" s="223">
        <v>956</v>
      </c>
      <c r="C49" s="222" t="s">
        <v>369</v>
      </c>
      <c r="D49" s="221">
        <v>20300000</v>
      </c>
    </row>
    <row r="50" spans="2:4" ht="63">
      <c r="B50" s="223">
        <v>957</v>
      </c>
      <c r="C50" s="224" t="s">
        <v>368</v>
      </c>
      <c r="D50" s="221">
        <v>17850000</v>
      </c>
    </row>
    <row r="51" spans="2:4" ht="63">
      <c r="B51" s="223">
        <v>958</v>
      </c>
      <c r="C51" s="224" t="s">
        <v>367</v>
      </c>
      <c r="D51" s="221">
        <v>17850000</v>
      </c>
    </row>
    <row r="52" spans="2:4" ht="47.25">
      <c r="B52" s="223">
        <v>959</v>
      </c>
      <c r="C52" s="222" t="s">
        <v>366</v>
      </c>
      <c r="D52" s="221">
        <v>10150000</v>
      </c>
    </row>
    <row r="53" spans="2:4" ht="63">
      <c r="B53" s="223">
        <v>960</v>
      </c>
      <c r="C53" s="224" t="s">
        <v>365</v>
      </c>
      <c r="D53" s="221">
        <v>11445000</v>
      </c>
    </row>
    <row r="54" spans="2:4" ht="63">
      <c r="B54" s="223">
        <v>961</v>
      </c>
      <c r="C54" s="224" t="s">
        <v>364</v>
      </c>
      <c r="D54" s="221">
        <v>29750000</v>
      </c>
    </row>
    <row r="55" spans="2:4" ht="78.75">
      <c r="B55" s="223">
        <v>962</v>
      </c>
      <c r="C55" s="224" t="s">
        <v>363</v>
      </c>
      <c r="D55" s="221">
        <v>14329000</v>
      </c>
    </row>
    <row r="56" spans="2:4" ht="63">
      <c r="B56" s="223">
        <v>963</v>
      </c>
      <c r="C56" s="222" t="s">
        <v>362</v>
      </c>
      <c r="D56" s="221">
        <v>26460000</v>
      </c>
    </row>
    <row r="57" spans="2:4" ht="63">
      <c r="B57" s="223">
        <v>965</v>
      </c>
      <c r="C57" s="224" t="s">
        <v>361</v>
      </c>
      <c r="D57" s="221">
        <v>12271000</v>
      </c>
    </row>
    <row r="58" spans="2:4" ht="47.25">
      <c r="B58" s="223">
        <v>971</v>
      </c>
      <c r="C58" s="222" t="s">
        <v>360</v>
      </c>
      <c r="D58" s="221">
        <v>14329000</v>
      </c>
    </row>
    <row r="59" spans="2:4" ht="63">
      <c r="B59" s="223">
        <v>972</v>
      </c>
      <c r="C59" s="222" t="s">
        <v>359</v>
      </c>
      <c r="D59" s="221">
        <v>21600000</v>
      </c>
    </row>
    <row r="60" spans="2:4" ht="47.25">
      <c r="B60" s="223">
        <v>973</v>
      </c>
      <c r="C60" s="222" t="s">
        <v>358</v>
      </c>
      <c r="D60" s="221">
        <v>12271000</v>
      </c>
    </row>
    <row r="61" spans="2:4" ht="63">
      <c r="B61" s="223">
        <v>979</v>
      </c>
      <c r="C61" s="222" t="s">
        <v>357</v>
      </c>
      <c r="D61" s="221">
        <v>44689149</v>
      </c>
    </row>
    <row r="62" spans="2:4" ht="78.75">
      <c r="B62" s="223">
        <v>2480</v>
      </c>
      <c r="C62" s="222" t="s">
        <v>356</v>
      </c>
      <c r="D62" s="221">
        <v>175191600</v>
      </c>
    </row>
    <row r="63" spans="2:4" ht="63">
      <c r="B63" s="223">
        <v>3053</v>
      </c>
      <c r="C63" s="224" t="s">
        <v>355</v>
      </c>
      <c r="D63" s="221">
        <v>986451455</v>
      </c>
    </row>
    <row r="64" spans="2:4" ht="78.75">
      <c r="B64" s="226">
        <v>4502</v>
      </c>
      <c r="C64" s="225" t="s">
        <v>354</v>
      </c>
      <c r="D64" s="221">
        <v>65362500</v>
      </c>
    </row>
    <row r="65" spans="2:4" ht="78.75">
      <c r="B65" s="223">
        <v>4567</v>
      </c>
      <c r="C65" s="225" t="s">
        <v>353</v>
      </c>
      <c r="D65" s="221">
        <v>27867119</v>
      </c>
    </row>
    <row r="66" spans="2:4" ht="78.75">
      <c r="B66" s="223">
        <v>4568</v>
      </c>
      <c r="C66" s="224" t="s">
        <v>352</v>
      </c>
      <c r="D66" s="221">
        <v>245382622</v>
      </c>
    </row>
    <row r="67" spans="2:4" ht="63">
      <c r="B67" s="223">
        <v>1129</v>
      </c>
      <c r="C67" s="222" t="s">
        <v>488</v>
      </c>
      <c r="D67" s="221">
        <v>17850000</v>
      </c>
    </row>
    <row r="68" spans="2:4" ht="63">
      <c r="B68" s="223">
        <v>1134</v>
      </c>
      <c r="C68" s="222" t="s">
        <v>489</v>
      </c>
      <c r="D68" s="221">
        <v>25200000</v>
      </c>
    </row>
    <row r="69" spans="2:4" ht="78.75">
      <c r="B69" s="223">
        <v>1130</v>
      </c>
      <c r="C69" s="222" t="s">
        <v>490</v>
      </c>
      <c r="D69" s="221">
        <v>11445000</v>
      </c>
    </row>
    <row r="70" spans="2:4" ht="63">
      <c r="B70" s="223">
        <v>1128</v>
      </c>
      <c r="C70" s="222" t="s">
        <v>491</v>
      </c>
      <c r="D70" s="221">
        <v>37100000</v>
      </c>
    </row>
    <row r="71" spans="2:4" ht="63">
      <c r="B71" s="223">
        <v>1127</v>
      </c>
      <c r="C71" s="222" t="s">
        <v>492</v>
      </c>
      <c r="D71" s="221">
        <v>17850000</v>
      </c>
    </row>
    <row r="72" spans="2:4" ht="63">
      <c r="B72" s="223">
        <v>1126</v>
      </c>
      <c r="C72" s="222" t="s">
        <v>493</v>
      </c>
      <c r="D72" s="221">
        <v>17850000</v>
      </c>
    </row>
    <row r="73" spans="2:4" ht="94.5">
      <c r="B73" s="223">
        <v>1133</v>
      </c>
      <c r="C73" s="222" t="s">
        <v>494</v>
      </c>
      <c r="D73" s="221">
        <v>21600000</v>
      </c>
    </row>
    <row r="74" spans="2:4" ht="78.75">
      <c r="B74" s="223">
        <v>1192</v>
      </c>
      <c r="C74" s="222" t="s">
        <v>495</v>
      </c>
      <c r="D74" s="221">
        <v>12271000</v>
      </c>
    </row>
    <row r="75" spans="2:4" ht="63">
      <c r="B75" s="223">
        <v>1131</v>
      </c>
      <c r="C75" s="222" t="s">
        <v>496</v>
      </c>
      <c r="D75" s="221">
        <v>25200000</v>
      </c>
    </row>
    <row r="76" spans="2:4" ht="47.25">
      <c r="B76" s="223">
        <v>1285</v>
      </c>
      <c r="C76" s="222" t="s">
        <v>497</v>
      </c>
      <c r="D76" s="221">
        <v>14329000</v>
      </c>
    </row>
    <row r="77" spans="2:4" ht="78.75">
      <c r="B77" s="223">
        <v>1286</v>
      </c>
      <c r="C77" s="222" t="s">
        <v>498</v>
      </c>
      <c r="D77" s="221">
        <v>12271000</v>
      </c>
    </row>
    <row r="78" spans="2:4" ht="78.75">
      <c r="B78" s="223">
        <v>1287</v>
      </c>
      <c r="C78" s="222" t="s">
        <v>499</v>
      </c>
      <c r="D78" s="221">
        <v>18739000</v>
      </c>
    </row>
    <row r="79" spans="2:4" ht="47.25">
      <c r="B79" s="223">
        <v>1289</v>
      </c>
      <c r="C79" s="222" t="s">
        <v>500</v>
      </c>
      <c r="D79" s="221">
        <v>26460000</v>
      </c>
    </row>
    <row r="80" spans="2:4" ht="63">
      <c r="B80" s="223">
        <v>1292</v>
      </c>
      <c r="C80" s="222" t="s">
        <v>501</v>
      </c>
      <c r="D80" s="221">
        <v>15300000</v>
      </c>
    </row>
    <row r="81" spans="2:4" ht="63">
      <c r="B81" s="223">
        <v>1288</v>
      </c>
      <c r="C81" s="222" t="s">
        <v>502</v>
      </c>
      <c r="D81" s="221">
        <v>21600000</v>
      </c>
    </row>
    <row r="82" spans="2:4" ht="47.25">
      <c r="B82" s="223">
        <v>1290</v>
      </c>
      <c r="C82" s="222" t="s">
        <v>503</v>
      </c>
      <c r="D82" s="221">
        <v>11652000</v>
      </c>
    </row>
    <row r="83" spans="2:4" ht="78.75">
      <c r="B83" s="223">
        <v>1316</v>
      </c>
      <c r="C83" s="222" t="s">
        <v>504</v>
      </c>
      <c r="D83" s="221">
        <v>11445000</v>
      </c>
    </row>
    <row r="84" spans="2:4" ht="47.25">
      <c r="B84" s="223">
        <v>1291</v>
      </c>
      <c r="C84" s="222" t="s">
        <v>505</v>
      </c>
      <c r="D84" s="221">
        <v>29750000</v>
      </c>
    </row>
    <row r="85" spans="2:4" ht="63">
      <c r="B85" s="223">
        <v>1315</v>
      </c>
      <c r="C85" s="222" t="s">
        <v>506</v>
      </c>
      <c r="D85" s="221">
        <v>21315000</v>
      </c>
    </row>
    <row r="86" spans="2:4" ht="78.75">
      <c r="B86" s="223">
        <v>1306</v>
      </c>
      <c r="C86" s="222" t="s">
        <v>507</v>
      </c>
      <c r="D86" s="221">
        <v>12271000</v>
      </c>
    </row>
    <row r="87" spans="2:4" ht="47.25">
      <c r="B87" s="223">
        <v>1314</v>
      </c>
      <c r="C87" s="222" t="s">
        <v>508</v>
      </c>
      <c r="D87" s="221">
        <v>42000000</v>
      </c>
    </row>
    <row r="88" spans="2:4" ht="63">
      <c r="B88" s="223">
        <v>1344</v>
      </c>
      <c r="C88" s="222" t="s">
        <v>509</v>
      </c>
      <c r="D88" s="221">
        <v>25500000</v>
      </c>
    </row>
    <row r="89" spans="2:4" ht="78.75">
      <c r="B89" s="223">
        <v>1339</v>
      </c>
      <c r="C89" s="222" t="s">
        <v>510</v>
      </c>
      <c r="D89" s="221">
        <v>29750000</v>
      </c>
    </row>
    <row r="90" spans="2:4" ht="63">
      <c r="B90" s="223">
        <v>1338</v>
      </c>
      <c r="C90" s="222" t="s">
        <v>511</v>
      </c>
      <c r="D90" s="221">
        <v>25200000</v>
      </c>
    </row>
    <row r="91" spans="2:4" ht="78.75">
      <c r="B91" s="223">
        <v>1419</v>
      </c>
      <c r="C91" s="222" t="s">
        <v>512</v>
      </c>
      <c r="D91" s="221">
        <v>14329000</v>
      </c>
    </row>
    <row r="92" spans="2:4" ht="63">
      <c r="B92" s="223">
        <v>1388</v>
      </c>
      <c r="C92" s="222" t="s">
        <v>513</v>
      </c>
      <c r="D92" s="221">
        <v>28000000</v>
      </c>
    </row>
    <row r="93" spans="2:4" ht="47.25">
      <c r="B93" s="223">
        <v>1420</v>
      </c>
      <c r="C93" s="222" t="s">
        <v>514</v>
      </c>
      <c r="D93" s="221">
        <v>21315000</v>
      </c>
    </row>
    <row r="94" spans="2:4" ht="63">
      <c r="B94" s="223">
        <v>1424</v>
      </c>
      <c r="C94" s="222" t="s">
        <v>515</v>
      </c>
      <c r="D94" s="221">
        <v>18739000</v>
      </c>
    </row>
    <row r="95" spans="2:4" ht="63">
      <c r="B95" s="223">
        <v>1423</v>
      </c>
      <c r="C95" s="222" t="s">
        <v>516</v>
      </c>
      <c r="D95" s="221">
        <v>16062000</v>
      </c>
    </row>
    <row r="96" spans="2:4" ht="47.25">
      <c r="B96" s="223">
        <v>1422</v>
      </c>
      <c r="C96" s="222" t="s">
        <v>517</v>
      </c>
      <c r="D96" s="221">
        <v>42000000</v>
      </c>
    </row>
    <row r="97" spans="2:4" ht="63">
      <c r="B97" s="223">
        <v>1421</v>
      </c>
      <c r="C97" s="222" t="s">
        <v>518</v>
      </c>
      <c r="D97" s="221">
        <v>17850000</v>
      </c>
    </row>
    <row r="98" spans="2:4" ht="47.25">
      <c r="B98" s="223">
        <v>1425</v>
      </c>
      <c r="C98" s="222" t="s">
        <v>519</v>
      </c>
      <c r="D98" s="221">
        <v>18739000</v>
      </c>
    </row>
    <row r="99" spans="2:4" ht="78.75">
      <c r="B99" s="223">
        <v>1432</v>
      </c>
      <c r="C99" s="222" t="s">
        <v>520</v>
      </c>
      <c r="D99" s="221">
        <v>12271000</v>
      </c>
    </row>
    <row r="100" spans="2:4" ht="78.75">
      <c r="B100" s="223">
        <v>1434</v>
      </c>
      <c r="C100" s="222" t="s">
        <v>521</v>
      </c>
      <c r="D100" s="221">
        <v>15225000</v>
      </c>
    </row>
    <row r="101" spans="2:4" ht="63">
      <c r="B101" s="223">
        <v>1526</v>
      </c>
      <c r="C101" s="222" t="s">
        <v>522</v>
      </c>
      <c r="D101" s="221">
        <v>10020000</v>
      </c>
    </row>
    <row r="102" spans="2:4" ht="78.75">
      <c r="B102" s="223">
        <v>1546</v>
      </c>
      <c r="C102" s="222" t="s">
        <v>523</v>
      </c>
      <c r="D102" s="221">
        <v>11445000</v>
      </c>
    </row>
    <row r="103" spans="2:4" ht="78.75">
      <c r="B103" s="223">
        <v>1565</v>
      </c>
      <c r="C103" s="222" t="s">
        <v>524</v>
      </c>
      <c r="D103" s="221">
        <v>26700000</v>
      </c>
    </row>
    <row r="104" spans="2:4" ht="47.25">
      <c r="B104" s="223">
        <v>1548</v>
      </c>
      <c r="C104" s="222" t="s">
        <v>525</v>
      </c>
      <c r="D104" s="221">
        <v>9810000</v>
      </c>
    </row>
    <row r="105" spans="2:4" ht="63">
      <c r="B105" s="223">
        <v>1553</v>
      </c>
      <c r="C105" s="222" t="s">
        <v>526</v>
      </c>
      <c r="D105" s="221">
        <v>16062000</v>
      </c>
    </row>
    <row r="106" spans="2:4" ht="78.75">
      <c r="B106" s="223">
        <v>1552</v>
      </c>
      <c r="C106" s="222" t="s">
        <v>527</v>
      </c>
      <c r="D106" s="221">
        <v>37100000</v>
      </c>
    </row>
    <row r="107" spans="2:4" ht="63">
      <c r="B107" s="223">
        <v>1550</v>
      </c>
      <c r="C107" s="222" t="s">
        <v>528</v>
      </c>
      <c r="D107" s="221">
        <v>21600000</v>
      </c>
    </row>
    <row r="108" spans="2:4" ht="78.75">
      <c r="B108" s="223">
        <v>1549</v>
      </c>
      <c r="C108" s="222" t="s">
        <v>529</v>
      </c>
      <c r="D108" s="221">
        <v>18739000</v>
      </c>
    </row>
    <row r="109" spans="2:4" ht="78.75">
      <c r="B109" s="223">
        <v>1551</v>
      </c>
      <c r="C109" s="222" t="s">
        <v>530</v>
      </c>
      <c r="D109" s="221">
        <v>11445000</v>
      </c>
    </row>
    <row r="110" spans="2:4" ht="63">
      <c r="B110" s="223">
        <v>1547</v>
      </c>
      <c r="C110" s="222" t="s">
        <v>531</v>
      </c>
      <c r="D110" s="221">
        <v>18739000</v>
      </c>
    </row>
    <row r="111" spans="2:4" ht="47.25">
      <c r="B111" s="223">
        <v>1575</v>
      </c>
      <c r="C111" s="222" t="s">
        <v>532</v>
      </c>
      <c r="D111" s="221">
        <v>8765000</v>
      </c>
    </row>
    <row r="112" spans="2:4" ht="63">
      <c r="B112" s="223">
        <v>1609</v>
      </c>
      <c r="C112" s="222" t="s">
        <v>533</v>
      </c>
      <c r="D112" s="221">
        <v>8175000</v>
      </c>
    </row>
    <row r="113" spans="2:4" ht="63">
      <c r="B113" s="223">
        <v>1574</v>
      </c>
      <c r="C113" s="222" t="s">
        <v>534</v>
      </c>
      <c r="D113" s="221">
        <v>12282000</v>
      </c>
    </row>
    <row r="114" spans="2:4" ht="63">
      <c r="B114" s="223">
        <v>1608</v>
      </c>
      <c r="C114" s="222" t="s">
        <v>535</v>
      </c>
      <c r="D114" s="221">
        <v>33250000</v>
      </c>
    </row>
    <row r="115" spans="2:4" ht="78.75">
      <c r="B115" s="223">
        <v>1554</v>
      </c>
      <c r="C115" s="222" t="s">
        <v>536</v>
      </c>
      <c r="D115" s="221">
        <v>11445000</v>
      </c>
    </row>
    <row r="116" spans="2:4" ht="63">
      <c r="B116" s="223">
        <v>1598</v>
      </c>
      <c r="C116" s="222" t="s">
        <v>537</v>
      </c>
      <c r="D116" s="221">
        <v>16062000</v>
      </c>
    </row>
    <row r="117" spans="2:4" ht="47.25">
      <c r="B117" s="223">
        <v>1652</v>
      </c>
      <c r="C117" s="222" t="s">
        <v>538</v>
      </c>
      <c r="D117" s="221">
        <v>8175000</v>
      </c>
    </row>
    <row r="118" spans="2:4" ht="47.25">
      <c r="B118" s="223">
        <v>1654</v>
      </c>
      <c r="C118" s="222" t="s">
        <v>539</v>
      </c>
      <c r="D118" s="221">
        <v>18739000</v>
      </c>
    </row>
    <row r="119" spans="2:4" ht="78.75">
      <c r="B119" s="223">
        <v>1667</v>
      </c>
      <c r="C119" s="222" t="s">
        <v>540</v>
      </c>
      <c r="D119" s="221">
        <v>21600000</v>
      </c>
    </row>
    <row r="120" spans="2:4" ht="63">
      <c r="B120" s="223">
        <v>1635</v>
      </c>
      <c r="C120" s="222" t="s">
        <v>541</v>
      </c>
      <c r="D120" s="221">
        <v>18739000</v>
      </c>
    </row>
    <row r="121" spans="2:4" ht="63">
      <c r="B121" s="223">
        <v>1683</v>
      </c>
      <c r="C121" s="222" t="s">
        <v>542</v>
      </c>
      <c r="D121" s="221">
        <v>12750000</v>
      </c>
    </row>
    <row r="122" spans="2:4" ht="63">
      <c r="B122" s="223">
        <v>1684</v>
      </c>
      <c r="C122" s="222" t="s">
        <v>543</v>
      </c>
      <c r="D122" s="221">
        <v>16062000</v>
      </c>
    </row>
    <row r="123" spans="2:4" ht="63">
      <c r="B123" s="223">
        <v>1767</v>
      </c>
      <c r="C123" s="222" t="s">
        <v>544</v>
      </c>
      <c r="D123" s="221">
        <v>600000000</v>
      </c>
    </row>
    <row r="124" spans="2:4" ht="47.25">
      <c r="B124" s="223">
        <v>1724</v>
      </c>
      <c r="C124" s="222" t="s">
        <v>545</v>
      </c>
      <c r="D124" s="221">
        <v>8175000</v>
      </c>
    </row>
    <row r="125" spans="2:4" ht="63">
      <c r="B125" s="223">
        <v>1746</v>
      </c>
      <c r="C125" s="222" t="s">
        <v>546</v>
      </c>
      <c r="D125" s="221">
        <v>21600000</v>
      </c>
    </row>
    <row r="126" spans="2:4" ht="47.25">
      <c r="B126" s="223">
        <v>1745</v>
      </c>
      <c r="C126" s="222" t="s">
        <v>547</v>
      </c>
      <c r="D126" s="221">
        <v>8175000</v>
      </c>
    </row>
    <row r="127" spans="2:4" ht="78.75">
      <c r="B127" s="223">
        <v>1750</v>
      </c>
      <c r="C127" s="222" t="s">
        <v>548</v>
      </c>
      <c r="D127" s="221">
        <v>11652000</v>
      </c>
    </row>
    <row r="128" spans="2:4" ht="47.25">
      <c r="B128" s="223">
        <v>1751</v>
      </c>
      <c r="C128" s="222" t="s">
        <v>549</v>
      </c>
      <c r="D128" s="221">
        <v>8175000</v>
      </c>
    </row>
    <row r="129" spans="2:4" ht="47.25">
      <c r="B129" s="223">
        <v>1752</v>
      </c>
      <c r="C129" s="222" t="s">
        <v>550</v>
      </c>
      <c r="D129" s="221">
        <v>13385000</v>
      </c>
    </row>
    <row r="130" spans="2:4" ht="47.25">
      <c r="B130" s="223">
        <v>1725</v>
      </c>
      <c r="C130" s="222" t="s">
        <v>551</v>
      </c>
      <c r="D130" s="221">
        <v>8175000</v>
      </c>
    </row>
    <row r="131" spans="2:4" ht="63">
      <c r="B131" s="223">
        <v>1753</v>
      </c>
      <c r="C131" s="222" t="s">
        <v>552</v>
      </c>
      <c r="D131" s="221">
        <v>21600000</v>
      </c>
    </row>
    <row r="132" spans="2:4" ht="63">
      <c r="B132" s="223">
        <v>1807</v>
      </c>
      <c r="C132" s="222" t="s">
        <v>487</v>
      </c>
      <c r="D132" s="221">
        <v>250710867</v>
      </c>
    </row>
    <row r="133" spans="2:4" ht="63">
      <c r="B133" s="223">
        <v>1797</v>
      </c>
      <c r="C133" s="222" t="s">
        <v>553</v>
      </c>
      <c r="D133" s="221">
        <v>10020000</v>
      </c>
    </row>
    <row r="134" spans="2:4" ht="78.75">
      <c r="B134" s="223">
        <v>1830</v>
      </c>
      <c r="C134" s="222" t="s">
        <v>554</v>
      </c>
      <c r="D134" s="221">
        <v>21250000</v>
      </c>
    </row>
    <row r="135" spans="2:4" ht="63">
      <c r="B135" s="223">
        <v>1831</v>
      </c>
      <c r="C135" s="222" t="s">
        <v>555</v>
      </c>
      <c r="D135" s="221">
        <v>13385000</v>
      </c>
    </row>
    <row r="136" spans="2:4" ht="63">
      <c r="B136" s="223">
        <v>1834</v>
      </c>
      <c r="C136" s="222" t="s">
        <v>556</v>
      </c>
      <c r="D136" s="221">
        <v>8765000</v>
      </c>
    </row>
    <row r="137" spans="2:4" ht="63">
      <c r="B137" s="223">
        <v>1854</v>
      </c>
      <c r="C137" s="222" t="s">
        <v>557</v>
      </c>
      <c r="D137" s="221">
        <v>14500000</v>
      </c>
    </row>
    <row r="138" spans="2:4" ht="63">
      <c r="B138" s="223">
        <v>1829</v>
      </c>
      <c r="C138" s="222" t="s">
        <v>558</v>
      </c>
      <c r="D138" s="221">
        <v>25500000</v>
      </c>
    </row>
    <row r="139" spans="2:4" ht="47.25">
      <c r="B139" s="223">
        <v>1904</v>
      </c>
      <c r="C139" s="222" t="s">
        <v>559</v>
      </c>
      <c r="D139" s="221">
        <v>10200000</v>
      </c>
    </row>
    <row r="140" spans="2:4" ht="47.25">
      <c r="B140" s="223">
        <v>1903</v>
      </c>
      <c r="C140" s="222" t="s">
        <v>560</v>
      </c>
      <c r="D140" s="221">
        <v>10200000</v>
      </c>
    </row>
    <row r="141" spans="2:4" ht="47.25">
      <c r="B141" s="223">
        <v>1901</v>
      </c>
      <c r="C141" s="222" t="s">
        <v>561</v>
      </c>
      <c r="D141" s="221">
        <v>8400000</v>
      </c>
    </row>
    <row r="142" spans="2:4" ht="78.75">
      <c r="B142" s="223">
        <v>1876</v>
      </c>
      <c r="C142" s="222" t="s">
        <v>562</v>
      </c>
      <c r="D142" s="221">
        <v>10518000</v>
      </c>
    </row>
    <row r="143" spans="2:4" ht="47.25">
      <c r="B143" s="223">
        <v>1898</v>
      </c>
      <c r="C143" s="222" t="s">
        <v>563</v>
      </c>
      <c r="D143" s="221">
        <v>6124000</v>
      </c>
    </row>
    <row r="144" spans="2:4" ht="47.25">
      <c r="B144" s="223">
        <v>1883</v>
      </c>
      <c r="C144" s="222" t="s">
        <v>564</v>
      </c>
      <c r="D144" s="221">
        <v>6680000</v>
      </c>
    </row>
    <row r="145" spans="2:4" ht="47.25">
      <c r="B145" s="223">
        <v>1893</v>
      </c>
      <c r="C145" s="222" t="s">
        <v>565</v>
      </c>
      <c r="D145" s="221">
        <v>6124000</v>
      </c>
    </row>
    <row r="146" spans="2:4" ht="47.25">
      <c r="B146" s="223">
        <v>1897</v>
      </c>
      <c r="C146" s="222" t="s">
        <v>566</v>
      </c>
      <c r="D146" s="221">
        <v>6124000</v>
      </c>
    </row>
    <row r="147" spans="2:4" ht="47.25">
      <c r="B147" s="223">
        <v>1894</v>
      </c>
      <c r="C147" s="222" t="s">
        <v>567</v>
      </c>
      <c r="D147" s="221">
        <v>6124000</v>
      </c>
    </row>
    <row r="148" spans="2:4" ht="47.25">
      <c r="B148" s="223">
        <v>1895</v>
      </c>
      <c r="C148" s="222" t="s">
        <v>568</v>
      </c>
      <c r="D148" s="221">
        <v>6680000</v>
      </c>
    </row>
    <row r="149" spans="2:4" ht="47.25">
      <c r="B149" s="223">
        <v>1896</v>
      </c>
      <c r="C149" s="222" t="s">
        <v>569</v>
      </c>
      <c r="D149" s="221">
        <v>6680000</v>
      </c>
    </row>
    <row r="150" spans="2:4" ht="47.25">
      <c r="B150" s="223">
        <v>1874</v>
      </c>
      <c r="C150" s="222" t="s">
        <v>570</v>
      </c>
      <c r="D150" s="221">
        <v>10200000</v>
      </c>
    </row>
    <row r="151" spans="2:4" ht="78.75">
      <c r="B151" s="223">
        <v>1907</v>
      </c>
      <c r="C151" s="222" t="s">
        <v>571</v>
      </c>
      <c r="D151" s="221">
        <v>650000000</v>
      </c>
    </row>
    <row r="152" spans="2:4" ht="78.75">
      <c r="B152" s="223">
        <v>1875</v>
      </c>
      <c r="C152" s="222" t="s">
        <v>572</v>
      </c>
      <c r="D152" s="221">
        <v>15300000</v>
      </c>
    </row>
    <row r="153" spans="2:4" ht="47.25">
      <c r="B153" s="223">
        <v>1960</v>
      </c>
      <c r="C153" s="222" t="s">
        <v>573</v>
      </c>
      <c r="D153" s="221">
        <v>7768000</v>
      </c>
    </row>
    <row r="154" spans="2:4" ht="47.25">
      <c r="B154" s="223">
        <v>1959</v>
      </c>
      <c r="C154" s="222" t="s">
        <v>574</v>
      </c>
      <c r="D154" s="221">
        <v>5800000</v>
      </c>
    </row>
    <row r="155" spans="2:4" ht="47.25">
      <c r="B155" s="223">
        <v>1992</v>
      </c>
      <c r="C155" s="222" t="s">
        <v>575</v>
      </c>
      <c r="D155" s="221">
        <v>5800000</v>
      </c>
    </row>
    <row r="156" spans="2:4" ht="94.5">
      <c r="B156" s="223">
        <v>1384</v>
      </c>
      <c r="C156" s="222" t="s">
        <v>576</v>
      </c>
      <c r="D156" s="221">
        <v>21600000</v>
      </c>
    </row>
    <row r="157" spans="2:4">
      <c r="B157" s="269"/>
      <c r="C157" s="269" t="s">
        <v>577</v>
      </c>
      <c r="D157" s="221">
        <v>21117379</v>
      </c>
    </row>
    <row r="158" spans="2:4">
      <c r="B158" s="269"/>
      <c r="C158" s="269" t="s">
        <v>351</v>
      </c>
      <c r="D158" s="221">
        <f>1091915+1249181</f>
        <v>2341096</v>
      </c>
    </row>
    <row r="159" spans="2:4">
      <c r="D159" s="220">
        <f>SUM(D2:D158)</f>
        <v>7875012376</v>
      </c>
    </row>
  </sheetData>
  <autoFilter ref="B1:D159"/>
  <conditionalFormatting sqref="B159:B1048576 B1:B66">
    <cfRule type="duplicateValues" dxfId="1" priority="2"/>
  </conditionalFormatting>
  <conditionalFormatting sqref="B67:B156"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IP62"/>
  <sheetViews>
    <sheetView topLeftCell="A41" zoomScale="107" zoomScaleNormal="107" zoomScalePageLayoutView="70" workbookViewId="0">
      <selection activeCell="D42" sqref="D42"/>
    </sheetView>
  </sheetViews>
  <sheetFormatPr baseColWidth="10" defaultColWidth="12.5703125" defaultRowHeight="15"/>
  <cols>
    <col min="1" max="1" width="42.28515625" style="1" customWidth="1"/>
    <col min="2" max="2" width="10.85546875" style="1" customWidth="1"/>
    <col min="3" max="3" width="21.5703125" style="1" customWidth="1"/>
    <col min="4" max="4" width="9.140625" style="1" customWidth="1"/>
    <col min="5" max="5" width="16.5703125" style="1" customWidth="1"/>
    <col min="6" max="6" width="18.5703125" style="1" customWidth="1"/>
    <col min="7" max="7" width="11.140625" style="3" customWidth="1"/>
    <col min="8" max="8" width="13.42578125" style="1" customWidth="1"/>
    <col min="9" max="9" width="11.28515625" style="1" customWidth="1"/>
    <col min="10" max="10" width="15.5703125" style="2" customWidth="1"/>
    <col min="11" max="11" width="17.28515625" style="2" customWidth="1"/>
    <col min="12" max="12" width="12.42578125" style="1" customWidth="1"/>
    <col min="13" max="13" width="18.140625" style="1" customWidth="1"/>
    <col min="14" max="15" width="17.28515625" style="1" customWidth="1"/>
    <col min="16" max="16" width="7.140625" style="1" customWidth="1"/>
    <col min="17" max="17" width="16.42578125" style="1" customWidth="1"/>
    <col min="18" max="18" width="20.140625" style="1" customWidth="1"/>
    <col min="19" max="19" width="21.28515625" style="1" customWidth="1"/>
    <col min="20" max="20" width="18.5703125" style="1" customWidth="1"/>
    <col min="21" max="21" width="33.85546875" style="1" customWidth="1"/>
    <col min="22" max="22" width="12.5703125" style="1" hidden="1" customWidth="1"/>
    <col min="23" max="23" width="24.28515625" style="1" customWidth="1"/>
    <col min="24" max="24" width="22.5703125" style="1" customWidth="1"/>
    <col min="25" max="26" width="12.5703125" style="1"/>
    <col min="27" max="27" width="16.85546875" style="1" customWidth="1"/>
    <col min="28" max="28" width="12.5703125" style="1"/>
    <col min="29" max="29" width="30.140625" style="1" customWidth="1"/>
    <col min="30" max="30" width="15.42578125" style="1" customWidth="1"/>
    <col min="31" max="31" width="15.85546875" style="1" customWidth="1"/>
    <col min="32" max="32" width="24.42578125" style="1" customWidth="1"/>
    <col min="33" max="33" width="17.140625" style="1" customWidth="1"/>
    <col min="34" max="16384" width="12.5703125" style="1"/>
  </cols>
  <sheetData>
    <row r="1" spans="1:250" ht="15.75">
      <c r="A1" s="488"/>
      <c r="B1" s="491" t="s">
        <v>86</v>
      </c>
      <c r="C1" s="492"/>
      <c r="D1" s="492"/>
      <c r="E1" s="492"/>
      <c r="F1" s="492"/>
      <c r="G1" s="492"/>
      <c r="H1" s="493"/>
      <c r="I1" s="497" t="s">
        <v>87</v>
      </c>
      <c r="J1" s="498"/>
      <c r="K1" s="498"/>
      <c r="L1" s="499"/>
      <c r="M1" s="500"/>
      <c r="N1" s="501"/>
      <c r="O1" s="186"/>
      <c r="P1" s="33"/>
      <c r="Q1" s="33"/>
    </row>
    <row r="2" spans="1:250" ht="15.75">
      <c r="A2" s="489"/>
      <c r="B2" s="494"/>
      <c r="C2" s="495"/>
      <c r="D2" s="495"/>
      <c r="E2" s="495"/>
      <c r="F2" s="495"/>
      <c r="G2" s="495"/>
      <c r="H2" s="496"/>
      <c r="I2" s="497" t="s">
        <v>88</v>
      </c>
      <c r="J2" s="498"/>
      <c r="K2" s="498"/>
      <c r="L2" s="499"/>
      <c r="M2" s="502"/>
      <c r="N2" s="503"/>
      <c r="O2" s="186"/>
      <c r="P2" s="33"/>
      <c r="Q2" s="33"/>
    </row>
    <row r="3" spans="1:250" ht="15.75">
      <c r="A3" s="489"/>
      <c r="B3" s="491" t="s">
        <v>89</v>
      </c>
      <c r="C3" s="492"/>
      <c r="D3" s="492"/>
      <c r="E3" s="492"/>
      <c r="F3" s="492"/>
      <c r="G3" s="492"/>
      <c r="H3" s="493"/>
      <c r="I3" s="497" t="s">
        <v>90</v>
      </c>
      <c r="J3" s="498"/>
      <c r="K3" s="498"/>
      <c r="L3" s="499"/>
      <c r="M3" s="502"/>
      <c r="N3" s="503"/>
      <c r="O3" s="186"/>
      <c r="P3" s="33"/>
      <c r="Q3" s="33"/>
    </row>
    <row r="4" spans="1:250" ht="15.75">
      <c r="A4" s="490"/>
      <c r="B4" s="494"/>
      <c r="C4" s="495"/>
      <c r="D4" s="495"/>
      <c r="E4" s="495"/>
      <c r="F4" s="495"/>
      <c r="G4" s="495"/>
      <c r="H4" s="496"/>
      <c r="I4" s="497" t="s">
        <v>91</v>
      </c>
      <c r="J4" s="498"/>
      <c r="K4" s="498"/>
      <c r="L4" s="499"/>
      <c r="M4" s="504"/>
      <c r="N4" s="505"/>
      <c r="O4" s="186"/>
      <c r="P4" s="33"/>
      <c r="Q4" s="33"/>
    </row>
    <row r="5" spans="1:250" ht="15.75">
      <c r="A5" s="506"/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186"/>
      <c r="P5" s="33"/>
      <c r="Q5" s="33"/>
    </row>
    <row r="6" spans="1:250" ht="15.75">
      <c r="A6" s="497" t="s">
        <v>129</v>
      </c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9"/>
      <c r="O6" s="195"/>
      <c r="P6" s="33"/>
      <c r="Q6" s="33"/>
    </row>
    <row r="7" spans="1:250" ht="15.75">
      <c r="A7" s="34" t="s">
        <v>282</v>
      </c>
      <c r="B7" s="411" t="s">
        <v>465</v>
      </c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195"/>
    </row>
    <row r="8" spans="1:250" ht="15.75">
      <c r="A8" s="35" t="s">
        <v>32</v>
      </c>
      <c r="B8" s="507" t="s">
        <v>33</v>
      </c>
      <c r="C8" s="508"/>
      <c r="D8" s="508"/>
      <c r="E8" s="508"/>
      <c r="F8" s="509"/>
      <c r="G8" s="510" t="s">
        <v>281</v>
      </c>
      <c r="H8" s="511"/>
      <c r="I8" s="512"/>
      <c r="J8" s="519" t="s">
        <v>31</v>
      </c>
      <c r="K8" s="520"/>
      <c r="L8" s="520"/>
      <c r="M8" s="520"/>
      <c r="N8" s="521"/>
      <c r="O8" s="189"/>
      <c r="P8" s="36"/>
      <c r="Q8" s="36"/>
      <c r="S8" s="487"/>
      <c r="T8" s="487"/>
      <c r="U8" s="487"/>
      <c r="V8" s="487"/>
      <c r="W8" s="487"/>
    </row>
    <row r="9" spans="1:250" ht="15.75">
      <c r="A9" s="37" t="s">
        <v>30</v>
      </c>
      <c r="B9" s="523" t="s">
        <v>37</v>
      </c>
      <c r="C9" s="508"/>
      <c r="D9" s="508"/>
      <c r="E9" s="508"/>
      <c r="F9" s="509"/>
      <c r="G9" s="513"/>
      <c r="H9" s="514"/>
      <c r="I9" s="515"/>
      <c r="J9" s="184" t="s">
        <v>29</v>
      </c>
      <c r="K9" s="422" t="s">
        <v>28</v>
      </c>
      <c r="L9" s="422"/>
      <c r="M9" s="422"/>
      <c r="N9" s="184" t="s">
        <v>27</v>
      </c>
      <c r="O9" s="190"/>
      <c r="P9" s="36"/>
      <c r="Q9" s="36"/>
      <c r="S9" s="185"/>
      <c r="T9" s="185"/>
      <c r="U9" s="185"/>
      <c r="V9" s="185"/>
      <c r="W9" s="185"/>
    </row>
    <row r="10" spans="1:250" ht="42.75" customHeight="1">
      <c r="A10" s="38" t="s">
        <v>26</v>
      </c>
      <c r="B10" s="522" t="s">
        <v>38</v>
      </c>
      <c r="C10" s="523"/>
      <c r="D10" s="523"/>
      <c r="E10" s="523"/>
      <c r="F10" s="524"/>
      <c r="G10" s="513"/>
      <c r="H10" s="514"/>
      <c r="I10" s="515"/>
      <c r="J10" s="39"/>
      <c r="K10" s="528"/>
      <c r="L10" s="529"/>
      <c r="M10" s="530"/>
      <c r="N10" s="40"/>
      <c r="P10" s="36"/>
      <c r="Q10" s="36"/>
      <c r="S10" s="187"/>
      <c r="T10" s="531"/>
      <c r="U10" s="531"/>
      <c r="V10" s="531"/>
      <c r="W10" s="187"/>
      <c r="Y10" s="186"/>
      <c r="Z10" s="186"/>
    </row>
    <row r="11" spans="1:250" ht="38.25" customHeight="1">
      <c r="A11" s="41" t="s">
        <v>25</v>
      </c>
      <c r="B11" s="522" t="s">
        <v>39</v>
      </c>
      <c r="C11" s="523"/>
      <c r="D11" s="523"/>
      <c r="E11" s="523"/>
      <c r="F11" s="524"/>
      <c r="G11" s="513"/>
      <c r="H11" s="514"/>
      <c r="I11" s="515"/>
      <c r="J11" s="183"/>
      <c r="K11" s="525"/>
      <c r="L11" s="526"/>
      <c r="M11" s="527"/>
      <c r="N11" s="42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</row>
    <row r="12" spans="1:250" ht="15.75">
      <c r="A12" s="43" t="s">
        <v>24</v>
      </c>
      <c r="B12" s="532">
        <v>2020730010053</v>
      </c>
      <c r="C12" s="533"/>
      <c r="D12" s="533"/>
      <c r="E12" s="533"/>
      <c r="F12" s="534"/>
      <c r="G12" s="513"/>
      <c r="H12" s="514"/>
      <c r="I12" s="515"/>
      <c r="J12" s="44"/>
      <c r="K12" s="468"/>
      <c r="L12" s="469"/>
      <c r="M12" s="470"/>
      <c r="N12" s="4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</row>
    <row r="13" spans="1:250" ht="32.25" customHeight="1">
      <c r="A13" s="465" t="s">
        <v>246</v>
      </c>
      <c r="B13" s="466"/>
      <c r="C13" s="466"/>
      <c r="D13" s="466"/>
      <c r="E13" s="466"/>
      <c r="F13" s="467"/>
      <c r="G13" s="516"/>
      <c r="H13" s="517"/>
      <c r="I13" s="518"/>
      <c r="J13" s="181"/>
      <c r="K13" s="468"/>
      <c r="L13" s="469"/>
      <c r="M13" s="470"/>
      <c r="N13" s="46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</row>
    <row r="14" spans="1:250" ht="15.75">
      <c r="A14" s="484" t="s">
        <v>23</v>
      </c>
      <c r="B14" s="485" t="s">
        <v>22</v>
      </c>
      <c r="C14" s="471" t="s">
        <v>21</v>
      </c>
      <c r="D14" s="471" t="s">
        <v>20</v>
      </c>
      <c r="E14" s="486" t="s">
        <v>324</v>
      </c>
      <c r="F14" s="477" t="s">
        <v>325</v>
      </c>
      <c r="G14" s="478"/>
      <c r="H14" s="478"/>
      <c r="I14" s="479"/>
      <c r="J14" s="471" t="s">
        <v>17</v>
      </c>
      <c r="K14" s="471"/>
      <c r="L14" s="483" t="s">
        <v>16</v>
      </c>
      <c r="M14" s="483"/>
      <c r="N14" s="483"/>
      <c r="O14" s="196"/>
      <c r="P14" s="3"/>
      <c r="Q14" s="3"/>
      <c r="R14" s="3"/>
      <c r="S14" s="17"/>
      <c r="T14" s="475"/>
      <c r="U14" s="475"/>
      <c r="V14" s="3"/>
      <c r="W14" s="6"/>
      <c r="X14" s="3"/>
      <c r="Y14" s="15"/>
      <c r="Z14" s="4"/>
      <c r="AA14" s="11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pans="1:250" ht="20.25" customHeight="1">
      <c r="A15" s="484"/>
      <c r="B15" s="471"/>
      <c r="C15" s="471"/>
      <c r="D15" s="471"/>
      <c r="E15" s="486"/>
      <c r="F15" s="480"/>
      <c r="G15" s="481"/>
      <c r="H15" s="481"/>
      <c r="I15" s="482"/>
      <c r="J15" s="471"/>
      <c r="K15" s="471"/>
      <c r="L15" s="471" t="s">
        <v>15</v>
      </c>
      <c r="M15" s="471" t="s">
        <v>14</v>
      </c>
      <c r="N15" s="484" t="s">
        <v>13</v>
      </c>
      <c r="O15" s="197"/>
      <c r="P15" s="3"/>
      <c r="Q15" s="3"/>
      <c r="R15" s="3"/>
      <c r="S15" s="16"/>
      <c r="T15" s="475"/>
      <c r="U15" s="475"/>
      <c r="V15" s="3"/>
      <c r="W15" s="5"/>
      <c r="X15" s="3"/>
      <c r="Y15" s="15"/>
      <c r="Z15" s="4"/>
      <c r="AA15" s="11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pans="1:250" ht="15.75">
      <c r="A16" s="484"/>
      <c r="B16" s="471"/>
      <c r="C16" s="471"/>
      <c r="D16" s="471"/>
      <c r="E16" s="486"/>
      <c r="F16" s="182" t="s">
        <v>12</v>
      </c>
      <c r="G16" s="182" t="s">
        <v>11</v>
      </c>
      <c r="H16" s="182" t="s">
        <v>10</v>
      </c>
      <c r="I16" s="9" t="s">
        <v>9</v>
      </c>
      <c r="J16" s="182" t="s">
        <v>8</v>
      </c>
      <c r="K16" s="178" t="s">
        <v>7</v>
      </c>
      <c r="L16" s="471"/>
      <c r="M16" s="471"/>
      <c r="N16" s="484"/>
      <c r="O16" s="197"/>
      <c r="P16" s="108"/>
      <c r="Q16" s="191" t="s">
        <v>278</v>
      </c>
      <c r="R16" s="182" t="s">
        <v>27</v>
      </c>
      <c r="S16" s="14"/>
      <c r="T16" s="475"/>
      <c r="U16" s="475"/>
      <c r="W16" s="4"/>
      <c r="Y16" s="15"/>
      <c r="Z16" s="4"/>
      <c r="AA16" s="11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spans="1:27" s="65" customFormat="1" ht="42" customHeight="1">
      <c r="A17" s="472" t="s">
        <v>326</v>
      </c>
      <c r="B17" s="132" t="s">
        <v>1</v>
      </c>
      <c r="C17" s="473" t="s">
        <v>327</v>
      </c>
      <c r="D17" s="133">
        <v>1</v>
      </c>
      <c r="E17" s="10">
        <f t="shared" ref="E17:E42" si="0">F17</f>
        <v>25000000</v>
      </c>
      <c r="F17" s="10">
        <v>25000000</v>
      </c>
      <c r="G17" s="10">
        <v>0</v>
      </c>
      <c r="H17" s="10">
        <v>0</v>
      </c>
      <c r="I17" s="10">
        <v>0</v>
      </c>
      <c r="J17" s="436">
        <v>44946</v>
      </c>
      <c r="K17" s="436">
        <v>45290</v>
      </c>
      <c r="L17" s="440">
        <f>D18/D17</f>
        <v>0</v>
      </c>
      <c r="M17" s="440">
        <f>E18/E17</f>
        <v>0.88</v>
      </c>
      <c r="N17" s="429">
        <f>L17*L17/M17</f>
        <v>0</v>
      </c>
      <c r="O17" s="198"/>
      <c r="P17" s="128" t="s">
        <v>1</v>
      </c>
      <c r="Q17" s="129">
        <v>1</v>
      </c>
      <c r="R17" s="125">
        <f>F17+F19++F21+F23+F25</f>
        <v>130000000</v>
      </c>
      <c r="S17" s="134"/>
      <c r="T17" s="476"/>
      <c r="U17" s="476"/>
      <c r="W17" s="135"/>
      <c r="Y17" s="67"/>
      <c r="Z17" s="68"/>
      <c r="AA17" s="69"/>
    </row>
    <row r="18" spans="1:27" s="65" customFormat="1" ht="42" customHeight="1">
      <c r="A18" s="472"/>
      <c r="B18" s="132" t="s">
        <v>0</v>
      </c>
      <c r="C18" s="473"/>
      <c r="D18" s="136">
        <v>0</v>
      </c>
      <c r="E18" s="10">
        <f t="shared" si="0"/>
        <v>22000000</v>
      </c>
      <c r="F18" s="10">
        <f>10500000+3000000+3000000+5500000</f>
        <v>22000000</v>
      </c>
      <c r="G18" s="10">
        <v>0</v>
      </c>
      <c r="H18" s="10">
        <v>0</v>
      </c>
      <c r="I18" s="10">
        <v>0</v>
      </c>
      <c r="J18" s="437"/>
      <c r="K18" s="437"/>
      <c r="L18" s="440"/>
      <c r="M18" s="440"/>
      <c r="N18" s="429"/>
      <c r="O18" s="198"/>
      <c r="P18" s="128" t="s">
        <v>0</v>
      </c>
      <c r="Q18" s="130"/>
      <c r="R18" s="125">
        <f>F18+F20++F22+F24+F26</f>
        <v>75255000</v>
      </c>
      <c r="S18" s="125">
        <v>1753000</v>
      </c>
      <c r="W18" s="72"/>
      <c r="Y18" s="67"/>
      <c r="Z18" s="68"/>
      <c r="AA18" s="69"/>
    </row>
    <row r="19" spans="1:27" s="65" customFormat="1" ht="32.25" customHeight="1">
      <c r="A19" s="472" t="s">
        <v>328</v>
      </c>
      <c r="B19" s="132" t="s">
        <v>1</v>
      </c>
      <c r="C19" s="473" t="s">
        <v>329</v>
      </c>
      <c r="D19" s="133">
        <v>7</v>
      </c>
      <c r="E19" s="10">
        <f t="shared" si="0"/>
        <v>20000000</v>
      </c>
      <c r="F19" s="10">
        <v>20000000</v>
      </c>
      <c r="G19" s="10">
        <v>0</v>
      </c>
      <c r="H19" s="10">
        <v>0</v>
      </c>
      <c r="I19" s="10">
        <v>0</v>
      </c>
      <c r="J19" s="436">
        <v>44946</v>
      </c>
      <c r="K19" s="436">
        <v>45290</v>
      </c>
      <c r="L19" s="438">
        <f>D20/D19</f>
        <v>0</v>
      </c>
      <c r="M19" s="438">
        <f>E20/E19</f>
        <v>1</v>
      </c>
      <c r="N19" s="429">
        <f>L19*L19/M19</f>
        <v>0</v>
      </c>
      <c r="O19" s="198"/>
      <c r="P19" s="199"/>
      <c r="Q19" s="137"/>
      <c r="R19" s="151"/>
      <c r="W19" s="72"/>
      <c r="Y19" s="67"/>
      <c r="Z19" s="68"/>
      <c r="AA19" s="69"/>
    </row>
    <row r="20" spans="1:27" s="65" customFormat="1" ht="32.25" customHeight="1">
      <c r="A20" s="472"/>
      <c r="B20" s="132" t="s">
        <v>0</v>
      </c>
      <c r="C20" s="474"/>
      <c r="D20" s="136">
        <v>0</v>
      </c>
      <c r="E20" s="10">
        <f t="shared" si="0"/>
        <v>20000000</v>
      </c>
      <c r="F20" s="10">
        <f>8000000+2629000+2800000+2800000+3771000</f>
        <v>20000000</v>
      </c>
      <c r="G20" s="10">
        <v>0</v>
      </c>
      <c r="H20" s="10">
        <v>0</v>
      </c>
      <c r="I20" s="10">
        <v>0</v>
      </c>
      <c r="J20" s="437"/>
      <c r="K20" s="437"/>
      <c r="L20" s="439"/>
      <c r="M20" s="439"/>
      <c r="N20" s="429"/>
      <c r="O20" s="198"/>
      <c r="P20" s="199"/>
      <c r="Q20" s="137"/>
      <c r="R20" s="151"/>
      <c r="W20" s="72"/>
      <c r="Y20" s="67"/>
      <c r="Z20" s="68"/>
      <c r="AA20" s="69"/>
    </row>
    <row r="21" spans="1:27" s="65" customFormat="1" ht="41.25" customHeight="1">
      <c r="A21" s="463" t="s">
        <v>469</v>
      </c>
      <c r="B21" s="132" t="s">
        <v>1</v>
      </c>
      <c r="C21" s="434" t="s">
        <v>468</v>
      </c>
      <c r="D21" s="245">
        <v>1</v>
      </c>
      <c r="E21" s="10">
        <f t="shared" si="0"/>
        <v>50000000</v>
      </c>
      <c r="F21" s="10">
        <v>50000000</v>
      </c>
      <c r="G21" s="10">
        <v>0</v>
      </c>
      <c r="H21" s="10">
        <v>0</v>
      </c>
      <c r="I21" s="10">
        <v>0</v>
      </c>
      <c r="J21" s="436">
        <v>44951</v>
      </c>
      <c r="K21" s="436">
        <v>45290</v>
      </c>
      <c r="L21" s="440">
        <f>D22/D21</f>
        <v>0</v>
      </c>
      <c r="M21" s="440">
        <f>E22/E21</f>
        <v>0</v>
      </c>
      <c r="N21" s="429">
        <v>0</v>
      </c>
      <c r="O21" s="198"/>
      <c r="Q21" s="137"/>
      <c r="W21" s="72"/>
      <c r="Y21" s="67"/>
      <c r="Z21" s="68"/>
      <c r="AA21" s="69"/>
    </row>
    <row r="22" spans="1:27" s="65" customFormat="1" ht="41.25" customHeight="1">
      <c r="A22" s="464"/>
      <c r="B22" s="132" t="s">
        <v>0</v>
      </c>
      <c r="C22" s="434"/>
      <c r="D22" s="245">
        <v>0</v>
      </c>
      <c r="E22" s="10">
        <f t="shared" si="0"/>
        <v>0</v>
      </c>
      <c r="F22" s="10">
        <v>0</v>
      </c>
      <c r="G22" s="10">
        <v>0</v>
      </c>
      <c r="H22" s="10">
        <v>0</v>
      </c>
      <c r="I22" s="10">
        <v>0</v>
      </c>
      <c r="J22" s="437"/>
      <c r="K22" s="437"/>
      <c r="L22" s="440"/>
      <c r="M22" s="440"/>
      <c r="N22" s="429"/>
      <c r="O22" s="198"/>
      <c r="Q22" s="137"/>
      <c r="W22" s="72"/>
      <c r="Y22" s="67"/>
      <c r="Z22" s="68"/>
      <c r="AA22" s="69"/>
    </row>
    <row r="23" spans="1:27" s="65" customFormat="1" ht="30" customHeight="1">
      <c r="A23" s="463" t="s">
        <v>420</v>
      </c>
      <c r="B23" s="132" t="s">
        <v>1</v>
      </c>
      <c r="C23" s="434" t="s">
        <v>442</v>
      </c>
      <c r="D23" s="136">
        <v>3</v>
      </c>
      <c r="E23" s="10">
        <f t="shared" si="0"/>
        <v>30000000</v>
      </c>
      <c r="F23" s="10">
        <v>30000000</v>
      </c>
      <c r="G23" s="10">
        <v>0</v>
      </c>
      <c r="H23" s="10">
        <v>0</v>
      </c>
      <c r="I23" s="10">
        <v>0</v>
      </c>
      <c r="J23" s="436">
        <v>44951</v>
      </c>
      <c r="K23" s="436">
        <v>45290</v>
      </c>
      <c r="L23" s="438">
        <f>D24/D23</f>
        <v>0</v>
      </c>
      <c r="M23" s="438">
        <f>E24/E23</f>
        <v>0.9418333333333333</v>
      </c>
      <c r="N23" s="429">
        <f>L23*L23/M23</f>
        <v>0</v>
      </c>
      <c r="O23" s="198"/>
      <c r="Q23" s="137"/>
      <c r="W23" s="72"/>
      <c r="Y23" s="67"/>
      <c r="Z23" s="68"/>
      <c r="AA23" s="69"/>
    </row>
    <row r="24" spans="1:27" s="65" customFormat="1" ht="30" customHeight="1">
      <c r="A24" s="464"/>
      <c r="B24" s="132" t="s">
        <v>0</v>
      </c>
      <c r="C24" s="435"/>
      <c r="D24" s="136">
        <v>0</v>
      </c>
      <c r="E24" s="10">
        <f t="shared" si="0"/>
        <v>28255000</v>
      </c>
      <c r="F24" s="10">
        <f>26255000+2000000</f>
        <v>28255000</v>
      </c>
      <c r="G24" s="10">
        <v>0</v>
      </c>
      <c r="H24" s="10">
        <v>0</v>
      </c>
      <c r="I24" s="10">
        <v>0</v>
      </c>
      <c r="J24" s="437"/>
      <c r="K24" s="437"/>
      <c r="L24" s="439"/>
      <c r="M24" s="439"/>
      <c r="N24" s="429"/>
      <c r="O24" s="198"/>
      <c r="Q24" s="137"/>
      <c r="W24" s="72"/>
      <c r="Y24" s="67"/>
      <c r="Z24" s="68"/>
      <c r="AA24" s="69"/>
    </row>
    <row r="25" spans="1:27" s="65" customFormat="1" ht="32.25" customHeight="1">
      <c r="A25" s="463" t="s">
        <v>470</v>
      </c>
      <c r="B25" s="132" t="s">
        <v>1</v>
      </c>
      <c r="C25" s="434" t="s">
        <v>443</v>
      </c>
      <c r="D25" s="245">
        <v>1</v>
      </c>
      <c r="E25" s="10">
        <f t="shared" si="0"/>
        <v>5000000</v>
      </c>
      <c r="F25" s="10">
        <v>5000000</v>
      </c>
      <c r="G25" s="10">
        <v>0</v>
      </c>
      <c r="H25" s="10">
        <v>0</v>
      </c>
      <c r="I25" s="10">
        <v>0</v>
      </c>
      <c r="J25" s="436">
        <v>44951</v>
      </c>
      <c r="K25" s="436">
        <v>45290</v>
      </c>
      <c r="L25" s="440">
        <f>D26/D25</f>
        <v>0</v>
      </c>
      <c r="M25" s="440">
        <f>E26/E25</f>
        <v>1</v>
      </c>
      <c r="N25" s="429">
        <f>L25*L25/M25</f>
        <v>0</v>
      </c>
      <c r="O25" s="198"/>
      <c r="Q25" s="137"/>
      <c r="W25" s="72"/>
      <c r="Y25" s="67"/>
      <c r="Z25" s="68"/>
      <c r="AA25" s="69"/>
    </row>
    <row r="26" spans="1:27" s="65" customFormat="1" ht="46.9" customHeight="1">
      <c r="A26" s="464"/>
      <c r="B26" s="132" t="s">
        <v>0</v>
      </c>
      <c r="C26" s="434"/>
      <c r="D26" s="246">
        <v>0</v>
      </c>
      <c r="E26" s="10">
        <f t="shared" si="0"/>
        <v>5000000</v>
      </c>
      <c r="F26" s="10">
        <v>5000000</v>
      </c>
      <c r="G26" s="10">
        <v>0</v>
      </c>
      <c r="H26" s="10">
        <v>0</v>
      </c>
      <c r="I26" s="10">
        <v>0</v>
      </c>
      <c r="J26" s="437"/>
      <c r="K26" s="437"/>
      <c r="L26" s="440"/>
      <c r="M26" s="440"/>
      <c r="N26" s="429"/>
      <c r="O26" s="198"/>
      <c r="Q26" s="137"/>
      <c r="W26" s="72"/>
      <c r="Y26" s="67"/>
      <c r="Z26" s="68"/>
      <c r="AA26" s="69"/>
    </row>
    <row r="27" spans="1:27" s="65" customFormat="1" ht="43.5" customHeight="1">
      <c r="A27" s="463" t="s">
        <v>421</v>
      </c>
      <c r="B27" s="132" t="s">
        <v>1</v>
      </c>
      <c r="C27" s="434" t="s">
        <v>444</v>
      </c>
      <c r="D27" s="245">
        <v>1</v>
      </c>
      <c r="E27" s="10">
        <f t="shared" si="0"/>
        <v>10000000</v>
      </c>
      <c r="F27" s="10">
        <v>10000000</v>
      </c>
      <c r="G27" s="10">
        <v>0</v>
      </c>
      <c r="H27" s="10">
        <v>0</v>
      </c>
      <c r="I27" s="10">
        <v>0</v>
      </c>
      <c r="J27" s="436">
        <v>44951</v>
      </c>
      <c r="K27" s="436">
        <v>45290</v>
      </c>
      <c r="L27" s="440">
        <f>D28/D27</f>
        <v>1</v>
      </c>
      <c r="M27" s="440">
        <f>E28/E27</f>
        <v>0</v>
      </c>
      <c r="N27" s="429" t="e">
        <f>L27*L27/M27</f>
        <v>#DIV/0!</v>
      </c>
      <c r="O27" s="198"/>
      <c r="P27" s="84" t="s">
        <v>1</v>
      </c>
      <c r="Q27" s="129">
        <v>2</v>
      </c>
      <c r="R27" s="124">
        <f>F27+F29</f>
        <v>80000000</v>
      </c>
      <c r="S27" s="134"/>
      <c r="AA27" s="69"/>
    </row>
    <row r="28" spans="1:27" s="65" customFormat="1" ht="43.5" customHeight="1">
      <c r="A28" s="464"/>
      <c r="B28" s="132" t="s">
        <v>0</v>
      </c>
      <c r="C28" s="434"/>
      <c r="D28" s="247">
        <v>1</v>
      </c>
      <c r="E28" s="10">
        <f t="shared" si="0"/>
        <v>0</v>
      </c>
      <c r="F28" s="10">
        <v>0</v>
      </c>
      <c r="G28" s="10">
        <v>0</v>
      </c>
      <c r="H28" s="10">
        <v>0</v>
      </c>
      <c r="I28" s="10">
        <v>0</v>
      </c>
      <c r="J28" s="437"/>
      <c r="K28" s="437"/>
      <c r="L28" s="440"/>
      <c r="M28" s="440"/>
      <c r="N28" s="429"/>
      <c r="O28" s="198"/>
      <c r="P28" s="84" t="s">
        <v>0</v>
      </c>
      <c r="Q28" s="130"/>
      <c r="R28" s="124">
        <f>F28+F30</f>
        <v>2000000</v>
      </c>
      <c r="AA28" s="69"/>
    </row>
    <row r="29" spans="1:27" s="65" customFormat="1" ht="26.25" customHeight="1">
      <c r="A29" s="442" t="s">
        <v>245</v>
      </c>
      <c r="B29" s="138" t="s">
        <v>1</v>
      </c>
      <c r="C29" s="434" t="s">
        <v>445</v>
      </c>
      <c r="D29" s="248">
        <v>500</v>
      </c>
      <c r="E29" s="10">
        <f t="shared" si="0"/>
        <v>70000000</v>
      </c>
      <c r="F29" s="10">
        <v>70000000</v>
      </c>
      <c r="G29" s="10">
        <v>0</v>
      </c>
      <c r="H29" s="10">
        <v>0</v>
      </c>
      <c r="I29" s="10">
        <v>0</v>
      </c>
      <c r="J29" s="436">
        <v>44950</v>
      </c>
      <c r="K29" s="436">
        <v>45290</v>
      </c>
      <c r="L29" s="440">
        <f>D30/D29</f>
        <v>0</v>
      </c>
      <c r="M29" s="440">
        <f>E30/E29</f>
        <v>2.8571428571428571E-2</v>
      </c>
      <c r="N29" s="429">
        <f>L29*L29/M29</f>
        <v>0</v>
      </c>
      <c r="O29" s="198"/>
    </row>
    <row r="30" spans="1:27" s="65" customFormat="1" ht="34.9" customHeight="1">
      <c r="A30" s="443"/>
      <c r="B30" s="138" t="s">
        <v>0</v>
      </c>
      <c r="C30" s="434"/>
      <c r="D30" s="136">
        <v>0</v>
      </c>
      <c r="E30" s="10">
        <f t="shared" si="0"/>
        <v>2000000</v>
      </c>
      <c r="F30" s="10">
        <f>2000000</f>
        <v>2000000</v>
      </c>
      <c r="G30" s="10">
        <v>0</v>
      </c>
      <c r="H30" s="10">
        <v>0</v>
      </c>
      <c r="I30" s="10">
        <v>0</v>
      </c>
      <c r="J30" s="437"/>
      <c r="K30" s="437"/>
      <c r="L30" s="440"/>
      <c r="M30" s="440"/>
      <c r="N30" s="429"/>
      <c r="O30" s="198"/>
    </row>
    <row r="31" spans="1:27" s="65" customFormat="1" ht="32.25" customHeight="1">
      <c r="A31" s="441" t="s">
        <v>244</v>
      </c>
      <c r="B31" s="139" t="s">
        <v>40</v>
      </c>
      <c r="C31" s="434" t="s">
        <v>422</v>
      </c>
      <c r="D31" s="136">
        <v>1</v>
      </c>
      <c r="E31" s="10">
        <f t="shared" si="0"/>
        <v>5000000</v>
      </c>
      <c r="F31" s="10">
        <v>5000000</v>
      </c>
      <c r="G31" s="10">
        <v>0</v>
      </c>
      <c r="H31" s="10">
        <v>0</v>
      </c>
      <c r="I31" s="10">
        <v>0</v>
      </c>
      <c r="J31" s="436">
        <v>45017</v>
      </c>
      <c r="K31" s="436">
        <v>45290</v>
      </c>
      <c r="L31" s="440">
        <f>D32/D31</f>
        <v>0</v>
      </c>
      <c r="M31" s="440">
        <f>E32/E31</f>
        <v>0.8</v>
      </c>
      <c r="N31" s="429">
        <f>L31*L31/M31</f>
        <v>0</v>
      </c>
      <c r="O31" s="198"/>
      <c r="P31" s="84" t="s">
        <v>1</v>
      </c>
      <c r="Q31" s="129">
        <v>3</v>
      </c>
      <c r="R31" s="124">
        <f>F31+F33+F35</f>
        <v>20000000</v>
      </c>
      <c r="S31" s="134"/>
    </row>
    <row r="32" spans="1:27" s="65" customFormat="1" ht="32.25" customHeight="1">
      <c r="A32" s="441"/>
      <c r="B32" s="139" t="s">
        <v>0</v>
      </c>
      <c r="C32" s="434"/>
      <c r="D32" s="136">
        <v>0</v>
      </c>
      <c r="E32" s="10">
        <f t="shared" si="0"/>
        <v>4000000</v>
      </c>
      <c r="F32" s="10">
        <f>100000+1000000+1000000+1900000</f>
        <v>4000000</v>
      </c>
      <c r="G32" s="10">
        <v>0</v>
      </c>
      <c r="H32" s="10">
        <v>0</v>
      </c>
      <c r="I32" s="10">
        <v>0</v>
      </c>
      <c r="J32" s="437"/>
      <c r="K32" s="437"/>
      <c r="L32" s="440"/>
      <c r="M32" s="440"/>
      <c r="N32" s="429"/>
      <c r="O32" s="198"/>
      <c r="P32" s="84" t="s">
        <v>0</v>
      </c>
      <c r="Q32" s="130"/>
      <c r="R32" s="124">
        <f>F32+F34+F36</f>
        <v>8100000</v>
      </c>
    </row>
    <row r="33" spans="1:19" s="65" customFormat="1" ht="24.6" customHeight="1">
      <c r="A33" s="441" t="s">
        <v>296</v>
      </c>
      <c r="B33" s="139" t="s">
        <v>40</v>
      </c>
      <c r="C33" s="434" t="s">
        <v>423</v>
      </c>
      <c r="D33" s="136">
        <v>1</v>
      </c>
      <c r="E33" s="10">
        <f t="shared" si="0"/>
        <v>5000000</v>
      </c>
      <c r="F33" s="10">
        <v>5000000</v>
      </c>
      <c r="G33" s="10">
        <v>0</v>
      </c>
      <c r="H33" s="10">
        <v>0</v>
      </c>
      <c r="I33" s="10">
        <v>0</v>
      </c>
      <c r="J33" s="436">
        <v>45017</v>
      </c>
      <c r="K33" s="436">
        <v>45290</v>
      </c>
      <c r="L33" s="440">
        <f>D34/D33</f>
        <v>0</v>
      </c>
      <c r="M33" s="440">
        <f>E34/E33</f>
        <v>0.82</v>
      </c>
      <c r="N33" s="429">
        <f>L33*L33/M33</f>
        <v>0</v>
      </c>
      <c r="O33" s="198"/>
      <c r="P33" s="199"/>
      <c r="Q33" s="137"/>
      <c r="R33" s="151"/>
    </row>
    <row r="34" spans="1:19" s="65" customFormat="1" ht="24.6" customHeight="1">
      <c r="A34" s="441"/>
      <c r="B34" s="139" t="s">
        <v>0</v>
      </c>
      <c r="C34" s="434"/>
      <c r="D34" s="136">
        <v>0</v>
      </c>
      <c r="E34" s="10">
        <f t="shared" si="0"/>
        <v>4100000</v>
      </c>
      <c r="F34" s="10">
        <f>1000000+1000000+1000000+1100000</f>
        <v>4100000</v>
      </c>
      <c r="G34" s="10">
        <v>0</v>
      </c>
      <c r="H34" s="10">
        <v>0</v>
      </c>
      <c r="I34" s="10">
        <v>0</v>
      </c>
      <c r="J34" s="437"/>
      <c r="K34" s="437"/>
      <c r="L34" s="440"/>
      <c r="M34" s="440"/>
      <c r="N34" s="429"/>
      <c r="O34" s="198"/>
      <c r="P34" s="199"/>
      <c r="Q34" s="137"/>
      <c r="R34" s="151"/>
    </row>
    <row r="35" spans="1:19" s="65" customFormat="1" ht="47.25" customHeight="1">
      <c r="A35" s="441" t="s">
        <v>471</v>
      </c>
      <c r="B35" s="139" t="s">
        <v>40</v>
      </c>
      <c r="C35" s="434" t="s">
        <v>424</v>
      </c>
      <c r="D35" s="136">
        <v>4</v>
      </c>
      <c r="E35" s="10">
        <f t="shared" si="0"/>
        <v>10000000</v>
      </c>
      <c r="F35" s="10">
        <v>10000000</v>
      </c>
      <c r="G35" s="10">
        <v>0</v>
      </c>
      <c r="H35" s="10">
        <v>0</v>
      </c>
      <c r="I35" s="10">
        <v>0</v>
      </c>
      <c r="J35" s="436">
        <v>45017</v>
      </c>
      <c r="K35" s="436">
        <v>45290</v>
      </c>
      <c r="L35" s="440">
        <f>D36/D35</f>
        <v>0</v>
      </c>
      <c r="M35" s="440">
        <f>E36/E35</f>
        <v>0</v>
      </c>
      <c r="N35" s="429">
        <v>0</v>
      </c>
      <c r="O35" s="198"/>
      <c r="P35" s="199"/>
      <c r="Q35" s="137"/>
      <c r="R35" s="151"/>
    </row>
    <row r="36" spans="1:19" s="65" customFormat="1" ht="47.25" customHeight="1">
      <c r="A36" s="441"/>
      <c r="B36" s="139" t="s">
        <v>0</v>
      </c>
      <c r="C36" s="434"/>
      <c r="D36" s="136">
        <v>0</v>
      </c>
      <c r="E36" s="10">
        <f t="shared" si="0"/>
        <v>0</v>
      </c>
      <c r="F36" s="10">
        <v>0</v>
      </c>
      <c r="G36" s="10">
        <v>0</v>
      </c>
      <c r="H36" s="10">
        <v>0</v>
      </c>
      <c r="I36" s="10">
        <v>0</v>
      </c>
      <c r="J36" s="437"/>
      <c r="K36" s="437"/>
      <c r="L36" s="440"/>
      <c r="M36" s="440"/>
      <c r="N36" s="429"/>
      <c r="O36" s="198"/>
      <c r="P36" s="199"/>
      <c r="Q36" s="137"/>
      <c r="R36" s="151"/>
    </row>
    <row r="37" spans="1:19" s="65" customFormat="1" ht="45" customHeight="1">
      <c r="A37" s="442" t="s">
        <v>330</v>
      </c>
      <c r="B37" s="138" t="s">
        <v>1</v>
      </c>
      <c r="C37" s="446" t="s">
        <v>472</v>
      </c>
      <c r="D37" s="136">
        <v>1</v>
      </c>
      <c r="E37" s="10">
        <f t="shared" si="0"/>
        <v>70000000</v>
      </c>
      <c r="F37" s="10">
        <v>70000000</v>
      </c>
      <c r="G37" s="10">
        <v>0</v>
      </c>
      <c r="H37" s="10">
        <v>0</v>
      </c>
      <c r="I37" s="10">
        <v>0</v>
      </c>
      <c r="J37" s="436">
        <v>44958</v>
      </c>
      <c r="K37" s="436">
        <v>45290</v>
      </c>
      <c r="L37" s="440">
        <f>D38/D37</f>
        <v>0</v>
      </c>
      <c r="M37" s="440">
        <f>E38/E37</f>
        <v>2.8571428571428571E-2</v>
      </c>
      <c r="N37" s="429">
        <f>L37*L37/M37</f>
        <v>0</v>
      </c>
      <c r="O37" s="198"/>
      <c r="P37" s="115"/>
      <c r="Q37" s="99" t="s">
        <v>278</v>
      </c>
      <c r="R37" s="99" t="s">
        <v>27</v>
      </c>
    </row>
    <row r="38" spans="1:19" s="65" customFormat="1" ht="45" customHeight="1">
      <c r="A38" s="443"/>
      <c r="B38" s="138" t="s">
        <v>0</v>
      </c>
      <c r="C38" s="446"/>
      <c r="D38" s="136">
        <v>0</v>
      </c>
      <c r="E38" s="10">
        <f t="shared" si="0"/>
        <v>2000000</v>
      </c>
      <c r="F38" s="10">
        <f>2000000</f>
        <v>2000000</v>
      </c>
      <c r="G38" s="10">
        <v>0</v>
      </c>
      <c r="H38" s="10">
        <v>0</v>
      </c>
      <c r="I38" s="10">
        <v>0</v>
      </c>
      <c r="J38" s="437"/>
      <c r="K38" s="437"/>
      <c r="L38" s="440"/>
      <c r="M38" s="440"/>
      <c r="N38" s="429"/>
      <c r="O38" s="198"/>
      <c r="P38" s="84" t="s">
        <v>1</v>
      </c>
      <c r="Q38" s="129">
        <v>4</v>
      </c>
      <c r="R38" s="124">
        <f>F37+F39+F41</f>
        <v>109900000</v>
      </c>
      <c r="S38" s="134"/>
    </row>
    <row r="39" spans="1:19" s="65" customFormat="1" ht="34.9" customHeight="1">
      <c r="A39" s="442" t="s">
        <v>425</v>
      </c>
      <c r="B39" s="138" t="s">
        <v>1</v>
      </c>
      <c r="C39" s="434" t="s">
        <v>446</v>
      </c>
      <c r="D39" s="136">
        <v>3</v>
      </c>
      <c r="E39" s="10">
        <f t="shared" si="0"/>
        <v>1000000</v>
      </c>
      <c r="F39" s="10">
        <v>1000000</v>
      </c>
      <c r="G39" s="10">
        <v>0</v>
      </c>
      <c r="H39" s="10">
        <v>0</v>
      </c>
      <c r="I39" s="10">
        <v>0</v>
      </c>
      <c r="J39" s="436">
        <v>44593</v>
      </c>
      <c r="K39" s="436">
        <v>44925</v>
      </c>
      <c r="L39" s="438">
        <f>D40/D39</f>
        <v>0.33333333333333331</v>
      </c>
      <c r="M39" s="438">
        <f>E40/E39</f>
        <v>1</v>
      </c>
      <c r="N39" s="429">
        <f>L39*L39/M39</f>
        <v>0.1111111111111111</v>
      </c>
      <c r="O39" s="198"/>
      <c r="P39" s="84"/>
      <c r="Q39" s="140"/>
      <c r="R39" s="124">
        <f>F38+F40+F42</f>
        <v>3000000</v>
      </c>
      <c r="S39" s="134"/>
    </row>
    <row r="40" spans="1:19" s="65" customFormat="1" ht="34.9" customHeight="1">
      <c r="A40" s="443"/>
      <c r="B40" s="138" t="s">
        <v>0</v>
      </c>
      <c r="C40" s="435"/>
      <c r="D40" s="136">
        <v>1</v>
      </c>
      <c r="E40" s="10">
        <f t="shared" si="0"/>
        <v>1000000</v>
      </c>
      <c r="F40" s="10">
        <v>1000000</v>
      </c>
      <c r="G40" s="10">
        <v>0</v>
      </c>
      <c r="H40" s="10">
        <v>0</v>
      </c>
      <c r="I40" s="10">
        <v>0</v>
      </c>
      <c r="J40" s="437"/>
      <c r="K40" s="437"/>
      <c r="L40" s="439"/>
      <c r="M40" s="439"/>
      <c r="N40" s="429"/>
      <c r="O40" s="198"/>
      <c r="P40" s="199"/>
      <c r="Q40" s="200"/>
      <c r="R40" s="151"/>
      <c r="S40" s="134"/>
    </row>
    <row r="41" spans="1:19" s="65" customFormat="1" ht="37.15" customHeight="1">
      <c r="A41" s="442" t="s">
        <v>331</v>
      </c>
      <c r="B41" s="139" t="s">
        <v>40</v>
      </c>
      <c r="C41" s="444" t="s">
        <v>447</v>
      </c>
      <c r="D41" s="136">
        <v>8</v>
      </c>
      <c r="E41" s="10">
        <f t="shared" si="0"/>
        <v>38900000</v>
      </c>
      <c r="F41" s="10">
        <v>38900000</v>
      </c>
      <c r="G41" s="10">
        <v>0</v>
      </c>
      <c r="H41" s="10">
        <v>0</v>
      </c>
      <c r="I41" s="10">
        <v>0</v>
      </c>
      <c r="J41" s="436">
        <v>44619</v>
      </c>
      <c r="K41" s="436">
        <v>44925</v>
      </c>
      <c r="L41" s="438">
        <f>D42/D41</f>
        <v>0</v>
      </c>
      <c r="M41" s="438">
        <f>E42/E41</f>
        <v>0</v>
      </c>
      <c r="N41" s="429">
        <v>0</v>
      </c>
      <c r="O41" s="198"/>
      <c r="P41" s="199"/>
      <c r="Q41" s="137"/>
      <c r="R41" s="151"/>
    </row>
    <row r="42" spans="1:19" s="65" customFormat="1" ht="33.6" customHeight="1">
      <c r="A42" s="443"/>
      <c r="B42" s="139" t="s">
        <v>0</v>
      </c>
      <c r="C42" s="435"/>
      <c r="D42" s="136">
        <v>0</v>
      </c>
      <c r="E42" s="10">
        <f t="shared" si="0"/>
        <v>0</v>
      </c>
      <c r="F42" s="10">
        <v>0</v>
      </c>
      <c r="G42" s="10">
        <v>0</v>
      </c>
      <c r="H42" s="10">
        <v>0</v>
      </c>
      <c r="I42" s="10">
        <v>0</v>
      </c>
      <c r="J42" s="437"/>
      <c r="K42" s="437"/>
      <c r="L42" s="439"/>
      <c r="M42" s="439"/>
      <c r="N42" s="429"/>
      <c r="O42" s="198"/>
    </row>
    <row r="43" spans="1:19" ht="18">
      <c r="A43" s="459" t="s">
        <v>6</v>
      </c>
      <c r="B43" s="26" t="s">
        <v>1</v>
      </c>
      <c r="C43" s="460"/>
      <c r="D43" s="27"/>
      <c r="E43" s="32">
        <f t="shared" ref="E43:I44" si="1">(E17+E19+E21+E23+E25+E27+E29+E31+E33+E35+E37+E39+E41)</f>
        <v>339900000</v>
      </c>
      <c r="F43" s="32">
        <f t="shared" si="1"/>
        <v>339900000</v>
      </c>
      <c r="G43" s="32">
        <f t="shared" si="1"/>
        <v>0</v>
      </c>
      <c r="H43" s="32">
        <f t="shared" si="1"/>
        <v>0</v>
      </c>
      <c r="I43" s="32">
        <f t="shared" si="1"/>
        <v>0</v>
      </c>
      <c r="J43" s="28"/>
      <c r="K43" s="29"/>
      <c r="L43" s="29"/>
      <c r="M43" s="29"/>
      <c r="N43" s="30"/>
      <c r="O43" s="65"/>
      <c r="P43" s="188" t="s">
        <v>1</v>
      </c>
      <c r="Q43" s="116"/>
      <c r="R43" s="122">
        <f>R17+R27+R31+R38</f>
        <v>339900000</v>
      </c>
      <c r="S43" s="123"/>
    </row>
    <row r="44" spans="1:19" ht="15.75">
      <c r="A44" s="459"/>
      <c r="B44" s="26" t="s">
        <v>0</v>
      </c>
      <c r="C44" s="461"/>
      <c r="D44" s="27"/>
      <c r="E44" s="32">
        <f t="shared" si="1"/>
        <v>88355000</v>
      </c>
      <c r="F44" s="32">
        <f t="shared" si="1"/>
        <v>88355000</v>
      </c>
      <c r="G44" s="32">
        <f t="shared" si="1"/>
        <v>0</v>
      </c>
      <c r="H44" s="32">
        <f t="shared" si="1"/>
        <v>0</v>
      </c>
      <c r="I44" s="32">
        <f t="shared" si="1"/>
        <v>0</v>
      </c>
      <c r="J44" s="31"/>
      <c r="K44" s="29"/>
      <c r="L44" s="29"/>
      <c r="M44" s="29"/>
      <c r="N44" s="30"/>
      <c r="O44" s="65"/>
      <c r="P44" s="188" t="s">
        <v>0</v>
      </c>
      <c r="Q44" s="117"/>
      <c r="R44" s="109">
        <f>R18+R28+R32+R39</f>
        <v>88355000</v>
      </c>
    </row>
    <row r="45" spans="1:19">
      <c r="B45" s="8"/>
      <c r="E45" s="21"/>
      <c r="F45" s="20"/>
      <c r="G45" s="15"/>
      <c r="H45" s="15"/>
      <c r="I45" s="15"/>
      <c r="J45" s="7"/>
      <c r="K45" s="7"/>
      <c r="L45" s="20"/>
      <c r="M45" s="18"/>
      <c r="N45" s="19"/>
      <c r="O45" s="18"/>
      <c r="P45" s="18"/>
      <c r="Q45" s="18"/>
    </row>
    <row r="46" spans="1:19" ht="15.75">
      <c r="A46" s="47" t="s">
        <v>5</v>
      </c>
      <c r="B46" s="453" t="s">
        <v>4</v>
      </c>
      <c r="C46" s="454"/>
      <c r="D46" s="455"/>
      <c r="E46" s="453" t="s">
        <v>3</v>
      </c>
      <c r="F46" s="454"/>
      <c r="G46" s="454"/>
      <c r="H46" s="455"/>
      <c r="I46" s="47"/>
      <c r="J46" s="456" t="s">
        <v>2</v>
      </c>
      <c r="K46" s="454"/>
      <c r="L46" s="454"/>
      <c r="M46" s="454"/>
      <c r="N46" s="455"/>
      <c r="O46" s="201"/>
    </row>
    <row r="47" spans="1:19" ht="29.25" customHeight="1">
      <c r="A47" s="445" t="s">
        <v>84</v>
      </c>
      <c r="B47" s="457" t="s">
        <v>80</v>
      </c>
      <c r="C47" s="458"/>
      <c r="D47" s="458"/>
      <c r="E47" s="457" t="s">
        <v>36</v>
      </c>
      <c r="F47" s="458"/>
      <c r="G47" s="458"/>
      <c r="H47" s="23" t="s">
        <v>1</v>
      </c>
      <c r="I47" s="24">
        <v>1</v>
      </c>
      <c r="J47" s="450" t="s">
        <v>332</v>
      </c>
      <c r="K47" s="451"/>
      <c r="L47" s="451"/>
      <c r="M47" s="451"/>
      <c r="N47" s="451"/>
      <c r="O47" s="201"/>
    </row>
    <row r="48" spans="1:19" ht="29.25" customHeight="1">
      <c r="A48" s="445"/>
      <c r="B48" s="458"/>
      <c r="C48" s="458"/>
      <c r="D48" s="458"/>
      <c r="E48" s="458"/>
      <c r="F48" s="458"/>
      <c r="G48" s="458"/>
      <c r="H48" s="23" t="s">
        <v>0</v>
      </c>
      <c r="I48" s="24">
        <v>0</v>
      </c>
      <c r="J48" s="451"/>
      <c r="K48" s="452"/>
      <c r="L48" s="452"/>
      <c r="M48" s="452"/>
      <c r="N48" s="451"/>
      <c r="O48" s="201"/>
    </row>
    <row r="49" spans="1:52" ht="39.75" customHeight="1">
      <c r="A49" s="445" t="s">
        <v>84</v>
      </c>
      <c r="B49" s="457" t="s">
        <v>81</v>
      </c>
      <c r="C49" s="457"/>
      <c r="D49" s="457"/>
      <c r="E49" s="457" t="s">
        <v>45</v>
      </c>
      <c r="F49" s="458"/>
      <c r="G49" s="458"/>
      <c r="H49" s="23" t="s">
        <v>1</v>
      </c>
      <c r="I49" s="24">
        <v>500</v>
      </c>
      <c r="J49" s="451"/>
      <c r="K49" s="452"/>
      <c r="L49" s="452"/>
      <c r="M49" s="452"/>
      <c r="N49" s="451"/>
      <c r="O49" s="201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</row>
    <row r="50" spans="1:52" ht="67.150000000000006" customHeight="1">
      <c r="A50" s="445"/>
      <c r="B50" s="457"/>
      <c r="C50" s="457"/>
      <c r="D50" s="457"/>
      <c r="E50" s="458"/>
      <c r="F50" s="458"/>
      <c r="G50" s="458"/>
      <c r="H50" s="23" t="s">
        <v>0</v>
      </c>
      <c r="I50" s="24">
        <v>0</v>
      </c>
      <c r="J50" s="451"/>
      <c r="K50" s="452"/>
      <c r="L50" s="452"/>
      <c r="M50" s="452"/>
      <c r="N50" s="451"/>
      <c r="O50" s="201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</row>
    <row r="51" spans="1:52" ht="36.75" customHeight="1">
      <c r="A51" s="445" t="s">
        <v>84</v>
      </c>
      <c r="B51" s="457" t="s">
        <v>82</v>
      </c>
      <c r="C51" s="457"/>
      <c r="D51" s="457"/>
      <c r="E51" s="457" t="s">
        <v>46</v>
      </c>
      <c r="F51" s="458"/>
      <c r="G51" s="458"/>
      <c r="H51" s="23" t="s">
        <v>1</v>
      </c>
      <c r="I51" s="25">
        <v>1</v>
      </c>
      <c r="J51" s="451"/>
      <c r="K51" s="452"/>
      <c r="L51" s="452"/>
      <c r="M51" s="452"/>
      <c r="N51" s="451"/>
      <c r="O51" s="201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</row>
    <row r="52" spans="1:52" ht="36.75" customHeight="1">
      <c r="A52" s="445"/>
      <c r="B52" s="457"/>
      <c r="C52" s="457"/>
      <c r="D52" s="457"/>
      <c r="E52" s="458"/>
      <c r="F52" s="458"/>
      <c r="G52" s="458"/>
      <c r="H52" s="23" t="s">
        <v>0</v>
      </c>
      <c r="I52" s="23">
        <v>0</v>
      </c>
      <c r="J52" s="451"/>
      <c r="K52" s="452"/>
      <c r="L52" s="452"/>
      <c r="M52" s="452"/>
      <c r="N52" s="451"/>
      <c r="O52" s="201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</row>
    <row r="53" spans="1:52" ht="48.75" customHeight="1">
      <c r="A53" s="445" t="s">
        <v>84</v>
      </c>
      <c r="B53" s="457" t="s">
        <v>83</v>
      </c>
      <c r="C53" s="462"/>
      <c r="D53" s="458"/>
      <c r="E53" s="457" t="s">
        <v>34</v>
      </c>
      <c r="F53" s="458"/>
      <c r="G53" s="458"/>
      <c r="H53" s="23" t="s">
        <v>1</v>
      </c>
      <c r="I53" s="25">
        <v>1</v>
      </c>
      <c r="J53" s="451"/>
      <c r="K53" s="452"/>
      <c r="L53" s="452"/>
      <c r="M53" s="452"/>
      <c r="N53" s="451"/>
      <c r="O53" s="201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</row>
    <row r="54" spans="1:52" ht="54.75" customHeight="1">
      <c r="A54" s="445"/>
      <c r="B54" s="458"/>
      <c r="C54" s="458"/>
      <c r="D54" s="458"/>
      <c r="E54" s="458"/>
      <c r="F54" s="458"/>
      <c r="G54" s="458"/>
      <c r="H54" s="23" t="s">
        <v>0</v>
      </c>
      <c r="I54" s="23">
        <v>0</v>
      </c>
      <c r="J54" s="451"/>
      <c r="K54" s="452"/>
      <c r="L54" s="452"/>
      <c r="M54" s="452"/>
      <c r="N54" s="451"/>
      <c r="O54" s="201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</row>
    <row r="55" spans="1:52" ht="15.75">
      <c r="A55" s="447" t="s">
        <v>35</v>
      </c>
      <c r="B55" s="448"/>
      <c r="C55" s="448"/>
      <c r="D55" s="448"/>
      <c r="E55" s="448"/>
      <c r="F55" s="448"/>
      <c r="G55" s="448"/>
      <c r="H55" s="448"/>
      <c r="I55" s="448"/>
      <c r="J55" s="448"/>
      <c r="K55" s="448"/>
      <c r="L55" s="448"/>
      <c r="M55" s="448"/>
      <c r="N55" s="449"/>
      <c r="O55" s="202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</row>
    <row r="56" spans="1:52" ht="15.75"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</row>
    <row r="57" spans="1:52" ht="15.75"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</row>
    <row r="58" spans="1:52" ht="15.75"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</row>
    <row r="59" spans="1:52" ht="15.75"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</row>
    <row r="60" spans="1:52" ht="15.75"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</row>
    <row r="61" spans="1:52" ht="15.75"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</row>
    <row r="62" spans="1:52" ht="15.75"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</row>
  </sheetData>
  <mergeCells count="151">
    <mergeCell ref="S8:W8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B9:F9"/>
    <mergeCell ref="K9:M9"/>
    <mergeCell ref="B10:F10"/>
    <mergeCell ref="K10:M10"/>
    <mergeCell ref="T10:V10"/>
    <mergeCell ref="B12:F12"/>
    <mergeCell ref="K12:M12"/>
    <mergeCell ref="T16:U16"/>
    <mergeCell ref="A27:A28"/>
    <mergeCell ref="C27:C28"/>
    <mergeCell ref="L27:L28"/>
    <mergeCell ref="M27:M28"/>
    <mergeCell ref="N27:N28"/>
    <mergeCell ref="T17:U17"/>
    <mergeCell ref="F14:I15"/>
    <mergeCell ref="J14:K15"/>
    <mergeCell ref="L14:N14"/>
    <mergeCell ref="T14:U14"/>
    <mergeCell ref="L15:L16"/>
    <mergeCell ref="M15:M16"/>
    <mergeCell ref="N15:N16"/>
    <mergeCell ref="T15:U15"/>
    <mergeCell ref="A14:A16"/>
    <mergeCell ref="B14:B16"/>
    <mergeCell ref="C14:C16"/>
    <mergeCell ref="J27:J28"/>
    <mergeCell ref="C21:C22"/>
    <mergeCell ref="M17:M18"/>
    <mergeCell ref="E14:E16"/>
    <mergeCell ref="A19:A20"/>
    <mergeCell ref="A23:A24"/>
    <mergeCell ref="A31:A32"/>
    <mergeCell ref="C31:C32"/>
    <mergeCell ref="L31:L32"/>
    <mergeCell ref="A13:F13"/>
    <mergeCell ref="N17:N18"/>
    <mergeCell ref="J17:J18"/>
    <mergeCell ref="K17:K18"/>
    <mergeCell ref="J21:J22"/>
    <mergeCell ref="N21:N22"/>
    <mergeCell ref="K13:M13"/>
    <mergeCell ref="D14:D16"/>
    <mergeCell ref="A17:A18"/>
    <mergeCell ref="C17:C18"/>
    <mergeCell ref="A21:A22"/>
    <mergeCell ref="L21:L22"/>
    <mergeCell ref="M21:M22"/>
    <mergeCell ref="K21:K22"/>
    <mergeCell ref="L17:L18"/>
    <mergeCell ref="C19:C20"/>
    <mergeCell ref="J19:J20"/>
    <mergeCell ref="K19:K20"/>
    <mergeCell ref="L19:L20"/>
    <mergeCell ref="M19:M20"/>
    <mergeCell ref="N19:N20"/>
    <mergeCell ref="A25:A26"/>
    <mergeCell ref="C25:C26"/>
    <mergeCell ref="J25:J26"/>
    <mergeCell ref="K25:K26"/>
    <mergeCell ref="L25:L26"/>
    <mergeCell ref="M25:M26"/>
    <mergeCell ref="N25:N26"/>
    <mergeCell ref="A29:A30"/>
    <mergeCell ref="C29:C30"/>
    <mergeCell ref="J29:J30"/>
    <mergeCell ref="K29:K30"/>
    <mergeCell ref="L29:L30"/>
    <mergeCell ref="M29:M30"/>
    <mergeCell ref="N29:N30"/>
    <mergeCell ref="K27:K28"/>
    <mergeCell ref="A51:A52"/>
    <mergeCell ref="K37:K38"/>
    <mergeCell ref="J37:J38"/>
    <mergeCell ref="A47:A48"/>
    <mergeCell ref="A53:A54"/>
    <mergeCell ref="A37:A38"/>
    <mergeCell ref="C37:C38"/>
    <mergeCell ref="L37:L38"/>
    <mergeCell ref="A55:N55"/>
    <mergeCell ref="J47:N54"/>
    <mergeCell ref="B46:D46"/>
    <mergeCell ref="E46:H46"/>
    <mergeCell ref="J46:N46"/>
    <mergeCell ref="B47:D48"/>
    <mergeCell ref="E47:G48"/>
    <mergeCell ref="A43:A44"/>
    <mergeCell ref="C43:C44"/>
    <mergeCell ref="A49:A50"/>
    <mergeCell ref="B49:D50"/>
    <mergeCell ref="E49:G50"/>
    <mergeCell ref="B51:D52"/>
    <mergeCell ref="E51:G52"/>
    <mergeCell ref="B53:D54"/>
    <mergeCell ref="E53:G54"/>
    <mergeCell ref="A33:A34"/>
    <mergeCell ref="A35:A36"/>
    <mergeCell ref="A39:A40"/>
    <mergeCell ref="N41:N42"/>
    <mergeCell ref="M41:M42"/>
    <mergeCell ref="L41:L42"/>
    <mergeCell ref="K41:K42"/>
    <mergeCell ref="J41:J42"/>
    <mergeCell ref="C41:C42"/>
    <mergeCell ref="A41:A42"/>
    <mergeCell ref="M37:M38"/>
    <mergeCell ref="N37:N38"/>
    <mergeCell ref="C35:C36"/>
    <mergeCell ref="J35:J36"/>
    <mergeCell ref="K35:K36"/>
    <mergeCell ref="L35:L36"/>
    <mergeCell ref="M35:M36"/>
    <mergeCell ref="N35:N36"/>
    <mergeCell ref="C39:C40"/>
    <mergeCell ref="J39:J40"/>
    <mergeCell ref="K39:K40"/>
    <mergeCell ref="L39:L40"/>
    <mergeCell ref="M39:M40"/>
    <mergeCell ref="N39:N40"/>
    <mergeCell ref="C23:C24"/>
    <mergeCell ref="J23:J24"/>
    <mergeCell ref="K23:K24"/>
    <mergeCell ref="L23:L24"/>
    <mergeCell ref="M23:M24"/>
    <mergeCell ref="N23:N24"/>
    <mergeCell ref="C33:C34"/>
    <mergeCell ref="J33:J34"/>
    <mergeCell ref="K33:K34"/>
    <mergeCell ref="L33:L34"/>
    <mergeCell ref="M33:M34"/>
    <mergeCell ref="N33:N34"/>
    <mergeCell ref="M31:M32"/>
    <mergeCell ref="N31:N32"/>
    <mergeCell ref="K31:K32"/>
    <mergeCell ref="J31:J32"/>
  </mergeCells>
  <pageMargins left="0.7" right="0.7" top="0.75" bottom="0.75" header="0.3" footer="0.3"/>
  <pageSetup paperSize="14" scale="60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shapeId="11266" r:id="rId4">
          <objectPr defaultSize="0" autoPict="0" r:id="rId5">
            <anchor moveWithCells="1" sizeWithCells="1">
              <from>
                <xdr:col>0</xdr:col>
                <xdr:colOff>495300</xdr:colOff>
                <xdr:row>0</xdr:row>
                <xdr:rowOff>95250</xdr:rowOff>
              </from>
              <to>
                <xdr:col>0</xdr:col>
                <xdr:colOff>2133600</xdr:colOff>
                <xdr:row>3</xdr:row>
                <xdr:rowOff>114300</xdr:rowOff>
              </to>
            </anchor>
          </objectPr>
        </oleObject>
      </mc:Choice>
      <mc:Fallback>
        <oleObject shapeId="11266" r:id="rId4"/>
      </mc:Fallback>
    </mc:AlternateContent>
    <mc:AlternateContent xmlns:mc="http://schemas.openxmlformats.org/markup-compatibility/2006">
      <mc:Choice Requires="x14">
        <oleObject shapeId="11323" r:id="rId6">
          <objectPr defaultSize="0" autoPict="0" r:id="rId5">
            <anchor moveWithCells="1" sizeWithCells="1">
              <from>
                <xdr:col>0</xdr:col>
                <xdr:colOff>942975</xdr:colOff>
                <xdr:row>0</xdr:row>
                <xdr:rowOff>104775</xdr:rowOff>
              </from>
              <to>
                <xdr:col>1</xdr:col>
                <xdr:colOff>3686175</xdr:colOff>
                <xdr:row>3</xdr:row>
                <xdr:rowOff>123825</xdr:rowOff>
              </to>
            </anchor>
          </objectPr>
        </oleObject>
      </mc:Choice>
      <mc:Fallback>
        <oleObject shapeId="11323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Z50"/>
  <sheetViews>
    <sheetView topLeftCell="I28" zoomScale="94" zoomScaleNormal="94" zoomScalePageLayoutView="60" workbookViewId="0">
      <selection activeCell="R31" sqref="R31"/>
    </sheetView>
  </sheetViews>
  <sheetFormatPr baseColWidth="10" defaultColWidth="12.5703125" defaultRowHeight="15"/>
  <cols>
    <col min="1" max="1" width="67" style="1" customWidth="1"/>
    <col min="2" max="2" width="10.28515625" style="1" customWidth="1"/>
    <col min="3" max="3" width="17.7109375" style="1" customWidth="1"/>
    <col min="4" max="4" width="10" style="1" customWidth="1"/>
    <col min="5" max="5" width="22" style="1" customWidth="1"/>
    <col min="6" max="6" width="21.85546875" style="1" customWidth="1"/>
    <col min="7" max="7" width="7.7109375" style="1" customWidth="1"/>
    <col min="8" max="8" width="13.7109375" style="1" customWidth="1"/>
    <col min="9" max="9" width="12.7109375" style="1" customWidth="1"/>
    <col min="10" max="10" width="15.5703125" style="60" customWidth="1"/>
    <col min="11" max="11" width="14.85546875" style="60" customWidth="1"/>
    <col min="12" max="12" width="12.42578125" style="1" customWidth="1"/>
    <col min="13" max="13" width="14" style="1" customWidth="1"/>
    <col min="14" max="15" width="17.28515625" style="1" customWidth="1"/>
    <col min="16" max="16" width="5.42578125" style="105" customWidth="1"/>
    <col min="17" max="17" width="12.5703125" style="105" customWidth="1"/>
    <col min="18" max="18" width="20" style="105" customWidth="1"/>
    <col min="19" max="19" width="29" style="105" customWidth="1"/>
    <col min="20" max="20" width="18.5703125" style="105" customWidth="1"/>
    <col min="21" max="21" width="33.85546875" style="105" customWidth="1"/>
    <col min="22" max="22" width="12.5703125" style="105" hidden="1" customWidth="1"/>
    <col min="23" max="23" width="24.28515625" style="105" customWidth="1"/>
    <col min="24" max="24" width="22.5703125" style="105" customWidth="1"/>
    <col min="25" max="26" width="12.5703125" style="105"/>
    <col min="27" max="27" width="16.85546875" style="105" customWidth="1"/>
    <col min="28" max="28" width="12.5703125" style="105"/>
    <col min="29" max="29" width="30.140625" style="105" customWidth="1"/>
    <col min="30" max="30" width="15.42578125" style="105" customWidth="1"/>
    <col min="31" max="31" width="15.85546875" style="105" customWidth="1"/>
    <col min="32" max="32" width="24.42578125" style="1" customWidth="1"/>
    <col min="33" max="33" width="17.140625" style="1" customWidth="1"/>
    <col min="34" max="16384" width="12.5703125" style="1"/>
  </cols>
  <sheetData>
    <row r="1" spans="1:27" ht="15.75">
      <c r="A1" s="488"/>
      <c r="B1" s="491" t="s">
        <v>86</v>
      </c>
      <c r="C1" s="492"/>
      <c r="D1" s="492"/>
      <c r="E1" s="492"/>
      <c r="F1" s="492"/>
      <c r="G1" s="492"/>
      <c r="H1" s="493"/>
      <c r="I1" s="497" t="s">
        <v>87</v>
      </c>
      <c r="J1" s="498"/>
      <c r="K1" s="498"/>
      <c r="L1" s="499"/>
      <c r="M1" s="500"/>
      <c r="N1" s="501"/>
      <c r="O1" s="186"/>
      <c r="P1" s="826"/>
      <c r="Q1" s="826"/>
    </row>
    <row r="2" spans="1:27" ht="15.75">
      <c r="A2" s="489"/>
      <c r="B2" s="494"/>
      <c r="C2" s="495"/>
      <c r="D2" s="495"/>
      <c r="E2" s="495"/>
      <c r="F2" s="495"/>
      <c r="G2" s="495"/>
      <c r="H2" s="496"/>
      <c r="I2" s="497" t="s">
        <v>88</v>
      </c>
      <c r="J2" s="498"/>
      <c r="K2" s="498"/>
      <c r="L2" s="499"/>
      <c r="M2" s="502"/>
      <c r="N2" s="503"/>
      <c r="O2" s="186"/>
      <c r="P2" s="826"/>
      <c r="Q2" s="826"/>
    </row>
    <row r="3" spans="1:27" ht="15.75">
      <c r="A3" s="489"/>
      <c r="B3" s="491" t="s">
        <v>89</v>
      </c>
      <c r="C3" s="492"/>
      <c r="D3" s="492"/>
      <c r="E3" s="492"/>
      <c r="F3" s="492"/>
      <c r="G3" s="492"/>
      <c r="H3" s="493"/>
      <c r="I3" s="497" t="s">
        <v>90</v>
      </c>
      <c r="J3" s="498"/>
      <c r="K3" s="498"/>
      <c r="L3" s="499"/>
      <c r="M3" s="502"/>
      <c r="N3" s="503"/>
      <c r="O3" s="186"/>
      <c r="P3" s="826"/>
      <c r="Q3" s="826"/>
    </row>
    <row r="4" spans="1:27" ht="15.75">
      <c r="A4" s="490"/>
      <c r="B4" s="494"/>
      <c r="C4" s="495"/>
      <c r="D4" s="495"/>
      <c r="E4" s="495"/>
      <c r="F4" s="495"/>
      <c r="G4" s="495"/>
      <c r="H4" s="496"/>
      <c r="I4" s="497" t="s">
        <v>91</v>
      </c>
      <c r="J4" s="498"/>
      <c r="K4" s="498"/>
      <c r="L4" s="499"/>
      <c r="M4" s="504"/>
      <c r="N4" s="505"/>
      <c r="O4" s="186"/>
      <c r="P4" s="826"/>
      <c r="Q4" s="826"/>
    </row>
    <row r="5" spans="1:27" ht="15.75">
      <c r="A5" s="506"/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186"/>
      <c r="P5" s="826"/>
      <c r="Q5" s="826"/>
    </row>
    <row r="6" spans="1:27" ht="15.75">
      <c r="A6" s="497" t="s">
        <v>129</v>
      </c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9"/>
      <c r="O6" s="195"/>
      <c r="P6" s="826"/>
      <c r="Q6" s="826"/>
    </row>
    <row r="7" spans="1:27" ht="15.75">
      <c r="A7" s="34" t="s">
        <v>282</v>
      </c>
      <c r="B7" s="411" t="s">
        <v>464</v>
      </c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195"/>
    </row>
    <row r="8" spans="1:27" ht="15.75">
      <c r="A8" s="35" t="s">
        <v>32</v>
      </c>
      <c r="B8" s="507" t="s">
        <v>33</v>
      </c>
      <c r="C8" s="508"/>
      <c r="D8" s="508"/>
      <c r="E8" s="508"/>
      <c r="F8" s="509"/>
      <c r="G8" s="548" t="s">
        <v>253</v>
      </c>
      <c r="H8" s="549"/>
      <c r="I8" s="550"/>
      <c r="J8" s="519" t="s">
        <v>31</v>
      </c>
      <c r="K8" s="520"/>
      <c r="L8" s="520"/>
      <c r="M8" s="520"/>
      <c r="N8" s="521"/>
      <c r="O8" s="189"/>
      <c r="P8" s="827"/>
      <c r="Q8" s="827"/>
      <c r="S8" s="828"/>
      <c r="T8" s="828"/>
      <c r="U8" s="828"/>
      <c r="V8" s="828"/>
      <c r="W8" s="828"/>
    </row>
    <row r="9" spans="1:27" ht="15.75">
      <c r="A9" s="37" t="s">
        <v>30</v>
      </c>
      <c r="B9" s="523" t="s">
        <v>37</v>
      </c>
      <c r="C9" s="508"/>
      <c r="D9" s="508"/>
      <c r="E9" s="508"/>
      <c r="F9" s="509"/>
      <c r="G9" s="551"/>
      <c r="H9" s="552"/>
      <c r="I9" s="553"/>
      <c r="J9" s="184" t="s">
        <v>29</v>
      </c>
      <c r="K9" s="422" t="s">
        <v>28</v>
      </c>
      <c r="L9" s="422"/>
      <c r="M9" s="422"/>
      <c r="N9" s="184" t="s">
        <v>27</v>
      </c>
      <c r="O9" s="190"/>
      <c r="P9" s="827"/>
      <c r="Q9" s="827"/>
      <c r="S9" s="103"/>
      <c r="T9" s="103"/>
      <c r="U9" s="103"/>
      <c r="V9" s="103"/>
      <c r="W9" s="103"/>
    </row>
    <row r="10" spans="1:27" ht="15.75">
      <c r="A10" s="38" t="s">
        <v>26</v>
      </c>
      <c r="B10" s="522" t="s">
        <v>38</v>
      </c>
      <c r="C10" s="523"/>
      <c r="D10" s="523"/>
      <c r="E10" s="523"/>
      <c r="F10" s="524"/>
      <c r="G10" s="551"/>
      <c r="H10" s="552"/>
      <c r="I10" s="553"/>
      <c r="J10" s="39"/>
      <c r="K10" s="528"/>
      <c r="L10" s="529"/>
      <c r="M10" s="530"/>
      <c r="N10" s="40"/>
      <c r="P10" s="827"/>
      <c r="Q10" s="827"/>
      <c r="S10" s="104"/>
      <c r="T10" s="829"/>
      <c r="U10" s="829"/>
      <c r="V10" s="829"/>
      <c r="W10" s="104"/>
      <c r="Y10" s="101"/>
      <c r="Z10" s="101"/>
    </row>
    <row r="11" spans="1:27" ht="15.75">
      <c r="A11" s="49" t="s">
        <v>25</v>
      </c>
      <c r="B11" s="557" t="s">
        <v>85</v>
      </c>
      <c r="C11" s="558"/>
      <c r="D11" s="558"/>
      <c r="E11" s="558"/>
      <c r="F11" s="559"/>
      <c r="G11" s="551"/>
      <c r="H11" s="552"/>
      <c r="I11" s="553"/>
      <c r="J11" s="183"/>
      <c r="K11" s="525"/>
      <c r="L11" s="526"/>
      <c r="M11" s="527"/>
      <c r="N11" s="42"/>
      <c r="O11" s="203"/>
      <c r="P11" s="827"/>
      <c r="Q11" s="827"/>
      <c r="S11" s="830"/>
      <c r="T11" s="831"/>
      <c r="U11" s="831"/>
      <c r="V11" s="831"/>
      <c r="W11" s="50"/>
      <c r="Y11" s="852"/>
      <c r="Z11" s="4"/>
      <c r="AA11" s="853"/>
    </row>
    <row r="12" spans="1:27" ht="15.75">
      <c r="A12" s="43" t="s">
        <v>24</v>
      </c>
      <c r="B12" s="532">
        <v>2020730010057</v>
      </c>
      <c r="C12" s="533"/>
      <c r="D12" s="533"/>
      <c r="E12" s="533"/>
      <c r="F12" s="534"/>
      <c r="G12" s="551"/>
      <c r="H12" s="552"/>
      <c r="I12" s="553"/>
      <c r="J12" s="44"/>
      <c r="K12" s="468"/>
      <c r="L12" s="469"/>
      <c r="M12" s="470"/>
      <c r="N12" s="45"/>
      <c r="O12" s="204"/>
      <c r="P12" s="827"/>
      <c r="Q12" s="827"/>
      <c r="S12" s="830"/>
      <c r="T12" s="831"/>
      <c r="U12" s="831"/>
      <c r="V12" s="831"/>
      <c r="W12" s="50"/>
      <c r="Y12" s="852"/>
      <c r="Z12" s="4"/>
      <c r="AA12" s="853"/>
    </row>
    <row r="13" spans="1:27" ht="35.25" customHeight="1">
      <c r="A13" s="73" t="s">
        <v>114</v>
      </c>
      <c r="B13" s="466" t="s">
        <v>300</v>
      </c>
      <c r="C13" s="466"/>
      <c r="D13" s="466"/>
      <c r="E13" s="466"/>
      <c r="F13" s="467"/>
      <c r="G13" s="554"/>
      <c r="H13" s="555"/>
      <c r="I13" s="556"/>
      <c r="J13" s="181"/>
      <c r="K13" s="468"/>
      <c r="L13" s="469"/>
      <c r="M13" s="470"/>
      <c r="N13" s="46"/>
      <c r="O13" s="106"/>
      <c r="P13" s="827"/>
      <c r="Q13" s="827"/>
      <c r="S13" s="832"/>
      <c r="T13" s="831"/>
      <c r="U13" s="831"/>
      <c r="V13" s="833"/>
      <c r="W13" s="50"/>
      <c r="X13" s="836"/>
      <c r="Y13" s="852"/>
      <c r="Z13" s="4"/>
      <c r="AA13" s="853"/>
    </row>
    <row r="14" spans="1:27" ht="21" customHeight="1">
      <c r="A14" s="415" t="s">
        <v>23</v>
      </c>
      <c r="B14" s="426" t="s">
        <v>92</v>
      </c>
      <c r="C14" s="413" t="s">
        <v>21</v>
      </c>
      <c r="D14" s="413" t="s">
        <v>20</v>
      </c>
      <c r="E14" s="572" t="s">
        <v>119</v>
      </c>
      <c r="F14" s="565" t="s">
        <v>118</v>
      </c>
      <c r="G14" s="566"/>
      <c r="H14" s="566"/>
      <c r="I14" s="567"/>
      <c r="J14" s="413" t="s">
        <v>17</v>
      </c>
      <c r="K14" s="413"/>
      <c r="L14" s="414" t="s">
        <v>16</v>
      </c>
      <c r="M14" s="414"/>
      <c r="N14" s="414"/>
      <c r="O14" s="205"/>
      <c r="S14" s="834"/>
      <c r="T14" s="835"/>
      <c r="U14" s="835"/>
      <c r="W14" s="50"/>
      <c r="Y14" s="852"/>
      <c r="Z14" s="4"/>
      <c r="AA14" s="853"/>
    </row>
    <row r="15" spans="1:27" ht="21" customHeight="1">
      <c r="A15" s="415"/>
      <c r="B15" s="413"/>
      <c r="C15" s="413"/>
      <c r="D15" s="413"/>
      <c r="E15" s="573"/>
      <c r="F15" s="568"/>
      <c r="G15" s="569"/>
      <c r="H15" s="569"/>
      <c r="I15" s="570"/>
      <c r="J15" s="413"/>
      <c r="K15" s="413"/>
      <c r="L15" s="413" t="s">
        <v>15</v>
      </c>
      <c r="M15" s="413" t="s">
        <v>14</v>
      </c>
      <c r="N15" s="415" t="s">
        <v>13</v>
      </c>
      <c r="O15" s="206"/>
      <c r="S15" s="836"/>
      <c r="T15" s="835"/>
      <c r="U15" s="835"/>
      <c r="W15" s="4"/>
      <c r="Y15" s="852"/>
      <c r="Z15" s="4"/>
      <c r="AA15" s="853"/>
    </row>
    <row r="16" spans="1:27" ht="31.5">
      <c r="A16" s="415"/>
      <c r="B16" s="413"/>
      <c r="C16" s="413"/>
      <c r="D16" s="413"/>
      <c r="E16" s="574"/>
      <c r="F16" s="188" t="s">
        <v>12</v>
      </c>
      <c r="G16" s="188" t="s">
        <v>11</v>
      </c>
      <c r="H16" s="188" t="s">
        <v>10</v>
      </c>
      <c r="I16" s="51" t="s">
        <v>9</v>
      </c>
      <c r="J16" s="188" t="s">
        <v>8</v>
      </c>
      <c r="K16" s="179" t="s">
        <v>7</v>
      </c>
      <c r="L16" s="413"/>
      <c r="M16" s="413"/>
      <c r="N16" s="415"/>
      <c r="O16" s="206"/>
      <c r="P16" s="854"/>
      <c r="Q16" s="855"/>
      <c r="R16" s="855"/>
      <c r="S16" s="855"/>
      <c r="T16" s="835"/>
      <c r="U16" s="835"/>
      <c r="W16" s="4"/>
      <c r="Y16" s="852"/>
      <c r="Z16" s="4"/>
      <c r="AA16" s="853"/>
    </row>
    <row r="17" spans="1:31" s="65" customFormat="1" ht="33.75" customHeight="1">
      <c r="A17" s="577" t="s">
        <v>473</v>
      </c>
      <c r="B17" s="141" t="s">
        <v>1</v>
      </c>
      <c r="C17" s="575" t="s">
        <v>266</v>
      </c>
      <c r="D17" s="142">
        <v>1</v>
      </c>
      <c r="E17" s="240">
        <f t="shared" ref="E17:E30" si="0">F17</f>
        <v>309604000</v>
      </c>
      <c r="F17" s="52">
        <f>155000000+28656000+125948000</f>
        <v>309604000</v>
      </c>
      <c r="G17" s="52">
        <v>0</v>
      </c>
      <c r="H17" s="52">
        <v>0</v>
      </c>
      <c r="I17" s="52">
        <v>0</v>
      </c>
      <c r="J17" s="563">
        <v>44930</v>
      </c>
      <c r="K17" s="563">
        <v>45290</v>
      </c>
      <c r="L17" s="397">
        <f>D18/D17</f>
        <v>0.5</v>
      </c>
      <c r="M17" s="397">
        <f>E18/E17</f>
        <v>0.47005285784421391</v>
      </c>
      <c r="N17" s="564">
        <f>L17*L17/M17</f>
        <v>0.53185507933419607</v>
      </c>
      <c r="O17" s="198"/>
      <c r="P17" s="845"/>
      <c r="Q17" s="856"/>
      <c r="R17" s="857"/>
      <c r="S17" s="858"/>
      <c r="T17" s="859"/>
      <c r="U17" s="859"/>
      <c r="V17" s="848"/>
      <c r="W17" s="66"/>
      <c r="X17" s="848"/>
      <c r="Y17" s="860"/>
      <c r="Z17" s="68"/>
      <c r="AA17" s="861"/>
      <c r="AB17" s="848"/>
      <c r="AC17" s="848"/>
      <c r="AD17" s="848"/>
      <c r="AE17" s="848"/>
    </row>
    <row r="18" spans="1:31" s="65" customFormat="1" ht="33.75" customHeight="1">
      <c r="A18" s="578"/>
      <c r="B18" s="141" t="s">
        <v>0</v>
      </c>
      <c r="C18" s="576"/>
      <c r="D18" s="142">
        <v>0.5</v>
      </c>
      <c r="E18" s="240">
        <f t="shared" si="0"/>
        <v>145530245</v>
      </c>
      <c r="F18" s="52">
        <f>78281064+8750000+8750000+8750000+3000000+6000000+8750000+3000000+6000000+1249181+13000000</f>
        <v>145530245</v>
      </c>
      <c r="G18" s="52">
        <v>0</v>
      </c>
      <c r="H18" s="52">
        <v>0</v>
      </c>
      <c r="I18" s="52">
        <v>0</v>
      </c>
      <c r="J18" s="563"/>
      <c r="K18" s="563"/>
      <c r="L18" s="397"/>
      <c r="M18" s="397"/>
      <c r="N18" s="564"/>
      <c r="O18" s="198"/>
      <c r="P18" s="845"/>
      <c r="Q18" s="862"/>
      <c r="R18" s="857"/>
      <c r="S18" s="857"/>
      <c r="T18" s="848"/>
      <c r="U18" s="848"/>
      <c r="V18" s="848"/>
      <c r="W18" s="863"/>
      <c r="X18" s="848"/>
      <c r="Y18" s="860"/>
      <c r="Z18" s="68"/>
      <c r="AA18" s="861"/>
      <c r="AB18" s="848"/>
      <c r="AC18" s="848"/>
      <c r="AD18" s="848"/>
      <c r="AE18" s="848"/>
    </row>
    <row r="19" spans="1:31" s="65" customFormat="1" ht="27" customHeight="1">
      <c r="A19" s="581" t="s">
        <v>333</v>
      </c>
      <c r="B19" s="141" t="s">
        <v>1</v>
      </c>
      <c r="C19" s="575" t="s">
        <v>107</v>
      </c>
      <c r="D19" s="142">
        <v>1</v>
      </c>
      <c r="E19" s="240">
        <f t="shared" si="0"/>
        <v>58378284</v>
      </c>
      <c r="F19" s="52">
        <f>51366284+7012000</f>
        <v>58378284</v>
      </c>
      <c r="G19" s="52">
        <v>0</v>
      </c>
      <c r="H19" s="52">
        <v>0</v>
      </c>
      <c r="I19" s="52">
        <v>0</v>
      </c>
      <c r="J19" s="563">
        <v>44930</v>
      </c>
      <c r="K19" s="563">
        <v>45290</v>
      </c>
      <c r="L19" s="397">
        <f>D20/D19</f>
        <v>0.5</v>
      </c>
      <c r="M19" s="397">
        <f>E20/E19</f>
        <v>0.87988684285409968</v>
      </c>
      <c r="N19" s="564">
        <f>L19*L19/M19</f>
        <v>0.28412744437576992</v>
      </c>
      <c r="O19" s="198"/>
      <c r="P19" s="848"/>
      <c r="Q19" s="848"/>
      <c r="R19" s="848"/>
      <c r="S19" s="848"/>
      <c r="T19" s="848"/>
      <c r="U19" s="848"/>
      <c r="V19" s="848"/>
      <c r="W19" s="863"/>
      <c r="X19" s="848"/>
      <c r="Y19" s="860"/>
      <c r="Z19" s="68"/>
      <c r="AA19" s="861"/>
      <c r="AB19" s="848"/>
      <c r="AC19" s="848"/>
      <c r="AD19" s="848"/>
      <c r="AE19" s="848"/>
    </row>
    <row r="20" spans="1:31" s="65" customFormat="1" ht="30.6" customHeight="1">
      <c r="A20" s="576"/>
      <c r="B20" s="141" t="s">
        <v>0</v>
      </c>
      <c r="C20" s="576"/>
      <c r="D20" s="142">
        <v>0.5</v>
      </c>
      <c r="E20" s="240">
        <f t="shared" si="0"/>
        <v>51366284</v>
      </c>
      <c r="F20" s="52">
        <f>33811284+3555000+14000000</f>
        <v>51366284</v>
      </c>
      <c r="G20" s="52">
        <v>0</v>
      </c>
      <c r="H20" s="52">
        <v>0</v>
      </c>
      <c r="I20" s="52">
        <v>0</v>
      </c>
      <c r="J20" s="563"/>
      <c r="K20" s="563"/>
      <c r="L20" s="397"/>
      <c r="M20" s="397"/>
      <c r="N20" s="564"/>
      <c r="O20" s="198"/>
      <c r="P20" s="848"/>
      <c r="Q20" s="848"/>
      <c r="R20" s="848"/>
      <c r="S20" s="848"/>
      <c r="T20" s="848"/>
      <c r="U20" s="848"/>
      <c r="V20" s="848"/>
      <c r="W20" s="863"/>
      <c r="X20" s="848"/>
      <c r="Y20" s="860"/>
      <c r="Z20" s="68"/>
      <c r="AA20" s="861"/>
      <c r="AB20" s="848"/>
      <c r="AC20" s="848"/>
      <c r="AD20" s="848"/>
      <c r="AE20" s="848"/>
    </row>
    <row r="21" spans="1:31" s="65" customFormat="1" ht="29.25" customHeight="1">
      <c r="A21" s="581" t="s">
        <v>474</v>
      </c>
      <c r="B21" s="143" t="s">
        <v>1</v>
      </c>
      <c r="C21" s="594" t="s">
        <v>448</v>
      </c>
      <c r="D21" s="207">
        <v>1</v>
      </c>
      <c r="E21" s="240">
        <f t="shared" si="0"/>
        <v>50000000</v>
      </c>
      <c r="F21" s="52">
        <v>50000000</v>
      </c>
      <c r="G21" s="52">
        <v>0</v>
      </c>
      <c r="H21" s="52">
        <v>0</v>
      </c>
      <c r="I21" s="52">
        <v>0</v>
      </c>
      <c r="J21" s="563">
        <v>44930</v>
      </c>
      <c r="K21" s="563">
        <v>45290</v>
      </c>
      <c r="L21" s="397">
        <f>D22/D21</f>
        <v>0.5</v>
      </c>
      <c r="M21" s="397">
        <f>E22/E21</f>
        <v>0.86624000000000001</v>
      </c>
      <c r="N21" s="564">
        <f>L21*L21/M21</f>
        <v>0.28860362024381231</v>
      </c>
      <c r="O21" s="198"/>
      <c r="P21" s="848"/>
      <c r="Q21" s="848"/>
      <c r="R21" s="848"/>
      <c r="S21" s="848"/>
      <c r="T21" s="848"/>
      <c r="U21" s="848"/>
      <c r="V21" s="848"/>
      <c r="W21" s="848"/>
      <c r="X21" s="848"/>
      <c r="Y21" s="848"/>
      <c r="Z21" s="848"/>
      <c r="AA21" s="861"/>
      <c r="AB21" s="848"/>
      <c r="AC21" s="848"/>
      <c r="AD21" s="848"/>
      <c r="AE21" s="848"/>
    </row>
    <row r="22" spans="1:31" s="65" customFormat="1" ht="29.25" customHeight="1">
      <c r="A22" s="576"/>
      <c r="B22" s="141" t="s">
        <v>0</v>
      </c>
      <c r="C22" s="595"/>
      <c r="D22" s="144">
        <v>0.5</v>
      </c>
      <c r="E22" s="240">
        <f t="shared" si="0"/>
        <v>43312000</v>
      </c>
      <c r="F22" s="52">
        <f>26600000+8000000+7700000+1012000</f>
        <v>43312000</v>
      </c>
      <c r="G22" s="52">
        <v>0</v>
      </c>
      <c r="H22" s="52">
        <v>0</v>
      </c>
      <c r="I22" s="52">
        <v>0</v>
      </c>
      <c r="J22" s="563"/>
      <c r="K22" s="563"/>
      <c r="L22" s="397"/>
      <c r="M22" s="397"/>
      <c r="N22" s="564"/>
      <c r="O22" s="198"/>
      <c r="P22" s="864"/>
      <c r="Q22" s="865"/>
      <c r="R22" s="865"/>
      <c r="S22" s="848"/>
      <c r="T22" s="848"/>
      <c r="U22" s="848"/>
      <c r="V22" s="848"/>
      <c r="W22" s="848"/>
      <c r="X22" s="848"/>
      <c r="Y22" s="848"/>
      <c r="Z22" s="848"/>
      <c r="AA22" s="861"/>
      <c r="AB22" s="848"/>
      <c r="AC22" s="848"/>
      <c r="AD22" s="848"/>
      <c r="AE22" s="848"/>
    </row>
    <row r="23" spans="1:31" s="65" customFormat="1" ht="40.5" customHeight="1">
      <c r="A23" s="581" t="s">
        <v>334</v>
      </c>
      <c r="B23" s="143" t="s">
        <v>1</v>
      </c>
      <c r="C23" s="575" t="s">
        <v>475</v>
      </c>
      <c r="D23" s="145">
        <v>712</v>
      </c>
      <c r="E23" s="240">
        <f t="shared" si="0"/>
        <v>51076000</v>
      </c>
      <c r="F23" s="52">
        <f>20000000+12180000+18896000</f>
        <v>51076000</v>
      </c>
      <c r="G23" s="52">
        <v>0</v>
      </c>
      <c r="H23" s="52">
        <v>0</v>
      </c>
      <c r="I23" s="52">
        <v>0</v>
      </c>
      <c r="J23" s="563">
        <v>45000</v>
      </c>
      <c r="K23" s="563">
        <v>45290</v>
      </c>
      <c r="L23" s="397">
        <f>D24/D23</f>
        <v>9.5505617977528087E-2</v>
      </c>
      <c r="M23" s="397">
        <f>E24/E23</f>
        <v>0.36809851985276842</v>
      </c>
      <c r="N23" s="564">
        <f>L23*L23/M23</f>
        <v>2.4779570069767932E-2</v>
      </c>
      <c r="O23" s="198"/>
      <c r="P23" s="845"/>
      <c r="Q23" s="856"/>
      <c r="R23" s="844"/>
      <c r="S23" s="858"/>
      <c r="T23" s="848"/>
      <c r="U23" s="848"/>
      <c r="V23" s="848"/>
      <c r="W23" s="848"/>
      <c r="X23" s="848"/>
      <c r="Y23" s="848"/>
      <c r="Z23" s="848"/>
      <c r="AA23" s="848"/>
      <c r="AB23" s="848"/>
      <c r="AC23" s="848"/>
      <c r="AD23" s="848"/>
      <c r="AE23" s="848"/>
    </row>
    <row r="24" spans="1:31" s="65" customFormat="1" ht="40.5" customHeight="1">
      <c r="A24" s="582"/>
      <c r="B24" s="141" t="s">
        <v>0</v>
      </c>
      <c r="C24" s="576"/>
      <c r="D24" s="145">
        <v>68</v>
      </c>
      <c r="E24" s="240">
        <f t="shared" si="0"/>
        <v>18801000</v>
      </c>
      <c r="F24" s="52">
        <f>18211000+590000</f>
        <v>18801000</v>
      </c>
      <c r="G24" s="52">
        <v>0</v>
      </c>
      <c r="H24" s="52">
        <v>0</v>
      </c>
      <c r="I24" s="52">
        <v>0</v>
      </c>
      <c r="J24" s="563"/>
      <c r="K24" s="563"/>
      <c r="L24" s="397"/>
      <c r="M24" s="397"/>
      <c r="N24" s="564"/>
      <c r="O24" s="198"/>
      <c r="P24" s="845"/>
      <c r="Q24" s="862"/>
      <c r="R24" s="844"/>
      <c r="S24" s="857"/>
      <c r="T24" s="848"/>
      <c r="U24" s="848"/>
      <c r="V24" s="848"/>
      <c r="W24" s="848"/>
      <c r="X24" s="848"/>
      <c r="Y24" s="848"/>
      <c r="Z24" s="848"/>
      <c r="AA24" s="848"/>
      <c r="AB24" s="848"/>
      <c r="AC24" s="848"/>
      <c r="AD24" s="848"/>
      <c r="AE24" s="848"/>
    </row>
    <row r="25" spans="1:31" s="65" customFormat="1" ht="27.75" customHeight="1">
      <c r="A25" s="579" t="s">
        <v>335</v>
      </c>
      <c r="B25" s="146" t="s">
        <v>1</v>
      </c>
      <c r="C25" s="575" t="s">
        <v>449</v>
      </c>
      <c r="D25" s="147">
        <v>30</v>
      </c>
      <c r="E25" s="240">
        <f t="shared" si="0"/>
        <v>124133716</v>
      </c>
      <c r="F25" s="52">
        <f>96833716+27300000</f>
        <v>124133716</v>
      </c>
      <c r="G25" s="52">
        <v>0</v>
      </c>
      <c r="H25" s="52">
        <v>0</v>
      </c>
      <c r="I25" s="52">
        <v>0</v>
      </c>
      <c r="J25" s="563">
        <v>45048</v>
      </c>
      <c r="K25" s="563">
        <v>45290</v>
      </c>
      <c r="L25" s="397">
        <f>D26/D25</f>
        <v>0</v>
      </c>
      <c r="M25" s="397">
        <f>E26/E25</f>
        <v>5.6793595061634984E-2</v>
      </c>
      <c r="N25" s="564">
        <v>0</v>
      </c>
      <c r="O25" s="198"/>
      <c r="P25" s="864"/>
      <c r="Q25" s="865"/>
      <c r="R25" s="865"/>
      <c r="S25" s="848"/>
      <c r="T25" s="848"/>
      <c r="U25" s="848"/>
      <c r="V25" s="848"/>
      <c r="W25" s="848"/>
      <c r="X25" s="848"/>
      <c r="Y25" s="848"/>
      <c r="Z25" s="848"/>
      <c r="AA25" s="848"/>
      <c r="AB25" s="848"/>
      <c r="AC25" s="848"/>
      <c r="AD25" s="848"/>
      <c r="AE25" s="848"/>
    </row>
    <row r="26" spans="1:31" s="65" customFormat="1" ht="33" customHeight="1">
      <c r="A26" s="579"/>
      <c r="B26" s="148" t="s">
        <v>0</v>
      </c>
      <c r="C26" s="580"/>
      <c r="D26" s="145">
        <v>0</v>
      </c>
      <c r="E26" s="240">
        <f t="shared" si="0"/>
        <v>7050000</v>
      </c>
      <c r="F26" s="52">
        <f>5000000+2050000</f>
        <v>7050000</v>
      </c>
      <c r="G26" s="52">
        <v>0</v>
      </c>
      <c r="H26" s="52">
        <v>0</v>
      </c>
      <c r="I26" s="52">
        <v>0</v>
      </c>
      <c r="J26" s="563"/>
      <c r="K26" s="563"/>
      <c r="L26" s="397"/>
      <c r="M26" s="397"/>
      <c r="N26" s="564"/>
      <c r="O26" s="198"/>
      <c r="P26" s="845"/>
      <c r="Q26" s="856"/>
      <c r="R26" s="844"/>
      <c r="S26" s="858"/>
      <c r="T26" s="848"/>
      <c r="U26" s="848"/>
      <c r="V26" s="848"/>
      <c r="W26" s="848"/>
      <c r="X26" s="848"/>
      <c r="Y26" s="848"/>
      <c r="Z26" s="848"/>
      <c r="AA26" s="848"/>
      <c r="AB26" s="848"/>
      <c r="AC26" s="848"/>
      <c r="AD26" s="848"/>
      <c r="AE26" s="848"/>
    </row>
    <row r="27" spans="1:31" s="65" customFormat="1" ht="23.25" customHeight="1">
      <c r="A27" s="581" t="s">
        <v>336</v>
      </c>
      <c r="B27" s="143" t="s">
        <v>1</v>
      </c>
      <c r="C27" s="575" t="s">
        <v>265</v>
      </c>
      <c r="D27" s="207">
        <v>1</v>
      </c>
      <c r="E27" s="240">
        <f t="shared" si="0"/>
        <v>40000000</v>
      </c>
      <c r="F27" s="52">
        <v>40000000</v>
      </c>
      <c r="G27" s="52">
        <v>0</v>
      </c>
      <c r="H27" s="52">
        <v>0</v>
      </c>
      <c r="I27" s="52">
        <v>0</v>
      </c>
      <c r="J27" s="563">
        <v>44978</v>
      </c>
      <c r="K27" s="563">
        <v>45290</v>
      </c>
      <c r="L27" s="397">
        <f>D28/D27</f>
        <v>0.5</v>
      </c>
      <c r="M27" s="397">
        <f>E28/E27</f>
        <v>0.63749999999999996</v>
      </c>
      <c r="N27" s="596">
        <f>L27*L27/M27</f>
        <v>0.39215686274509809</v>
      </c>
      <c r="O27" s="198"/>
      <c r="P27" s="845"/>
      <c r="Q27" s="848"/>
      <c r="R27" s="844"/>
      <c r="S27" s="857"/>
      <c r="T27" s="848"/>
      <c r="U27" s="848"/>
      <c r="V27" s="848"/>
      <c r="W27" s="848"/>
      <c r="X27" s="848"/>
      <c r="Y27" s="848"/>
      <c r="Z27" s="848"/>
      <c r="AA27" s="848"/>
      <c r="AB27" s="848"/>
      <c r="AC27" s="848"/>
      <c r="AD27" s="848"/>
      <c r="AE27" s="848"/>
    </row>
    <row r="28" spans="1:31" s="65" customFormat="1" ht="23.25" customHeight="1">
      <c r="A28" s="578"/>
      <c r="B28" s="143" t="s">
        <v>0</v>
      </c>
      <c r="C28" s="598"/>
      <c r="D28" s="207">
        <v>0.5</v>
      </c>
      <c r="E28" s="240">
        <f t="shared" si="0"/>
        <v>25500000</v>
      </c>
      <c r="F28" s="52">
        <f>20000000+5500000</f>
        <v>25500000</v>
      </c>
      <c r="G28" s="52">
        <v>0</v>
      </c>
      <c r="H28" s="52">
        <v>0</v>
      </c>
      <c r="I28" s="52">
        <v>0</v>
      </c>
      <c r="J28" s="563"/>
      <c r="K28" s="563"/>
      <c r="L28" s="397"/>
      <c r="M28" s="397"/>
      <c r="N28" s="596"/>
      <c r="O28" s="198"/>
      <c r="P28" s="845"/>
      <c r="Q28" s="856"/>
      <c r="R28" s="844"/>
      <c r="S28" s="858"/>
      <c r="T28" s="848"/>
      <c r="U28" s="848"/>
      <c r="V28" s="848"/>
      <c r="W28" s="848"/>
      <c r="X28" s="848"/>
      <c r="Y28" s="848"/>
      <c r="Z28" s="848"/>
      <c r="AA28" s="848"/>
      <c r="AB28" s="848"/>
      <c r="AC28" s="848"/>
      <c r="AD28" s="848"/>
      <c r="AE28" s="848"/>
    </row>
    <row r="29" spans="1:31" s="65" customFormat="1" ht="24.75" customHeight="1">
      <c r="A29" s="581" t="s">
        <v>426</v>
      </c>
      <c r="B29" s="143" t="s">
        <v>1</v>
      </c>
      <c r="C29" s="575" t="s">
        <v>450</v>
      </c>
      <c r="D29" s="149">
        <v>4</v>
      </c>
      <c r="E29" s="240">
        <f t="shared" si="0"/>
        <v>40000000</v>
      </c>
      <c r="F29" s="52">
        <v>40000000</v>
      </c>
      <c r="G29" s="52">
        <v>0</v>
      </c>
      <c r="H29" s="52">
        <v>0</v>
      </c>
      <c r="I29" s="52">
        <v>0</v>
      </c>
      <c r="J29" s="563">
        <v>45037</v>
      </c>
      <c r="K29" s="563">
        <v>45290</v>
      </c>
      <c r="L29" s="397">
        <f>D30/D29</f>
        <v>0</v>
      </c>
      <c r="M29" s="397">
        <f>E30/E29</f>
        <v>0</v>
      </c>
      <c r="N29" s="564">
        <v>0</v>
      </c>
      <c r="O29" s="198"/>
      <c r="P29" s="845"/>
      <c r="Q29" s="862"/>
      <c r="R29" s="844"/>
      <c r="S29" s="857"/>
      <c r="T29" s="848"/>
      <c r="U29" s="848"/>
      <c r="V29" s="848"/>
      <c r="W29" s="848"/>
      <c r="X29" s="848"/>
      <c r="Y29" s="848"/>
      <c r="Z29" s="848"/>
      <c r="AA29" s="848"/>
      <c r="AB29" s="848"/>
      <c r="AC29" s="848"/>
      <c r="AD29" s="848"/>
      <c r="AE29" s="848"/>
    </row>
    <row r="30" spans="1:31" s="65" customFormat="1" ht="24.6" customHeight="1">
      <c r="A30" s="578"/>
      <c r="B30" s="143" t="s">
        <v>0</v>
      </c>
      <c r="C30" s="580"/>
      <c r="D30" s="150">
        <v>0</v>
      </c>
      <c r="E30" s="240">
        <f t="shared" si="0"/>
        <v>0</v>
      </c>
      <c r="F30" s="52">
        <v>0</v>
      </c>
      <c r="G30" s="94">
        <v>0</v>
      </c>
      <c r="H30" s="94">
        <v>0</v>
      </c>
      <c r="I30" s="94">
        <v>0</v>
      </c>
      <c r="J30" s="597"/>
      <c r="K30" s="597"/>
      <c r="L30" s="432"/>
      <c r="M30" s="432"/>
      <c r="N30" s="564"/>
      <c r="O30" s="198"/>
      <c r="P30" s="844"/>
      <c r="Q30" s="844"/>
      <c r="R30" s="848"/>
      <c r="S30" s="848"/>
      <c r="T30" s="848"/>
      <c r="U30" s="848"/>
      <c r="V30" s="848"/>
      <c r="W30" s="848"/>
      <c r="X30" s="848"/>
      <c r="Y30" s="848"/>
      <c r="Z30" s="848"/>
      <c r="AA30" s="848"/>
      <c r="AB30" s="848"/>
      <c r="AC30" s="848"/>
      <c r="AD30" s="848"/>
      <c r="AE30" s="848"/>
    </row>
    <row r="31" spans="1:31" ht="15.75" customHeight="1">
      <c r="A31" s="588" t="s">
        <v>6</v>
      </c>
      <c r="B31" s="26" t="s">
        <v>1</v>
      </c>
      <c r="C31" s="589"/>
      <c r="D31" s="53"/>
      <c r="E31" s="54">
        <f>E17+E19+E21+E23+E27+E29+E25</f>
        <v>673192000</v>
      </c>
      <c r="F31" s="54">
        <f>F17+F19+F21+F23+F27+F29+F25</f>
        <v>673192000</v>
      </c>
      <c r="G31" s="54">
        <f>G17+G19+G21+G23+G27+G29+G25</f>
        <v>0</v>
      </c>
      <c r="H31" s="54">
        <f>H17+H19+H21+H23+H27+H29+H25</f>
        <v>0</v>
      </c>
      <c r="I31" s="54">
        <f>I17+I19+I21+I23+I27+I29+I25</f>
        <v>0</v>
      </c>
      <c r="J31" s="28"/>
      <c r="K31" s="55"/>
      <c r="L31" s="55"/>
      <c r="M31" s="55"/>
      <c r="N31" s="30"/>
      <c r="O31" s="208"/>
      <c r="P31" s="112"/>
      <c r="R31" s="177"/>
      <c r="S31" s="858"/>
    </row>
    <row r="32" spans="1:31" ht="15.75">
      <c r="A32" s="588"/>
      <c r="B32" s="26" t="s">
        <v>0</v>
      </c>
      <c r="C32" s="590"/>
      <c r="D32" s="53"/>
      <c r="E32" s="54">
        <f>E18+E20+E22+E24+E28+E30+E26</f>
        <v>291559529</v>
      </c>
      <c r="F32" s="54">
        <f>F18+F20+F22+F24+F28+F30+F26</f>
        <v>291559529</v>
      </c>
      <c r="G32" s="54">
        <f>G30+G28+G26+G24+G22+G20+G18</f>
        <v>0</v>
      </c>
      <c r="H32" s="54">
        <f>H30+H28+H26+H24+H22+H20+H18</f>
        <v>0</v>
      </c>
      <c r="I32" s="54">
        <f>I30+I28+I26+I24+I22+I20+I18</f>
        <v>0</v>
      </c>
      <c r="J32" s="28"/>
      <c r="K32" s="55"/>
      <c r="L32" s="55"/>
      <c r="M32" s="55"/>
      <c r="N32" s="30"/>
      <c r="O32" s="208"/>
      <c r="P32" s="112"/>
      <c r="R32" s="844"/>
      <c r="S32" s="857"/>
    </row>
    <row r="33" spans="1:52">
      <c r="E33" s="21"/>
      <c r="F33" s="20"/>
      <c r="G33" s="13"/>
      <c r="H33" s="13"/>
      <c r="I33" s="13"/>
      <c r="J33" s="56"/>
      <c r="K33" s="56"/>
      <c r="L33" s="20"/>
      <c r="M33" s="57"/>
      <c r="N33" s="57"/>
      <c r="O33" s="57"/>
      <c r="P33" s="825"/>
      <c r="Q33" s="825"/>
    </row>
    <row r="34" spans="1:52" ht="15.75">
      <c r="A34" s="180" t="s">
        <v>5</v>
      </c>
      <c r="B34" s="592" t="s">
        <v>4</v>
      </c>
      <c r="C34" s="385"/>
      <c r="D34" s="385"/>
      <c r="E34" s="592" t="s">
        <v>3</v>
      </c>
      <c r="F34" s="385"/>
      <c r="G34" s="385"/>
      <c r="H34" s="385"/>
      <c r="I34" s="180"/>
      <c r="J34" s="593" t="s">
        <v>2</v>
      </c>
      <c r="K34" s="385"/>
      <c r="L34" s="385"/>
      <c r="M34" s="385"/>
      <c r="N34" s="385"/>
      <c r="O34" s="210"/>
    </row>
    <row r="35" spans="1:52" s="22" customFormat="1" ht="67.5" customHeight="1">
      <c r="A35" s="538" t="s">
        <v>248</v>
      </c>
      <c r="B35" s="540" t="s">
        <v>252</v>
      </c>
      <c r="C35" s="541"/>
      <c r="D35" s="541"/>
      <c r="E35" s="544" t="s">
        <v>41</v>
      </c>
      <c r="F35" s="545"/>
      <c r="G35" s="545"/>
      <c r="H35" s="239" t="s">
        <v>1</v>
      </c>
      <c r="I35" s="238">
        <v>1</v>
      </c>
      <c r="J35" s="536" t="s">
        <v>337</v>
      </c>
      <c r="K35" s="537"/>
      <c r="L35" s="537"/>
      <c r="M35" s="537"/>
      <c r="N35" s="537"/>
      <c r="O35" s="210"/>
      <c r="P35" s="866"/>
      <c r="Q35" s="866"/>
      <c r="R35" s="866"/>
      <c r="S35" s="866"/>
      <c r="T35" s="866"/>
      <c r="U35" s="866"/>
      <c r="V35" s="866"/>
      <c r="W35" s="866"/>
      <c r="X35" s="866"/>
      <c r="Y35" s="866"/>
      <c r="Z35" s="866"/>
      <c r="AA35" s="866"/>
      <c r="AB35" s="866"/>
      <c r="AC35" s="866"/>
      <c r="AD35" s="866"/>
      <c r="AE35" s="866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</row>
    <row r="36" spans="1:52" s="22" customFormat="1" ht="67.5" customHeight="1">
      <c r="A36" s="539"/>
      <c r="B36" s="542"/>
      <c r="C36" s="543"/>
      <c r="D36" s="543"/>
      <c r="E36" s="546"/>
      <c r="F36" s="546"/>
      <c r="G36" s="546"/>
      <c r="H36" s="236" t="s">
        <v>0</v>
      </c>
      <c r="I36" s="237">
        <v>0</v>
      </c>
      <c r="J36" s="385"/>
      <c r="K36" s="384"/>
      <c r="L36" s="384"/>
      <c r="M36" s="384"/>
      <c r="N36" s="385"/>
      <c r="O36" s="210"/>
      <c r="P36" s="866"/>
      <c r="Q36" s="866"/>
      <c r="R36" s="866"/>
      <c r="S36" s="866"/>
      <c r="T36" s="866"/>
      <c r="U36" s="866"/>
      <c r="V36" s="866"/>
      <c r="W36" s="866"/>
      <c r="X36" s="866"/>
      <c r="Y36" s="866"/>
      <c r="Z36" s="866"/>
      <c r="AA36" s="866"/>
      <c r="AB36" s="866"/>
      <c r="AC36" s="866"/>
      <c r="AD36" s="866"/>
      <c r="AE36" s="866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</row>
    <row r="37" spans="1:52" s="22" customFormat="1" ht="66.75" customHeight="1">
      <c r="A37" s="538" t="s">
        <v>248</v>
      </c>
      <c r="B37" s="583" t="s">
        <v>251</v>
      </c>
      <c r="C37" s="584"/>
      <c r="D37" s="584"/>
      <c r="E37" s="587" t="s">
        <v>42</v>
      </c>
      <c r="F37" s="546"/>
      <c r="G37" s="546"/>
      <c r="H37" s="236" t="s">
        <v>249</v>
      </c>
      <c r="I37" s="235">
        <v>712</v>
      </c>
      <c r="J37" s="385"/>
      <c r="K37" s="384"/>
      <c r="L37" s="384"/>
      <c r="M37" s="384"/>
      <c r="N37" s="385"/>
      <c r="O37" s="210"/>
      <c r="P37" s="866"/>
      <c r="Q37" s="866"/>
      <c r="R37" s="866"/>
      <c r="S37" s="866"/>
      <c r="T37" s="866"/>
      <c r="U37" s="866"/>
      <c r="V37" s="866"/>
      <c r="W37" s="866"/>
      <c r="X37" s="866"/>
      <c r="Y37" s="866"/>
      <c r="Z37" s="866"/>
      <c r="AA37" s="866"/>
      <c r="AB37" s="866"/>
      <c r="AC37" s="866"/>
      <c r="AD37" s="866"/>
      <c r="AE37" s="866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</row>
    <row r="38" spans="1:52" s="22" customFormat="1" ht="67.5" customHeight="1">
      <c r="A38" s="539"/>
      <c r="B38" s="542"/>
      <c r="C38" s="543"/>
      <c r="D38" s="543"/>
      <c r="E38" s="546"/>
      <c r="F38" s="546"/>
      <c r="G38" s="546"/>
      <c r="H38" s="92" t="s">
        <v>0</v>
      </c>
      <c r="I38" s="91">
        <v>68</v>
      </c>
      <c r="J38" s="385"/>
      <c r="K38" s="384"/>
      <c r="L38" s="384"/>
      <c r="M38" s="384"/>
      <c r="N38" s="385"/>
      <c r="O38" s="210"/>
      <c r="P38" s="866"/>
      <c r="Q38" s="866"/>
      <c r="R38" s="866"/>
      <c r="S38" s="866"/>
      <c r="T38" s="866"/>
      <c r="U38" s="866"/>
      <c r="V38" s="866"/>
      <c r="W38" s="866"/>
      <c r="X38" s="866"/>
      <c r="Y38" s="866"/>
      <c r="Z38" s="866"/>
      <c r="AA38" s="866"/>
      <c r="AB38" s="866"/>
      <c r="AC38" s="866"/>
      <c r="AD38" s="866"/>
      <c r="AE38" s="866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</row>
    <row r="39" spans="1:52" s="22" customFormat="1" ht="36" customHeight="1">
      <c r="A39" s="538" t="s">
        <v>248</v>
      </c>
      <c r="B39" s="583" t="s">
        <v>250</v>
      </c>
      <c r="C39" s="584"/>
      <c r="D39" s="585"/>
      <c r="E39" s="540" t="s">
        <v>43</v>
      </c>
      <c r="F39" s="541"/>
      <c r="G39" s="591"/>
      <c r="H39" s="90" t="s">
        <v>1</v>
      </c>
      <c r="I39" s="88">
        <v>2</v>
      </c>
      <c r="J39" s="385"/>
      <c r="K39" s="384"/>
      <c r="L39" s="384"/>
      <c r="M39" s="384"/>
      <c r="N39" s="385"/>
      <c r="O39" s="210"/>
      <c r="P39" s="866"/>
      <c r="Q39" s="866"/>
      <c r="R39" s="866"/>
      <c r="S39" s="866"/>
      <c r="T39" s="866" t="s">
        <v>249</v>
      </c>
      <c r="U39" s="866"/>
      <c r="V39" s="866"/>
      <c r="W39" s="866"/>
      <c r="X39" s="866"/>
      <c r="Y39" s="866"/>
      <c r="Z39" s="866"/>
      <c r="AA39" s="866"/>
      <c r="AB39" s="866"/>
      <c r="AC39" s="866"/>
      <c r="AD39" s="866"/>
      <c r="AE39" s="866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</row>
    <row r="40" spans="1:52" s="22" customFormat="1" ht="66.75" customHeight="1">
      <c r="A40" s="539"/>
      <c r="B40" s="542"/>
      <c r="C40" s="543"/>
      <c r="D40" s="586"/>
      <c r="E40" s="542"/>
      <c r="F40" s="543"/>
      <c r="G40" s="586"/>
      <c r="H40" s="89" t="s">
        <v>0</v>
      </c>
      <c r="I40" s="88">
        <v>0</v>
      </c>
      <c r="J40" s="385"/>
      <c r="K40" s="384"/>
      <c r="L40" s="384"/>
      <c r="M40" s="384"/>
      <c r="N40" s="385"/>
      <c r="O40" s="210"/>
      <c r="P40" s="866"/>
      <c r="Q40" s="866"/>
      <c r="R40" s="866"/>
      <c r="S40" s="866"/>
      <c r="T40" s="866"/>
      <c r="U40" s="866"/>
      <c r="V40" s="866"/>
      <c r="W40" s="866"/>
      <c r="X40" s="866"/>
      <c r="Y40" s="866"/>
      <c r="Z40" s="866"/>
      <c r="AA40" s="866"/>
      <c r="AB40" s="866"/>
      <c r="AC40" s="866"/>
      <c r="AD40" s="866"/>
      <c r="AE40" s="866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</row>
    <row r="41" spans="1:52" s="22" customFormat="1" ht="81.75" customHeight="1">
      <c r="A41" s="538" t="s">
        <v>248</v>
      </c>
      <c r="B41" s="583" t="s">
        <v>247</v>
      </c>
      <c r="C41" s="584"/>
      <c r="D41" s="585"/>
      <c r="E41" s="583" t="s">
        <v>44</v>
      </c>
      <c r="F41" s="584"/>
      <c r="G41" s="585"/>
      <c r="H41" s="90" t="s">
        <v>1</v>
      </c>
      <c r="I41" s="88">
        <v>30</v>
      </c>
      <c r="J41" s="385"/>
      <c r="K41" s="384"/>
      <c r="L41" s="384"/>
      <c r="M41" s="384"/>
      <c r="N41" s="385"/>
      <c r="O41" s="210"/>
      <c r="P41" s="866"/>
      <c r="Q41" s="866"/>
      <c r="R41" s="866"/>
      <c r="S41" s="866"/>
      <c r="T41" s="866"/>
      <c r="U41" s="866"/>
      <c r="V41" s="866"/>
      <c r="W41" s="866"/>
      <c r="X41" s="866"/>
      <c r="Y41" s="866"/>
      <c r="Z41" s="866"/>
      <c r="AA41" s="866"/>
      <c r="AB41" s="866"/>
      <c r="AC41" s="866"/>
      <c r="AD41" s="866"/>
      <c r="AE41" s="866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</row>
    <row r="42" spans="1:52" s="22" customFormat="1" ht="36" customHeight="1">
      <c r="A42" s="539"/>
      <c r="B42" s="542"/>
      <c r="C42" s="543"/>
      <c r="D42" s="586"/>
      <c r="E42" s="542"/>
      <c r="F42" s="543"/>
      <c r="G42" s="586"/>
      <c r="H42" s="89" t="s">
        <v>0</v>
      </c>
      <c r="I42" s="88">
        <v>0</v>
      </c>
      <c r="J42" s="385"/>
      <c r="K42" s="384"/>
      <c r="L42" s="384"/>
      <c r="M42" s="384"/>
      <c r="N42" s="385"/>
      <c r="O42" s="210"/>
      <c r="P42" s="866"/>
      <c r="Q42" s="866"/>
      <c r="R42" s="866"/>
      <c r="S42" s="866"/>
      <c r="T42" s="866"/>
      <c r="U42" s="866"/>
      <c r="V42" s="866"/>
      <c r="W42" s="866"/>
      <c r="X42" s="866"/>
      <c r="Y42" s="866"/>
      <c r="Z42" s="866"/>
      <c r="AA42" s="866"/>
      <c r="AB42" s="866"/>
      <c r="AC42" s="866"/>
      <c r="AD42" s="866"/>
      <c r="AE42" s="866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</row>
    <row r="43" spans="1:52" ht="54.75" customHeight="1">
      <c r="A43" s="535" t="s">
        <v>463</v>
      </c>
      <c r="B43" s="535"/>
      <c r="C43" s="535"/>
      <c r="D43" s="535"/>
      <c r="E43" s="535"/>
      <c r="F43" s="535"/>
      <c r="G43" s="535"/>
      <c r="H43" s="535"/>
      <c r="I43" s="535"/>
      <c r="J43" s="535"/>
      <c r="K43" s="535"/>
      <c r="L43" s="535"/>
      <c r="M43" s="535"/>
      <c r="N43" s="535"/>
      <c r="O43" s="209"/>
      <c r="P43" s="849"/>
      <c r="Q43" s="849"/>
      <c r="R43" s="849"/>
      <c r="S43" s="849"/>
      <c r="T43" s="849"/>
      <c r="U43" s="849"/>
      <c r="V43" s="849"/>
      <c r="W43" s="849"/>
      <c r="X43" s="849"/>
      <c r="Y43" s="849"/>
      <c r="Z43" s="849"/>
      <c r="AA43" s="849"/>
      <c r="AB43" s="849"/>
      <c r="AC43" s="849"/>
      <c r="AD43" s="849"/>
      <c r="AE43" s="849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</row>
    <row r="44" spans="1:52">
      <c r="P44" s="849"/>
      <c r="Q44" s="849"/>
      <c r="R44" s="849"/>
      <c r="S44" s="849"/>
      <c r="T44" s="849"/>
      <c r="U44" s="849"/>
      <c r="V44" s="849"/>
      <c r="W44" s="849"/>
      <c r="X44" s="849"/>
      <c r="Y44" s="849"/>
      <c r="Z44" s="849"/>
      <c r="AA44" s="849"/>
      <c r="AB44" s="849"/>
      <c r="AC44" s="849"/>
      <c r="AD44" s="849"/>
      <c r="AE44" s="849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</row>
    <row r="45" spans="1:52" ht="15.75" customHeight="1">
      <c r="P45" s="849"/>
      <c r="Q45" s="849"/>
      <c r="R45" s="849"/>
      <c r="S45" s="849"/>
      <c r="T45" s="849"/>
      <c r="U45" s="849"/>
      <c r="V45" s="849"/>
      <c r="W45" s="849"/>
      <c r="X45" s="849"/>
      <c r="Y45" s="849"/>
      <c r="Z45" s="849"/>
      <c r="AA45" s="849"/>
      <c r="AB45" s="849"/>
      <c r="AC45" s="849"/>
      <c r="AD45" s="849"/>
      <c r="AE45" s="849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</row>
    <row r="46" spans="1:52">
      <c r="P46" s="849"/>
      <c r="Q46" s="849"/>
      <c r="R46" s="849"/>
      <c r="S46" s="849"/>
      <c r="T46" s="849"/>
      <c r="U46" s="849"/>
      <c r="V46" s="849"/>
      <c r="W46" s="849"/>
      <c r="X46" s="849"/>
      <c r="Y46" s="849"/>
      <c r="Z46" s="849"/>
      <c r="AA46" s="849"/>
      <c r="AB46" s="849"/>
      <c r="AC46" s="849"/>
      <c r="AD46" s="849"/>
      <c r="AE46" s="849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</row>
    <row r="47" spans="1:52">
      <c r="P47" s="849"/>
      <c r="Q47" s="849"/>
      <c r="R47" s="849"/>
      <c r="S47" s="849"/>
      <c r="T47" s="849"/>
      <c r="U47" s="849"/>
      <c r="V47" s="849"/>
      <c r="W47" s="849"/>
      <c r="X47" s="849"/>
      <c r="Y47" s="849"/>
      <c r="Z47" s="849"/>
      <c r="AA47" s="849"/>
      <c r="AB47" s="849"/>
      <c r="AC47" s="849"/>
      <c r="AD47" s="849"/>
      <c r="AE47" s="849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</row>
    <row r="48" spans="1:52">
      <c r="P48" s="849"/>
      <c r="Q48" s="849"/>
      <c r="R48" s="849"/>
      <c r="S48" s="849"/>
      <c r="T48" s="849"/>
      <c r="U48" s="849"/>
      <c r="V48" s="849"/>
      <c r="W48" s="849"/>
      <c r="X48" s="849"/>
      <c r="Y48" s="849"/>
      <c r="Z48" s="849"/>
      <c r="AA48" s="849"/>
      <c r="AB48" s="849"/>
      <c r="AC48" s="849"/>
      <c r="AD48" s="849"/>
      <c r="AE48" s="849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</row>
    <row r="49" spans="16:52">
      <c r="P49" s="849"/>
      <c r="Q49" s="849"/>
      <c r="R49" s="849"/>
      <c r="S49" s="849"/>
      <c r="T49" s="849"/>
      <c r="U49" s="849"/>
      <c r="V49" s="849"/>
      <c r="W49" s="849"/>
      <c r="X49" s="849"/>
      <c r="Y49" s="849"/>
      <c r="Z49" s="849"/>
      <c r="AA49" s="849"/>
      <c r="AB49" s="849"/>
      <c r="AC49" s="849"/>
      <c r="AD49" s="849"/>
      <c r="AE49" s="849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</row>
    <row r="50" spans="16:52">
      <c r="P50" s="849"/>
      <c r="Q50" s="849"/>
      <c r="R50" s="849"/>
      <c r="S50" s="849"/>
      <c r="T50" s="849"/>
      <c r="U50" s="849"/>
      <c r="V50" s="849"/>
      <c r="W50" s="849"/>
      <c r="X50" s="849"/>
      <c r="Y50" s="849"/>
      <c r="Z50" s="849"/>
      <c r="AA50" s="849"/>
      <c r="AB50" s="849"/>
      <c r="AC50" s="849"/>
      <c r="AD50" s="849"/>
      <c r="AE50" s="849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</row>
  </sheetData>
  <mergeCells count="112">
    <mergeCell ref="J34:N34"/>
    <mergeCell ref="A21:A22"/>
    <mergeCell ref="C21:C22"/>
    <mergeCell ref="C29:C30"/>
    <mergeCell ref="N29:N30"/>
    <mergeCell ref="N27:N28"/>
    <mergeCell ref="K27:K28"/>
    <mergeCell ref="A29:A30"/>
    <mergeCell ref="J29:J30"/>
    <mergeCell ref="K29:K30"/>
    <mergeCell ref="L29:L30"/>
    <mergeCell ref="M29:M30"/>
    <mergeCell ref="J27:J28"/>
    <mergeCell ref="A27:A28"/>
    <mergeCell ref="C27:C28"/>
    <mergeCell ref="L27:L28"/>
    <mergeCell ref="M27:M28"/>
    <mergeCell ref="A41:A42"/>
    <mergeCell ref="B41:D42"/>
    <mergeCell ref="E41:G42"/>
    <mergeCell ref="A37:A38"/>
    <mergeCell ref="B37:D38"/>
    <mergeCell ref="E37:G38"/>
    <mergeCell ref="A31:A32"/>
    <mergeCell ref="C31:C32"/>
    <mergeCell ref="A39:A40"/>
    <mergeCell ref="B39:D40"/>
    <mergeCell ref="E39:G40"/>
    <mergeCell ref="B34:D34"/>
    <mergeCell ref="E34:H34"/>
    <mergeCell ref="B12:F12"/>
    <mergeCell ref="K12:M12"/>
    <mergeCell ref="K17:K18"/>
    <mergeCell ref="A17:A18"/>
    <mergeCell ref="A25:A26"/>
    <mergeCell ref="C25:C26"/>
    <mergeCell ref="L21:L22"/>
    <mergeCell ref="M21:M22"/>
    <mergeCell ref="N21:N22"/>
    <mergeCell ref="K21:K22"/>
    <mergeCell ref="K23:K24"/>
    <mergeCell ref="K25:K26"/>
    <mergeCell ref="A19:A20"/>
    <mergeCell ref="J21:J22"/>
    <mergeCell ref="M25:M26"/>
    <mergeCell ref="L25:L26"/>
    <mergeCell ref="A23:A24"/>
    <mergeCell ref="C23:C24"/>
    <mergeCell ref="L23:L24"/>
    <mergeCell ref="M23:M24"/>
    <mergeCell ref="N23:N24"/>
    <mergeCell ref="J23:J24"/>
    <mergeCell ref="J25:J26"/>
    <mergeCell ref="N25:N26"/>
    <mergeCell ref="T16:U16"/>
    <mergeCell ref="B13:F13"/>
    <mergeCell ref="A14:A16"/>
    <mergeCell ref="B14:B16"/>
    <mergeCell ref="C14:C16"/>
    <mergeCell ref="D14:D16"/>
    <mergeCell ref="E14:E16"/>
    <mergeCell ref="C19:C20"/>
    <mergeCell ref="C17:C18"/>
    <mergeCell ref="N19:N20"/>
    <mergeCell ref="B10:F10"/>
    <mergeCell ref="K10:M10"/>
    <mergeCell ref="T10:V10"/>
    <mergeCell ref="K13:M13"/>
    <mergeCell ref="T11:V11"/>
    <mergeCell ref="T17:U17"/>
    <mergeCell ref="J19:J20"/>
    <mergeCell ref="K19:K20"/>
    <mergeCell ref="L19:L20"/>
    <mergeCell ref="M19:M20"/>
    <mergeCell ref="L17:L18"/>
    <mergeCell ref="M17:M18"/>
    <mergeCell ref="N17:N18"/>
    <mergeCell ref="J17:J18"/>
    <mergeCell ref="T12:V12"/>
    <mergeCell ref="T13:U13"/>
    <mergeCell ref="F14:I15"/>
    <mergeCell ref="J14:K15"/>
    <mergeCell ref="L14:N14"/>
    <mergeCell ref="T14:U14"/>
    <mergeCell ref="L15:L16"/>
    <mergeCell ref="M15:M16"/>
    <mergeCell ref="N15:N16"/>
    <mergeCell ref="T15:U15"/>
    <mergeCell ref="A43:N43"/>
    <mergeCell ref="J35:N42"/>
    <mergeCell ref="A35:A36"/>
    <mergeCell ref="B35:D36"/>
    <mergeCell ref="E35:G36"/>
    <mergeCell ref="S8:W8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B9:F9"/>
    <mergeCell ref="K9:M9"/>
  </mergeCells>
  <pageMargins left="0.7" right="0.7" top="0.75" bottom="0.75" header="0.3" footer="0.3"/>
  <pageSetup paperSize="14" scale="57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14337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19050</xdr:rowOff>
              </from>
              <to>
                <xdr:col>0</xdr:col>
                <xdr:colOff>4371975</xdr:colOff>
                <xdr:row>3</xdr:row>
                <xdr:rowOff>142875</xdr:rowOff>
              </to>
            </anchor>
          </objectPr>
        </oleObject>
      </mc:Choice>
      <mc:Fallback>
        <oleObject shapeId="14337" r:id="rId4"/>
      </mc:Fallback>
    </mc:AlternateContent>
    <mc:AlternateContent xmlns:mc="http://schemas.openxmlformats.org/markup-compatibility/2006">
      <mc:Choice Requires="x14">
        <oleObject shapeId="14354" r:id="rId6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19050</xdr:rowOff>
              </from>
              <to>
                <xdr:col>0</xdr:col>
                <xdr:colOff>4371975</xdr:colOff>
                <xdr:row>3</xdr:row>
                <xdr:rowOff>142875</xdr:rowOff>
              </to>
            </anchor>
          </objectPr>
        </oleObject>
      </mc:Choice>
      <mc:Fallback>
        <oleObject shapeId="14354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Y48"/>
  <sheetViews>
    <sheetView topLeftCell="A20" zoomScale="60" zoomScaleNormal="60" zoomScalePageLayoutView="70" workbookViewId="0">
      <selection activeCell="E24" sqref="E24"/>
    </sheetView>
  </sheetViews>
  <sheetFormatPr baseColWidth="10" defaultColWidth="12.5703125" defaultRowHeight="15"/>
  <cols>
    <col min="1" max="1" width="40.5703125" style="1" customWidth="1"/>
    <col min="2" max="2" width="12.42578125" style="1" customWidth="1"/>
    <col min="3" max="3" width="20.7109375" style="1" customWidth="1"/>
    <col min="4" max="4" width="10.5703125" style="1" customWidth="1"/>
    <col min="5" max="5" width="24.42578125" style="1" customWidth="1"/>
    <col min="6" max="6" width="22.42578125" style="1" customWidth="1"/>
    <col min="7" max="7" width="13" style="1" customWidth="1"/>
    <col min="8" max="8" width="15.85546875" style="1" customWidth="1"/>
    <col min="9" max="9" width="31.28515625" style="1" customWidth="1"/>
    <col min="10" max="10" width="14" style="60" customWidth="1"/>
    <col min="11" max="11" width="17.7109375" style="60" customWidth="1"/>
    <col min="12" max="12" width="12.42578125" style="1" customWidth="1"/>
    <col min="13" max="13" width="15.85546875" style="1" customWidth="1"/>
    <col min="14" max="14" width="14.28515625" style="1" customWidth="1"/>
    <col min="15" max="15" width="26.28515625" style="1" customWidth="1"/>
    <col min="16" max="16" width="5.5703125" style="1" customWidth="1"/>
    <col min="17" max="17" width="9.42578125" style="1" customWidth="1"/>
    <col min="18" max="18" width="21.7109375" style="1" customWidth="1"/>
    <col min="19" max="19" width="19.7109375" style="1" bestFit="1" customWidth="1"/>
    <col min="20" max="20" width="33.85546875" style="1" customWidth="1"/>
    <col min="21" max="21" width="12.5703125" style="1" hidden="1" customWidth="1"/>
    <col min="22" max="22" width="24.28515625" style="1" customWidth="1"/>
    <col min="23" max="23" width="22.5703125" style="1" customWidth="1"/>
    <col min="24" max="25" width="12.5703125" style="1"/>
    <col min="26" max="26" width="16.85546875" style="1" customWidth="1"/>
    <col min="27" max="27" width="12.5703125" style="1"/>
    <col min="28" max="28" width="30.140625" style="1" customWidth="1"/>
    <col min="29" max="29" width="15.42578125" style="1" customWidth="1"/>
    <col min="30" max="30" width="15.85546875" style="1" customWidth="1"/>
    <col min="31" max="31" width="24.42578125" style="1" customWidth="1"/>
    <col min="32" max="32" width="17.140625" style="1" customWidth="1"/>
    <col min="33" max="16384" width="12.5703125" style="1"/>
  </cols>
  <sheetData>
    <row r="1" spans="1:38" ht="15.75">
      <c r="A1" s="488"/>
      <c r="B1" s="491" t="s">
        <v>86</v>
      </c>
      <c r="C1" s="492"/>
      <c r="D1" s="492"/>
      <c r="E1" s="492"/>
      <c r="F1" s="492"/>
      <c r="G1" s="492"/>
      <c r="H1" s="493"/>
      <c r="I1" s="497" t="s">
        <v>87</v>
      </c>
      <c r="J1" s="498"/>
      <c r="K1" s="498"/>
      <c r="L1" s="499"/>
      <c r="M1" s="500"/>
      <c r="N1" s="501"/>
      <c r="O1" s="258"/>
      <c r="P1" s="258"/>
      <c r="Q1" s="258"/>
      <c r="R1" s="62"/>
    </row>
    <row r="2" spans="1:38" ht="15.75">
      <c r="A2" s="489"/>
      <c r="B2" s="494"/>
      <c r="C2" s="495"/>
      <c r="D2" s="495"/>
      <c r="E2" s="495"/>
      <c r="F2" s="495"/>
      <c r="G2" s="495"/>
      <c r="H2" s="496"/>
      <c r="I2" s="497" t="s">
        <v>88</v>
      </c>
      <c r="J2" s="498"/>
      <c r="K2" s="498"/>
      <c r="L2" s="499"/>
      <c r="M2" s="502"/>
      <c r="N2" s="503"/>
      <c r="O2" s="258"/>
      <c r="P2" s="258"/>
      <c r="Q2" s="258"/>
      <c r="R2" s="62"/>
    </row>
    <row r="3" spans="1:38" ht="15.75">
      <c r="A3" s="489"/>
      <c r="B3" s="491" t="s">
        <v>89</v>
      </c>
      <c r="C3" s="492"/>
      <c r="D3" s="492"/>
      <c r="E3" s="492"/>
      <c r="F3" s="492"/>
      <c r="G3" s="492"/>
      <c r="H3" s="493"/>
      <c r="I3" s="497" t="s">
        <v>90</v>
      </c>
      <c r="J3" s="498"/>
      <c r="K3" s="498"/>
      <c r="L3" s="499"/>
      <c r="M3" s="502"/>
      <c r="N3" s="503"/>
      <c r="O3" s="258"/>
      <c r="P3" s="258"/>
      <c r="Q3" s="258"/>
      <c r="R3" s="62"/>
    </row>
    <row r="4" spans="1:38" ht="15.75">
      <c r="A4" s="490"/>
      <c r="B4" s="494"/>
      <c r="C4" s="495"/>
      <c r="D4" s="495"/>
      <c r="E4" s="495"/>
      <c r="F4" s="495"/>
      <c r="G4" s="495"/>
      <c r="H4" s="496"/>
      <c r="I4" s="497" t="s">
        <v>91</v>
      </c>
      <c r="J4" s="498"/>
      <c r="K4" s="498"/>
      <c r="L4" s="499"/>
      <c r="M4" s="504"/>
      <c r="N4" s="505"/>
      <c r="O4" s="258"/>
      <c r="P4" s="258"/>
      <c r="Q4" s="258"/>
      <c r="R4" s="62"/>
    </row>
    <row r="5" spans="1:38" ht="15.75">
      <c r="A5" s="506"/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258"/>
      <c r="P5" s="258"/>
      <c r="Q5" s="258"/>
      <c r="R5" s="62"/>
    </row>
    <row r="6" spans="1:38" ht="15.75">
      <c r="A6" s="497" t="s">
        <v>129</v>
      </c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9"/>
      <c r="O6" s="195"/>
      <c r="P6" s="195"/>
      <c r="Q6" s="195"/>
      <c r="R6" s="62"/>
    </row>
    <row r="7" spans="1:38" ht="15.75">
      <c r="A7" s="34" t="s">
        <v>282</v>
      </c>
      <c r="B7" s="411" t="s">
        <v>465</v>
      </c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195"/>
      <c r="P7" s="195"/>
      <c r="Q7" s="195"/>
    </row>
    <row r="8" spans="1:38" ht="15.75">
      <c r="A8" s="35" t="s">
        <v>32</v>
      </c>
      <c r="B8" s="507" t="s">
        <v>33</v>
      </c>
      <c r="C8" s="508"/>
      <c r="D8" s="508"/>
      <c r="E8" s="508"/>
      <c r="F8" s="509"/>
      <c r="G8" s="606" t="s">
        <v>123</v>
      </c>
      <c r="H8" s="607"/>
      <c r="I8" s="608"/>
      <c r="J8" s="519" t="s">
        <v>31</v>
      </c>
      <c r="K8" s="520"/>
      <c r="L8" s="520"/>
      <c r="M8" s="520"/>
      <c r="N8" s="521"/>
      <c r="O8" s="259"/>
      <c r="P8" s="259"/>
      <c r="Q8" s="259"/>
      <c r="R8" s="63"/>
      <c r="T8" s="547"/>
      <c r="U8" s="547"/>
      <c r="V8" s="547"/>
    </row>
    <row r="9" spans="1:38" ht="15.75">
      <c r="A9" s="37" t="s">
        <v>30</v>
      </c>
      <c r="B9" s="523" t="s">
        <v>37</v>
      </c>
      <c r="C9" s="508"/>
      <c r="D9" s="508"/>
      <c r="E9" s="508"/>
      <c r="F9" s="509"/>
      <c r="G9" s="609"/>
      <c r="H9" s="610"/>
      <c r="I9" s="611"/>
      <c r="J9" s="253" t="s">
        <v>29</v>
      </c>
      <c r="K9" s="422" t="s">
        <v>28</v>
      </c>
      <c r="L9" s="422"/>
      <c r="M9" s="422"/>
      <c r="N9" s="253" t="s">
        <v>27</v>
      </c>
      <c r="O9" s="260"/>
      <c r="P9" s="260"/>
      <c r="Q9" s="260"/>
      <c r="R9" s="63"/>
      <c r="T9" s="259"/>
      <c r="U9" s="259"/>
      <c r="V9" s="259"/>
    </row>
    <row r="10" spans="1:38" ht="15.75">
      <c r="A10" s="38" t="s">
        <v>26</v>
      </c>
      <c r="B10" s="522" t="s">
        <v>47</v>
      </c>
      <c r="C10" s="523"/>
      <c r="D10" s="523"/>
      <c r="E10" s="523"/>
      <c r="F10" s="524"/>
      <c r="G10" s="609"/>
      <c r="H10" s="610"/>
      <c r="I10" s="611"/>
      <c r="J10" s="39"/>
      <c r="K10" s="528"/>
      <c r="L10" s="529"/>
      <c r="M10" s="530"/>
      <c r="N10" s="40"/>
      <c r="R10" s="63"/>
      <c r="T10" s="560"/>
      <c r="U10" s="560"/>
      <c r="V10" s="260"/>
      <c r="X10" s="258"/>
      <c r="Y10" s="258"/>
    </row>
    <row r="11" spans="1:38" ht="15.75">
      <c r="A11" s="41" t="s">
        <v>25</v>
      </c>
      <c r="B11" s="522" t="s">
        <v>48</v>
      </c>
      <c r="C11" s="523"/>
      <c r="D11" s="523"/>
      <c r="E11" s="523"/>
      <c r="F11" s="524"/>
      <c r="G11" s="609"/>
      <c r="H11" s="610"/>
      <c r="I11" s="611"/>
      <c r="J11" s="252"/>
      <c r="K11" s="525"/>
      <c r="L11" s="526"/>
      <c r="M11" s="527"/>
      <c r="N11" s="42"/>
      <c r="O11" s="203"/>
      <c r="P11" s="203"/>
      <c r="Q11" s="203"/>
      <c r="R11" s="63"/>
      <c r="T11" s="561"/>
      <c r="U11" s="561"/>
      <c r="V11" s="50"/>
      <c r="X11" s="13"/>
      <c r="Y11" s="4"/>
      <c r="Z11" s="11"/>
    </row>
    <row r="12" spans="1:38" ht="15.75">
      <c r="A12" s="43" t="s">
        <v>24</v>
      </c>
      <c r="B12" s="532">
        <v>2020730010040</v>
      </c>
      <c r="C12" s="533"/>
      <c r="D12" s="533"/>
      <c r="E12" s="533"/>
      <c r="F12" s="534"/>
      <c r="G12" s="609"/>
      <c r="H12" s="610"/>
      <c r="I12" s="611"/>
      <c r="J12" s="44"/>
      <c r="K12" s="468"/>
      <c r="L12" s="469"/>
      <c r="M12" s="470"/>
      <c r="N12" s="45"/>
      <c r="O12" s="204"/>
      <c r="P12" s="204"/>
      <c r="Q12" s="204"/>
      <c r="R12" s="63"/>
      <c r="T12" s="561"/>
      <c r="U12" s="561"/>
      <c r="V12" s="50"/>
      <c r="X12" s="13"/>
      <c r="Y12" s="4"/>
      <c r="Z12" s="11"/>
    </row>
    <row r="13" spans="1:38" ht="30.75" customHeight="1">
      <c r="A13" s="73" t="s">
        <v>301</v>
      </c>
      <c r="B13" s="603" t="s">
        <v>122</v>
      </c>
      <c r="C13" s="603"/>
      <c r="D13" s="603"/>
      <c r="E13" s="603"/>
      <c r="F13" s="603"/>
      <c r="G13" s="612"/>
      <c r="H13" s="613"/>
      <c r="I13" s="614"/>
      <c r="J13" s="254"/>
      <c r="K13" s="468"/>
      <c r="L13" s="469"/>
      <c r="M13" s="470"/>
      <c r="N13" s="46"/>
      <c r="O13" s="198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</row>
    <row r="14" spans="1:38" ht="15.75" customHeight="1">
      <c r="A14" s="415" t="s">
        <v>23</v>
      </c>
      <c r="B14" s="426" t="s">
        <v>92</v>
      </c>
      <c r="C14" s="413" t="s">
        <v>21</v>
      </c>
      <c r="D14" s="413" t="s">
        <v>20</v>
      </c>
      <c r="E14" s="413" t="s">
        <v>119</v>
      </c>
      <c r="F14" s="621" t="s">
        <v>18</v>
      </c>
      <c r="G14" s="622"/>
      <c r="H14" s="622"/>
      <c r="I14" s="623"/>
      <c r="J14" s="413" t="s">
        <v>17</v>
      </c>
      <c r="K14" s="413"/>
      <c r="L14" s="414" t="s">
        <v>16</v>
      </c>
      <c r="M14" s="414"/>
      <c r="N14" s="414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65"/>
      <c r="Z14" s="65"/>
      <c r="AA14" s="65"/>
      <c r="AB14" s="65"/>
      <c r="AC14" s="65"/>
      <c r="AD14" s="65"/>
      <c r="AE14" s="65"/>
      <c r="AF14" s="65"/>
      <c r="AG14" s="65"/>
      <c r="AH14" s="65"/>
    </row>
    <row r="15" spans="1:38" ht="15.75" customHeight="1">
      <c r="A15" s="415"/>
      <c r="B15" s="413"/>
      <c r="C15" s="413"/>
      <c r="D15" s="413"/>
      <c r="E15" s="413"/>
      <c r="F15" s="624"/>
      <c r="G15" s="625"/>
      <c r="H15" s="625"/>
      <c r="I15" s="626"/>
      <c r="J15" s="413"/>
      <c r="K15" s="413"/>
      <c r="L15" s="627" t="s">
        <v>15</v>
      </c>
      <c r="M15" s="627" t="s">
        <v>14</v>
      </c>
      <c r="N15" s="605" t="s">
        <v>13</v>
      </c>
      <c r="O15" s="198"/>
      <c r="P15" s="198"/>
      <c r="Q15" s="198"/>
      <c r="R15" s="198"/>
      <c r="S15" s="198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</row>
    <row r="16" spans="1:38" ht="19.5" customHeight="1">
      <c r="A16" s="415"/>
      <c r="B16" s="413"/>
      <c r="C16" s="413"/>
      <c r="D16" s="413"/>
      <c r="E16" s="413"/>
      <c r="F16" s="263" t="s">
        <v>12</v>
      </c>
      <c r="G16" s="263" t="s">
        <v>11</v>
      </c>
      <c r="H16" s="263" t="s">
        <v>10</v>
      </c>
      <c r="I16" s="51" t="s">
        <v>9</v>
      </c>
      <c r="J16" s="263" t="s">
        <v>8</v>
      </c>
      <c r="K16" s="263" t="s">
        <v>7</v>
      </c>
      <c r="L16" s="627"/>
      <c r="M16" s="627"/>
      <c r="N16" s="605"/>
      <c r="O16" s="198"/>
      <c r="P16" s="216"/>
      <c r="Q16" s="266"/>
      <c r="R16" s="266"/>
      <c r="S16" s="266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</row>
    <row r="17" spans="1:26" s="65" customFormat="1" ht="44.25" customHeight="1">
      <c r="A17" s="601" t="s">
        <v>340</v>
      </c>
      <c r="B17" s="139" t="s">
        <v>1</v>
      </c>
      <c r="C17" s="604" t="s">
        <v>254</v>
      </c>
      <c r="D17" s="284">
        <v>1</v>
      </c>
      <c r="E17" s="52">
        <f t="shared" ref="E17:E24" si="0">SUM(I17+H17+G17+F17)</f>
        <v>25000000</v>
      </c>
      <c r="F17" s="52">
        <v>0</v>
      </c>
      <c r="G17" s="52">
        <v>0</v>
      </c>
      <c r="H17" s="52">
        <v>0</v>
      </c>
      <c r="I17" s="52">
        <v>25000000</v>
      </c>
      <c r="J17" s="597">
        <v>44964</v>
      </c>
      <c r="K17" s="597">
        <v>45290</v>
      </c>
      <c r="L17" s="397">
        <f>D18/D17</f>
        <v>0.5</v>
      </c>
      <c r="M17" s="397">
        <f>E18/E17</f>
        <v>1</v>
      </c>
      <c r="N17" s="429">
        <f>L17*L17/M17</f>
        <v>0.25</v>
      </c>
      <c r="O17" s="198"/>
      <c r="P17" s="128"/>
      <c r="Q17" s="129"/>
      <c r="R17" s="126"/>
      <c r="S17" s="126"/>
    </row>
    <row r="18" spans="1:26" s="65" customFormat="1" ht="44.25" customHeight="1">
      <c r="A18" s="394"/>
      <c r="B18" s="139" t="s">
        <v>0</v>
      </c>
      <c r="C18" s="394"/>
      <c r="D18" s="284">
        <v>0.5</v>
      </c>
      <c r="E18" s="52">
        <f t="shared" si="0"/>
        <v>25000000</v>
      </c>
      <c r="F18" s="52">
        <v>0</v>
      </c>
      <c r="G18" s="52">
        <v>0</v>
      </c>
      <c r="H18" s="52">
        <v>0</v>
      </c>
      <c r="I18" s="52">
        <f>5050000+12271000+2100000+2000000+3579000</f>
        <v>25000000</v>
      </c>
      <c r="J18" s="602"/>
      <c r="K18" s="602"/>
      <c r="L18" s="397"/>
      <c r="M18" s="397"/>
      <c r="N18" s="429"/>
      <c r="O18" s="198"/>
      <c r="P18" s="128"/>
      <c r="Q18" s="130"/>
      <c r="R18" s="126"/>
      <c r="S18" s="126"/>
      <c r="V18" s="72">
        <f>1753000+4000000+4094000</f>
        <v>9847000</v>
      </c>
      <c r="X18" s="67"/>
      <c r="Y18" s="68"/>
      <c r="Z18" s="69"/>
    </row>
    <row r="19" spans="1:26" s="65" customFormat="1" ht="68.25" customHeight="1">
      <c r="A19" s="601" t="s">
        <v>476</v>
      </c>
      <c r="B19" s="139" t="s">
        <v>1</v>
      </c>
      <c r="C19" s="604" t="s">
        <v>451</v>
      </c>
      <c r="D19" s="284">
        <v>1</v>
      </c>
      <c r="E19" s="52">
        <f>SUM(I19+H19+G19+F19)</f>
        <v>644182000</v>
      </c>
      <c r="F19" s="52">
        <v>505894000</v>
      </c>
      <c r="G19" s="52">
        <v>0</v>
      </c>
      <c r="H19" s="52">
        <v>0</v>
      </c>
      <c r="I19" s="52">
        <f>38045000+100243000</f>
        <v>138288000</v>
      </c>
      <c r="J19" s="597">
        <v>44958</v>
      </c>
      <c r="K19" s="597">
        <v>45290</v>
      </c>
      <c r="L19" s="397">
        <f>D20/D19</f>
        <v>0.5</v>
      </c>
      <c r="M19" s="397">
        <f>E20/E19</f>
        <v>0.26732448593720409</v>
      </c>
      <c r="N19" s="429">
        <f>L19*L19/M19</f>
        <v>0.93519304497503564</v>
      </c>
      <c r="O19" s="198"/>
      <c r="P19" s="198"/>
      <c r="Q19" s="198"/>
      <c r="V19" s="72"/>
    </row>
    <row r="20" spans="1:26" s="65" customFormat="1" ht="68.25" customHeight="1">
      <c r="A20" s="620"/>
      <c r="B20" s="139" t="s">
        <v>0</v>
      </c>
      <c r="C20" s="394"/>
      <c r="D20" s="284">
        <v>0.5</v>
      </c>
      <c r="E20" s="52">
        <f t="shared" si="0"/>
        <v>172205622</v>
      </c>
      <c r="F20" s="52">
        <f>33478622+439000</f>
        <v>33917622</v>
      </c>
      <c r="G20" s="52">
        <v>0</v>
      </c>
      <c r="H20" s="52">
        <v>0</v>
      </c>
      <c r="I20" s="52">
        <f>12271000+11445000+14329000+35000000+8816000+8000000+15000000+12429000+15000000+739000+5259000</f>
        <v>138288000</v>
      </c>
      <c r="J20" s="602"/>
      <c r="K20" s="602"/>
      <c r="L20" s="397"/>
      <c r="M20" s="397"/>
      <c r="N20" s="429"/>
      <c r="O20" s="198"/>
      <c r="P20" s="198"/>
      <c r="Q20" s="198"/>
      <c r="R20" s="151"/>
      <c r="Z20" s="69"/>
    </row>
    <row r="21" spans="1:26" s="65" customFormat="1" ht="42" customHeight="1">
      <c r="A21" s="601" t="s">
        <v>452</v>
      </c>
      <c r="B21" s="139" t="s">
        <v>1</v>
      </c>
      <c r="C21" s="604" t="s">
        <v>101</v>
      </c>
      <c r="D21" s="285">
        <v>20</v>
      </c>
      <c r="E21" s="52">
        <f t="shared" si="0"/>
        <v>33387000</v>
      </c>
      <c r="F21" s="52">
        <v>9000000</v>
      </c>
      <c r="G21" s="52">
        <v>0</v>
      </c>
      <c r="H21" s="52">
        <v>0</v>
      </c>
      <c r="I21" s="52">
        <f>16000000+8387000</f>
        <v>24387000</v>
      </c>
      <c r="J21" s="597">
        <v>44958</v>
      </c>
      <c r="K21" s="597">
        <v>45290</v>
      </c>
      <c r="L21" s="397">
        <f>D22/D21</f>
        <v>0</v>
      </c>
      <c r="M21" s="397">
        <f>E22/E21</f>
        <v>0.65154952526432441</v>
      </c>
      <c r="N21" s="429">
        <f>L21*L21/M21</f>
        <v>0</v>
      </c>
      <c r="O21" s="198"/>
      <c r="P21" s="198"/>
      <c r="Q21" s="198"/>
      <c r="Z21" s="69"/>
    </row>
    <row r="22" spans="1:26" s="65" customFormat="1" ht="49.15" customHeight="1">
      <c r="A22" s="394"/>
      <c r="B22" s="139" t="s">
        <v>0</v>
      </c>
      <c r="C22" s="394"/>
      <c r="D22" s="285">
        <v>0</v>
      </c>
      <c r="E22" s="52">
        <f t="shared" si="0"/>
        <v>21753284</v>
      </c>
      <c r="F22" s="52">
        <v>1366284</v>
      </c>
      <c r="G22" s="52">
        <v>0</v>
      </c>
      <c r="H22" s="52">
        <v>0</v>
      </c>
      <c r="I22" s="52">
        <f>11445000+4329000+4613000</f>
        <v>20387000</v>
      </c>
      <c r="J22" s="602"/>
      <c r="K22" s="602"/>
      <c r="L22" s="397"/>
      <c r="M22" s="397"/>
      <c r="N22" s="429"/>
      <c r="O22" s="198"/>
      <c r="P22" s="273"/>
      <c r="Q22" s="274"/>
      <c r="R22" s="274"/>
      <c r="S22" s="274"/>
      <c r="Z22" s="69"/>
    </row>
    <row r="23" spans="1:26" s="65" customFormat="1" ht="59.25" customHeight="1">
      <c r="A23" s="619" t="s">
        <v>453</v>
      </c>
      <c r="B23" s="286" t="s">
        <v>1</v>
      </c>
      <c r="C23" s="617" t="s">
        <v>339</v>
      </c>
      <c r="D23" s="287">
        <v>3065</v>
      </c>
      <c r="E23" s="52">
        <f t="shared" si="0"/>
        <v>592061000</v>
      </c>
      <c r="F23" s="52">
        <v>6061000</v>
      </c>
      <c r="G23" s="52">
        <v>0</v>
      </c>
      <c r="H23" s="52">
        <v>0</v>
      </c>
      <c r="I23" s="52">
        <v>586000000</v>
      </c>
      <c r="J23" s="597">
        <v>44964</v>
      </c>
      <c r="K23" s="597">
        <v>45290</v>
      </c>
      <c r="L23" s="397">
        <f>D24/D23</f>
        <v>0.56411092985318112</v>
      </c>
      <c r="M23" s="397">
        <f>E24/E23</f>
        <v>0.73097788910264316</v>
      </c>
      <c r="N23" s="429">
        <f>L23*L23/M23</f>
        <v>0.43533620636661469</v>
      </c>
      <c r="O23" s="198"/>
      <c r="P23" s="128"/>
      <c r="Q23" s="129"/>
      <c r="R23" s="152"/>
      <c r="S23" s="152"/>
      <c r="T23" s="84"/>
      <c r="U23" s="599"/>
    </row>
    <row r="24" spans="1:26" s="65" customFormat="1" ht="59.25" customHeight="1">
      <c r="A24" s="394"/>
      <c r="B24" s="286" t="s">
        <v>0</v>
      </c>
      <c r="C24" s="618"/>
      <c r="D24" s="288">
        <v>1729</v>
      </c>
      <c r="E24" s="52">
        <f t="shared" si="0"/>
        <v>432783500</v>
      </c>
      <c r="F24" s="52">
        <f>5500000+561000</f>
        <v>6061000</v>
      </c>
      <c r="G24" s="52">
        <v>0</v>
      </c>
      <c r="H24" s="52">
        <v>0</v>
      </c>
      <c r="I24" s="52">
        <f>228179500+5800000+11500000+5200000+10000000+5500000+5500000+5500000+5500000+5500000+12850000+5881000+2174000+4000000+12271000+11445000+11445000+11445000+10200000+11652000+16500000+8121000+5259000+15300000</f>
        <v>426722500</v>
      </c>
      <c r="J24" s="602"/>
      <c r="K24" s="602"/>
      <c r="L24" s="397"/>
      <c r="M24" s="397"/>
      <c r="N24" s="429"/>
      <c r="O24" s="198"/>
      <c r="P24" s="128"/>
      <c r="Q24" s="130"/>
      <c r="R24" s="152"/>
      <c r="S24" s="152"/>
      <c r="T24" s="243"/>
      <c r="U24" s="600"/>
      <c r="V24" s="243">
        <f>2550000+4400000+5100000+3600000+3506000+1635000+1753000+1635000+1635000+1635000</f>
        <v>27449000</v>
      </c>
    </row>
    <row r="25" spans="1:26" s="65" customFormat="1" ht="45.75" customHeight="1">
      <c r="A25" s="619" t="s">
        <v>477</v>
      </c>
      <c r="B25" s="286" t="s">
        <v>1</v>
      </c>
      <c r="C25" s="617" t="s">
        <v>338</v>
      </c>
      <c r="D25" s="289">
        <v>1</v>
      </c>
      <c r="E25" s="52">
        <f t="shared" ref="E25:E30" si="1">SUM(I25+H25+G25+F25)</f>
        <v>2632218302</v>
      </c>
      <c r="F25" s="52">
        <v>74445000</v>
      </c>
      <c r="G25" s="52">
        <v>0</v>
      </c>
      <c r="H25" s="52">
        <v>0</v>
      </c>
      <c r="I25" s="52">
        <f>2697024302-100243000-8387000-30621000</f>
        <v>2557773302</v>
      </c>
      <c r="J25" s="597">
        <v>44927</v>
      </c>
      <c r="K25" s="597">
        <v>45290</v>
      </c>
      <c r="L25" s="397">
        <f>D26/D25</f>
        <v>0.5</v>
      </c>
      <c r="M25" s="397">
        <f>E26/E25</f>
        <v>0.72182462927043356</v>
      </c>
      <c r="N25" s="429">
        <f>L25*L25/M25</f>
        <v>0.3463445134210526</v>
      </c>
      <c r="O25" s="198"/>
      <c r="P25" s="198"/>
      <c r="Q25" s="198"/>
    </row>
    <row r="26" spans="1:26" s="65" customFormat="1" ht="45.75" customHeight="1">
      <c r="A26" s="394"/>
      <c r="B26" s="286" t="s">
        <v>0</v>
      </c>
      <c r="C26" s="618"/>
      <c r="D26" s="284">
        <v>0.5</v>
      </c>
      <c r="E26" s="52">
        <f t="shared" si="1"/>
        <v>1900000000</v>
      </c>
      <c r="F26" s="52">
        <v>0</v>
      </c>
      <c r="G26" s="52">
        <v>0</v>
      </c>
      <c r="H26" s="52">
        <v>0</v>
      </c>
      <c r="I26" s="52">
        <v>1900000000</v>
      </c>
      <c r="J26" s="602"/>
      <c r="K26" s="602"/>
      <c r="L26" s="397"/>
      <c r="M26" s="397"/>
      <c r="N26" s="429"/>
      <c r="O26" s="198"/>
      <c r="P26" s="273"/>
      <c r="Q26" s="274"/>
      <c r="R26" s="274"/>
      <c r="S26" s="274"/>
    </row>
    <row r="27" spans="1:26" s="65" customFormat="1" ht="40.5" customHeight="1">
      <c r="A27" s="634" t="s">
        <v>105</v>
      </c>
      <c r="B27" s="286" t="s">
        <v>1</v>
      </c>
      <c r="C27" s="617" t="s">
        <v>110</v>
      </c>
      <c r="D27" s="290">
        <v>39</v>
      </c>
      <c r="E27" s="52">
        <f t="shared" si="1"/>
        <v>3733428370</v>
      </c>
      <c r="F27" s="52">
        <v>0</v>
      </c>
      <c r="G27" s="52">
        <v>0</v>
      </c>
      <c r="H27" s="52">
        <v>0</v>
      </c>
      <c r="I27" s="52">
        <v>3733428370</v>
      </c>
      <c r="J27" s="597">
        <v>44927</v>
      </c>
      <c r="K27" s="597">
        <v>45290</v>
      </c>
      <c r="L27" s="397">
        <f>D28/D27</f>
        <v>0.89743589743589747</v>
      </c>
      <c r="M27" s="397">
        <f>E28/E27</f>
        <v>6.1117953094677963E-2</v>
      </c>
      <c r="N27" s="429">
        <f>L27*L27/M27</f>
        <v>13.177653197235538</v>
      </c>
      <c r="O27" s="198"/>
      <c r="P27" s="128"/>
      <c r="Q27" s="264"/>
      <c r="R27" s="125"/>
      <c r="S27" s="124"/>
    </row>
    <row r="28" spans="1:26" s="65" customFormat="1" ht="36" customHeight="1">
      <c r="A28" s="635"/>
      <c r="B28" s="286" t="s">
        <v>0</v>
      </c>
      <c r="C28" s="618"/>
      <c r="D28" s="290">
        <v>35</v>
      </c>
      <c r="E28" s="52">
        <f t="shared" si="1"/>
        <v>228179500</v>
      </c>
      <c r="F28" s="52">
        <v>0</v>
      </c>
      <c r="G28" s="52">
        <v>0</v>
      </c>
      <c r="H28" s="52">
        <v>0</v>
      </c>
      <c r="I28" s="52">
        <v>228179500</v>
      </c>
      <c r="J28" s="602"/>
      <c r="K28" s="602"/>
      <c r="L28" s="397"/>
      <c r="M28" s="397"/>
      <c r="N28" s="429"/>
      <c r="O28" s="198"/>
      <c r="P28" s="128"/>
      <c r="Q28" s="265"/>
      <c r="R28" s="125"/>
      <c r="S28" s="124"/>
      <c r="V28" s="243">
        <f>3600000+6000000</f>
        <v>9600000</v>
      </c>
    </row>
    <row r="29" spans="1:26" s="65" customFormat="1" ht="36" customHeight="1">
      <c r="A29" s="615" t="s">
        <v>427</v>
      </c>
      <c r="B29" s="286" t="s">
        <v>1</v>
      </c>
      <c r="C29" s="617" t="s">
        <v>478</v>
      </c>
      <c r="D29" s="290">
        <v>10</v>
      </c>
      <c r="E29" s="52">
        <f t="shared" si="1"/>
        <v>130621000</v>
      </c>
      <c r="F29" s="52">
        <v>50600000</v>
      </c>
      <c r="G29" s="52">
        <v>0</v>
      </c>
      <c r="H29" s="52">
        <v>0</v>
      </c>
      <c r="I29" s="52">
        <f>49400000+30621000</f>
        <v>80021000</v>
      </c>
      <c r="J29" s="597">
        <v>44927</v>
      </c>
      <c r="K29" s="597">
        <v>45290</v>
      </c>
      <c r="L29" s="397">
        <f>D30/D29</f>
        <v>0</v>
      </c>
      <c r="M29" s="397">
        <f>E30/E29</f>
        <v>0.70908200059714743</v>
      </c>
      <c r="N29" s="429">
        <f>L29*L29/M29</f>
        <v>0</v>
      </c>
      <c r="O29" s="198"/>
      <c r="P29" s="128"/>
      <c r="Q29" s="242"/>
      <c r="R29" s="125"/>
      <c r="S29" s="241"/>
    </row>
    <row r="30" spans="1:26" s="65" customFormat="1" ht="36" customHeight="1">
      <c r="A30" s="616"/>
      <c r="B30" s="286" t="s">
        <v>0</v>
      </c>
      <c r="C30" s="618"/>
      <c r="D30" s="290">
        <v>0</v>
      </c>
      <c r="E30" s="52">
        <f t="shared" si="1"/>
        <v>92621000</v>
      </c>
      <c r="F30" s="52">
        <f>12600000</f>
        <v>12600000</v>
      </c>
      <c r="G30" s="52">
        <v>0</v>
      </c>
      <c r="H30" s="52">
        <v>0</v>
      </c>
      <c r="I30" s="52">
        <f>14350000+19050000+16000000+1000000+12571000+12300000+4750000</f>
        <v>80021000</v>
      </c>
      <c r="J30" s="602"/>
      <c r="K30" s="602"/>
      <c r="L30" s="397"/>
      <c r="M30" s="397"/>
      <c r="N30" s="429"/>
      <c r="O30" s="198"/>
      <c r="P30" s="128"/>
      <c r="Q30" s="242"/>
      <c r="R30" s="125"/>
      <c r="S30" s="241"/>
    </row>
    <row r="31" spans="1:26" ht="15.75">
      <c r="A31" s="588" t="s">
        <v>6</v>
      </c>
      <c r="B31" s="192" t="s">
        <v>1</v>
      </c>
      <c r="C31" s="589"/>
      <c r="D31" s="53"/>
      <c r="E31" s="54">
        <f t="shared" ref="E31:I32" si="2">E17+E19+E21+E23+E27+E25+E29</f>
        <v>7790897672</v>
      </c>
      <c r="F31" s="54">
        <f t="shared" si="2"/>
        <v>646000000</v>
      </c>
      <c r="G31" s="54">
        <f t="shared" si="2"/>
        <v>0</v>
      </c>
      <c r="H31" s="54">
        <f t="shared" si="2"/>
        <v>0</v>
      </c>
      <c r="I31" s="54">
        <f t="shared" si="2"/>
        <v>7144897672</v>
      </c>
      <c r="J31" s="28"/>
      <c r="K31" s="55"/>
      <c r="L31" s="55"/>
      <c r="M31" s="55"/>
      <c r="N31" s="30"/>
      <c r="O31" s="57"/>
      <c r="P31" s="111"/>
      <c r="Q31" s="291"/>
      <c r="R31" s="124"/>
      <c r="S31" s="241"/>
    </row>
    <row r="32" spans="1:26" ht="15.75">
      <c r="A32" s="588"/>
      <c r="B32" s="192" t="s">
        <v>0</v>
      </c>
      <c r="C32" s="590"/>
      <c r="D32" s="53"/>
      <c r="E32" s="54">
        <f t="shared" si="2"/>
        <v>2872542906</v>
      </c>
      <c r="F32" s="54">
        <f t="shared" si="2"/>
        <v>53944906</v>
      </c>
      <c r="G32" s="54">
        <f t="shared" si="2"/>
        <v>0</v>
      </c>
      <c r="H32" s="54">
        <f t="shared" si="2"/>
        <v>0</v>
      </c>
      <c r="I32" s="54">
        <f t="shared" si="2"/>
        <v>2818598000</v>
      </c>
      <c r="J32" s="28"/>
      <c r="K32" s="55"/>
      <c r="L32" s="55"/>
      <c r="M32" s="55"/>
      <c r="N32" s="30"/>
      <c r="O32" s="210"/>
      <c r="P32" s="111"/>
      <c r="Q32" s="292"/>
      <c r="R32" s="124"/>
      <c r="S32" s="124"/>
    </row>
    <row r="33" spans="1:51" ht="5.25" customHeight="1">
      <c r="B33" s="8"/>
      <c r="E33" s="21"/>
      <c r="F33" s="20"/>
      <c r="G33" s="13"/>
      <c r="H33" s="13"/>
      <c r="I33" s="13"/>
      <c r="J33" s="56"/>
      <c r="K33" s="56"/>
      <c r="L33" s="20"/>
      <c r="M33" s="57"/>
      <c r="N33" s="293"/>
      <c r="O33" s="57"/>
      <c r="P33" s="57"/>
      <c r="Q33" s="57"/>
      <c r="R33" s="57"/>
    </row>
    <row r="34" spans="1:51" ht="15.75">
      <c r="A34" s="294" t="s">
        <v>5</v>
      </c>
      <c r="B34" s="630" t="s">
        <v>4</v>
      </c>
      <c r="C34" s="631"/>
      <c r="D34" s="632"/>
      <c r="E34" s="630" t="s">
        <v>3</v>
      </c>
      <c r="F34" s="631"/>
      <c r="G34" s="631"/>
      <c r="H34" s="632"/>
      <c r="I34" s="294"/>
      <c r="J34" s="633" t="s">
        <v>2</v>
      </c>
      <c r="K34" s="631"/>
      <c r="L34" s="631"/>
      <c r="M34" s="631"/>
      <c r="N34" s="632"/>
      <c r="O34" s="210"/>
      <c r="P34" s="210"/>
      <c r="Q34" s="210"/>
    </row>
    <row r="35" spans="1:51" ht="43.5" customHeight="1">
      <c r="A35" s="587" t="s">
        <v>591</v>
      </c>
      <c r="B35" s="587" t="s">
        <v>592</v>
      </c>
      <c r="C35" s="587"/>
      <c r="D35" s="587"/>
      <c r="E35" s="629" t="s">
        <v>49</v>
      </c>
      <c r="F35" s="546"/>
      <c r="G35" s="546"/>
      <c r="H35" s="295" t="s">
        <v>1</v>
      </c>
      <c r="I35" s="237">
        <v>1</v>
      </c>
      <c r="J35" s="628" t="s">
        <v>593</v>
      </c>
      <c r="K35" s="384"/>
      <c r="L35" s="384"/>
      <c r="M35" s="384"/>
      <c r="N35" s="385"/>
      <c r="O35" s="210"/>
      <c r="P35" s="210"/>
      <c r="Q35" s="21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</row>
    <row r="36" spans="1:51" ht="43.5" customHeight="1">
      <c r="A36" s="587"/>
      <c r="B36" s="587"/>
      <c r="C36" s="587"/>
      <c r="D36" s="587"/>
      <c r="E36" s="546"/>
      <c r="F36" s="546"/>
      <c r="G36" s="546"/>
      <c r="H36" s="295" t="s">
        <v>0</v>
      </c>
      <c r="I36" s="237">
        <v>0.25</v>
      </c>
      <c r="J36" s="385"/>
      <c r="K36" s="384"/>
      <c r="L36" s="384"/>
      <c r="M36" s="384"/>
      <c r="N36" s="385"/>
      <c r="O36" s="210"/>
      <c r="P36" s="210"/>
      <c r="Q36" s="21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</row>
    <row r="37" spans="1:51" ht="46.5" customHeight="1">
      <c r="A37" s="587" t="s">
        <v>591</v>
      </c>
      <c r="B37" s="587" t="s">
        <v>594</v>
      </c>
      <c r="C37" s="546"/>
      <c r="D37" s="546"/>
      <c r="E37" s="629" t="s">
        <v>50</v>
      </c>
      <c r="F37" s="546"/>
      <c r="G37" s="546"/>
      <c r="H37" s="295" t="s">
        <v>1</v>
      </c>
      <c r="I37" s="296">
        <v>35</v>
      </c>
      <c r="J37" s="385"/>
      <c r="K37" s="384"/>
      <c r="L37" s="384"/>
      <c r="M37" s="384"/>
      <c r="N37" s="385"/>
      <c r="O37" s="210"/>
      <c r="P37" s="210"/>
      <c r="Q37" s="21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</row>
    <row r="38" spans="1:51" ht="46.5" customHeight="1">
      <c r="A38" s="546"/>
      <c r="B38" s="546"/>
      <c r="C38" s="546"/>
      <c r="D38" s="546"/>
      <c r="E38" s="546"/>
      <c r="F38" s="546"/>
      <c r="G38" s="546"/>
      <c r="H38" s="295" t="s">
        <v>0</v>
      </c>
      <c r="I38" s="235">
        <v>35</v>
      </c>
      <c r="J38" s="385"/>
      <c r="K38" s="384"/>
      <c r="L38" s="384"/>
      <c r="M38" s="384"/>
      <c r="N38" s="385"/>
      <c r="O38" s="210"/>
      <c r="P38" s="210"/>
      <c r="Q38" s="21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</row>
    <row r="39" spans="1:51" ht="37.5" customHeight="1">
      <c r="A39" s="587" t="s">
        <v>591</v>
      </c>
      <c r="B39" s="587" t="s">
        <v>595</v>
      </c>
      <c r="C39" s="546"/>
      <c r="D39" s="546"/>
      <c r="E39" s="629" t="s">
        <v>51</v>
      </c>
      <c r="F39" s="546"/>
      <c r="G39" s="546"/>
      <c r="H39" s="295" t="s">
        <v>1</v>
      </c>
      <c r="I39" s="235">
        <v>3065</v>
      </c>
      <c r="J39" s="385"/>
      <c r="K39" s="384"/>
      <c r="L39" s="384"/>
      <c r="M39" s="384"/>
      <c r="N39" s="385"/>
      <c r="O39" s="210"/>
      <c r="P39" s="210"/>
      <c r="Q39" s="21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</row>
    <row r="40" spans="1:51" ht="37.5" customHeight="1">
      <c r="A40" s="546"/>
      <c r="B40" s="546"/>
      <c r="C40" s="546"/>
      <c r="D40" s="546"/>
      <c r="E40" s="546"/>
      <c r="F40" s="546"/>
      <c r="G40" s="546"/>
      <c r="H40" s="295" t="s">
        <v>0</v>
      </c>
      <c r="I40" s="235">
        <v>1729</v>
      </c>
      <c r="J40" s="385"/>
      <c r="K40" s="384"/>
      <c r="L40" s="384"/>
      <c r="M40" s="384"/>
      <c r="N40" s="385"/>
      <c r="O40" s="210"/>
      <c r="P40" s="210"/>
      <c r="Q40" s="21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</row>
    <row r="41" spans="1:51" ht="40.5" customHeight="1">
      <c r="A41" s="389" t="s">
        <v>596</v>
      </c>
      <c r="B41" s="389"/>
      <c r="C41" s="389"/>
      <c r="D41" s="389"/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209"/>
      <c r="P41" s="209"/>
      <c r="Q41" s="209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</row>
    <row r="42" spans="1:51"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</row>
    <row r="43" spans="1:51"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</row>
    <row r="44" spans="1:51"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</row>
    <row r="45" spans="1:51"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</row>
    <row r="46" spans="1:51"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</row>
    <row r="47" spans="1:51"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</row>
    <row r="48" spans="1:51"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</row>
  </sheetData>
  <mergeCells count="105">
    <mergeCell ref="T8:V8"/>
    <mergeCell ref="T10:U10"/>
    <mergeCell ref="T11:U11"/>
    <mergeCell ref="A41:N41"/>
    <mergeCell ref="A25:A26"/>
    <mergeCell ref="C25:C26"/>
    <mergeCell ref="L25:L26"/>
    <mergeCell ref="M25:M26"/>
    <mergeCell ref="N25:N26"/>
    <mergeCell ref="A37:A38"/>
    <mergeCell ref="E35:G36"/>
    <mergeCell ref="B37:D38"/>
    <mergeCell ref="E37:G38"/>
    <mergeCell ref="A39:A40"/>
    <mergeCell ref="B39:D40"/>
    <mergeCell ref="E39:G40"/>
    <mergeCell ref="B34:D34"/>
    <mergeCell ref="E34:H34"/>
    <mergeCell ref="J34:N34"/>
    <mergeCell ref="A31:A32"/>
    <mergeCell ref="A27:A28"/>
    <mergeCell ref="C27:C28"/>
    <mergeCell ref="J27:J28"/>
    <mergeCell ref="A35:A36"/>
    <mergeCell ref="B35:D36"/>
    <mergeCell ref="J25:J26"/>
    <mergeCell ref="C31:C32"/>
    <mergeCell ref="J35:N40"/>
    <mergeCell ref="L27:L28"/>
    <mergeCell ref="M27:M28"/>
    <mergeCell ref="N27:N28"/>
    <mergeCell ref="T12:U12"/>
    <mergeCell ref="M21:M22"/>
    <mergeCell ref="N21:N22"/>
    <mergeCell ref="J29:J30"/>
    <mergeCell ref="K29:K30"/>
    <mergeCell ref="L29:L30"/>
    <mergeCell ref="M29:M30"/>
    <mergeCell ref="N29:N30"/>
    <mergeCell ref="K23:K24"/>
    <mergeCell ref="C23:C24"/>
    <mergeCell ref="L23:L24"/>
    <mergeCell ref="J21:J22"/>
    <mergeCell ref="J23:J24"/>
    <mergeCell ref="K21:K22"/>
    <mergeCell ref="M23:M24"/>
    <mergeCell ref="N23:N24"/>
    <mergeCell ref="K27:K28"/>
    <mergeCell ref="B9:F9"/>
    <mergeCell ref="K9:M9"/>
    <mergeCell ref="B10:F10"/>
    <mergeCell ref="K10:M10"/>
    <mergeCell ref="K19:K20"/>
    <mergeCell ref="N17:N18"/>
    <mergeCell ref="J14:K15"/>
    <mergeCell ref="L14:N14"/>
    <mergeCell ref="A29:A30"/>
    <mergeCell ref="C29:C30"/>
    <mergeCell ref="K25:K26"/>
    <mergeCell ref="A23:A24"/>
    <mergeCell ref="A21:A22"/>
    <mergeCell ref="A19:A20"/>
    <mergeCell ref="C19:C20"/>
    <mergeCell ref="L19:L20"/>
    <mergeCell ref="M19:M20"/>
    <mergeCell ref="J19:J20"/>
    <mergeCell ref="N19:N20"/>
    <mergeCell ref="F14:I15"/>
    <mergeCell ref="L15:L16"/>
    <mergeCell ref="M15:M16"/>
    <mergeCell ref="C21:C22"/>
    <mergeCell ref="L21:L22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U23:U24"/>
    <mergeCell ref="A6:N6"/>
    <mergeCell ref="B7:N7"/>
    <mergeCell ref="B8:F8"/>
    <mergeCell ref="A17:A18"/>
    <mergeCell ref="B12:F12"/>
    <mergeCell ref="K12:M12"/>
    <mergeCell ref="J17:J18"/>
    <mergeCell ref="K17:K18"/>
    <mergeCell ref="B13:F13"/>
    <mergeCell ref="C17:C18"/>
    <mergeCell ref="L17:L18"/>
    <mergeCell ref="M17:M18"/>
    <mergeCell ref="A14:A16"/>
    <mergeCell ref="B14:B16"/>
    <mergeCell ref="C14:C16"/>
    <mergeCell ref="D14:D16"/>
    <mergeCell ref="E14:E16"/>
    <mergeCell ref="N15:N16"/>
    <mergeCell ref="G8:I13"/>
    <mergeCell ref="J8:N8"/>
    <mergeCell ref="B11:F11"/>
    <mergeCell ref="K11:M11"/>
    <mergeCell ref="K13:M13"/>
  </mergeCells>
  <pageMargins left="0.7" right="0.7" top="0.75" bottom="0.75" header="0.3" footer="0.3"/>
  <pageSetup paperSize="14" scale="57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shapeId="17409" r:id="rId4">
          <objectPr defaultSize="0" autoPict="0" r:id="rId5">
            <anchor moveWithCells="1" sizeWithCells="1">
              <from>
                <xdr:col>0</xdr:col>
                <xdr:colOff>571500</xdr:colOff>
                <xdr:row>0</xdr:row>
                <xdr:rowOff>66675</xdr:rowOff>
              </from>
              <to>
                <xdr:col>0</xdr:col>
                <xdr:colOff>3467100</xdr:colOff>
                <xdr:row>3</xdr:row>
                <xdr:rowOff>142875</xdr:rowOff>
              </to>
            </anchor>
          </objectPr>
        </oleObject>
      </mc:Choice>
      <mc:Fallback>
        <oleObject shapeId="17409" r:id="rId4"/>
      </mc:Fallback>
    </mc:AlternateContent>
    <mc:AlternateContent xmlns:mc="http://schemas.openxmlformats.org/markup-compatibility/2006">
      <mc:Choice Requires="x14">
        <oleObject shapeId="17416" r:id="rId6">
          <objectPr defaultSize="0" autoPict="0" r:id="rId5">
            <anchor moveWithCells="1" sizeWithCells="1">
              <from>
                <xdr:col>0</xdr:col>
                <xdr:colOff>571500</xdr:colOff>
                <xdr:row>0</xdr:row>
                <xdr:rowOff>66675</xdr:rowOff>
              </from>
              <to>
                <xdr:col>1</xdr:col>
                <xdr:colOff>3467100</xdr:colOff>
                <xdr:row>3</xdr:row>
                <xdr:rowOff>142875</xdr:rowOff>
              </to>
            </anchor>
          </objectPr>
        </oleObject>
      </mc:Choice>
      <mc:Fallback>
        <oleObject shapeId="17416" r:id="rId6"/>
      </mc:Fallback>
    </mc:AlternateContent>
    <mc:AlternateContent xmlns:mc="http://schemas.openxmlformats.org/markup-compatibility/2006">
      <mc:Choice Requires="x14">
        <oleObject shapeId="17423" r:id="rId7">
          <objectPr defaultSize="0" autoPict="0" r:id="rId5">
            <anchor moveWithCells="1" sizeWithCells="1">
              <from>
                <xdr:col>0</xdr:col>
                <xdr:colOff>571500</xdr:colOff>
                <xdr:row>0</xdr:row>
                <xdr:rowOff>66675</xdr:rowOff>
              </from>
              <to>
                <xdr:col>1</xdr:col>
                <xdr:colOff>3467100</xdr:colOff>
                <xdr:row>3</xdr:row>
                <xdr:rowOff>142875</xdr:rowOff>
              </to>
            </anchor>
          </objectPr>
        </oleObject>
      </mc:Choice>
      <mc:Fallback>
        <oleObject shapeId="17423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L64"/>
  <sheetViews>
    <sheetView topLeftCell="G28" zoomScale="60" zoomScaleNormal="60" zoomScalePageLayoutView="70" workbookViewId="0">
      <selection activeCell="R39" sqref="R39:X43"/>
    </sheetView>
  </sheetViews>
  <sheetFormatPr baseColWidth="10" defaultColWidth="12.5703125" defaultRowHeight="15"/>
  <cols>
    <col min="1" max="1" width="67" style="1" customWidth="1"/>
    <col min="2" max="2" width="10.28515625" style="1" customWidth="1"/>
    <col min="3" max="3" width="17.7109375" style="1" customWidth="1"/>
    <col min="4" max="4" width="10" style="1" customWidth="1"/>
    <col min="5" max="5" width="20.7109375" style="1" customWidth="1"/>
    <col min="6" max="6" width="21.5703125" style="1" customWidth="1"/>
    <col min="7" max="7" width="8" style="1" customWidth="1"/>
    <col min="8" max="8" width="13.42578125" style="1" customWidth="1"/>
    <col min="9" max="9" width="15.85546875" style="1" customWidth="1"/>
    <col min="10" max="10" width="15.5703125" style="60" customWidth="1"/>
    <col min="11" max="11" width="14.85546875" style="60" customWidth="1"/>
    <col min="12" max="12" width="12.42578125" style="1" customWidth="1"/>
    <col min="13" max="13" width="16.5703125" style="1" customWidth="1"/>
    <col min="14" max="14" width="17.28515625" style="1" customWidth="1"/>
    <col min="15" max="15" width="15.85546875" style="1" customWidth="1"/>
    <col min="16" max="16" width="7" style="1" customWidth="1"/>
    <col min="17" max="17" width="9" style="1" customWidth="1"/>
    <col min="18" max="18" width="24" style="1" customWidth="1"/>
    <col min="19" max="19" width="24.28515625" style="1" customWidth="1"/>
    <col min="20" max="16384" width="12.5703125" style="1"/>
  </cols>
  <sheetData>
    <row r="1" spans="1:18" ht="15.75">
      <c r="A1" s="488"/>
      <c r="B1" s="491" t="s">
        <v>86</v>
      </c>
      <c r="C1" s="492"/>
      <c r="D1" s="492"/>
      <c r="E1" s="492"/>
      <c r="F1" s="492"/>
      <c r="G1" s="492"/>
      <c r="H1" s="493"/>
      <c r="I1" s="497" t="s">
        <v>87</v>
      </c>
      <c r="J1" s="498"/>
      <c r="K1" s="498"/>
      <c r="L1" s="499"/>
      <c r="M1" s="500"/>
      <c r="N1" s="501"/>
    </row>
    <row r="2" spans="1:18" ht="15.75">
      <c r="A2" s="489"/>
      <c r="B2" s="494"/>
      <c r="C2" s="495"/>
      <c r="D2" s="495"/>
      <c r="E2" s="495"/>
      <c r="F2" s="495"/>
      <c r="G2" s="495"/>
      <c r="H2" s="496"/>
      <c r="I2" s="497" t="s">
        <v>88</v>
      </c>
      <c r="J2" s="498"/>
      <c r="K2" s="498"/>
      <c r="L2" s="499"/>
      <c r="M2" s="502"/>
      <c r="N2" s="503"/>
    </row>
    <row r="3" spans="1:18" ht="15.75">
      <c r="A3" s="489"/>
      <c r="B3" s="491" t="s">
        <v>89</v>
      </c>
      <c r="C3" s="492"/>
      <c r="D3" s="492"/>
      <c r="E3" s="492"/>
      <c r="F3" s="492"/>
      <c r="G3" s="492"/>
      <c r="H3" s="493"/>
      <c r="I3" s="497" t="s">
        <v>90</v>
      </c>
      <c r="J3" s="498"/>
      <c r="K3" s="498"/>
      <c r="L3" s="499"/>
      <c r="M3" s="502"/>
      <c r="N3" s="503"/>
    </row>
    <row r="4" spans="1:18" ht="21.75" customHeight="1">
      <c r="A4" s="490"/>
      <c r="B4" s="494"/>
      <c r="C4" s="495"/>
      <c r="D4" s="495"/>
      <c r="E4" s="495"/>
      <c r="F4" s="495"/>
      <c r="G4" s="495"/>
      <c r="H4" s="496"/>
      <c r="I4" s="497" t="s">
        <v>91</v>
      </c>
      <c r="J4" s="498"/>
      <c r="K4" s="498"/>
      <c r="L4" s="499"/>
      <c r="M4" s="504"/>
      <c r="N4" s="505"/>
    </row>
    <row r="5" spans="1:18">
      <c r="A5" s="506"/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</row>
    <row r="6" spans="1:18" ht="15.75">
      <c r="A6" s="497" t="s">
        <v>129</v>
      </c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9"/>
    </row>
    <row r="7" spans="1:18" ht="15.75">
      <c r="A7" s="34" t="s">
        <v>283</v>
      </c>
      <c r="B7" s="411" t="s">
        <v>466</v>
      </c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</row>
    <row r="8" spans="1:18" ht="15.75">
      <c r="A8" s="35" t="s">
        <v>32</v>
      </c>
      <c r="B8" s="507" t="s">
        <v>33</v>
      </c>
      <c r="C8" s="508"/>
      <c r="D8" s="508"/>
      <c r="E8" s="508"/>
      <c r="F8" s="509"/>
      <c r="G8" s="644" t="s">
        <v>117</v>
      </c>
      <c r="H8" s="645"/>
      <c r="I8" s="646"/>
      <c r="J8" s="519" t="s">
        <v>31</v>
      </c>
      <c r="K8" s="520"/>
      <c r="L8" s="520"/>
      <c r="M8" s="520"/>
      <c r="N8" s="521"/>
    </row>
    <row r="9" spans="1:18" ht="20.25" customHeight="1">
      <c r="A9" s="37" t="s">
        <v>30</v>
      </c>
      <c r="B9" s="523" t="s">
        <v>37</v>
      </c>
      <c r="C9" s="508"/>
      <c r="D9" s="508"/>
      <c r="E9" s="508"/>
      <c r="F9" s="509"/>
      <c r="G9" s="647"/>
      <c r="H9" s="648"/>
      <c r="I9" s="649"/>
      <c r="J9" s="253" t="s">
        <v>29</v>
      </c>
      <c r="K9" s="422" t="s">
        <v>28</v>
      </c>
      <c r="L9" s="422"/>
      <c r="M9" s="422"/>
      <c r="N9" s="253" t="s">
        <v>27</v>
      </c>
    </row>
    <row r="10" spans="1:18" ht="27" customHeight="1">
      <c r="A10" s="38" t="s">
        <v>26</v>
      </c>
      <c r="B10" s="522" t="s">
        <v>47</v>
      </c>
      <c r="C10" s="523"/>
      <c r="D10" s="523"/>
      <c r="E10" s="523"/>
      <c r="F10" s="524"/>
      <c r="G10" s="647"/>
      <c r="H10" s="648"/>
      <c r="I10" s="649"/>
      <c r="J10" s="39"/>
      <c r="K10" s="528"/>
      <c r="L10" s="529"/>
      <c r="M10" s="530"/>
      <c r="N10" s="40"/>
    </row>
    <row r="11" spans="1:18" ht="15.75">
      <c r="A11" s="41" t="s">
        <v>25</v>
      </c>
      <c r="B11" s="522" t="s">
        <v>52</v>
      </c>
      <c r="C11" s="523"/>
      <c r="D11" s="523"/>
      <c r="E11" s="523"/>
      <c r="F11" s="524"/>
      <c r="G11" s="647"/>
      <c r="H11" s="648"/>
      <c r="I11" s="649"/>
      <c r="J11" s="252"/>
      <c r="K11" s="525"/>
      <c r="L11" s="526"/>
      <c r="M11" s="527"/>
      <c r="N11" s="42"/>
    </row>
    <row r="12" spans="1:18" ht="15.75">
      <c r="A12" s="43" t="s">
        <v>24</v>
      </c>
      <c r="B12" s="532">
        <v>2020730010052</v>
      </c>
      <c r="C12" s="533"/>
      <c r="D12" s="533"/>
      <c r="E12" s="533"/>
      <c r="F12" s="534"/>
      <c r="G12" s="647"/>
      <c r="H12" s="648"/>
      <c r="I12" s="649"/>
      <c r="J12" s="44"/>
      <c r="K12" s="468"/>
      <c r="L12" s="469"/>
      <c r="M12" s="470"/>
      <c r="N12" s="45"/>
    </row>
    <row r="13" spans="1:18" ht="33.75" customHeight="1">
      <c r="A13" s="73" t="s">
        <v>116</v>
      </c>
      <c r="B13" s="466" t="s">
        <v>115</v>
      </c>
      <c r="C13" s="466"/>
      <c r="D13" s="466"/>
      <c r="E13" s="466"/>
      <c r="F13" s="467"/>
      <c r="G13" s="650"/>
      <c r="H13" s="651"/>
      <c r="I13" s="652"/>
      <c r="J13" s="254"/>
      <c r="K13" s="468"/>
      <c r="L13" s="469"/>
      <c r="M13" s="470"/>
      <c r="N13" s="46"/>
    </row>
    <row r="14" spans="1:18" ht="15.75">
      <c r="A14" s="415" t="s">
        <v>23</v>
      </c>
      <c r="B14" s="426" t="s">
        <v>92</v>
      </c>
      <c r="C14" s="413" t="s">
        <v>21</v>
      </c>
      <c r="D14" s="413" t="s">
        <v>20</v>
      </c>
      <c r="E14" s="413" t="s">
        <v>19</v>
      </c>
      <c r="F14" s="621" t="s">
        <v>344</v>
      </c>
      <c r="G14" s="622"/>
      <c r="H14" s="622"/>
      <c r="I14" s="623"/>
      <c r="J14" s="627" t="s">
        <v>17</v>
      </c>
      <c r="K14" s="627"/>
      <c r="L14" s="643" t="s">
        <v>16</v>
      </c>
      <c r="M14" s="643"/>
      <c r="N14" s="643"/>
    </row>
    <row r="15" spans="1:18">
      <c r="A15" s="415"/>
      <c r="B15" s="413"/>
      <c r="C15" s="413"/>
      <c r="D15" s="413"/>
      <c r="E15" s="413"/>
      <c r="F15" s="624"/>
      <c r="G15" s="625"/>
      <c r="H15" s="625"/>
      <c r="I15" s="626"/>
      <c r="J15" s="627"/>
      <c r="K15" s="627"/>
      <c r="L15" s="627" t="s">
        <v>15</v>
      </c>
      <c r="M15" s="627" t="s">
        <v>14</v>
      </c>
      <c r="N15" s="605" t="s">
        <v>13</v>
      </c>
    </row>
    <row r="16" spans="1:18" ht="30">
      <c r="A16" s="642"/>
      <c r="B16" s="572"/>
      <c r="C16" s="572"/>
      <c r="D16" s="572"/>
      <c r="E16" s="572"/>
      <c r="F16" s="266" t="s">
        <v>12</v>
      </c>
      <c r="G16" s="266" t="s">
        <v>11</v>
      </c>
      <c r="H16" s="266" t="s">
        <v>10</v>
      </c>
      <c r="I16" s="297" t="s">
        <v>9</v>
      </c>
      <c r="J16" s="298" t="s">
        <v>8</v>
      </c>
      <c r="K16" s="267" t="s">
        <v>7</v>
      </c>
      <c r="L16" s="653"/>
      <c r="M16" s="653"/>
      <c r="N16" s="654"/>
      <c r="P16" s="216"/>
      <c r="Q16" s="266"/>
      <c r="R16" s="266"/>
    </row>
    <row r="17" spans="1:19" s="65" customFormat="1" ht="32.25" customHeight="1">
      <c r="A17" s="601" t="s">
        <v>343</v>
      </c>
      <c r="B17" s="139" t="s">
        <v>1</v>
      </c>
      <c r="C17" s="604" t="s">
        <v>55</v>
      </c>
      <c r="D17" s="139">
        <v>70</v>
      </c>
      <c r="E17" s="52">
        <f t="shared" ref="E17:E38" si="0">F17</f>
        <v>80000000</v>
      </c>
      <c r="F17" s="52">
        <f>80000000</f>
        <v>80000000</v>
      </c>
      <c r="G17" s="52">
        <v>0</v>
      </c>
      <c r="H17" s="52">
        <v>0</v>
      </c>
      <c r="I17" s="52">
        <v>0</v>
      </c>
      <c r="J17" s="638">
        <v>45048</v>
      </c>
      <c r="K17" s="638">
        <v>45290</v>
      </c>
      <c r="L17" s="397">
        <f>D18/D17</f>
        <v>0</v>
      </c>
      <c r="M17" s="397">
        <f>E18/E17</f>
        <v>6.25E-2</v>
      </c>
      <c r="N17" s="427">
        <f>L17*L17/M17</f>
        <v>0</v>
      </c>
      <c r="O17" s="151"/>
      <c r="P17" s="128"/>
      <c r="Q17" s="153"/>
      <c r="R17" s="126"/>
      <c r="S17" s="154"/>
    </row>
    <row r="18" spans="1:19" s="65" customFormat="1" ht="32.25" customHeight="1">
      <c r="A18" s="601"/>
      <c r="B18" s="139" t="s">
        <v>0</v>
      </c>
      <c r="C18" s="604"/>
      <c r="D18" s="139">
        <v>0</v>
      </c>
      <c r="E18" s="52">
        <f t="shared" si="0"/>
        <v>5000000</v>
      </c>
      <c r="F18" s="52">
        <v>5000000</v>
      </c>
      <c r="G18" s="52">
        <v>0</v>
      </c>
      <c r="H18" s="52">
        <v>0</v>
      </c>
      <c r="I18" s="52">
        <v>0</v>
      </c>
      <c r="J18" s="638"/>
      <c r="K18" s="638"/>
      <c r="L18" s="397"/>
      <c r="M18" s="397"/>
      <c r="N18" s="427"/>
      <c r="O18" s="151"/>
      <c r="P18" s="128"/>
      <c r="Q18" s="265"/>
      <c r="R18" s="126"/>
      <c r="S18" s="126"/>
    </row>
    <row r="19" spans="1:19" s="65" customFormat="1" ht="42.75" customHeight="1">
      <c r="A19" s="601" t="s">
        <v>53</v>
      </c>
      <c r="B19" s="299" t="s">
        <v>1</v>
      </c>
      <c r="C19" s="604" t="s">
        <v>342</v>
      </c>
      <c r="D19" s="300">
        <v>1</v>
      </c>
      <c r="E19" s="52">
        <f t="shared" si="0"/>
        <v>8012000</v>
      </c>
      <c r="F19" s="52">
        <v>8012000</v>
      </c>
      <c r="G19" s="52">
        <v>0</v>
      </c>
      <c r="H19" s="52">
        <v>0</v>
      </c>
      <c r="I19" s="52">
        <v>0</v>
      </c>
      <c r="J19" s="638">
        <v>44992</v>
      </c>
      <c r="K19" s="638">
        <v>45290</v>
      </c>
      <c r="L19" s="397">
        <f>D20/D19</f>
        <v>0</v>
      </c>
      <c r="M19" s="397">
        <f>E20/E19</f>
        <v>0.12481278082875687</v>
      </c>
      <c r="N19" s="429">
        <f>L19*L19/M19</f>
        <v>0</v>
      </c>
      <c r="Q19" s="155"/>
    </row>
    <row r="20" spans="1:19" s="65" customFormat="1" ht="42.75" customHeight="1">
      <c r="A20" s="601"/>
      <c r="B20" s="301" t="s">
        <v>0</v>
      </c>
      <c r="C20" s="604"/>
      <c r="D20" s="302">
        <v>0</v>
      </c>
      <c r="E20" s="52">
        <f t="shared" si="0"/>
        <v>1000000</v>
      </c>
      <c r="F20" s="52">
        <v>1000000</v>
      </c>
      <c r="G20" s="52">
        <v>0</v>
      </c>
      <c r="H20" s="52">
        <v>0</v>
      </c>
      <c r="I20" s="52">
        <v>0</v>
      </c>
      <c r="J20" s="638"/>
      <c r="K20" s="638"/>
      <c r="L20" s="397"/>
      <c r="M20" s="397"/>
      <c r="N20" s="429"/>
    </row>
    <row r="21" spans="1:19" s="65" customFormat="1" ht="37.15" customHeight="1">
      <c r="A21" s="601" t="s">
        <v>454</v>
      </c>
      <c r="B21" s="299" t="s">
        <v>1</v>
      </c>
      <c r="C21" s="604" t="s">
        <v>455</v>
      </c>
      <c r="D21" s="302">
        <v>1</v>
      </c>
      <c r="E21" s="52">
        <f t="shared" si="0"/>
        <v>40000000</v>
      </c>
      <c r="F21" s="52">
        <v>40000000</v>
      </c>
      <c r="G21" s="52">
        <v>0</v>
      </c>
      <c r="H21" s="52">
        <v>0</v>
      </c>
      <c r="I21" s="52">
        <v>0</v>
      </c>
      <c r="J21" s="638">
        <v>44986</v>
      </c>
      <c r="K21" s="638">
        <v>45290</v>
      </c>
      <c r="L21" s="397">
        <f>D22/D21</f>
        <v>0</v>
      </c>
      <c r="M21" s="397">
        <f>E22/E21</f>
        <v>0.5</v>
      </c>
      <c r="N21" s="429">
        <f>L21*L21/M21</f>
        <v>0</v>
      </c>
      <c r="O21" s="151"/>
    </row>
    <row r="22" spans="1:19" s="65" customFormat="1" ht="28.5" customHeight="1">
      <c r="A22" s="601"/>
      <c r="B22" s="301" t="s">
        <v>0</v>
      </c>
      <c r="C22" s="604"/>
      <c r="D22" s="302">
        <v>0</v>
      </c>
      <c r="E22" s="52">
        <f t="shared" si="0"/>
        <v>20000000</v>
      </c>
      <c r="F22" s="52">
        <f>20000000</f>
        <v>20000000</v>
      </c>
      <c r="G22" s="52">
        <v>0</v>
      </c>
      <c r="H22" s="52">
        <v>0</v>
      </c>
      <c r="I22" s="52">
        <v>0</v>
      </c>
      <c r="J22" s="638"/>
      <c r="K22" s="638"/>
      <c r="L22" s="397"/>
      <c r="M22" s="397"/>
      <c r="N22" s="429"/>
      <c r="O22" s="151"/>
      <c r="P22" s="273"/>
      <c r="Q22" s="274"/>
      <c r="R22" s="274"/>
    </row>
    <row r="23" spans="1:19" s="65" customFormat="1" ht="34.5" customHeight="1">
      <c r="A23" s="636" t="s">
        <v>285</v>
      </c>
      <c r="B23" s="303" t="s">
        <v>1</v>
      </c>
      <c r="C23" s="604" t="s">
        <v>286</v>
      </c>
      <c r="D23" s="304">
        <v>4</v>
      </c>
      <c r="E23" s="52">
        <f t="shared" si="0"/>
        <v>32000000</v>
      </c>
      <c r="F23" s="52">
        <v>32000000</v>
      </c>
      <c r="G23" s="52">
        <v>0</v>
      </c>
      <c r="H23" s="52">
        <v>0</v>
      </c>
      <c r="I23" s="52">
        <v>0</v>
      </c>
      <c r="J23" s="638">
        <v>45041</v>
      </c>
      <c r="K23" s="638">
        <v>45290</v>
      </c>
      <c r="L23" s="397">
        <f>D24/D23</f>
        <v>0</v>
      </c>
      <c r="M23" s="397">
        <f>E24/E23</f>
        <v>0.625</v>
      </c>
      <c r="N23" s="427">
        <f>L23*L23/M23</f>
        <v>0</v>
      </c>
      <c r="O23" s="151"/>
      <c r="P23" s="128"/>
      <c r="Q23" s="153"/>
      <c r="R23" s="126"/>
      <c r="S23" s="154"/>
    </row>
    <row r="24" spans="1:19" s="65" customFormat="1" ht="34.5" customHeight="1">
      <c r="A24" s="637"/>
      <c r="B24" s="305" t="s">
        <v>0</v>
      </c>
      <c r="C24" s="604"/>
      <c r="D24" s="304">
        <v>0</v>
      </c>
      <c r="E24" s="52">
        <f t="shared" si="0"/>
        <v>20000000</v>
      </c>
      <c r="F24" s="52">
        <f>6500000+4400000+9100000</f>
        <v>20000000</v>
      </c>
      <c r="G24" s="52">
        <v>0</v>
      </c>
      <c r="H24" s="52">
        <v>0</v>
      </c>
      <c r="I24" s="52">
        <v>0</v>
      </c>
      <c r="J24" s="638"/>
      <c r="K24" s="638"/>
      <c r="L24" s="397"/>
      <c r="M24" s="397"/>
      <c r="N24" s="427"/>
      <c r="O24" s="151"/>
      <c r="P24" s="128"/>
      <c r="Q24" s="265"/>
      <c r="R24" s="126"/>
    </row>
    <row r="25" spans="1:19" s="65" customFormat="1" ht="30.75" customHeight="1">
      <c r="A25" s="636" t="s">
        <v>479</v>
      </c>
      <c r="B25" s="303" t="s">
        <v>1</v>
      </c>
      <c r="C25" s="604" t="s">
        <v>480</v>
      </c>
      <c r="D25" s="306">
        <v>1</v>
      </c>
      <c r="E25" s="52">
        <f t="shared" si="0"/>
        <v>10000000</v>
      </c>
      <c r="F25" s="52">
        <v>10000000</v>
      </c>
      <c r="G25" s="52">
        <v>0</v>
      </c>
      <c r="H25" s="52">
        <v>0</v>
      </c>
      <c r="I25" s="52">
        <v>0</v>
      </c>
      <c r="J25" s="638">
        <v>45041</v>
      </c>
      <c r="K25" s="638">
        <v>45290</v>
      </c>
      <c r="L25" s="397">
        <f>D26/D25</f>
        <v>0</v>
      </c>
      <c r="M25" s="397">
        <f>E26/E25</f>
        <v>1</v>
      </c>
      <c r="N25" s="427">
        <f>L25*L25/M25</f>
        <v>0</v>
      </c>
      <c r="P25" s="128"/>
      <c r="Q25" s="153"/>
      <c r="R25" s="126"/>
      <c r="S25" s="154"/>
    </row>
    <row r="26" spans="1:19" s="65" customFormat="1" ht="30.75" customHeight="1">
      <c r="A26" s="637"/>
      <c r="B26" s="305" t="s">
        <v>0</v>
      </c>
      <c r="C26" s="604"/>
      <c r="D26" s="304">
        <v>0</v>
      </c>
      <c r="E26" s="52">
        <f t="shared" si="0"/>
        <v>10000000</v>
      </c>
      <c r="F26" s="52">
        <f>10000000</f>
        <v>10000000</v>
      </c>
      <c r="G26" s="52">
        <v>0</v>
      </c>
      <c r="H26" s="52">
        <v>0</v>
      </c>
      <c r="I26" s="52">
        <v>0</v>
      </c>
      <c r="J26" s="638"/>
      <c r="K26" s="638"/>
      <c r="L26" s="397"/>
      <c r="M26" s="397"/>
      <c r="N26" s="427"/>
      <c r="P26" s="128"/>
      <c r="Q26" s="265"/>
      <c r="R26" s="126"/>
    </row>
    <row r="27" spans="1:19" s="65" customFormat="1" ht="27" customHeight="1">
      <c r="A27" s="655" t="s">
        <v>108</v>
      </c>
      <c r="B27" s="307" t="s">
        <v>1</v>
      </c>
      <c r="C27" s="604" t="s">
        <v>109</v>
      </c>
      <c r="D27" s="308">
        <v>273</v>
      </c>
      <c r="E27" s="52">
        <f t="shared" si="0"/>
        <v>20000000</v>
      </c>
      <c r="F27" s="52">
        <v>20000000</v>
      </c>
      <c r="G27" s="52">
        <v>0</v>
      </c>
      <c r="H27" s="52">
        <v>0</v>
      </c>
      <c r="I27" s="52">
        <v>0</v>
      </c>
      <c r="J27" s="638">
        <v>44958</v>
      </c>
      <c r="K27" s="638">
        <v>45290</v>
      </c>
      <c r="L27" s="397">
        <f>D28/D27</f>
        <v>0</v>
      </c>
      <c r="M27" s="397">
        <f>E28/E27</f>
        <v>1</v>
      </c>
      <c r="N27" s="429">
        <f>L27*L27/M27</f>
        <v>0</v>
      </c>
      <c r="O27" s="151"/>
      <c r="S27" s="154"/>
    </row>
    <row r="28" spans="1:19" s="65" customFormat="1" ht="27" customHeight="1">
      <c r="A28" s="656"/>
      <c r="B28" s="309" t="s">
        <v>0</v>
      </c>
      <c r="C28" s="604"/>
      <c r="D28" s="310">
        <v>0</v>
      </c>
      <c r="E28" s="52">
        <f t="shared" si="0"/>
        <v>20000000</v>
      </c>
      <c r="F28" s="52">
        <f>10600000+1300000+1000000+1000000+1000000+1000000+1000000+1000000+1000000+1100000</f>
        <v>20000000</v>
      </c>
      <c r="G28" s="52">
        <v>0</v>
      </c>
      <c r="H28" s="52">
        <v>0</v>
      </c>
      <c r="I28" s="52">
        <v>0</v>
      </c>
      <c r="J28" s="638"/>
      <c r="K28" s="638"/>
      <c r="L28" s="397"/>
      <c r="M28" s="397"/>
      <c r="N28" s="429"/>
      <c r="O28" s="151"/>
      <c r="P28" s="273"/>
      <c r="Q28" s="274"/>
      <c r="R28" s="274"/>
    </row>
    <row r="29" spans="1:19" s="65" customFormat="1" ht="22.5" customHeight="1">
      <c r="A29" s="639" t="s">
        <v>102</v>
      </c>
      <c r="B29" s="299" t="s">
        <v>1</v>
      </c>
      <c r="C29" s="604" t="s">
        <v>99</v>
      </c>
      <c r="D29" s="311">
        <v>273</v>
      </c>
      <c r="E29" s="52">
        <f t="shared" si="0"/>
        <v>5200000</v>
      </c>
      <c r="F29" s="52">
        <f>34720000-29520000</f>
        <v>5200000</v>
      </c>
      <c r="G29" s="52">
        <v>0</v>
      </c>
      <c r="H29" s="52">
        <v>0</v>
      </c>
      <c r="I29" s="52">
        <v>0</v>
      </c>
      <c r="J29" s="638">
        <v>44958</v>
      </c>
      <c r="K29" s="638">
        <v>45290</v>
      </c>
      <c r="L29" s="397">
        <f>D30/D29</f>
        <v>0</v>
      </c>
      <c r="M29" s="397">
        <f>E30/E29</f>
        <v>0</v>
      </c>
      <c r="N29" s="429">
        <v>0</v>
      </c>
      <c r="P29" s="128"/>
      <c r="Q29" s="153"/>
      <c r="R29" s="126"/>
      <c r="S29" s="154"/>
    </row>
    <row r="30" spans="1:19" s="65" customFormat="1" ht="22.5" customHeight="1">
      <c r="A30" s="640"/>
      <c r="B30" s="305" t="s">
        <v>0</v>
      </c>
      <c r="C30" s="641"/>
      <c r="D30" s="312">
        <v>0</v>
      </c>
      <c r="E30" s="52">
        <f t="shared" si="0"/>
        <v>0</v>
      </c>
      <c r="F30" s="52">
        <v>0</v>
      </c>
      <c r="G30" s="52">
        <v>0</v>
      </c>
      <c r="H30" s="52">
        <v>0</v>
      </c>
      <c r="I30" s="52">
        <v>0</v>
      </c>
      <c r="J30" s="638"/>
      <c r="K30" s="638"/>
      <c r="L30" s="397"/>
      <c r="M30" s="397"/>
      <c r="N30" s="429"/>
      <c r="P30" s="128"/>
      <c r="Q30" s="265"/>
      <c r="R30" s="126"/>
    </row>
    <row r="31" spans="1:19" s="65" customFormat="1" ht="41.25" customHeight="1">
      <c r="A31" s="639" t="s">
        <v>341</v>
      </c>
      <c r="B31" s="299" t="s">
        <v>1</v>
      </c>
      <c r="C31" s="604" t="s">
        <v>481</v>
      </c>
      <c r="D31" s="285">
        <v>1</v>
      </c>
      <c r="E31" s="52">
        <f t="shared" si="0"/>
        <v>600000000</v>
      </c>
      <c r="F31" s="52">
        <v>600000000</v>
      </c>
      <c r="G31" s="52">
        <v>0</v>
      </c>
      <c r="H31" s="52">
        <v>0</v>
      </c>
      <c r="I31" s="52">
        <v>0</v>
      </c>
      <c r="J31" s="638">
        <v>44958</v>
      </c>
      <c r="K31" s="638">
        <v>45290</v>
      </c>
      <c r="L31" s="397">
        <f>D32/D31</f>
        <v>0</v>
      </c>
      <c r="M31" s="397">
        <f>E32/E31</f>
        <v>1</v>
      </c>
      <c r="N31" s="429">
        <v>0</v>
      </c>
      <c r="P31" s="128"/>
      <c r="Q31" s="153"/>
      <c r="R31" s="126"/>
      <c r="S31" s="154"/>
    </row>
    <row r="32" spans="1:19" s="65" customFormat="1" ht="41.25" customHeight="1">
      <c r="A32" s="640"/>
      <c r="B32" s="305" t="s">
        <v>0</v>
      </c>
      <c r="C32" s="641"/>
      <c r="D32" s="285">
        <v>0</v>
      </c>
      <c r="E32" s="52">
        <f t="shared" si="0"/>
        <v>600000000</v>
      </c>
      <c r="F32" s="52">
        <v>600000000</v>
      </c>
      <c r="G32" s="52">
        <v>0</v>
      </c>
      <c r="H32" s="52">
        <v>0</v>
      </c>
      <c r="I32" s="52">
        <v>0</v>
      </c>
      <c r="J32" s="638"/>
      <c r="K32" s="638"/>
      <c r="L32" s="397"/>
      <c r="M32" s="397"/>
      <c r="N32" s="429"/>
      <c r="P32" s="128"/>
      <c r="Q32" s="265"/>
      <c r="R32" s="126"/>
    </row>
    <row r="33" spans="1:38" s="65" customFormat="1" ht="32.25" customHeight="1">
      <c r="A33" s="655" t="s">
        <v>482</v>
      </c>
      <c r="B33" s="139" t="s">
        <v>1</v>
      </c>
      <c r="C33" s="662" t="s">
        <v>56</v>
      </c>
      <c r="D33" s="308">
        <v>100</v>
      </c>
      <c r="E33" s="52">
        <f t="shared" si="0"/>
        <v>5000000</v>
      </c>
      <c r="F33" s="52">
        <v>5000000</v>
      </c>
      <c r="G33" s="52">
        <v>0</v>
      </c>
      <c r="H33" s="52">
        <v>0</v>
      </c>
      <c r="I33" s="52">
        <v>0</v>
      </c>
      <c r="J33" s="659">
        <v>45021</v>
      </c>
      <c r="K33" s="659">
        <v>45290</v>
      </c>
      <c r="L33" s="432">
        <f>D34/D33</f>
        <v>0</v>
      </c>
      <c r="M33" s="432">
        <f>E34/E33</f>
        <v>1</v>
      </c>
      <c r="N33" s="657">
        <f>L33*L33/M33</f>
        <v>0</v>
      </c>
      <c r="P33" s="128"/>
      <c r="Q33" s="153"/>
      <c r="R33" s="126"/>
      <c r="S33" s="154"/>
    </row>
    <row r="34" spans="1:38" s="65" customFormat="1" ht="32.25" customHeight="1">
      <c r="A34" s="661"/>
      <c r="B34" s="313" t="s">
        <v>0</v>
      </c>
      <c r="C34" s="663"/>
      <c r="D34" s="314">
        <v>0</v>
      </c>
      <c r="E34" s="52">
        <f t="shared" si="0"/>
        <v>5000000</v>
      </c>
      <c r="F34" s="52">
        <f>3000000+2000000</f>
        <v>5000000</v>
      </c>
      <c r="G34" s="52">
        <v>0</v>
      </c>
      <c r="H34" s="52">
        <v>0</v>
      </c>
      <c r="I34" s="52">
        <v>0</v>
      </c>
      <c r="J34" s="660"/>
      <c r="K34" s="660"/>
      <c r="L34" s="433"/>
      <c r="M34" s="433"/>
      <c r="N34" s="658"/>
      <c r="P34" s="128"/>
      <c r="Q34" s="265"/>
      <c r="R34" s="126"/>
    </row>
    <row r="35" spans="1:38" s="65" customFormat="1" ht="30" customHeight="1">
      <c r="A35" s="655" t="s">
        <v>54</v>
      </c>
      <c r="B35" s="139" t="s">
        <v>1</v>
      </c>
      <c r="C35" s="604" t="s">
        <v>428</v>
      </c>
      <c r="D35" s="315">
        <v>1</v>
      </c>
      <c r="E35" s="52">
        <f t="shared" si="0"/>
        <v>20708000</v>
      </c>
      <c r="F35" s="52">
        <v>20708000</v>
      </c>
      <c r="G35" s="52">
        <v>0</v>
      </c>
      <c r="H35" s="52">
        <v>0</v>
      </c>
      <c r="I35" s="52">
        <v>0</v>
      </c>
      <c r="J35" s="638">
        <v>44937</v>
      </c>
      <c r="K35" s="638">
        <v>45290</v>
      </c>
      <c r="L35" s="397">
        <f>D36/D35</f>
        <v>0.25</v>
      </c>
      <c r="M35" s="397">
        <f>E36/E35</f>
        <v>0.48290515742708134</v>
      </c>
      <c r="N35" s="427">
        <f>L35*L35/M35</f>
        <v>0.12942499999999998</v>
      </c>
    </row>
    <row r="36" spans="1:38" s="65" customFormat="1" ht="30" customHeight="1">
      <c r="A36" s="661"/>
      <c r="B36" s="313" t="s">
        <v>0</v>
      </c>
      <c r="C36" s="641"/>
      <c r="D36" s="316">
        <v>0.25</v>
      </c>
      <c r="E36" s="52">
        <f t="shared" si="0"/>
        <v>10000000</v>
      </c>
      <c r="F36" s="52">
        <f>200000+2000000+1200000+900000+900000+900000+900000+900000+900000+1200000</f>
        <v>10000000</v>
      </c>
      <c r="G36" s="52">
        <v>0</v>
      </c>
      <c r="H36" s="52">
        <v>0</v>
      </c>
      <c r="I36" s="52">
        <v>0</v>
      </c>
      <c r="J36" s="638"/>
      <c r="K36" s="638"/>
      <c r="L36" s="397"/>
      <c r="M36" s="397"/>
      <c r="N36" s="427"/>
      <c r="P36" s="273"/>
      <c r="Q36" s="274"/>
      <c r="R36" s="84"/>
    </row>
    <row r="37" spans="1:38" s="65" customFormat="1" ht="30" customHeight="1">
      <c r="A37" s="601" t="s">
        <v>483</v>
      </c>
      <c r="B37" s="307" t="s">
        <v>1</v>
      </c>
      <c r="C37" s="446" t="s">
        <v>103</v>
      </c>
      <c r="D37" s="317">
        <v>1</v>
      </c>
      <c r="E37" s="52">
        <f t="shared" si="0"/>
        <v>4100000</v>
      </c>
      <c r="F37" s="52">
        <v>4100000</v>
      </c>
      <c r="G37" s="52">
        <v>0</v>
      </c>
      <c r="H37" s="52">
        <v>0</v>
      </c>
      <c r="I37" s="52">
        <v>0</v>
      </c>
      <c r="J37" s="638">
        <v>44971</v>
      </c>
      <c r="K37" s="638">
        <v>45282</v>
      </c>
      <c r="L37" s="397">
        <f>D38/D37</f>
        <v>0</v>
      </c>
      <c r="M37" s="397">
        <f>E38/E37</f>
        <v>1</v>
      </c>
      <c r="N37" s="427">
        <f>L37*L37/M37</f>
        <v>0</v>
      </c>
      <c r="O37" s="151"/>
      <c r="P37" s="128"/>
      <c r="Q37" s="153"/>
      <c r="R37" s="124"/>
      <c r="S37" s="154"/>
    </row>
    <row r="38" spans="1:38" s="65" customFormat="1" ht="30" customHeight="1">
      <c r="A38" s="601"/>
      <c r="B38" s="313" t="s">
        <v>0</v>
      </c>
      <c r="C38" s="446"/>
      <c r="D38" s="318">
        <v>0</v>
      </c>
      <c r="E38" s="52">
        <f t="shared" si="0"/>
        <v>4100000</v>
      </c>
      <c r="F38" s="52">
        <f>1000000+1000000+2100000</f>
        <v>4100000</v>
      </c>
      <c r="G38" s="52">
        <v>0</v>
      </c>
      <c r="H38" s="52">
        <v>0</v>
      </c>
      <c r="I38" s="52">
        <v>0</v>
      </c>
      <c r="J38" s="638"/>
      <c r="K38" s="638"/>
      <c r="L38" s="397"/>
      <c r="M38" s="397"/>
      <c r="N38" s="427"/>
      <c r="O38" s="151"/>
      <c r="P38" s="128"/>
      <c r="Q38" s="265"/>
      <c r="R38" s="124"/>
    </row>
    <row r="39" spans="1:38" ht="18.75" customHeight="1">
      <c r="A39" s="676" t="s">
        <v>6</v>
      </c>
      <c r="B39" s="268" t="s">
        <v>1</v>
      </c>
      <c r="C39" s="677"/>
      <c r="D39" s="319"/>
      <c r="E39" s="320">
        <f t="shared" ref="E39:I40" si="1">E17+E19+E21+E23+E25+E27+E29+E31+E33+E35+E37</f>
        <v>825020000</v>
      </c>
      <c r="F39" s="320">
        <f t="shared" si="1"/>
        <v>825020000</v>
      </c>
      <c r="G39" s="320">
        <f t="shared" si="1"/>
        <v>0</v>
      </c>
      <c r="H39" s="320">
        <f t="shared" si="1"/>
        <v>0</v>
      </c>
      <c r="I39" s="320">
        <f t="shared" si="1"/>
        <v>0</v>
      </c>
      <c r="J39" s="320"/>
      <c r="K39" s="320"/>
      <c r="L39" s="320"/>
      <c r="M39" s="320"/>
      <c r="N39" s="320"/>
      <c r="P39" s="111"/>
      <c r="Q39" s="117"/>
      <c r="R39" s="867"/>
      <c r="S39" s="868"/>
      <c r="T39" s="163"/>
      <c r="U39" s="163"/>
      <c r="V39" s="163"/>
      <c r="W39" s="163"/>
      <c r="X39" s="163"/>
    </row>
    <row r="40" spans="1:38" ht="18.75" customHeight="1">
      <c r="A40" s="588"/>
      <c r="B40" s="192" t="s">
        <v>0</v>
      </c>
      <c r="C40" s="590"/>
      <c r="D40" s="53"/>
      <c r="E40" s="320">
        <f t="shared" si="1"/>
        <v>695100000</v>
      </c>
      <c r="F40" s="320">
        <f t="shared" si="1"/>
        <v>695100000</v>
      </c>
      <c r="G40" s="320">
        <f t="shared" si="1"/>
        <v>0</v>
      </c>
      <c r="H40" s="320">
        <f t="shared" si="1"/>
        <v>0</v>
      </c>
      <c r="I40" s="320">
        <f t="shared" si="1"/>
        <v>0</v>
      </c>
      <c r="J40" s="321"/>
      <c r="K40" s="321"/>
      <c r="L40" s="321"/>
      <c r="M40" s="321"/>
      <c r="N40" s="321"/>
      <c r="P40" s="111"/>
      <c r="Q40" s="117"/>
      <c r="R40" s="867"/>
      <c r="S40" s="868"/>
      <c r="T40" s="163"/>
      <c r="U40" s="163"/>
      <c r="V40" s="163"/>
      <c r="W40" s="163"/>
      <c r="X40" s="163"/>
    </row>
    <row r="41" spans="1:38">
      <c r="B41" s="257"/>
      <c r="E41" s="21"/>
      <c r="F41" s="20"/>
      <c r="G41" s="13"/>
      <c r="H41" s="13"/>
      <c r="I41" s="13"/>
      <c r="J41" s="56"/>
      <c r="K41" s="56"/>
      <c r="L41" s="20"/>
      <c r="M41" s="57"/>
      <c r="N41" s="293"/>
      <c r="R41" s="163"/>
      <c r="S41" s="163"/>
      <c r="T41" s="163"/>
      <c r="U41" s="163"/>
      <c r="V41" s="163"/>
      <c r="W41" s="163"/>
      <c r="X41" s="163"/>
    </row>
    <row r="42" spans="1:38" ht="16.5" thickBot="1">
      <c r="A42" s="294" t="s">
        <v>5</v>
      </c>
      <c r="B42" s="630" t="s">
        <v>4</v>
      </c>
      <c r="C42" s="631"/>
      <c r="D42" s="631"/>
      <c r="E42" s="592" t="s">
        <v>3</v>
      </c>
      <c r="F42" s="385"/>
      <c r="G42" s="385"/>
      <c r="H42" s="385"/>
      <c r="I42" s="322"/>
      <c r="J42" s="633" t="s">
        <v>2</v>
      </c>
      <c r="K42" s="631"/>
      <c r="L42" s="631"/>
      <c r="M42" s="631"/>
      <c r="N42" s="632"/>
      <c r="R42" s="163"/>
      <c r="S42" s="163"/>
      <c r="T42" s="163"/>
      <c r="U42" s="163"/>
      <c r="V42" s="163"/>
      <c r="W42" s="163"/>
      <c r="X42" s="163"/>
    </row>
    <row r="43" spans="1:38" s="22" customFormat="1" ht="36.75" customHeight="1">
      <c r="A43" s="678" t="s">
        <v>597</v>
      </c>
      <c r="B43" s="681" t="s">
        <v>598</v>
      </c>
      <c r="C43" s="682"/>
      <c r="D43" s="683"/>
      <c r="E43" s="680" t="s">
        <v>57</v>
      </c>
      <c r="F43" s="541"/>
      <c r="G43" s="591"/>
      <c r="H43" s="323" t="s">
        <v>1</v>
      </c>
      <c r="I43" s="324">
        <v>40</v>
      </c>
      <c r="J43" s="628" t="s">
        <v>599</v>
      </c>
      <c r="K43" s="384"/>
      <c r="L43" s="384"/>
      <c r="M43" s="384"/>
      <c r="N43" s="385"/>
      <c r="O43" s="87"/>
      <c r="P43" s="87"/>
      <c r="Q43" s="87"/>
      <c r="R43" s="869"/>
      <c r="S43" s="869"/>
      <c r="T43" s="869"/>
      <c r="U43" s="869"/>
      <c r="V43" s="869"/>
      <c r="W43" s="869"/>
      <c r="X43" s="869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</row>
    <row r="44" spans="1:38" s="22" customFormat="1" ht="36.75" customHeight="1">
      <c r="A44" s="679"/>
      <c r="B44" s="542"/>
      <c r="C44" s="543"/>
      <c r="D44" s="586"/>
      <c r="E44" s="542"/>
      <c r="F44" s="543"/>
      <c r="G44" s="586"/>
      <c r="H44" s="325" t="s">
        <v>0</v>
      </c>
      <c r="I44" s="326">
        <v>0</v>
      </c>
      <c r="J44" s="385"/>
      <c r="K44" s="384"/>
      <c r="L44" s="384"/>
      <c r="M44" s="384"/>
      <c r="N44" s="385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</row>
    <row r="45" spans="1:38" s="22" customFormat="1" ht="60" customHeight="1">
      <c r="A45" s="386" t="s">
        <v>597</v>
      </c>
      <c r="B45" s="672" t="s">
        <v>600</v>
      </c>
      <c r="C45" s="584"/>
      <c r="D45" s="585"/>
      <c r="E45" s="665" t="s">
        <v>58</v>
      </c>
      <c r="F45" s="584"/>
      <c r="G45" s="585"/>
      <c r="H45" s="325" t="s">
        <v>1</v>
      </c>
      <c r="I45" s="324">
        <v>1</v>
      </c>
      <c r="J45" s="385"/>
      <c r="K45" s="384"/>
      <c r="L45" s="384"/>
      <c r="M45" s="384"/>
      <c r="N45" s="385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</row>
    <row r="46" spans="1:38" s="22" customFormat="1" ht="60" customHeight="1">
      <c r="A46" s="546"/>
      <c r="B46" s="543"/>
      <c r="C46" s="543"/>
      <c r="D46" s="586"/>
      <c r="E46" s="542"/>
      <c r="F46" s="543"/>
      <c r="G46" s="586"/>
      <c r="H46" s="325" t="s">
        <v>0</v>
      </c>
      <c r="I46" s="324">
        <v>0</v>
      </c>
      <c r="J46" s="385"/>
      <c r="K46" s="384"/>
      <c r="L46" s="384"/>
      <c r="M46" s="384"/>
      <c r="N46" s="385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</row>
    <row r="47" spans="1:38" s="22" customFormat="1" ht="58.5" customHeight="1">
      <c r="A47" s="386" t="s">
        <v>597</v>
      </c>
      <c r="B47" s="666" t="s">
        <v>601</v>
      </c>
      <c r="C47" s="667"/>
      <c r="D47" s="668"/>
      <c r="E47" s="673" t="s">
        <v>58</v>
      </c>
      <c r="F47" s="667"/>
      <c r="G47" s="668"/>
      <c r="H47" s="325" t="s">
        <v>1</v>
      </c>
      <c r="I47" s="326">
        <v>1</v>
      </c>
      <c r="J47" s="385"/>
      <c r="K47" s="384"/>
      <c r="L47" s="384"/>
      <c r="M47" s="384"/>
      <c r="N47" s="385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</row>
    <row r="48" spans="1:38" s="22" customFormat="1" ht="58.5" customHeight="1">
      <c r="A48" s="546"/>
      <c r="B48" s="669"/>
      <c r="C48" s="669"/>
      <c r="D48" s="670"/>
      <c r="E48" s="674"/>
      <c r="F48" s="669"/>
      <c r="G48" s="670"/>
      <c r="H48" s="325" t="s">
        <v>0</v>
      </c>
      <c r="I48" s="326">
        <v>0</v>
      </c>
      <c r="J48" s="385"/>
      <c r="K48" s="384"/>
      <c r="L48" s="384"/>
      <c r="M48" s="384"/>
      <c r="N48" s="385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</row>
    <row r="49" spans="1:38" s="22" customFormat="1" ht="35.25" customHeight="1">
      <c r="A49" s="386" t="s">
        <v>597</v>
      </c>
      <c r="B49" s="672" t="s">
        <v>602</v>
      </c>
      <c r="C49" s="584"/>
      <c r="D49" s="585"/>
      <c r="E49" s="675" t="s">
        <v>59</v>
      </c>
      <c r="F49" s="584"/>
      <c r="G49" s="585"/>
      <c r="H49" s="327" t="s">
        <v>1</v>
      </c>
      <c r="I49" s="326">
        <v>250</v>
      </c>
      <c r="J49" s="385"/>
      <c r="K49" s="384"/>
      <c r="L49" s="384"/>
      <c r="M49" s="384"/>
      <c r="N49" s="385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</row>
    <row r="50" spans="1:38" s="22" customFormat="1" ht="35.25" customHeight="1">
      <c r="A50" s="546"/>
      <c r="B50" s="543"/>
      <c r="C50" s="543"/>
      <c r="D50" s="586"/>
      <c r="E50" s="542"/>
      <c r="F50" s="543"/>
      <c r="G50" s="586"/>
      <c r="H50" s="327" t="s">
        <v>0</v>
      </c>
      <c r="I50" s="326">
        <v>75</v>
      </c>
      <c r="J50" s="385"/>
      <c r="K50" s="384"/>
      <c r="L50" s="384"/>
      <c r="M50" s="384"/>
      <c r="N50" s="385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</row>
    <row r="51" spans="1:38" s="22" customFormat="1" ht="36.75" customHeight="1">
      <c r="A51" s="386" t="s">
        <v>597</v>
      </c>
      <c r="B51" s="672" t="s">
        <v>603</v>
      </c>
      <c r="C51" s="584"/>
      <c r="D51" s="585"/>
      <c r="E51" s="665" t="s">
        <v>60</v>
      </c>
      <c r="F51" s="584"/>
      <c r="G51" s="585"/>
      <c r="H51" s="327" t="s">
        <v>1</v>
      </c>
      <c r="I51" s="326">
        <v>150</v>
      </c>
      <c r="J51" s="385"/>
      <c r="K51" s="384"/>
      <c r="L51" s="384"/>
      <c r="M51" s="384"/>
      <c r="N51" s="385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</row>
    <row r="52" spans="1:38" s="22" customFormat="1" ht="36.75" customHeight="1">
      <c r="A52" s="546"/>
      <c r="B52" s="543"/>
      <c r="C52" s="543"/>
      <c r="D52" s="586"/>
      <c r="E52" s="542"/>
      <c r="F52" s="543"/>
      <c r="G52" s="586"/>
      <c r="H52" s="327" t="s">
        <v>0</v>
      </c>
      <c r="I52" s="326">
        <v>0</v>
      </c>
      <c r="J52" s="385"/>
      <c r="K52" s="384"/>
      <c r="L52" s="384"/>
      <c r="M52" s="384"/>
      <c r="N52" s="385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</row>
    <row r="53" spans="1:38" s="22" customFormat="1" ht="36" customHeight="1">
      <c r="A53" s="386" t="s">
        <v>597</v>
      </c>
      <c r="B53" s="672" t="s">
        <v>604</v>
      </c>
      <c r="C53" s="584"/>
      <c r="D53" s="585"/>
      <c r="E53" s="665" t="s">
        <v>61</v>
      </c>
      <c r="F53" s="584"/>
      <c r="G53" s="585"/>
      <c r="H53" s="327" t="s">
        <v>1</v>
      </c>
      <c r="I53" s="326">
        <v>1</v>
      </c>
      <c r="J53" s="385"/>
      <c r="K53" s="384"/>
      <c r="L53" s="384"/>
      <c r="M53" s="384"/>
      <c r="N53" s="385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</row>
    <row r="54" spans="1:38" s="22" customFormat="1" ht="36" customHeight="1">
      <c r="A54" s="546"/>
      <c r="B54" s="543"/>
      <c r="C54" s="543"/>
      <c r="D54" s="586"/>
      <c r="E54" s="542"/>
      <c r="F54" s="543"/>
      <c r="G54" s="586"/>
      <c r="H54" s="327" t="s">
        <v>0</v>
      </c>
      <c r="I54" s="326">
        <v>0</v>
      </c>
      <c r="J54" s="385"/>
      <c r="K54" s="384"/>
      <c r="L54" s="384"/>
      <c r="M54" s="384"/>
      <c r="N54" s="385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</row>
    <row r="55" spans="1:38" s="22" customFormat="1" ht="73.5" customHeight="1">
      <c r="A55" s="386" t="s">
        <v>597</v>
      </c>
      <c r="B55" s="672" t="s">
        <v>605</v>
      </c>
      <c r="C55" s="584"/>
      <c r="D55" s="585"/>
      <c r="E55" s="665" t="s">
        <v>62</v>
      </c>
      <c r="F55" s="584"/>
      <c r="G55" s="585"/>
      <c r="H55" s="327" t="s">
        <v>1</v>
      </c>
      <c r="I55" s="326">
        <v>1</v>
      </c>
      <c r="J55" s="385"/>
      <c r="K55" s="384"/>
      <c r="L55" s="384"/>
      <c r="M55" s="384"/>
      <c r="N55" s="385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</row>
    <row r="56" spans="1:38" s="22" customFormat="1" ht="73.5" customHeight="1">
      <c r="A56" s="664"/>
      <c r="B56" s="541"/>
      <c r="C56" s="541"/>
      <c r="D56" s="591"/>
      <c r="E56" s="671"/>
      <c r="F56" s="541"/>
      <c r="G56" s="541"/>
      <c r="H56" s="328" t="s">
        <v>0</v>
      </c>
      <c r="I56" s="329">
        <v>0</v>
      </c>
      <c r="J56" s="385"/>
      <c r="K56" s="384"/>
      <c r="L56" s="384"/>
      <c r="M56" s="384"/>
      <c r="N56" s="385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</row>
    <row r="57" spans="1:38" ht="68.25" customHeight="1">
      <c r="A57" s="383" t="s">
        <v>606</v>
      </c>
      <c r="B57" s="383"/>
      <c r="C57" s="383"/>
      <c r="D57" s="383"/>
      <c r="E57" s="383"/>
      <c r="F57" s="383"/>
      <c r="G57" s="383"/>
      <c r="H57" s="383"/>
      <c r="I57" s="383"/>
      <c r="J57" s="383"/>
      <c r="K57" s="383"/>
      <c r="L57" s="383"/>
      <c r="M57" s="383"/>
      <c r="N57" s="383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</row>
    <row r="58" spans="1:38" ht="58.5" customHeight="1"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</row>
    <row r="59" spans="1:38"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</row>
    <row r="60" spans="1:38"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</row>
    <row r="61" spans="1:38"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</row>
    <row r="62" spans="1:38"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</row>
    <row r="63" spans="1:38"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</row>
    <row r="64" spans="1:38"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</row>
  </sheetData>
  <mergeCells count="140">
    <mergeCell ref="A57:N57"/>
    <mergeCell ref="E42:H42"/>
    <mergeCell ref="J42:N42"/>
    <mergeCell ref="L35:L36"/>
    <mergeCell ref="M35:M36"/>
    <mergeCell ref="N35:N36"/>
    <mergeCell ref="E53:G54"/>
    <mergeCell ref="A37:A38"/>
    <mergeCell ref="C37:C38"/>
    <mergeCell ref="L37:L38"/>
    <mergeCell ref="M37:M38"/>
    <mergeCell ref="N37:N38"/>
    <mergeCell ref="A39:A40"/>
    <mergeCell ref="C39:C40"/>
    <mergeCell ref="B51:D52"/>
    <mergeCell ref="E51:G52"/>
    <mergeCell ref="B53:D54"/>
    <mergeCell ref="J43:N56"/>
    <mergeCell ref="A43:A44"/>
    <mergeCell ref="E43:G44"/>
    <mergeCell ref="B42:D42"/>
    <mergeCell ref="B43:D44"/>
    <mergeCell ref="A45:A46"/>
    <mergeCell ref="A53:A54"/>
    <mergeCell ref="A55:A56"/>
    <mergeCell ref="A49:A50"/>
    <mergeCell ref="A51:A52"/>
    <mergeCell ref="E45:G46"/>
    <mergeCell ref="A47:A48"/>
    <mergeCell ref="B47:D48"/>
    <mergeCell ref="E55:G56"/>
    <mergeCell ref="B45:D46"/>
    <mergeCell ref="E47:G48"/>
    <mergeCell ref="B49:D50"/>
    <mergeCell ref="E49:G50"/>
    <mergeCell ref="B55:D56"/>
    <mergeCell ref="N33:N34"/>
    <mergeCell ref="M33:M34"/>
    <mergeCell ref="L33:L34"/>
    <mergeCell ref="K33:K34"/>
    <mergeCell ref="J33:J34"/>
    <mergeCell ref="K37:K38"/>
    <mergeCell ref="K35:K36"/>
    <mergeCell ref="A33:A34"/>
    <mergeCell ref="C33:C34"/>
    <mergeCell ref="J35:J36"/>
    <mergeCell ref="J37:J38"/>
    <mergeCell ref="A35:A36"/>
    <mergeCell ref="C35:C36"/>
    <mergeCell ref="A27:A28"/>
    <mergeCell ref="C27:C28"/>
    <mergeCell ref="J27:J28"/>
    <mergeCell ref="K27:K28"/>
    <mergeCell ref="L27:L28"/>
    <mergeCell ref="M27:M28"/>
    <mergeCell ref="N27:N28"/>
    <mergeCell ref="J29:J30"/>
    <mergeCell ref="L29:L30"/>
    <mergeCell ref="M29:M30"/>
    <mergeCell ref="K29:K30"/>
    <mergeCell ref="A21:A22"/>
    <mergeCell ref="C21:C22"/>
    <mergeCell ref="L15:L16"/>
    <mergeCell ref="C17:C18"/>
    <mergeCell ref="L17:L18"/>
    <mergeCell ref="L19:L20"/>
    <mergeCell ref="J17:J18"/>
    <mergeCell ref="K17:K18"/>
    <mergeCell ref="J19:J20"/>
    <mergeCell ref="A17:A18"/>
    <mergeCell ref="A19:A20"/>
    <mergeCell ref="C19:C20"/>
    <mergeCell ref="J21:J22"/>
    <mergeCell ref="K19:K20"/>
    <mergeCell ref="K21:K22"/>
    <mergeCell ref="L21:L22"/>
    <mergeCell ref="M21:M22"/>
    <mergeCell ref="N21:N22"/>
    <mergeCell ref="M17:M18"/>
    <mergeCell ref="N17:N18"/>
    <mergeCell ref="M19:M20"/>
    <mergeCell ref="N19:N20"/>
    <mergeCell ref="J8:N8"/>
    <mergeCell ref="B11:F11"/>
    <mergeCell ref="K11:M11"/>
    <mergeCell ref="K13:M13"/>
    <mergeCell ref="B9:F9"/>
    <mergeCell ref="K9:M9"/>
    <mergeCell ref="B10:F10"/>
    <mergeCell ref="K10:M10"/>
    <mergeCell ref="M15:M16"/>
    <mergeCell ref="N15:N16"/>
    <mergeCell ref="A1:A4"/>
    <mergeCell ref="B1:H2"/>
    <mergeCell ref="I1:L1"/>
    <mergeCell ref="M1:N4"/>
    <mergeCell ref="I2:L2"/>
    <mergeCell ref="B3:H4"/>
    <mergeCell ref="I3:L3"/>
    <mergeCell ref="I4:L4"/>
    <mergeCell ref="A14:A16"/>
    <mergeCell ref="B14:B16"/>
    <mergeCell ref="C14:C16"/>
    <mergeCell ref="D14:D16"/>
    <mergeCell ref="E14:E16"/>
    <mergeCell ref="F14:I15"/>
    <mergeCell ref="J14:K15"/>
    <mergeCell ref="L14:N14"/>
    <mergeCell ref="B13:F13"/>
    <mergeCell ref="B12:F12"/>
    <mergeCell ref="K12:M12"/>
    <mergeCell ref="A5:N5"/>
    <mergeCell ref="A6:N6"/>
    <mergeCell ref="B7:N7"/>
    <mergeCell ref="B8:F8"/>
    <mergeCell ref="G8:I13"/>
    <mergeCell ref="A31:A32"/>
    <mergeCell ref="C31:C32"/>
    <mergeCell ref="J31:J32"/>
    <mergeCell ref="K31:K32"/>
    <mergeCell ref="L31:L32"/>
    <mergeCell ref="M31:M32"/>
    <mergeCell ref="N31:N32"/>
    <mergeCell ref="A29:A30"/>
    <mergeCell ref="C29:C30"/>
    <mergeCell ref="N29:N30"/>
    <mergeCell ref="A23:A24"/>
    <mergeCell ref="C23:C24"/>
    <mergeCell ref="J23:J24"/>
    <mergeCell ref="K23:K24"/>
    <mergeCell ref="L23:L24"/>
    <mergeCell ref="M23:M24"/>
    <mergeCell ref="N23:N24"/>
    <mergeCell ref="A25:A26"/>
    <mergeCell ref="J25:J26"/>
    <mergeCell ref="K25:K26"/>
    <mergeCell ref="L25:L26"/>
    <mergeCell ref="M25:M26"/>
    <mergeCell ref="N25:N26"/>
    <mergeCell ref="C25:C26"/>
  </mergeCells>
  <pageMargins left="0.7" right="0.7" top="0.75" bottom="0.75" header="0.3" footer="0.3"/>
  <pageSetup paperSize="14" scale="57" orientation="landscape" verticalDpi="360" r:id="rId1"/>
  <drawing r:id="rId2"/>
  <legacyDrawing r:id="rId3"/>
  <oleObjects>
    <mc:AlternateContent xmlns:mc="http://schemas.openxmlformats.org/markup-compatibility/2006">
      <mc:Choice Requires="x14">
        <oleObject shapeId="20481" r:id="rId4">
          <objectPr defaultSize="0" autoPict="0" r:id="rId5">
            <anchor moveWithCells="1" sizeWithCells="1">
              <from>
                <xdr:col>0</xdr:col>
                <xdr:colOff>447675</xdr:colOff>
                <xdr:row>0</xdr:row>
                <xdr:rowOff>104775</xdr:rowOff>
              </from>
              <to>
                <xdr:col>0</xdr:col>
                <xdr:colOff>3924300</xdr:colOff>
                <xdr:row>3</xdr:row>
                <xdr:rowOff>171450</xdr:rowOff>
              </to>
            </anchor>
          </objectPr>
        </oleObject>
      </mc:Choice>
      <mc:Fallback>
        <oleObject shapeId="20481" r:id="rId4"/>
      </mc:Fallback>
    </mc:AlternateContent>
    <mc:AlternateContent xmlns:mc="http://schemas.openxmlformats.org/markup-compatibility/2006">
      <mc:Choice Requires="x14">
        <oleObject shapeId="20488" r:id="rId6">
          <objectPr defaultSize="0" autoPict="0" r:id="rId5">
            <anchor moveWithCells="1" sizeWithCells="1">
              <from>
                <xdr:col>0</xdr:col>
                <xdr:colOff>447675</xdr:colOff>
                <xdr:row>0</xdr:row>
                <xdr:rowOff>104775</xdr:rowOff>
              </from>
              <to>
                <xdr:col>0</xdr:col>
                <xdr:colOff>3924300</xdr:colOff>
                <xdr:row>3</xdr:row>
                <xdr:rowOff>171450</xdr:rowOff>
              </to>
            </anchor>
          </objectPr>
        </oleObject>
      </mc:Choice>
      <mc:Fallback>
        <oleObject shapeId="20488" r:id="rId6"/>
      </mc:Fallback>
    </mc:AlternateContent>
    <mc:AlternateContent xmlns:mc="http://schemas.openxmlformats.org/markup-compatibility/2006">
      <mc:Choice Requires="x14">
        <oleObject shapeId="20495" r:id="rId7">
          <objectPr defaultSize="0" autoPict="0" r:id="rId5">
            <anchor moveWithCells="1" sizeWithCells="1">
              <from>
                <xdr:col>0</xdr:col>
                <xdr:colOff>447675</xdr:colOff>
                <xdr:row>0</xdr:row>
                <xdr:rowOff>104775</xdr:rowOff>
              </from>
              <to>
                <xdr:col>0</xdr:col>
                <xdr:colOff>3924300</xdr:colOff>
                <xdr:row>3</xdr:row>
                <xdr:rowOff>171450</xdr:rowOff>
              </to>
            </anchor>
          </objectPr>
        </oleObject>
      </mc:Choice>
      <mc:Fallback>
        <oleObject shapeId="20495" r:id="rId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A53"/>
  <sheetViews>
    <sheetView showWhiteSpace="0" topLeftCell="A16" zoomScale="60" zoomScaleNormal="60" zoomScalePageLayoutView="50" workbookViewId="0">
      <selection activeCell="C17" sqref="C17:C18"/>
    </sheetView>
  </sheetViews>
  <sheetFormatPr baseColWidth="10" defaultColWidth="12.5703125" defaultRowHeight="15"/>
  <cols>
    <col min="1" max="1" width="63.28515625" style="1" customWidth="1"/>
    <col min="2" max="2" width="10.28515625" style="1" customWidth="1"/>
    <col min="3" max="3" width="17.7109375" style="1" customWidth="1"/>
    <col min="4" max="4" width="10" style="1" customWidth="1"/>
    <col min="5" max="5" width="22.5703125" style="1" customWidth="1"/>
    <col min="6" max="6" width="23" style="1" customWidth="1"/>
    <col min="7" max="7" width="10.28515625" style="1" customWidth="1"/>
    <col min="8" max="8" width="13.42578125" style="1" customWidth="1"/>
    <col min="9" max="9" width="9.5703125" style="1" customWidth="1"/>
    <col min="10" max="10" width="15.7109375" style="60" customWidth="1"/>
    <col min="11" max="11" width="14.85546875" style="60" customWidth="1"/>
    <col min="12" max="12" width="12.42578125" style="1" customWidth="1"/>
    <col min="13" max="13" width="14" style="1" customWidth="1"/>
    <col min="14" max="15" width="14.5703125" style="1" customWidth="1"/>
    <col min="16" max="16" width="7.42578125" style="1" customWidth="1"/>
    <col min="17" max="17" width="8.85546875" style="1" customWidth="1"/>
    <col min="18" max="18" width="18.140625" style="1" customWidth="1"/>
    <col min="19" max="19" width="19.85546875" style="1" customWidth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1:53" ht="37.5" customHeight="1">
      <c r="A1" s="488"/>
      <c r="B1" s="491" t="s">
        <v>86</v>
      </c>
      <c r="C1" s="492"/>
      <c r="D1" s="492"/>
      <c r="E1" s="492"/>
      <c r="F1" s="492"/>
      <c r="G1" s="492"/>
      <c r="H1" s="493"/>
      <c r="I1" s="497" t="s">
        <v>87</v>
      </c>
      <c r="J1" s="498"/>
      <c r="K1" s="498"/>
      <c r="L1" s="499"/>
      <c r="M1" s="500"/>
      <c r="N1" s="501"/>
      <c r="O1" s="186"/>
      <c r="P1" s="186"/>
      <c r="Q1" s="186"/>
      <c r="R1" s="62"/>
    </row>
    <row r="2" spans="1:53" ht="37.5" customHeight="1">
      <c r="A2" s="489"/>
      <c r="B2" s="494"/>
      <c r="C2" s="495"/>
      <c r="D2" s="495"/>
      <c r="E2" s="495"/>
      <c r="F2" s="495"/>
      <c r="G2" s="495"/>
      <c r="H2" s="496"/>
      <c r="I2" s="497" t="s">
        <v>88</v>
      </c>
      <c r="J2" s="498"/>
      <c r="K2" s="498"/>
      <c r="L2" s="499"/>
      <c r="M2" s="502"/>
      <c r="N2" s="503"/>
      <c r="O2" s="186"/>
      <c r="P2" s="186"/>
      <c r="Q2" s="186"/>
      <c r="R2" s="62"/>
    </row>
    <row r="3" spans="1:53" ht="33.75" customHeight="1">
      <c r="A3" s="489"/>
      <c r="B3" s="491" t="s">
        <v>89</v>
      </c>
      <c r="C3" s="492"/>
      <c r="D3" s="492"/>
      <c r="E3" s="492"/>
      <c r="F3" s="492"/>
      <c r="G3" s="492"/>
      <c r="H3" s="493"/>
      <c r="I3" s="497" t="s">
        <v>90</v>
      </c>
      <c r="J3" s="498"/>
      <c r="K3" s="498"/>
      <c r="L3" s="499"/>
      <c r="M3" s="502"/>
      <c r="N3" s="503"/>
      <c r="O3" s="186"/>
      <c r="P3" s="186"/>
      <c r="Q3" s="186"/>
      <c r="R3" s="62"/>
    </row>
    <row r="4" spans="1:53" ht="15.75">
      <c r="A4" s="490"/>
      <c r="B4" s="494"/>
      <c r="C4" s="495"/>
      <c r="D4" s="495"/>
      <c r="E4" s="495"/>
      <c r="F4" s="495"/>
      <c r="G4" s="495"/>
      <c r="H4" s="496"/>
      <c r="I4" s="497" t="s">
        <v>91</v>
      </c>
      <c r="J4" s="498"/>
      <c r="K4" s="498"/>
      <c r="L4" s="499"/>
      <c r="M4" s="504"/>
      <c r="N4" s="505"/>
      <c r="O4" s="186"/>
      <c r="P4" s="186"/>
      <c r="Q4" s="186"/>
      <c r="R4" s="62"/>
    </row>
    <row r="5" spans="1:53" ht="15.75">
      <c r="A5" s="714"/>
      <c r="B5" s="714"/>
      <c r="C5" s="714"/>
      <c r="D5" s="714"/>
      <c r="E5" s="714"/>
      <c r="F5" s="714"/>
      <c r="G5" s="714"/>
      <c r="H5" s="714"/>
      <c r="I5" s="714"/>
      <c r="J5" s="714"/>
      <c r="K5" s="714"/>
      <c r="L5" s="714"/>
      <c r="M5" s="714"/>
      <c r="N5" s="714"/>
      <c r="O5" s="186"/>
      <c r="P5" s="186"/>
      <c r="Q5" s="186"/>
      <c r="R5" s="62"/>
    </row>
    <row r="6" spans="1:53" ht="15.75">
      <c r="A6" s="497" t="s">
        <v>129</v>
      </c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9"/>
      <c r="O6" s="195"/>
      <c r="P6" s="195"/>
      <c r="Q6" s="195"/>
      <c r="R6" s="62"/>
    </row>
    <row r="7" spans="1:53" ht="15.75">
      <c r="A7" s="34" t="s">
        <v>282</v>
      </c>
      <c r="B7" s="497" t="s">
        <v>465</v>
      </c>
      <c r="C7" s="498"/>
      <c r="D7" s="498"/>
      <c r="E7" s="498"/>
      <c r="F7" s="498"/>
      <c r="G7" s="498"/>
      <c r="H7" s="498"/>
      <c r="I7" s="498"/>
      <c r="J7" s="498"/>
      <c r="K7" s="498"/>
      <c r="L7" s="498"/>
      <c r="M7" s="498"/>
      <c r="N7" s="499"/>
      <c r="O7" s="195"/>
      <c r="P7" s="195"/>
      <c r="Q7" s="195"/>
    </row>
    <row r="8" spans="1:53" ht="15.75" customHeight="1">
      <c r="A8" s="35" t="s">
        <v>32</v>
      </c>
      <c r="B8" s="507" t="s">
        <v>33</v>
      </c>
      <c r="C8" s="508"/>
      <c r="D8" s="508"/>
      <c r="E8" s="508"/>
      <c r="F8" s="509"/>
      <c r="G8" s="644" t="s">
        <v>264</v>
      </c>
      <c r="H8" s="645"/>
      <c r="I8" s="646"/>
      <c r="J8" s="519" t="s">
        <v>31</v>
      </c>
      <c r="K8" s="520"/>
      <c r="L8" s="520"/>
      <c r="M8" s="520"/>
      <c r="N8" s="521"/>
      <c r="O8" s="189"/>
      <c r="P8" s="189"/>
      <c r="Q8" s="189"/>
      <c r="R8" s="63"/>
      <c r="T8" s="547"/>
      <c r="U8" s="547"/>
      <c r="V8" s="547"/>
      <c r="W8" s="547"/>
      <c r="X8" s="547"/>
    </row>
    <row r="9" spans="1:53" ht="15.75" customHeight="1">
      <c r="A9" s="37" t="s">
        <v>30</v>
      </c>
      <c r="B9" s="522" t="s">
        <v>37</v>
      </c>
      <c r="C9" s="523"/>
      <c r="D9" s="523"/>
      <c r="E9" s="523"/>
      <c r="F9" s="524"/>
      <c r="G9" s="647"/>
      <c r="H9" s="715"/>
      <c r="I9" s="649"/>
      <c r="J9" s="184" t="s">
        <v>29</v>
      </c>
      <c r="K9" s="716" t="s">
        <v>28</v>
      </c>
      <c r="L9" s="717"/>
      <c r="M9" s="718"/>
      <c r="N9" s="184" t="s">
        <v>27</v>
      </c>
      <c r="O9" s="190"/>
      <c r="P9" s="190"/>
      <c r="Q9" s="190"/>
      <c r="R9" s="63"/>
      <c r="T9" s="189"/>
      <c r="U9" s="189"/>
      <c r="V9" s="189"/>
      <c r="W9" s="189"/>
      <c r="X9" s="189"/>
    </row>
    <row r="10" spans="1:53" ht="15.75" customHeight="1">
      <c r="A10" s="38" t="s">
        <v>26</v>
      </c>
      <c r="B10" s="522" t="s">
        <v>47</v>
      </c>
      <c r="C10" s="523"/>
      <c r="D10" s="523"/>
      <c r="E10" s="523"/>
      <c r="F10" s="524"/>
      <c r="G10" s="647"/>
      <c r="H10" s="715"/>
      <c r="I10" s="649"/>
      <c r="J10" s="39"/>
      <c r="K10" s="528"/>
      <c r="L10" s="529"/>
      <c r="M10" s="530"/>
      <c r="N10" s="40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</row>
    <row r="11" spans="1:53" ht="42.75" customHeight="1">
      <c r="A11" s="41" t="s">
        <v>25</v>
      </c>
      <c r="B11" s="522" t="s">
        <v>63</v>
      </c>
      <c r="C11" s="523"/>
      <c r="D11" s="523"/>
      <c r="E11" s="523"/>
      <c r="F11" s="524"/>
      <c r="G11" s="647"/>
      <c r="H11" s="715"/>
      <c r="I11" s="649"/>
      <c r="J11" s="183"/>
      <c r="K11" s="525"/>
      <c r="L11" s="526"/>
      <c r="M11" s="527"/>
      <c r="N11" s="42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</row>
    <row r="12" spans="1:53" ht="15.75">
      <c r="A12" s="61" t="s">
        <v>24</v>
      </c>
      <c r="B12" s="705">
        <v>2020730010039</v>
      </c>
      <c r="C12" s="706"/>
      <c r="D12" s="706"/>
      <c r="E12" s="706"/>
      <c r="F12" s="707"/>
      <c r="G12" s="647"/>
      <c r="H12" s="715"/>
      <c r="I12" s="649"/>
      <c r="J12" s="44"/>
      <c r="K12" s="468"/>
      <c r="L12" s="469"/>
      <c r="M12" s="470"/>
      <c r="N12" s="4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</row>
    <row r="13" spans="1:53" s="65" customFormat="1" ht="31.5" customHeight="1">
      <c r="A13" s="73" t="s">
        <v>121</v>
      </c>
      <c r="B13" s="465" t="s">
        <v>120</v>
      </c>
      <c r="C13" s="466"/>
      <c r="D13" s="466"/>
      <c r="E13" s="466"/>
      <c r="F13" s="467"/>
      <c r="G13" s="650"/>
      <c r="H13" s="651"/>
      <c r="I13" s="652"/>
      <c r="J13" s="181"/>
      <c r="K13" s="702"/>
      <c r="L13" s="703"/>
      <c r="M13" s="704"/>
      <c r="N13" s="46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</row>
    <row r="14" spans="1:53" ht="15.75" customHeight="1">
      <c r="A14" s="642" t="s">
        <v>23</v>
      </c>
      <c r="B14" s="686" t="s">
        <v>263</v>
      </c>
      <c r="C14" s="653" t="s">
        <v>21</v>
      </c>
      <c r="D14" s="653" t="s">
        <v>20</v>
      </c>
      <c r="E14" s="653" t="s">
        <v>119</v>
      </c>
      <c r="F14" s="691" t="s">
        <v>126</v>
      </c>
      <c r="G14" s="692"/>
      <c r="H14" s="692"/>
      <c r="I14" s="693"/>
      <c r="J14" s="691" t="s">
        <v>17</v>
      </c>
      <c r="K14" s="693"/>
      <c r="L14" s="697" t="s">
        <v>16</v>
      </c>
      <c r="M14" s="698"/>
      <c r="N14" s="699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</row>
    <row r="15" spans="1:53" ht="15" customHeight="1">
      <c r="A15" s="684"/>
      <c r="B15" s="687"/>
      <c r="C15" s="689"/>
      <c r="D15" s="689"/>
      <c r="E15" s="689"/>
      <c r="F15" s="694"/>
      <c r="G15" s="695"/>
      <c r="H15" s="695"/>
      <c r="I15" s="696"/>
      <c r="J15" s="694"/>
      <c r="K15" s="696"/>
      <c r="L15" s="708" t="s">
        <v>15</v>
      </c>
      <c r="M15" s="708" t="s">
        <v>14</v>
      </c>
      <c r="N15" s="700" t="s">
        <v>13</v>
      </c>
      <c r="O15" s="213"/>
      <c r="P15" s="213"/>
      <c r="Q15" s="213"/>
      <c r="T15" s="14"/>
      <c r="U15" s="571"/>
      <c r="V15" s="571"/>
      <c r="X15" s="4"/>
      <c r="Z15" s="13"/>
      <c r="AA15" s="4"/>
      <c r="AB15" s="11"/>
    </row>
    <row r="16" spans="1:53" ht="30">
      <c r="A16" s="685"/>
      <c r="B16" s="688"/>
      <c r="C16" s="690"/>
      <c r="D16" s="690"/>
      <c r="E16" s="690"/>
      <c r="F16" s="194" t="s">
        <v>12</v>
      </c>
      <c r="G16" s="194" t="s">
        <v>11</v>
      </c>
      <c r="H16" s="194" t="s">
        <v>10</v>
      </c>
      <c r="I16" s="96" t="s">
        <v>9</v>
      </c>
      <c r="J16" s="194" t="s">
        <v>8</v>
      </c>
      <c r="K16" s="193" t="s">
        <v>7</v>
      </c>
      <c r="L16" s="709"/>
      <c r="M16" s="709"/>
      <c r="N16" s="701"/>
      <c r="O16" s="213"/>
      <c r="P16" s="108"/>
      <c r="Q16" s="182"/>
      <c r="R16" s="182"/>
      <c r="T16" s="14"/>
      <c r="U16" s="571"/>
      <c r="V16" s="571"/>
      <c r="X16" s="4"/>
      <c r="Z16" s="13"/>
      <c r="AA16" s="4"/>
      <c r="AB16" s="11"/>
    </row>
    <row r="17" spans="1:28" s="65" customFormat="1" ht="29.25" customHeight="1">
      <c r="A17" s="721" t="s">
        <v>257</v>
      </c>
      <c r="B17" s="138" t="s">
        <v>1</v>
      </c>
      <c r="C17" s="712" t="s">
        <v>256</v>
      </c>
      <c r="D17" s="156">
        <v>1</v>
      </c>
      <c r="E17" s="52">
        <f t="shared" ref="E17:E32" si="0">F17</f>
        <v>195851000</v>
      </c>
      <c r="F17" s="52">
        <v>195851000</v>
      </c>
      <c r="G17" s="52">
        <v>0</v>
      </c>
      <c r="H17" s="52">
        <v>0</v>
      </c>
      <c r="I17" s="52">
        <v>0</v>
      </c>
      <c r="J17" s="719">
        <v>45048</v>
      </c>
      <c r="K17" s="719">
        <v>45290</v>
      </c>
      <c r="L17" s="432">
        <f>D18/D17</f>
        <v>0</v>
      </c>
      <c r="M17" s="432">
        <f>E18/E17</f>
        <v>0</v>
      </c>
      <c r="N17" s="710">
        <v>0</v>
      </c>
      <c r="O17" s="198"/>
      <c r="P17" s="128"/>
      <c r="Q17" s="157"/>
      <c r="R17" s="126"/>
      <c r="S17" s="158"/>
      <c r="AB17" s="69"/>
    </row>
    <row r="18" spans="1:28" s="65" customFormat="1" ht="29.25" customHeight="1">
      <c r="A18" s="722"/>
      <c r="B18" s="138" t="s">
        <v>0</v>
      </c>
      <c r="C18" s="713"/>
      <c r="D18" s="156">
        <v>0</v>
      </c>
      <c r="E18" s="52">
        <f t="shared" si="0"/>
        <v>0</v>
      </c>
      <c r="F18" s="52">
        <v>0</v>
      </c>
      <c r="G18" s="52">
        <v>0</v>
      </c>
      <c r="H18" s="52">
        <v>0</v>
      </c>
      <c r="I18" s="52">
        <v>0</v>
      </c>
      <c r="J18" s="720"/>
      <c r="K18" s="720"/>
      <c r="L18" s="433"/>
      <c r="M18" s="433"/>
      <c r="N18" s="711"/>
      <c r="O18" s="212"/>
      <c r="P18" s="128"/>
      <c r="Q18" s="130"/>
      <c r="R18" s="126"/>
      <c r="S18" s="158"/>
      <c r="AB18" s="69"/>
    </row>
    <row r="19" spans="1:28" s="65" customFormat="1" ht="23.25" customHeight="1">
      <c r="A19" s="655" t="s">
        <v>277</v>
      </c>
      <c r="B19" s="138" t="s">
        <v>1</v>
      </c>
      <c r="C19" s="662" t="s">
        <v>279</v>
      </c>
      <c r="D19" s="156">
        <v>1</v>
      </c>
      <c r="E19" s="52">
        <f t="shared" si="0"/>
        <v>10000000</v>
      </c>
      <c r="F19" s="52">
        <v>10000000</v>
      </c>
      <c r="G19" s="52">
        <v>0</v>
      </c>
      <c r="H19" s="52">
        <v>0</v>
      </c>
      <c r="I19" s="52">
        <v>0</v>
      </c>
      <c r="J19" s="719">
        <v>45048</v>
      </c>
      <c r="K19" s="719">
        <v>45290</v>
      </c>
      <c r="L19" s="432">
        <f>D20/D19</f>
        <v>0</v>
      </c>
      <c r="M19" s="432">
        <f>E20/E19</f>
        <v>1</v>
      </c>
      <c r="N19" s="710">
        <v>0</v>
      </c>
      <c r="O19" s="212"/>
      <c r="P19" s="212"/>
      <c r="Q19" s="212"/>
      <c r="R19" s="212"/>
      <c r="AB19" s="69"/>
    </row>
    <row r="20" spans="1:28" s="65" customFormat="1" ht="23.25" customHeight="1">
      <c r="A20" s="661"/>
      <c r="B20" s="138" t="s">
        <v>0</v>
      </c>
      <c r="C20" s="663"/>
      <c r="D20" s="156">
        <v>0</v>
      </c>
      <c r="E20" s="52">
        <f t="shared" si="0"/>
        <v>10000000</v>
      </c>
      <c r="F20" s="52">
        <v>10000000</v>
      </c>
      <c r="G20" s="52">
        <v>0</v>
      </c>
      <c r="H20" s="52">
        <v>0</v>
      </c>
      <c r="I20" s="52">
        <v>0</v>
      </c>
      <c r="J20" s="720"/>
      <c r="K20" s="720"/>
      <c r="L20" s="433"/>
      <c r="M20" s="433"/>
      <c r="N20" s="711"/>
      <c r="O20" s="212"/>
      <c r="P20" s="212"/>
      <c r="Q20" s="212"/>
      <c r="R20" s="212"/>
      <c r="AB20" s="69"/>
    </row>
    <row r="21" spans="1:28" s="65" customFormat="1" ht="25.5" customHeight="1">
      <c r="A21" s="721" t="s">
        <v>280</v>
      </c>
      <c r="B21" s="138" t="s">
        <v>1</v>
      </c>
      <c r="C21" s="712" t="s">
        <v>104</v>
      </c>
      <c r="D21" s="156">
        <v>10</v>
      </c>
      <c r="E21" s="52">
        <f t="shared" si="0"/>
        <v>40000000</v>
      </c>
      <c r="F21" s="52">
        <v>40000000</v>
      </c>
      <c r="G21" s="52">
        <v>0</v>
      </c>
      <c r="H21" s="52">
        <v>0</v>
      </c>
      <c r="I21" s="52">
        <v>0</v>
      </c>
      <c r="J21" s="719">
        <v>44981</v>
      </c>
      <c r="K21" s="719">
        <v>45290</v>
      </c>
      <c r="L21" s="432">
        <f>D22/D21</f>
        <v>0</v>
      </c>
      <c r="M21" s="432">
        <f>E22/E21</f>
        <v>0.375</v>
      </c>
      <c r="N21" s="710">
        <v>0</v>
      </c>
      <c r="O21" s="198"/>
      <c r="P21" s="115"/>
      <c r="Q21" s="99"/>
      <c r="R21" s="99"/>
      <c r="X21" s="72"/>
    </row>
    <row r="22" spans="1:28" s="65" customFormat="1" ht="42" customHeight="1">
      <c r="A22" s="722"/>
      <c r="B22" s="138" t="s">
        <v>0</v>
      </c>
      <c r="C22" s="713"/>
      <c r="D22" s="156">
        <v>0</v>
      </c>
      <c r="E22" s="52">
        <f t="shared" si="0"/>
        <v>15000000</v>
      </c>
      <c r="F22" s="52">
        <f>7750000+700000+700000+700000+700000+700000+500000+1850000+700000+700000</f>
        <v>15000000</v>
      </c>
      <c r="G22" s="52">
        <v>0</v>
      </c>
      <c r="H22" s="52">
        <v>0</v>
      </c>
      <c r="I22" s="52">
        <v>0</v>
      </c>
      <c r="J22" s="720"/>
      <c r="K22" s="720"/>
      <c r="L22" s="433"/>
      <c r="M22" s="433"/>
      <c r="N22" s="711"/>
      <c r="O22" s="198"/>
      <c r="P22" s="84"/>
      <c r="Q22" s="157"/>
      <c r="R22" s="124"/>
      <c r="S22" s="158"/>
      <c r="AB22" s="69"/>
    </row>
    <row r="23" spans="1:28" s="65" customFormat="1" ht="39" customHeight="1">
      <c r="A23" s="721" t="s">
        <v>255</v>
      </c>
      <c r="B23" s="138" t="s">
        <v>1</v>
      </c>
      <c r="C23" s="712" t="s">
        <v>100</v>
      </c>
      <c r="D23" s="156">
        <v>8</v>
      </c>
      <c r="E23" s="52">
        <f t="shared" si="0"/>
        <v>35000000</v>
      </c>
      <c r="F23" s="52">
        <v>35000000</v>
      </c>
      <c r="G23" s="52">
        <v>0</v>
      </c>
      <c r="H23" s="52">
        <v>0</v>
      </c>
      <c r="I23" s="52">
        <v>0</v>
      </c>
      <c r="J23" s="719">
        <v>44987</v>
      </c>
      <c r="K23" s="719">
        <v>45290</v>
      </c>
      <c r="L23" s="432">
        <f>D24/D23</f>
        <v>0</v>
      </c>
      <c r="M23" s="432">
        <f>E24/E23</f>
        <v>0.97568571428571427</v>
      </c>
      <c r="N23" s="710">
        <v>0</v>
      </c>
      <c r="O23" s="198"/>
      <c r="P23" s="84"/>
      <c r="Q23" s="130"/>
      <c r="R23" s="124"/>
      <c r="S23" s="158"/>
    </row>
    <row r="24" spans="1:28" s="65" customFormat="1" ht="39" customHeight="1">
      <c r="A24" s="722"/>
      <c r="B24" s="138" t="s">
        <v>0</v>
      </c>
      <c r="C24" s="713"/>
      <c r="D24" s="156">
        <v>0</v>
      </c>
      <c r="E24" s="52">
        <f t="shared" si="0"/>
        <v>34149000</v>
      </c>
      <c r="F24" s="52">
        <f>14149000+9000000+410000+3455000+1095000+4540000+1500000</f>
        <v>34149000</v>
      </c>
      <c r="G24" s="52">
        <v>0</v>
      </c>
      <c r="H24" s="52">
        <v>0</v>
      </c>
      <c r="I24" s="52">
        <v>0</v>
      </c>
      <c r="J24" s="720"/>
      <c r="K24" s="720"/>
      <c r="L24" s="433"/>
      <c r="M24" s="433"/>
      <c r="N24" s="711"/>
      <c r="O24" s="198"/>
      <c r="P24" s="84"/>
      <c r="Q24" s="157"/>
      <c r="R24" s="124"/>
      <c r="S24" s="158"/>
    </row>
    <row r="25" spans="1:28" s="65" customFormat="1" ht="39" customHeight="1">
      <c r="A25" s="721" t="s">
        <v>287</v>
      </c>
      <c r="B25" s="138" t="s">
        <v>1</v>
      </c>
      <c r="C25" s="712" t="s">
        <v>100</v>
      </c>
      <c r="D25" s="156">
        <v>2</v>
      </c>
      <c r="E25" s="52">
        <f t="shared" si="0"/>
        <v>14149000</v>
      </c>
      <c r="F25" s="52">
        <v>14149000</v>
      </c>
      <c r="G25" s="52">
        <v>0</v>
      </c>
      <c r="H25" s="52">
        <v>0</v>
      </c>
      <c r="I25" s="52">
        <v>0</v>
      </c>
      <c r="J25" s="719">
        <v>44987</v>
      </c>
      <c r="K25" s="719">
        <v>45290</v>
      </c>
      <c r="L25" s="432">
        <f>D26/D25</f>
        <v>0</v>
      </c>
      <c r="M25" s="432">
        <f>E26/E25</f>
        <v>0</v>
      </c>
      <c r="N25" s="710">
        <v>0</v>
      </c>
      <c r="O25" s="198"/>
      <c r="P25" s="84"/>
      <c r="Q25" s="130"/>
      <c r="R25" s="124"/>
      <c r="S25" s="158"/>
    </row>
    <row r="26" spans="1:28" s="65" customFormat="1" ht="39" customHeight="1">
      <c r="A26" s="722"/>
      <c r="B26" s="138" t="s">
        <v>0</v>
      </c>
      <c r="C26" s="713"/>
      <c r="D26" s="156">
        <v>0</v>
      </c>
      <c r="E26" s="52">
        <f t="shared" si="0"/>
        <v>0</v>
      </c>
      <c r="F26" s="52">
        <v>0</v>
      </c>
      <c r="G26" s="52">
        <v>0</v>
      </c>
      <c r="H26" s="52">
        <v>0</v>
      </c>
      <c r="I26" s="52">
        <v>0</v>
      </c>
      <c r="J26" s="720"/>
      <c r="K26" s="720"/>
      <c r="L26" s="433"/>
      <c r="M26" s="433"/>
      <c r="N26" s="711"/>
      <c r="O26" s="198"/>
      <c r="P26" s="199"/>
      <c r="Q26" s="137"/>
      <c r="R26" s="151"/>
    </row>
    <row r="27" spans="1:28" s="65" customFormat="1" ht="25.5" customHeight="1">
      <c r="A27" s="721" t="s">
        <v>288</v>
      </c>
      <c r="B27" s="138" t="s">
        <v>1</v>
      </c>
      <c r="C27" s="712" t="s">
        <v>456</v>
      </c>
      <c r="D27" s="156">
        <v>1</v>
      </c>
      <c r="E27" s="52">
        <f t="shared" si="0"/>
        <v>1000000</v>
      </c>
      <c r="F27" s="52">
        <v>1000000</v>
      </c>
      <c r="G27" s="52">
        <v>0</v>
      </c>
      <c r="H27" s="52">
        <v>0</v>
      </c>
      <c r="I27" s="52">
        <v>0</v>
      </c>
      <c r="J27" s="719">
        <v>44971</v>
      </c>
      <c r="K27" s="719">
        <v>45278</v>
      </c>
      <c r="L27" s="432">
        <f>D28/D27</f>
        <v>0</v>
      </c>
      <c r="M27" s="432">
        <f>E28/E27</f>
        <v>1</v>
      </c>
      <c r="N27" s="710">
        <v>0</v>
      </c>
      <c r="O27" s="198"/>
      <c r="P27" s="198"/>
      <c r="Q27" s="198"/>
      <c r="R27" s="151"/>
      <c r="T27" s="127"/>
      <c r="U27" s="562"/>
      <c r="V27" s="562"/>
      <c r="X27" s="66"/>
      <c r="Z27" s="67"/>
      <c r="AA27" s="68"/>
      <c r="AB27" s="69"/>
    </row>
    <row r="28" spans="1:28" s="65" customFormat="1" ht="25.5" customHeight="1">
      <c r="A28" s="722"/>
      <c r="B28" s="138" t="s">
        <v>0</v>
      </c>
      <c r="C28" s="713"/>
      <c r="D28" s="156">
        <v>0</v>
      </c>
      <c r="E28" s="52">
        <f t="shared" si="0"/>
        <v>1000000</v>
      </c>
      <c r="F28" s="52">
        <v>1000000</v>
      </c>
      <c r="G28" s="52">
        <v>0</v>
      </c>
      <c r="H28" s="52">
        <v>0</v>
      </c>
      <c r="I28" s="52">
        <v>0</v>
      </c>
      <c r="J28" s="720"/>
      <c r="K28" s="720"/>
      <c r="L28" s="433"/>
      <c r="M28" s="433"/>
      <c r="N28" s="711"/>
      <c r="O28" s="198"/>
      <c r="P28" s="198"/>
      <c r="Q28" s="198"/>
      <c r="R28" s="151"/>
      <c r="X28" s="72"/>
      <c r="Z28" s="67"/>
      <c r="AA28" s="68"/>
      <c r="AB28" s="69"/>
    </row>
    <row r="29" spans="1:28" s="65" customFormat="1" ht="23.25" customHeight="1">
      <c r="A29" s="721" t="s">
        <v>289</v>
      </c>
      <c r="B29" s="138" t="s">
        <v>1</v>
      </c>
      <c r="C29" s="712" t="s">
        <v>457</v>
      </c>
      <c r="D29" s="156">
        <v>1</v>
      </c>
      <c r="E29" s="52">
        <f t="shared" si="0"/>
        <v>2000000</v>
      </c>
      <c r="F29" s="52">
        <v>2000000</v>
      </c>
      <c r="G29" s="52">
        <v>0</v>
      </c>
      <c r="H29" s="52">
        <v>0</v>
      </c>
      <c r="I29" s="52">
        <v>0</v>
      </c>
      <c r="J29" s="719">
        <v>45017</v>
      </c>
      <c r="K29" s="719">
        <v>45288</v>
      </c>
      <c r="L29" s="432">
        <f>D30/D29</f>
        <v>0</v>
      </c>
      <c r="M29" s="432">
        <f>E30/E29</f>
        <v>1</v>
      </c>
      <c r="N29" s="710">
        <v>0</v>
      </c>
      <c r="O29" s="198"/>
      <c r="P29" s="198"/>
      <c r="Q29" s="198"/>
      <c r="R29" s="151"/>
      <c r="X29" s="72"/>
      <c r="Z29" s="67"/>
      <c r="AA29" s="68"/>
      <c r="AB29" s="69"/>
    </row>
    <row r="30" spans="1:28" s="65" customFormat="1" ht="23.25" customHeight="1">
      <c r="A30" s="722"/>
      <c r="B30" s="138" t="s">
        <v>0</v>
      </c>
      <c r="C30" s="713"/>
      <c r="D30" s="156">
        <v>0</v>
      </c>
      <c r="E30" s="52">
        <f t="shared" si="0"/>
        <v>2000000</v>
      </c>
      <c r="F30" s="52">
        <v>2000000</v>
      </c>
      <c r="G30" s="52">
        <v>0</v>
      </c>
      <c r="H30" s="52">
        <v>0</v>
      </c>
      <c r="I30" s="52">
        <v>0</v>
      </c>
      <c r="J30" s="720"/>
      <c r="K30" s="720"/>
      <c r="L30" s="433"/>
      <c r="M30" s="433"/>
      <c r="N30" s="711"/>
      <c r="O30" s="198"/>
      <c r="P30" s="115"/>
      <c r="Q30" s="99"/>
      <c r="R30" s="99"/>
      <c r="X30" s="72"/>
      <c r="Z30" s="67"/>
      <c r="AA30" s="68"/>
      <c r="AB30" s="69"/>
    </row>
    <row r="31" spans="1:28" s="65" customFormat="1" ht="34.5" customHeight="1">
      <c r="A31" s="721" t="s">
        <v>290</v>
      </c>
      <c r="B31" s="249" t="s">
        <v>1</v>
      </c>
      <c r="C31" s="712" t="s">
        <v>458</v>
      </c>
      <c r="D31" s="211">
        <v>1</v>
      </c>
      <c r="E31" s="52">
        <f t="shared" si="0"/>
        <v>2000000</v>
      </c>
      <c r="F31" s="52">
        <v>2000000</v>
      </c>
      <c r="G31" s="52">
        <v>0</v>
      </c>
      <c r="H31" s="52">
        <v>0</v>
      </c>
      <c r="I31" s="52">
        <v>0</v>
      </c>
      <c r="J31" s="719">
        <v>45017</v>
      </c>
      <c r="K31" s="719">
        <v>45290</v>
      </c>
      <c r="L31" s="432">
        <f>D32/D31</f>
        <v>0</v>
      </c>
      <c r="M31" s="432">
        <f>E32/E31</f>
        <v>1</v>
      </c>
      <c r="N31" s="710">
        <v>0</v>
      </c>
      <c r="O31" s="198"/>
      <c r="P31" s="84"/>
      <c r="Q31" s="157"/>
      <c r="R31" s="124"/>
      <c r="S31" s="158"/>
      <c r="X31" s="72"/>
      <c r="Z31" s="67"/>
      <c r="AA31" s="68"/>
      <c r="AB31" s="69"/>
    </row>
    <row r="32" spans="1:28" s="65" customFormat="1" ht="34.5" customHeight="1">
      <c r="A32" s="722"/>
      <c r="B32" s="249" t="s">
        <v>0</v>
      </c>
      <c r="C32" s="713"/>
      <c r="D32" s="156">
        <v>0</v>
      </c>
      <c r="E32" s="52">
        <f t="shared" si="0"/>
        <v>2000000</v>
      </c>
      <c r="F32" s="52">
        <f>800000+400000+800000</f>
        <v>2000000</v>
      </c>
      <c r="G32" s="52">
        <v>0</v>
      </c>
      <c r="H32" s="52">
        <v>0</v>
      </c>
      <c r="I32" s="52">
        <v>0</v>
      </c>
      <c r="J32" s="720"/>
      <c r="K32" s="720"/>
      <c r="L32" s="433"/>
      <c r="M32" s="433"/>
      <c r="N32" s="711"/>
      <c r="O32" s="198"/>
      <c r="P32" s="84"/>
      <c r="Q32" s="130"/>
      <c r="R32" s="124"/>
      <c r="X32" s="72"/>
      <c r="Z32" s="67"/>
      <c r="AA32" s="68"/>
      <c r="AB32" s="69"/>
    </row>
    <row r="33" spans="1:53" ht="15.75">
      <c r="A33" s="723" t="s">
        <v>6</v>
      </c>
      <c r="B33" s="26" t="s">
        <v>1</v>
      </c>
      <c r="C33" s="589"/>
      <c r="D33" s="53"/>
      <c r="E33" s="54">
        <f>SUM(E17+E19+E21+E23+E25+E27+E29+E31)</f>
        <v>300000000</v>
      </c>
      <c r="F33" s="54">
        <f>SUM(F17+F19+F21+F23+F25+F27+F29+F31)</f>
        <v>300000000</v>
      </c>
      <c r="G33" s="54">
        <f>SUM(G27+G19+G31+G29+G21+G17+G23)</f>
        <v>0</v>
      </c>
      <c r="H33" s="54">
        <f>SUM(H27+H19+H31+H29+H21+H17+H23)</f>
        <v>0</v>
      </c>
      <c r="I33" s="54">
        <f>SUM(I27+I19+I31+I29+I21+I17+I23)</f>
        <v>0</v>
      </c>
      <c r="J33" s="28"/>
      <c r="K33" s="55"/>
      <c r="L33" s="55"/>
      <c r="M33" s="55"/>
      <c r="N33" s="30"/>
      <c r="O33" s="65"/>
      <c r="P33" s="188"/>
      <c r="Q33" s="118"/>
      <c r="R33" s="244"/>
      <c r="S33" s="244"/>
    </row>
    <row r="34" spans="1:53" ht="15.75">
      <c r="A34" s="724"/>
      <c r="B34" s="26" t="s">
        <v>0</v>
      </c>
      <c r="C34" s="590"/>
      <c r="D34" s="53"/>
      <c r="E34" s="54">
        <f>SUM(E18+E20+E22+E24+E26+E28+E30+E32)</f>
        <v>64149000</v>
      </c>
      <c r="F34" s="54">
        <f>SUM(F18+F20+F22+F24+F26+F28+F30+F32)</f>
        <v>64149000</v>
      </c>
      <c r="G34" s="54">
        <f>SUM(G18+G20+G22+G24+G26+G28+G30+G32)</f>
        <v>0</v>
      </c>
      <c r="H34" s="54">
        <f>SUM(H18+H20+H22+H24+H26+H28+H30+H32)</f>
        <v>0</v>
      </c>
      <c r="I34" s="54">
        <f>SUM(I18+I20+I22+I24+I26+I28+I30+I32)</f>
        <v>0</v>
      </c>
      <c r="J34" s="28"/>
      <c r="K34" s="55"/>
      <c r="L34" s="55"/>
      <c r="M34" s="55"/>
      <c r="N34" s="30"/>
      <c r="O34" s="65"/>
      <c r="P34" s="188"/>
      <c r="Q34" s="118"/>
      <c r="R34" s="109"/>
      <c r="S34" s="109"/>
    </row>
    <row r="35" spans="1:53" ht="39.75" customHeight="1">
      <c r="A35" s="93" t="s">
        <v>5</v>
      </c>
      <c r="B35" s="736" t="s">
        <v>4</v>
      </c>
      <c r="C35" s="737"/>
      <c r="D35" s="738"/>
      <c r="E35" s="736" t="s">
        <v>3</v>
      </c>
      <c r="F35" s="737"/>
      <c r="G35" s="737"/>
      <c r="H35" s="738"/>
      <c r="I35" s="93"/>
      <c r="J35" s="739" t="s">
        <v>2</v>
      </c>
      <c r="K35" s="740"/>
      <c r="L35" s="740"/>
      <c r="M35" s="740"/>
      <c r="N35" s="741"/>
      <c r="O35" s="210"/>
      <c r="P35" s="210"/>
      <c r="Q35" s="210"/>
    </row>
    <row r="36" spans="1:53" ht="30.75" customHeight="1">
      <c r="A36" s="734" t="s">
        <v>93</v>
      </c>
      <c r="B36" s="665" t="s">
        <v>94</v>
      </c>
      <c r="C36" s="672"/>
      <c r="D36" s="742"/>
      <c r="E36" s="746" t="s">
        <v>64</v>
      </c>
      <c r="F36" s="747"/>
      <c r="G36" s="748"/>
      <c r="H36" s="58" t="s">
        <v>1</v>
      </c>
      <c r="I36" s="59">
        <v>1</v>
      </c>
      <c r="J36" s="725" t="s">
        <v>345</v>
      </c>
      <c r="K36" s="726"/>
      <c r="L36" s="726"/>
      <c r="M36" s="726"/>
      <c r="N36" s="727"/>
      <c r="O36" s="210"/>
      <c r="P36" s="210"/>
      <c r="Q36" s="21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</row>
    <row r="37" spans="1:53" ht="30.75" customHeight="1">
      <c r="A37" s="752"/>
      <c r="B37" s="743"/>
      <c r="C37" s="744"/>
      <c r="D37" s="745"/>
      <c r="E37" s="749"/>
      <c r="F37" s="750"/>
      <c r="G37" s="751"/>
      <c r="H37" s="58" t="s">
        <v>0</v>
      </c>
      <c r="I37" s="59">
        <v>0</v>
      </c>
      <c r="J37" s="728"/>
      <c r="K37" s="729"/>
      <c r="L37" s="729"/>
      <c r="M37" s="729"/>
      <c r="N37" s="730"/>
      <c r="O37" s="210"/>
      <c r="P37" s="210"/>
      <c r="Q37" s="21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</row>
    <row r="38" spans="1:53" ht="32.25" customHeight="1">
      <c r="A38" s="734" t="s">
        <v>93</v>
      </c>
      <c r="B38" s="665" t="s">
        <v>95</v>
      </c>
      <c r="C38" s="672"/>
      <c r="D38" s="742"/>
      <c r="E38" s="746" t="s">
        <v>65</v>
      </c>
      <c r="F38" s="747"/>
      <c r="G38" s="748"/>
      <c r="H38" s="58" t="s">
        <v>1</v>
      </c>
      <c r="I38" s="59">
        <v>1</v>
      </c>
      <c r="J38" s="728"/>
      <c r="K38" s="729"/>
      <c r="L38" s="729"/>
      <c r="M38" s="729"/>
      <c r="N38" s="730"/>
      <c r="O38" s="210"/>
      <c r="P38" s="210"/>
      <c r="Q38" s="21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</row>
    <row r="39" spans="1:53" ht="32.25" customHeight="1">
      <c r="A39" s="752"/>
      <c r="B39" s="743"/>
      <c r="C39" s="744"/>
      <c r="D39" s="745"/>
      <c r="E39" s="749"/>
      <c r="F39" s="750"/>
      <c r="G39" s="751"/>
      <c r="H39" s="58" t="s">
        <v>0</v>
      </c>
      <c r="I39" s="59">
        <v>0</v>
      </c>
      <c r="J39" s="728"/>
      <c r="K39" s="729"/>
      <c r="L39" s="729"/>
      <c r="M39" s="729"/>
      <c r="N39" s="730"/>
      <c r="O39" s="210"/>
      <c r="P39" s="210"/>
      <c r="Q39" s="21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</row>
    <row r="40" spans="1:53" ht="36.75" customHeight="1">
      <c r="A40" s="734" t="s">
        <v>93</v>
      </c>
      <c r="B40" s="665" t="s">
        <v>96</v>
      </c>
      <c r="C40" s="672"/>
      <c r="D40" s="742"/>
      <c r="E40" s="665" t="s">
        <v>66</v>
      </c>
      <c r="F40" s="672"/>
      <c r="G40" s="742"/>
      <c r="H40" s="58" t="s">
        <v>1</v>
      </c>
      <c r="I40" s="59">
        <v>1</v>
      </c>
      <c r="J40" s="728"/>
      <c r="K40" s="729"/>
      <c r="L40" s="729"/>
      <c r="M40" s="729"/>
      <c r="N40" s="730"/>
      <c r="O40" s="210"/>
      <c r="P40" s="210"/>
      <c r="Q40" s="21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</row>
    <row r="41" spans="1:53" ht="36.75" customHeight="1">
      <c r="A41" s="752"/>
      <c r="B41" s="743"/>
      <c r="C41" s="744"/>
      <c r="D41" s="745"/>
      <c r="E41" s="743"/>
      <c r="F41" s="744"/>
      <c r="G41" s="745"/>
      <c r="H41" s="58" t="s">
        <v>0</v>
      </c>
      <c r="I41" s="59">
        <v>0</v>
      </c>
      <c r="J41" s="728"/>
      <c r="K41" s="729"/>
      <c r="L41" s="729"/>
      <c r="M41" s="729"/>
      <c r="N41" s="730"/>
      <c r="O41" s="210"/>
      <c r="P41" s="210"/>
      <c r="Q41" s="21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</row>
    <row r="42" spans="1:53" ht="59.25" customHeight="1">
      <c r="A42" s="734" t="s">
        <v>97</v>
      </c>
      <c r="B42" s="665" t="s">
        <v>98</v>
      </c>
      <c r="C42" s="672"/>
      <c r="D42" s="742"/>
      <c r="E42" s="756" t="s">
        <v>67</v>
      </c>
      <c r="F42" s="757"/>
      <c r="G42" s="758"/>
      <c r="H42" s="58" t="s">
        <v>1</v>
      </c>
      <c r="I42" s="59">
        <v>1</v>
      </c>
      <c r="J42" s="728"/>
      <c r="K42" s="729"/>
      <c r="L42" s="729"/>
      <c r="M42" s="729"/>
      <c r="N42" s="730"/>
      <c r="O42" s="210"/>
      <c r="P42" s="210"/>
      <c r="Q42" s="21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</row>
    <row r="43" spans="1:53" ht="59.25" customHeight="1">
      <c r="A43" s="735"/>
      <c r="B43" s="753"/>
      <c r="C43" s="754"/>
      <c r="D43" s="755"/>
      <c r="E43" s="759"/>
      <c r="F43" s="760"/>
      <c r="G43" s="761"/>
      <c r="H43" s="58" t="s">
        <v>0</v>
      </c>
      <c r="I43" s="59">
        <v>0</v>
      </c>
      <c r="J43" s="731"/>
      <c r="K43" s="732"/>
      <c r="L43" s="732"/>
      <c r="M43" s="732"/>
      <c r="N43" s="733"/>
      <c r="O43" s="210"/>
      <c r="P43" s="210"/>
      <c r="Q43" s="21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</row>
    <row r="44" spans="1:53" ht="15.75" customHeight="1">
      <c r="A44" s="380" t="s">
        <v>284</v>
      </c>
      <c r="B44" s="381"/>
      <c r="C44" s="381"/>
      <c r="D44" s="381"/>
      <c r="E44" s="381"/>
      <c r="F44" s="381"/>
      <c r="G44" s="381"/>
      <c r="H44" s="381"/>
      <c r="I44" s="381"/>
      <c r="J44" s="381"/>
      <c r="K44" s="381"/>
      <c r="L44" s="381"/>
      <c r="M44" s="381"/>
      <c r="N44" s="382"/>
      <c r="O44" s="209"/>
      <c r="P44" s="209"/>
      <c r="Q44" s="209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</row>
    <row r="45" spans="1:53"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</row>
    <row r="46" spans="1:53"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</row>
    <row r="47" spans="1:53"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</row>
    <row r="48" spans="1:53"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</row>
    <row r="49" spans="18:53" ht="15.75" customHeight="1"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</row>
    <row r="50" spans="18:53"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</row>
    <row r="51" spans="18:53" ht="15.75" customHeight="1"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</row>
    <row r="53" spans="18:53" ht="15.75" customHeight="1"/>
  </sheetData>
  <mergeCells count="114">
    <mergeCell ref="A44:N44"/>
    <mergeCell ref="J36:N43"/>
    <mergeCell ref="A42:A43"/>
    <mergeCell ref="B35:D35"/>
    <mergeCell ref="E35:H35"/>
    <mergeCell ref="J35:N35"/>
    <mergeCell ref="B36:D37"/>
    <mergeCell ref="E36:G37"/>
    <mergeCell ref="A36:A37"/>
    <mergeCell ref="A40:A41"/>
    <mergeCell ref="A38:A39"/>
    <mergeCell ref="B38:D39"/>
    <mergeCell ref="E38:G39"/>
    <mergeCell ref="B40:D41"/>
    <mergeCell ref="E40:G41"/>
    <mergeCell ref="B42:D43"/>
    <mergeCell ref="E42:G43"/>
    <mergeCell ref="A31:A32"/>
    <mergeCell ref="C31:C32"/>
    <mergeCell ref="A23:A24"/>
    <mergeCell ref="C23:C24"/>
    <mergeCell ref="J31:J32"/>
    <mergeCell ref="K31:K32"/>
    <mergeCell ref="L31:L32"/>
    <mergeCell ref="M31:M32"/>
    <mergeCell ref="A33:A34"/>
    <mergeCell ref="A29:A30"/>
    <mergeCell ref="C29:C30"/>
    <mergeCell ref="J29:J30"/>
    <mergeCell ref="K29:K30"/>
    <mergeCell ref="L29:L30"/>
    <mergeCell ref="M29:M30"/>
    <mergeCell ref="A25:A26"/>
    <mergeCell ref="C25:C26"/>
    <mergeCell ref="C33:C34"/>
    <mergeCell ref="A17:A18"/>
    <mergeCell ref="C17:C18"/>
    <mergeCell ref="A21:A22"/>
    <mergeCell ref="C21:C22"/>
    <mergeCell ref="N21:N22"/>
    <mergeCell ref="A27:A28"/>
    <mergeCell ref="J21:J22"/>
    <mergeCell ref="K21:K22"/>
    <mergeCell ref="L21:L22"/>
    <mergeCell ref="M21:M22"/>
    <mergeCell ref="M23:M24"/>
    <mergeCell ref="J23:J24"/>
    <mergeCell ref="N23:N24"/>
    <mergeCell ref="A19:A20"/>
    <mergeCell ref="C19:C20"/>
    <mergeCell ref="J19:J20"/>
    <mergeCell ref="K19:K20"/>
    <mergeCell ref="N27:N28"/>
    <mergeCell ref="N17:N18"/>
    <mergeCell ref="U27:V27"/>
    <mergeCell ref="J27:J28"/>
    <mergeCell ref="K27:K28"/>
    <mergeCell ref="L27:L28"/>
    <mergeCell ref="M27:M28"/>
    <mergeCell ref="K23:K24"/>
    <mergeCell ref="L23:L24"/>
    <mergeCell ref="J17:J18"/>
    <mergeCell ref="K17:K18"/>
    <mergeCell ref="L17:L18"/>
    <mergeCell ref="M17:M18"/>
    <mergeCell ref="J25:J26"/>
    <mergeCell ref="K25:K26"/>
    <mergeCell ref="L25:L26"/>
    <mergeCell ref="M25:M26"/>
    <mergeCell ref="N25:N26"/>
    <mergeCell ref="N31:N32"/>
    <mergeCell ref="C27:C28"/>
    <mergeCell ref="N29:N30"/>
    <mergeCell ref="L19:L20"/>
    <mergeCell ref="M19:M20"/>
    <mergeCell ref="N19:N20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B9:F9"/>
    <mergeCell ref="K9:M9"/>
    <mergeCell ref="B10:F10"/>
    <mergeCell ref="K10:M10"/>
    <mergeCell ref="K13:M13"/>
    <mergeCell ref="B12:F12"/>
    <mergeCell ref="K12:M12"/>
    <mergeCell ref="T8:X8"/>
    <mergeCell ref="B13:F13"/>
    <mergeCell ref="L15:L16"/>
    <mergeCell ref="M15:M16"/>
    <mergeCell ref="U16:V16"/>
    <mergeCell ref="U15:V15"/>
    <mergeCell ref="A14:A16"/>
    <mergeCell ref="B14:B16"/>
    <mergeCell ref="C14:C16"/>
    <mergeCell ref="D14:D16"/>
    <mergeCell ref="E14:E16"/>
    <mergeCell ref="F14:I15"/>
    <mergeCell ref="J14:K15"/>
    <mergeCell ref="L14:N14"/>
    <mergeCell ref="N15:N16"/>
  </mergeCells>
  <pageMargins left="0.7" right="0.7" top="0.75" bottom="0.75" header="0.3" footer="0.3"/>
  <pageSetup paperSize="14" scale="57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23554" r:id="rId4">
          <objectPr defaultSize="0" autoPict="0" r:id="rId5">
            <anchor moveWithCells="1" sizeWithCells="1">
              <from>
                <xdr:col>0</xdr:col>
                <xdr:colOff>133350</xdr:colOff>
                <xdr:row>0</xdr:row>
                <xdr:rowOff>133350</xdr:rowOff>
              </from>
              <to>
                <xdr:col>0</xdr:col>
                <xdr:colOff>4343400</xdr:colOff>
                <xdr:row>3</xdr:row>
                <xdr:rowOff>95250</xdr:rowOff>
              </to>
            </anchor>
          </objectPr>
        </oleObject>
      </mc:Choice>
      <mc:Fallback>
        <oleObject shapeId="23554" r:id="rId4"/>
      </mc:Fallback>
    </mc:AlternateContent>
    <mc:AlternateContent xmlns:mc="http://schemas.openxmlformats.org/markup-compatibility/2006">
      <mc:Choice Requires="x14">
        <oleObject shapeId="23557" r:id="rId6">
          <objectPr defaultSize="0" autoPict="0" r:id="rId5">
            <anchor moveWithCells="1" sizeWithCells="1">
              <from>
                <xdr:col>0</xdr:col>
                <xdr:colOff>133350</xdr:colOff>
                <xdr:row>0</xdr:row>
                <xdr:rowOff>133350</xdr:rowOff>
              </from>
              <to>
                <xdr:col>1</xdr:col>
                <xdr:colOff>4343400</xdr:colOff>
                <xdr:row>3</xdr:row>
                <xdr:rowOff>95250</xdr:rowOff>
              </to>
            </anchor>
          </objectPr>
        </oleObject>
      </mc:Choice>
      <mc:Fallback>
        <oleObject shapeId="23557" r:id="rId6"/>
      </mc:Fallback>
    </mc:AlternateContent>
    <mc:AlternateContent xmlns:mc="http://schemas.openxmlformats.org/markup-compatibility/2006">
      <mc:Choice Requires="x14">
        <oleObject shapeId="23560" r:id="rId7">
          <objectPr defaultSize="0" autoPict="0" r:id="rId5">
            <anchor moveWithCells="1" sizeWithCells="1">
              <from>
                <xdr:col>0</xdr:col>
                <xdr:colOff>133350</xdr:colOff>
                <xdr:row>0</xdr:row>
                <xdr:rowOff>133350</xdr:rowOff>
              </from>
              <to>
                <xdr:col>1</xdr:col>
                <xdr:colOff>4343400</xdr:colOff>
                <xdr:row>3</xdr:row>
                <xdr:rowOff>95250</xdr:rowOff>
              </to>
            </anchor>
          </objectPr>
        </oleObject>
      </mc:Choice>
      <mc:Fallback>
        <oleObject shapeId="23560" r:id="rId7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Z80"/>
  <sheetViews>
    <sheetView topLeftCell="A7" zoomScale="60" zoomScaleNormal="60" zoomScalePageLayoutView="50" workbookViewId="0">
      <selection activeCell="U24" sqref="U24"/>
    </sheetView>
  </sheetViews>
  <sheetFormatPr baseColWidth="10" defaultColWidth="12.5703125" defaultRowHeight="15"/>
  <cols>
    <col min="1" max="1" width="60.140625" style="1" customWidth="1"/>
    <col min="2" max="2" width="10.28515625" style="1" customWidth="1"/>
    <col min="3" max="3" width="20.140625" style="1" customWidth="1"/>
    <col min="4" max="4" width="13" style="1" customWidth="1"/>
    <col min="5" max="5" width="23.28515625" style="1" customWidth="1"/>
    <col min="6" max="6" width="22.42578125" style="1" customWidth="1"/>
    <col min="7" max="7" width="10.28515625" style="1" customWidth="1"/>
    <col min="8" max="8" width="14.140625" style="1" customWidth="1"/>
    <col min="9" max="9" width="10.42578125" style="1" customWidth="1"/>
    <col min="10" max="10" width="14.28515625" style="60" customWidth="1"/>
    <col min="11" max="11" width="20.28515625" style="60" customWidth="1"/>
    <col min="12" max="12" width="13.28515625" style="1" customWidth="1"/>
    <col min="13" max="13" width="15.7109375" style="1" customWidth="1"/>
    <col min="14" max="14" width="16.42578125" style="1" customWidth="1"/>
    <col min="15" max="15" width="12.28515625" style="105" customWidth="1"/>
    <col min="16" max="16" width="5.140625" style="105" customWidth="1"/>
    <col min="17" max="17" width="8.7109375" style="105" customWidth="1"/>
    <col min="18" max="18" width="20.7109375" style="105" customWidth="1"/>
    <col min="19" max="19" width="25.140625" style="105" customWidth="1"/>
    <col min="20" max="20" width="18.5703125" style="105" customWidth="1"/>
    <col min="21" max="21" width="37.42578125" style="105" customWidth="1"/>
    <col min="22" max="22" width="12.5703125" style="105" hidden="1" customWidth="1"/>
    <col min="23" max="23" width="24.28515625" style="105" customWidth="1"/>
    <col min="24" max="24" width="22.5703125" style="1" customWidth="1"/>
    <col min="25" max="26" width="12.5703125" style="1"/>
    <col min="27" max="27" width="16.85546875" style="1" customWidth="1"/>
    <col min="28" max="28" width="12.5703125" style="1"/>
    <col min="29" max="29" width="30.140625" style="1" customWidth="1"/>
    <col min="30" max="30" width="15.42578125" style="1" customWidth="1"/>
    <col min="31" max="31" width="15.85546875" style="1" customWidth="1"/>
    <col min="32" max="32" width="24.42578125" style="1" customWidth="1"/>
    <col min="33" max="33" width="17.140625" style="1" customWidth="1"/>
    <col min="34" max="16384" width="12.5703125" style="1"/>
  </cols>
  <sheetData>
    <row r="1" spans="1:27" ht="37.5" customHeight="1">
      <c r="A1" s="488"/>
      <c r="B1" s="491" t="s">
        <v>86</v>
      </c>
      <c r="C1" s="492"/>
      <c r="D1" s="492"/>
      <c r="E1" s="492"/>
      <c r="F1" s="492"/>
      <c r="G1" s="492"/>
      <c r="H1" s="493"/>
      <c r="I1" s="497" t="s">
        <v>87</v>
      </c>
      <c r="J1" s="498"/>
      <c r="K1" s="498"/>
      <c r="L1" s="499"/>
      <c r="M1" s="500"/>
      <c r="N1" s="501"/>
      <c r="O1" s="826"/>
      <c r="P1" s="826"/>
      <c r="Q1" s="826"/>
    </row>
    <row r="2" spans="1:27" ht="15.75">
      <c r="A2" s="489"/>
      <c r="B2" s="494"/>
      <c r="C2" s="495"/>
      <c r="D2" s="495"/>
      <c r="E2" s="495"/>
      <c r="F2" s="495"/>
      <c r="G2" s="495"/>
      <c r="H2" s="496"/>
      <c r="I2" s="497" t="s">
        <v>88</v>
      </c>
      <c r="J2" s="498"/>
      <c r="K2" s="498"/>
      <c r="L2" s="499"/>
      <c r="M2" s="502"/>
      <c r="N2" s="503"/>
      <c r="O2" s="826"/>
      <c r="P2" s="826"/>
      <c r="Q2" s="826"/>
    </row>
    <row r="3" spans="1:27" ht="33.75" customHeight="1">
      <c r="A3" s="489"/>
      <c r="B3" s="491" t="s">
        <v>89</v>
      </c>
      <c r="C3" s="492"/>
      <c r="D3" s="492"/>
      <c r="E3" s="492"/>
      <c r="F3" s="492"/>
      <c r="G3" s="492"/>
      <c r="H3" s="493"/>
      <c r="I3" s="497" t="s">
        <v>90</v>
      </c>
      <c r="J3" s="498"/>
      <c r="K3" s="498"/>
      <c r="L3" s="499"/>
      <c r="M3" s="502"/>
      <c r="N3" s="503"/>
      <c r="O3" s="826"/>
      <c r="P3" s="826"/>
      <c r="Q3" s="826"/>
    </row>
    <row r="4" spans="1:27" ht="15.75">
      <c r="A4" s="490"/>
      <c r="B4" s="494"/>
      <c r="C4" s="495"/>
      <c r="D4" s="495"/>
      <c r="E4" s="495"/>
      <c r="F4" s="495"/>
      <c r="G4" s="495"/>
      <c r="H4" s="496"/>
      <c r="I4" s="497" t="s">
        <v>91</v>
      </c>
      <c r="J4" s="498"/>
      <c r="K4" s="498"/>
      <c r="L4" s="499"/>
      <c r="M4" s="504"/>
      <c r="N4" s="505"/>
      <c r="O4" s="826"/>
      <c r="P4" s="826"/>
      <c r="Q4" s="826"/>
    </row>
    <row r="5" spans="1:27" ht="15.75">
      <c r="A5" s="409"/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826"/>
      <c r="P5" s="826"/>
      <c r="Q5" s="826"/>
    </row>
    <row r="6" spans="1:27" ht="15.75">
      <c r="A6" s="411" t="s">
        <v>129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826"/>
      <c r="P6" s="826"/>
      <c r="Q6" s="826"/>
    </row>
    <row r="7" spans="1:27" ht="24.75" customHeight="1">
      <c r="A7" s="34" t="s">
        <v>283</v>
      </c>
      <c r="B7" s="411" t="s">
        <v>464</v>
      </c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</row>
    <row r="8" spans="1:27" ht="15.75">
      <c r="A8" s="81" t="s">
        <v>32</v>
      </c>
      <c r="B8" s="418" t="s">
        <v>33</v>
      </c>
      <c r="C8" s="418"/>
      <c r="D8" s="418"/>
      <c r="E8" s="418"/>
      <c r="F8" s="418"/>
      <c r="G8" s="774" t="s">
        <v>350</v>
      </c>
      <c r="H8" s="774"/>
      <c r="I8" s="774"/>
      <c r="J8" s="420" t="s">
        <v>31</v>
      </c>
      <c r="K8" s="420"/>
      <c r="L8" s="420"/>
      <c r="M8" s="420"/>
      <c r="N8" s="420"/>
      <c r="O8" s="827"/>
      <c r="P8" s="827"/>
      <c r="Q8" s="827"/>
      <c r="S8" s="828"/>
      <c r="T8" s="828"/>
      <c r="U8" s="828"/>
      <c r="V8" s="828"/>
      <c r="W8" s="828"/>
    </row>
    <row r="9" spans="1:27" ht="15.75">
      <c r="A9" s="97" t="s">
        <v>30</v>
      </c>
      <c r="B9" s="421" t="s">
        <v>37</v>
      </c>
      <c r="C9" s="418"/>
      <c r="D9" s="418"/>
      <c r="E9" s="418"/>
      <c r="F9" s="418"/>
      <c r="G9" s="774"/>
      <c r="H9" s="774"/>
      <c r="I9" s="774"/>
      <c r="J9" s="253" t="s">
        <v>29</v>
      </c>
      <c r="K9" s="422" t="s">
        <v>28</v>
      </c>
      <c r="L9" s="422"/>
      <c r="M9" s="422"/>
      <c r="N9" s="270" t="s">
        <v>27</v>
      </c>
      <c r="O9" s="827"/>
      <c r="P9" s="827"/>
      <c r="Q9" s="827"/>
      <c r="S9" s="103"/>
      <c r="T9" s="103"/>
      <c r="U9" s="103"/>
      <c r="V9" s="103"/>
      <c r="W9" s="103"/>
    </row>
    <row r="10" spans="1:27" ht="15.75">
      <c r="A10" s="78" t="s">
        <v>26</v>
      </c>
      <c r="B10" s="421" t="s">
        <v>68</v>
      </c>
      <c r="C10" s="421"/>
      <c r="D10" s="421"/>
      <c r="E10" s="421"/>
      <c r="F10" s="421"/>
      <c r="G10" s="774"/>
      <c r="H10" s="774"/>
      <c r="I10" s="774"/>
      <c r="J10" s="39"/>
      <c r="K10" s="768"/>
      <c r="L10" s="768"/>
      <c r="M10" s="768"/>
      <c r="N10" s="117"/>
      <c r="O10" s="827"/>
      <c r="P10" s="827"/>
      <c r="Q10" s="827"/>
      <c r="S10" s="104"/>
      <c r="T10" s="829"/>
      <c r="U10" s="829"/>
      <c r="V10" s="829"/>
      <c r="W10" s="104"/>
      <c r="Y10" s="258"/>
      <c r="Z10" s="258"/>
    </row>
    <row r="11" spans="1:27" ht="42.75" customHeight="1">
      <c r="A11" s="80" t="s">
        <v>25</v>
      </c>
      <c r="B11" s="421" t="s">
        <v>69</v>
      </c>
      <c r="C11" s="421"/>
      <c r="D11" s="421"/>
      <c r="E11" s="421"/>
      <c r="F11" s="421"/>
      <c r="G11" s="774"/>
      <c r="H11" s="774"/>
      <c r="I11" s="774"/>
      <c r="J11" s="252"/>
      <c r="K11" s="412"/>
      <c r="L11" s="412"/>
      <c r="M11" s="412"/>
      <c r="N11" s="818"/>
      <c r="O11" s="827"/>
      <c r="P11" s="827"/>
      <c r="Q11" s="827"/>
      <c r="S11" s="830"/>
      <c r="T11" s="831"/>
      <c r="U11" s="831"/>
      <c r="V11" s="831"/>
      <c r="W11" s="50"/>
      <c r="Y11" s="13"/>
      <c r="Z11" s="4"/>
      <c r="AA11" s="11"/>
    </row>
    <row r="12" spans="1:27" ht="15.75">
      <c r="A12" s="215" t="s">
        <v>24</v>
      </c>
      <c r="B12" s="775">
        <v>2020730010051</v>
      </c>
      <c r="C12" s="775"/>
      <c r="D12" s="775"/>
      <c r="E12" s="775"/>
      <c r="F12" s="775"/>
      <c r="G12" s="774"/>
      <c r="H12" s="774"/>
      <c r="I12" s="774"/>
      <c r="J12" s="44"/>
      <c r="K12" s="417"/>
      <c r="L12" s="417"/>
      <c r="M12" s="417"/>
      <c r="N12" s="819"/>
      <c r="O12" s="827"/>
      <c r="P12" s="827"/>
      <c r="Q12" s="827"/>
      <c r="S12" s="830"/>
      <c r="T12" s="831"/>
      <c r="U12" s="831"/>
      <c r="V12" s="831"/>
      <c r="W12" s="50"/>
      <c r="Y12" s="13"/>
      <c r="Z12" s="4"/>
      <c r="AA12" s="11"/>
    </row>
    <row r="13" spans="1:27" ht="35.25" customHeight="1">
      <c r="A13" s="214" t="s">
        <v>302</v>
      </c>
      <c r="B13" s="603" t="s">
        <v>124</v>
      </c>
      <c r="C13" s="603"/>
      <c r="D13" s="603"/>
      <c r="E13" s="603"/>
      <c r="F13" s="603"/>
      <c r="G13" s="774"/>
      <c r="H13" s="774"/>
      <c r="I13" s="774"/>
      <c r="J13" s="254"/>
      <c r="K13" s="417"/>
      <c r="L13" s="417"/>
      <c r="M13" s="417"/>
      <c r="N13" s="820"/>
      <c r="O13" s="827"/>
      <c r="P13" s="827"/>
      <c r="Q13" s="827"/>
      <c r="S13" s="832"/>
      <c r="T13" s="831"/>
      <c r="U13" s="831"/>
      <c r="V13" s="833"/>
      <c r="W13" s="50"/>
      <c r="X13" s="14"/>
      <c r="Y13" s="13"/>
      <c r="Z13" s="4"/>
      <c r="AA13" s="11"/>
    </row>
    <row r="14" spans="1:27" ht="15.75" customHeight="1">
      <c r="A14" s="415" t="s">
        <v>23</v>
      </c>
      <c r="B14" s="426" t="s">
        <v>92</v>
      </c>
      <c r="C14" s="413" t="s">
        <v>21</v>
      </c>
      <c r="D14" s="413" t="s">
        <v>20</v>
      </c>
      <c r="E14" s="413" t="s">
        <v>119</v>
      </c>
      <c r="F14" s="413" t="s">
        <v>126</v>
      </c>
      <c r="G14" s="413"/>
      <c r="H14" s="413"/>
      <c r="I14" s="413"/>
      <c r="J14" s="413" t="s">
        <v>17</v>
      </c>
      <c r="K14" s="413"/>
      <c r="L14" s="769" t="s">
        <v>16</v>
      </c>
      <c r="M14" s="770"/>
      <c r="N14" s="770"/>
      <c r="S14" s="834"/>
      <c r="T14" s="835"/>
      <c r="U14" s="835"/>
      <c r="W14" s="50"/>
      <c r="Y14" s="13"/>
      <c r="Z14" s="4"/>
      <c r="AA14" s="11"/>
    </row>
    <row r="15" spans="1:27" ht="15" customHeight="1">
      <c r="A15" s="415"/>
      <c r="B15" s="413"/>
      <c r="C15" s="413"/>
      <c r="D15" s="413"/>
      <c r="E15" s="413"/>
      <c r="F15" s="413"/>
      <c r="G15" s="413"/>
      <c r="H15" s="413"/>
      <c r="I15" s="413"/>
      <c r="J15" s="413"/>
      <c r="K15" s="413"/>
      <c r="L15" s="771"/>
      <c r="M15" s="772"/>
      <c r="N15" s="772"/>
      <c r="S15" s="836"/>
      <c r="T15" s="835"/>
      <c r="U15" s="835"/>
      <c r="W15" s="4"/>
      <c r="Y15" s="13"/>
      <c r="Z15" s="4"/>
      <c r="AA15" s="11"/>
    </row>
    <row r="16" spans="1:27" ht="30">
      <c r="A16" s="415"/>
      <c r="B16" s="413"/>
      <c r="C16" s="413"/>
      <c r="D16" s="413"/>
      <c r="E16" s="413"/>
      <c r="F16" s="263" t="s">
        <v>12</v>
      </c>
      <c r="G16" s="263" t="s">
        <v>11</v>
      </c>
      <c r="H16" s="263" t="s">
        <v>10</v>
      </c>
      <c r="I16" s="51" t="s">
        <v>9</v>
      </c>
      <c r="J16" s="263" t="s">
        <v>8</v>
      </c>
      <c r="K16" s="193" t="s">
        <v>7</v>
      </c>
      <c r="L16" s="193" t="s">
        <v>15</v>
      </c>
      <c r="M16" s="193" t="s">
        <v>14</v>
      </c>
      <c r="N16" s="821" t="s">
        <v>13</v>
      </c>
      <c r="O16" s="172"/>
      <c r="P16" s="172"/>
      <c r="Q16" s="173"/>
      <c r="R16" s="173"/>
      <c r="S16" s="837"/>
      <c r="T16" s="835"/>
      <c r="U16" s="835"/>
      <c r="W16" s="4"/>
      <c r="Y16" s="13"/>
      <c r="Z16" s="4"/>
      <c r="AA16" s="11"/>
    </row>
    <row r="17" spans="1:27" ht="33" customHeight="1">
      <c r="A17" s="762" t="s">
        <v>484</v>
      </c>
      <c r="B17" s="330" t="s">
        <v>1</v>
      </c>
      <c r="C17" s="764" t="s">
        <v>262</v>
      </c>
      <c r="D17" s="331">
        <v>1</v>
      </c>
      <c r="E17" s="240">
        <f t="shared" ref="E17:E48" si="0">F17</f>
        <v>800000000</v>
      </c>
      <c r="F17" s="240">
        <v>800000000</v>
      </c>
      <c r="G17" s="52">
        <v>0</v>
      </c>
      <c r="H17" s="52">
        <v>0</v>
      </c>
      <c r="I17" s="52">
        <v>0</v>
      </c>
      <c r="J17" s="765">
        <v>44929</v>
      </c>
      <c r="K17" s="765">
        <v>45290</v>
      </c>
      <c r="L17" s="766">
        <f>D18/D17</f>
        <v>0.5</v>
      </c>
      <c r="M17" s="766">
        <f>E18/E17</f>
        <v>0.89420312499999999</v>
      </c>
      <c r="N17" s="822">
        <f>L17*L17/M17</f>
        <v>0.27957853535794791</v>
      </c>
      <c r="O17" s="177"/>
      <c r="P17" s="173"/>
      <c r="Q17" s="838"/>
      <c r="R17" s="177"/>
      <c r="S17" s="839"/>
      <c r="T17" s="835"/>
      <c r="U17" s="835"/>
      <c r="W17" s="332"/>
      <c r="Y17" s="13"/>
      <c r="Z17" s="4"/>
      <c r="AA17" s="11"/>
    </row>
    <row r="18" spans="1:27" ht="33" customHeight="1">
      <c r="A18" s="762"/>
      <c r="B18" s="330" t="s">
        <v>0</v>
      </c>
      <c r="C18" s="764"/>
      <c r="D18" s="331">
        <v>0.5</v>
      </c>
      <c r="E18" s="240">
        <f t="shared" si="0"/>
        <v>715362500</v>
      </c>
      <c r="F18" s="240">
        <f>65362500+650000000</f>
        <v>715362500</v>
      </c>
      <c r="G18" s="52">
        <v>0</v>
      </c>
      <c r="H18" s="52">
        <v>0</v>
      </c>
      <c r="I18" s="52">
        <v>0</v>
      </c>
      <c r="J18" s="765"/>
      <c r="K18" s="765"/>
      <c r="L18" s="766"/>
      <c r="M18" s="766"/>
      <c r="N18" s="822"/>
      <c r="O18" s="177"/>
      <c r="P18" s="173"/>
      <c r="Q18" s="162"/>
      <c r="R18" s="177"/>
      <c r="S18" s="840"/>
      <c r="W18" s="841"/>
      <c r="Y18" s="13"/>
      <c r="Z18" s="4"/>
      <c r="AA18" s="11"/>
    </row>
    <row r="19" spans="1:27" ht="37.9" customHeight="1">
      <c r="A19" s="762" t="s">
        <v>297</v>
      </c>
      <c r="B19" s="330" t="s">
        <v>1</v>
      </c>
      <c r="C19" s="764" t="s">
        <v>111</v>
      </c>
      <c r="D19" s="331">
        <v>1</v>
      </c>
      <c r="E19" s="240">
        <f t="shared" si="0"/>
        <v>20000000</v>
      </c>
      <c r="F19" s="240">
        <v>20000000</v>
      </c>
      <c r="G19" s="52">
        <v>0</v>
      </c>
      <c r="H19" s="52">
        <v>0</v>
      </c>
      <c r="I19" s="52">
        <v>0</v>
      </c>
      <c r="J19" s="765">
        <v>44927</v>
      </c>
      <c r="K19" s="765">
        <v>45290</v>
      </c>
      <c r="L19" s="766">
        <f>D20/D19</f>
        <v>0.5</v>
      </c>
      <c r="M19" s="766">
        <f>E20/E19</f>
        <v>0</v>
      </c>
      <c r="N19" s="822">
        <v>0</v>
      </c>
      <c r="O19" s="172"/>
      <c r="P19" s="172"/>
      <c r="Q19" s="172"/>
      <c r="R19" s="172"/>
      <c r="S19" s="840"/>
      <c r="W19" s="841"/>
      <c r="Y19" s="13"/>
      <c r="Z19" s="4"/>
      <c r="AA19" s="11"/>
    </row>
    <row r="20" spans="1:27" ht="36.6" customHeight="1">
      <c r="A20" s="762"/>
      <c r="B20" s="330" t="s">
        <v>0</v>
      </c>
      <c r="C20" s="764"/>
      <c r="D20" s="331">
        <v>0.5</v>
      </c>
      <c r="E20" s="240">
        <f t="shared" si="0"/>
        <v>0</v>
      </c>
      <c r="F20" s="240">
        <v>0</v>
      </c>
      <c r="G20" s="52">
        <v>0</v>
      </c>
      <c r="H20" s="52">
        <v>0</v>
      </c>
      <c r="I20" s="52">
        <v>0</v>
      </c>
      <c r="J20" s="765"/>
      <c r="K20" s="765"/>
      <c r="L20" s="766"/>
      <c r="M20" s="766"/>
      <c r="N20" s="822"/>
      <c r="O20" s="172"/>
      <c r="P20" s="172"/>
      <c r="Q20" s="172"/>
      <c r="R20" s="172"/>
      <c r="S20" s="840"/>
      <c r="W20" s="841"/>
      <c r="Y20" s="13"/>
      <c r="Z20" s="4"/>
      <c r="AA20" s="11"/>
    </row>
    <row r="21" spans="1:27" ht="31.5" customHeight="1">
      <c r="A21" s="762" t="s">
        <v>349</v>
      </c>
      <c r="B21" s="330" t="s">
        <v>1</v>
      </c>
      <c r="C21" s="764" t="s">
        <v>348</v>
      </c>
      <c r="D21" s="331">
        <v>1</v>
      </c>
      <c r="E21" s="240">
        <f t="shared" si="0"/>
        <v>10000000</v>
      </c>
      <c r="F21" s="240">
        <v>10000000</v>
      </c>
      <c r="G21" s="52">
        <v>0</v>
      </c>
      <c r="H21" s="52">
        <v>0</v>
      </c>
      <c r="I21" s="52">
        <v>0</v>
      </c>
      <c r="J21" s="765">
        <v>44927</v>
      </c>
      <c r="K21" s="765">
        <v>45290</v>
      </c>
      <c r="L21" s="766">
        <f>D22/D21</f>
        <v>0.5</v>
      </c>
      <c r="M21" s="766">
        <f>E22/E21</f>
        <v>1</v>
      </c>
      <c r="N21" s="822">
        <f>L21*L21/M21</f>
        <v>0.25</v>
      </c>
      <c r="S21" s="842"/>
      <c r="W21" s="841"/>
    </row>
    <row r="22" spans="1:27" ht="31.5" customHeight="1">
      <c r="A22" s="762"/>
      <c r="B22" s="330" t="s">
        <v>0</v>
      </c>
      <c r="C22" s="764"/>
      <c r="D22" s="331">
        <v>0.5</v>
      </c>
      <c r="E22" s="240">
        <f t="shared" si="0"/>
        <v>10000000</v>
      </c>
      <c r="F22" s="240">
        <f>6150000+3169000+681000</f>
        <v>10000000</v>
      </c>
      <c r="G22" s="52">
        <v>0</v>
      </c>
      <c r="H22" s="52">
        <v>0</v>
      </c>
      <c r="I22" s="52">
        <v>0</v>
      </c>
      <c r="J22" s="765"/>
      <c r="K22" s="765"/>
      <c r="L22" s="766"/>
      <c r="M22" s="766"/>
      <c r="N22" s="822"/>
      <c r="S22" s="842"/>
      <c r="AA22" s="11"/>
    </row>
    <row r="23" spans="1:27" ht="24.75" customHeight="1">
      <c r="A23" s="762" t="s">
        <v>347</v>
      </c>
      <c r="B23" s="330" t="s">
        <v>1</v>
      </c>
      <c r="C23" s="764" t="s">
        <v>113</v>
      </c>
      <c r="D23" s="331">
        <v>1</v>
      </c>
      <c r="E23" s="240">
        <f t="shared" si="0"/>
        <v>10000000</v>
      </c>
      <c r="F23" s="240">
        <v>10000000</v>
      </c>
      <c r="G23" s="52">
        <v>0</v>
      </c>
      <c r="H23" s="52">
        <v>0</v>
      </c>
      <c r="I23" s="52">
        <v>0</v>
      </c>
      <c r="J23" s="765">
        <v>44958</v>
      </c>
      <c r="K23" s="765">
        <v>45290</v>
      </c>
      <c r="L23" s="766">
        <f>D24/D23</f>
        <v>0.5</v>
      </c>
      <c r="M23" s="766">
        <f>E24/E23</f>
        <v>1</v>
      </c>
      <c r="N23" s="822">
        <f>L23*L23/M23</f>
        <v>0.25</v>
      </c>
      <c r="S23" s="842"/>
      <c r="AA23" s="11"/>
    </row>
    <row r="24" spans="1:27" ht="24.75" customHeight="1">
      <c r="A24" s="762"/>
      <c r="B24" s="330" t="s">
        <v>0</v>
      </c>
      <c r="C24" s="764"/>
      <c r="D24" s="331">
        <v>0.5</v>
      </c>
      <c r="E24" s="240">
        <f t="shared" si="0"/>
        <v>10000000</v>
      </c>
      <c r="F24" s="240">
        <f>2000000+2000000+1000000+1000000+1000000+1000000+1000000+1000000</f>
        <v>10000000</v>
      </c>
      <c r="G24" s="52">
        <v>0</v>
      </c>
      <c r="H24" s="52">
        <v>0</v>
      </c>
      <c r="I24" s="52">
        <v>0</v>
      </c>
      <c r="J24" s="765"/>
      <c r="K24" s="765"/>
      <c r="L24" s="766"/>
      <c r="M24" s="766"/>
      <c r="N24" s="822"/>
      <c r="S24" s="842"/>
      <c r="AA24" s="11"/>
    </row>
    <row r="25" spans="1:27" ht="32.25" customHeight="1">
      <c r="A25" s="762" t="s">
        <v>127</v>
      </c>
      <c r="B25" s="330" t="s">
        <v>1</v>
      </c>
      <c r="C25" s="764" t="s">
        <v>261</v>
      </c>
      <c r="D25" s="331">
        <v>1</v>
      </c>
      <c r="E25" s="240">
        <f t="shared" si="0"/>
        <v>10000000</v>
      </c>
      <c r="F25" s="240">
        <v>10000000</v>
      </c>
      <c r="G25" s="52">
        <v>0</v>
      </c>
      <c r="H25" s="52">
        <v>0</v>
      </c>
      <c r="I25" s="52">
        <v>0</v>
      </c>
      <c r="J25" s="765">
        <v>44958</v>
      </c>
      <c r="K25" s="765">
        <v>45290</v>
      </c>
      <c r="L25" s="766">
        <f>D26/D25</f>
        <v>0.5</v>
      </c>
      <c r="M25" s="766">
        <f>E26/E25</f>
        <v>0.5</v>
      </c>
      <c r="N25" s="822">
        <v>0</v>
      </c>
      <c r="S25" s="842"/>
      <c r="AA25" s="11"/>
    </row>
    <row r="26" spans="1:27" ht="32.25" customHeight="1">
      <c r="A26" s="762"/>
      <c r="B26" s="330" t="s">
        <v>0</v>
      </c>
      <c r="C26" s="764"/>
      <c r="D26" s="333">
        <v>0.5</v>
      </c>
      <c r="E26" s="240">
        <f t="shared" si="0"/>
        <v>5000000</v>
      </c>
      <c r="F26" s="52">
        <f>5000000</f>
        <v>5000000</v>
      </c>
      <c r="G26" s="52">
        <v>0</v>
      </c>
      <c r="H26" s="52">
        <v>0</v>
      </c>
      <c r="I26" s="52">
        <v>0</v>
      </c>
      <c r="J26" s="765"/>
      <c r="K26" s="765"/>
      <c r="L26" s="766"/>
      <c r="M26" s="766"/>
      <c r="N26" s="822"/>
      <c r="S26" s="842"/>
      <c r="AA26" s="11"/>
    </row>
    <row r="27" spans="1:27" ht="24" customHeight="1">
      <c r="A27" s="773" t="s">
        <v>260</v>
      </c>
      <c r="B27" s="330" t="s">
        <v>1</v>
      </c>
      <c r="C27" s="764" t="s">
        <v>259</v>
      </c>
      <c r="D27" s="333">
        <v>1</v>
      </c>
      <c r="E27" s="240">
        <f t="shared" si="0"/>
        <v>20000000</v>
      </c>
      <c r="F27" s="52">
        <v>20000000</v>
      </c>
      <c r="G27" s="52">
        <v>0</v>
      </c>
      <c r="H27" s="52">
        <v>0</v>
      </c>
      <c r="I27" s="52">
        <v>0</v>
      </c>
      <c r="J27" s="765">
        <v>44971</v>
      </c>
      <c r="K27" s="765">
        <v>45290</v>
      </c>
      <c r="L27" s="766">
        <f>D28/D27</f>
        <v>0.5</v>
      </c>
      <c r="M27" s="766">
        <f>E28/E27</f>
        <v>1</v>
      </c>
      <c r="N27" s="822">
        <v>0</v>
      </c>
      <c r="O27" s="251"/>
      <c r="Q27" s="112"/>
      <c r="R27" s="112"/>
      <c r="S27" s="842"/>
    </row>
    <row r="28" spans="1:27" ht="24" customHeight="1">
      <c r="A28" s="773"/>
      <c r="B28" s="330" t="s">
        <v>0</v>
      </c>
      <c r="C28" s="764"/>
      <c r="D28" s="333">
        <v>0.5</v>
      </c>
      <c r="E28" s="240">
        <f t="shared" si="0"/>
        <v>20000000</v>
      </c>
      <c r="F28" s="52">
        <f>20000000</f>
        <v>20000000</v>
      </c>
      <c r="G28" s="52">
        <v>0</v>
      </c>
      <c r="H28" s="52">
        <v>0</v>
      </c>
      <c r="I28" s="52">
        <v>0</v>
      </c>
      <c r="J28" s="765"/>
      <c r="K28" s="765"/>
      <c r="L28" s="766"/>
      <c r="M28" s="766"/>
      <c r="N28" s="822"/>
      <c r="O28" s="251"/>
      <c r="P28" s="112"/>
      <c r="Q28" s="843"/>
      <c r="R28" s="844"/>
      <c r="S28" s="842"/>
    </row>
    <row r="29" spans="1:27" ht="36" customHeight="1">
      <c r="A29" s="579" t="s">
        <v>346</v>
      </c>
      <c r="B29" s="334" t="s">
        <v>1</v>
      </c>
      <c r="C29" s="764" t="s">
        <v>459</v>
      </c>
      <c r="D29" s="335">
        <v>1</v>
      </c>
      <c r="E29" s="240">
        <f t="shared" si="0"/>
        <v>20000000</v>
      </c>
      <c r="F29" s="52">
        <v>20000000</v>
      </c>
      <c r="G29" s="52">
        <v>0</v>
      </c>
      <c r="H29" s="52">
        <v>0</v>
      </c>
      <c r="I29" s="52">
        <v>0</v>
      </c>
      <c r="J29" s="765">
        <v>44958</v>
      </c>
      <c r="K29" s="765">
        <v>45290</v>
      </c>
      <c r="L29" s="766">
        <f>D30/D29</f>
        <v>0</v>
      </c>
      <c r="M29" s="766">
        <f>E30/E29</f>
        <v>0.1109</v>
      </c>
      <c r="N29" s="822">
        <v>0</v>
      </c>
      <c r="O29" s="251"/>
      <c r="P29" s="112"/>
      <c r="Q29" s="101"/>
      <c r="R29" s="844"/>
      <c r="S29" s="842"/>
    </row>
    <row r="30" spans="1:27" ht="36" customHeight="1">
      <c r="A30" s="579"/>
      <c r="B30" s="334" t="s">
        <v>0</v>
      </c>
      <c r="C30" s="764"/>
      <c r="D30" s="335">
        <v>0</v>
      </c>
      <c r="E30" s="240">
        <f t="shared" si="0"/>
        <v>2218000</v>
      </c>
      <c r="F30" s="52">
        <f>2187000+31000</f>
        <v>2218000</v>
      </c>
      <c r="G30" s="52">
        <v>0</v>
      </c>
      <c r="H30" s="52">
        <v>0</v>
      </c>
      <c r="I30" s="52">
        <v>0</v>
      </c>
      <c r="J30" s="765"/>
      <c r="K30" s="765"/>
      <c r="L30" s="766"/>
      <c r="M30" s="766"/>
      <c r="N30" s="822"/>
      <c r="O30" s="251"/>
      <c r="P30" s="112"/>
      <c r="Q30" s="843"/>
      <c r="R30" s="844"/>
      <c r="S30" s="842"/>
    </row>
    <row r="31" spans="1:27" ht="31.5" customHeight="1">
      <c r="A31" s="773" t="s">
        <v>291</v>
      </c>
      <c r="B31" s="330" t="s">
        <v>1</v>
      </c>
      <c r="C31" s="764" t="s">
        <v>460</v>
      </c>
      <c r="D31" s="336">
        <v>15</v>
      </c>
      <c r="E31" s="240">
        <f t="shared" si="0"/>
        <v>50000000</v>
      </c>
      <c r="F31" s="52">
        <v>50000000</v>
      </c>
      <c r="G31" s="52">
        <v>0</v>
      </c>
      <c r="H31" s="52">
        <v>0</v>
      </c>
      <c r="I31" s="52">
        <v>0</v>
      </c>
      <c r="J31" s="765">
        <v>44986</v>
      </c>
      <c r="K31" s="765">
        <v>45290</v>
      </c>
      <c r="L31" s="766">
        <f>D32/D31</f>
        <v>0</v>
      </c>
      <c r="M31" s="766">
        <f>E32/E31</f>
        <v>0</v>
      </c>
      <c r="N31" s="822">
        <v>0</v>
      </c>
      <c r="O31" s="251"/>
      <c r="P31" s="112"/>
      <c r="Q31" s="101"/>
      <c r="R31" s="844"/>
      <c r="S31" s="842"/>
      <c r="AA31" s="11"/>
    </row>
    <row r="32" spans="1:27" ht="31.5" customHeight="1">
      <c r="A32" s="773"/>
      <c r="B32" s="330" t="s">
        <v>0</v>
      </c>
      <c r="C32" s="764"/>
      <c r="D32" s="336">
        <v>0</v>
      </c>
      <c r="E32" s="240">
        <f t="shared" si="0"/>
        <v>0</v>
      </c>
      <c r="F32" s="52">
        <v>0</v>
      </c>
      <c r="G32" s="52">
        <v>0</v>
      </c>
      <c r="H32" s="52">
        <v>0</v>
      </c>
      <c r="I32" s="52">
        <v>0</v>
      </c>
      <c r="J32" s="765"/>
      <c r="K32" s="765"/>
      <c r="L32" s="766"/>
      <c r="M32" s="766"/>
      <c r="N32" s="822"/>
      <c r="O32" s="251"/>
      <c r="P32" s="112"/>
      <c r="Q32" s="843"/>
      <c r="R32" s="844"/>
      <c r="S32" s="842"/>
      <c r="AA32" s="11"/>
    </row>
    <row r="33" spans="1:27" ht="27.75" customHeight="1">
      <c r="A33" s="579" t="s">
        <v>258</v>
      </c>
      <c r="B33" s="330" t="s">
        <v>1</v>
      </c>
      <c r="C33" s="764" t="s">
        <v>113</v>
      </c>
      <c r="D33" s="337">
        <v>1</v>
      </c>
      <c r="E33" s="240">
        <f t="shared" si="0"/>
        <v>5000000</v>
      </c>
      <c r="F33" s="52">
        <v>5000000</v>
      </c>
      <c r="G33" s="52">
        <v>0</v>
      </c>
      <c r="H33" s="52">
        <v>0</v>
      </c>
      <c r="I33" s="52">
        <v>0</v>
      </c>
      <c r="J33" s="765">
        <v>44958</v>
      </c>
      <c r="K33" s="765">
        <v>45290</v>
      </c>
      <c r="L33" s="766">
        <f>D34/D33</f>
        <v>0.5</v>
      </c>
      <c r="M33" s="766">
        <f>E34/E33</f>
        <v>0</v>
      </c>
      <c r="N33" s="822">
        <v>0</v>
      </c>
      <c r="O33" s="251"/>
      <c r="P33" s="112"/>
      <c r="Q33" s="101"/>
      <c r="R33" s="844"/>
      <c r="S33" s="842"/>
    </row>
    <row r="34" spans="1:27" ht="27.75" customHeight="1">
      <c r="A34" s="579"/>
      <c r="B34" s="330" t="s">
        <v>0</v>
      </c>
      <c r="C34" s="764"/>
      <c r="D34" s="337">
        <v>0.5</v>
      </c>
      <c r="E34" s="240">
        <f t="shared" si="0"/>
        <v>0</v>
      </c>
      <c r="F34" s="52">
        <f>SUM(G34:J34)</f>
        <v>0</v>
      </c>
      <c r="G34" s="52">
        <v>0</v>
      </c>
      <c r="H34" s="52">
        <v>0</v>
      </c>
      <c r="I34" s="52">
        <v>0</v>
      </c>
      <c r="J34" s="765"/>
      <c r="K34" s="765"/>
      <c r="L34" s="766"/>
      <c r="M34" s="766"/>
      <c r="N34" s="822"/>
      <c r="O34" s="251"/>
      <c r="P34" s="112"/>
      <c r="Q34" s="843"/>
      <c r="R34" s="844"/>
      <c r="S34" s="842"/>
    </row>
    <row r="35" spans="1:27" ht="27.75" customHeight="1">
      <c r="A35" s="579" t="s">
        <v>294</v>
      </c>
      <c r="B35" s="330" t="s">
        <v>1</v>
      </c>
      <c r="C35" s="764" t="s">
        <v>461</v>
      </c>
      <c r="D35" s="338">
        <v>1</v>
      </c>
      <c r="E35" s="240">
        <f t="shared" si="0"/>
        <v>70000000</v>
      </c>
      <c r="F35" s="52">
        <v>70000000</v>
      </c>
      <c r="G35" s="52">
        <v>0</v>
      </c>
      <c r="H35" s="52">
        <v>0</v>
      </c>
      <c r="I35" s="52">
        <v>0</v>
      </c>
      <c r="J35" s="765">
        <v>44958</v>
      </c>
      <c r="K35" s="765">
        <v>45290</v>
      </c>
      <c r="L35" s="766">
        <f>D36/D35</f>
        <v>0</v>
      </c>
      <c r="M35" s="766">
        <f>E36/E35</f>
        <v>0</v>
      </c>
      <c r="N35" s="822">
        <v>0</v>
      </c>
      <c r="O35" s="251"/>
      <c r="P35" s="112"/>
      <c r="Q35" s="843"/>
      <c r="R35" s="844"/>
      <c r="S35" s="842"/>
    </row>
    <row r="36" spans="1:27" ht="27.75" customHeight="1">
      <c r="A36" s="579"/>
      <c r="B36" s="330" t="s">
        <v>0</v>
      </c>
      <c r="C36" s="764"/>
      <c r="D36" s="338">
        <v>0</v>
      </c>
      <c r="E36" s="240">
        <f t="shared" si="0"/>
        <v>0</v>
      </c>
      <c r="F36" s="52">
        <f>SUM(G36:J36)</f>
        <v>0</v>
      </c>
      <c r="G36" s="52">
        <v>0</v>
      </c>
      <c r="H36" s="52">
        <v>0</v>
      </c>
      <c r="I36" s="52">
        <v>0</v>
      </c>
      <c r="J36" s="765"/>
      <c r="K36" s="765"/>
      <c r="L36" s="766"/>
      <c r="M36" s="766"/>
      <c r="N36" s="822"/>
      <c r="O36" s="251"/>
      <c r="P36" s="845"/>
      <c r="Q36" s="846"/>
      <c r="R36" s="844"/>
      <c r="S36" s="842"/>
    </row>
    <row r="37" spans="1:27" ht="27" customHeight="1">
      <c r="A37" s="579" t="s">
        <v>112</v>
      </c>
      <c r="B37" s="334" t="s">
        <v>1</v>
      </c>
      <c r="C37" s="764" t="s">
        <v>125</v>
      </c>
      <c r="D37" s="338">
        <v>1</v>
      </c>
      <c r="E37" s="240">
        <f t="shared" si="0"/>
        <v>40000000</v>
      </c>
      <c r="F37" s="52">
        <v>40000000</v>
      </c>
      <c r="G37" s="52">
        <v>0</v>
      </c>
      <c r="H37" s="52">
        <v>0</v>
      </c>
      <c r="I37" s="52">
        <v>0</v>
      </c>
      <c r="J37" s="765">
        <v>44958</v>
      </c>
      <c r="K37" s="765">
        <v>45290</v>
      </c>
      <c r="L37" s="397">
        <f>D38/D37</f>
        <v>0</v>
      </c>
      <c r="M37" s="397">
        <f>E38/E37</f>
        <v>0.52793447500000001</v>
      </c>
      <c r="N37" s="823">
        <v>0</v>
      </c>
      <c r="O37" s="251"/>
      <c r="P37" s="112"/>
      <c r="Q37" s="843"/>
      <c r="R37" s="844"/>
      <c r="S37" s="842"/>
      <c r="AA37" s="11"/>
    </row>
    <row r="38" spans="1:27" ht="27" customHeight="1">
      <c r="A38" s="579"/>
      <c r="B38" s="334" t="s">
        <v>0</v>
      </c>
      <c r="C38" s="764"/>
      <c r="D38" s="338">
        <v>0</v>
      </c>
      <c r="E38" s="240">
        <f t="shared" si="0"/>
        <v>21117379</v>
      </c>
      <c r="F38" s="52">
        <f>386656+20730723</f>
        <v>21117379</v>
      </c>
      <c r="G38" s="52">
        <v>0</v>
      </c>
      <c r="H38" s="52">
        <v>0</v>
      </c>
      <c r="I38" s="52">
        <v>0</v>
      </c>
      <c r="J38" s="765"/>
      <c r="K38" s="765"/>
      <c r="L38" s="397"/>
      <c r="M38" s="397"/>
      <c r="N38" s="823"/>
      <c r="O38" s="251"/>
      <c r="P38" s="112"/>
      <c r="Q38" s="101"/>
      <c r="R38" s="844"/>
      <c r="S38" s="842"/>
      <c r="AA38" s="11"/>
    </row>
    <row r="39" spans="1:27" ht="33" customHeight="1">
      <c r="A39" s="773" t="s">
        <v>485</v>
      </c>
      <c r="B39" s="330" t="s">
        <v>1</v>
      </c>
      <c r="C39" s="764" t="s">
        <v>462</v>
      </c>
      <c r="D39" s="338">
        <v>100</v>
      </c>
      <c r="E39" s="240">
        <f t="shared" si="0"/>
        <v>5000000</v>
      </c>
      <c r="F39" s="52">
        <v>5000000</v>
      </c>
      <c r="G39" s="52">
        <v>0</v>
      </c>
      <c r="H39" s="52">
        <v>0</v>
      </c>
      <c r="I39" s="52">
        <v>0</v>
      </c>
      <c r="J39" s="765">
        <v>44958</v>
      </c>
      <c r="K39" s="765">
        <v>45290</v>
      </c>
      <c r="L39" s="766">
        <f>D40/D39</f>
        <v>0</v>
      </c>
      <c r="M39" s="766">
        <f>E40/E39</f>
        <v>0</v>
      </c>
      <c r="N39" s="822">
        <v>0</v>
      </c>
      <c r="O39" s="251"/>
      <c r="P39" s="112"/>
      <c r="Q39" s="843"/>
      <c r="R39" s="844"/>
      <c r="S39" s="842"/>
    </row>
    <row r="40" spans="1:27" ht="33" customHeight="1">
      <c r="A40" s="763"/>
      <c r="B40" s="330" t="s">
        <v>0</v>
      </c>
      <c r="C40" s="764"/>
      <c r="D40" s="339">
        <v>0</v>
      </c>
      <c r="E40" s="240">
        <f t="shared" si="0"/>
        <v>0</v>
      </c>
      <c r="F40" s="52">
        <v>0</v>
      </c>
      <c r="G40" s="52">
        <v>0</v>
      </c>
      <c r="H40" s="52">
        <v>0</v>
      </c>
      <c r="I40" s="52">
        <v>0</v>
      </c>
      <c r="J40" s="765"/>
      <c r="K40" s="765"/>
      <c r="L40" s="766"/>
      <c r="M40" s="766"/>
      <c r="N40" s="822"/>
      <c r="O40" s="251"/>
      <c r="P40" s="112"/>
      <c r="Q40" s="101"/>
      <c r="R40" s="844"/>
      <c r="S40" s="842"/>
    </row>
    <row r="41" spans="1:27" ht="22.5" customHeight="1">
      <c r="A41" s="773" t="s">
        <v>128</v>
      </c>
      <c r="B41" s="330" t="s">
        <v>1</v>
      </c>
      <c r="C41" s="764" t="s">
        <v>106</v>
      </c>
      <c r="D41" s="340">
        <v>2</v>
      </c>
      <c r="E41" s="240">
        <f t="shared" si="0"/>
        <v>30000000</v>
      </c>
      <c r="F41" s="52">
        <v>30000000</v>
      </c>
      <c r="G41" s="52">
        <v>0</v>
      </c>
      <c r="H41" s="52">
        <v>0</v>
      </c>
      <c r="I41" s="52">
        <v>0</v>
      </c>
      <c r="J41" s="765">
        <v>44929</v>
      </c>
      <c r="K41" s="765">
        <v>45290</v>
      </c>
      <c r="L41" s="766">
        <f>D42/D41</f>
        <v>0</v>
      </c>
      <c r="M41" s="766">
        <f>E42/E41</f>
        <v>0.71666666666666667</v>
      </c>
      <c r="N41" s="822">
        <f>L41*L41/M41</f>
        <v>0</v>
      </c>
      <c r="O41" s="251"/>
      <c r="P41" s="112"/>
      <c r="Q41" s="843"/>
      <c r="R41" s="844"/>
      <c r="S41" s="842"/>
    </row>
    <row r="42" spans="1:27" ht="22.5" customHeight="1">
      <c r="A42" s="773"/>
      <c r="B42" s="330" t="s">
        <v>0</v>
      </c>
      <c r="C42" s="764"/>
      <c r="D42" s="340">
        <v>0</v>
      </c>
      <c r="E42" s="240">
        <f t="shared" si="0"/>
        <v>21500000</v>
      </c>
      <c r="F42" s="52">
        <v>21500000</v>
      </c>
      <c r="G42" s="52">
        <v>0</v>
      </c>
      <c r="H42" s="52">
        <v>0</v>
      </c>
      <c r="I42" s="52">
        <v>0</v>
      </c>
      <c r="J42" s="765"/>
      <c r="K42" s="765"/>
      <c r="L42" s="766"/>
      <c r="M42" s="766"/>
      <c r="N42" s="822"/>
      <c r="O42" s="251"/>
      <c r="P42" s="112"/>
      <c r="Q42" s="101"/>
      <c r="R42" s="844"/>
      <c r="S42" s="842"/>
    </row>
    <row r="43" spans="1:27" ht="22.5" customHeight="1">
      <c r="A43" s="762" t="s">
        <v>486</v>
      </c>
      <c r="B43" s="330" t="s">
        <v>1</v>
      </c>
      <c r="C43" s="764" t="s">
        <v>298</v>
      </c>
      <c r="D43" s="340">
        <v>2</v>
      </c>
      <c r="E43" s="240">
        <f t="shared" si="0"/>
        <v>5000000</v>
      </c>
      <c r="F43" s="52">
        <v>5000000</v>
      </c>
      <c r="G43" s="52">
        <v>0</v>
      </c>
      <c r="H43" s="52">
        <v>0</v>
      </c>
      <c r="I43" s="52">
        <v>0</v>
      </c>
      <c r="J43" s="765">
        <v>44971</v>
      </c>
      <c r="K43" s="765">
        <v>45290</v>
      </c>
      <c r="L43" s="766">
        <f>D44/D43</f>
        <v>0</v>
      </c>
      <c r="M43" s="766">
        <f>E44/E43</f>
        <v>1</v>
      </c>
      <c r="N43" s="822">
        <v>0</v>
      </c>
      <c r="O43" s="251"/>
      <c r="P43" s="112"/>
      <c r="Q43" s="101"/>
      <c r="R43" s="844"/>
      <c r="S43" s="842"/>
    </row>
    <row r="44" spans="1:27" ht="22.5" customHeight="1">
      <c r="A44" s="763"/>
      <c r="B44" s="330" t="s">
        <v>0</v>
      </c>
      <c r="C44" s="764"/>
      <c r="D44" s="340">
        <v>0</v>
      </c>
      <c r="E44" s="240">
        <f t="shared" si="0"/>
        <v>5000000</v>
      </c>
      <c r="F44" s="52">
        <f>3000000+2000000</f>
        <v>5000000</v>
      </c>
      <c r="G44" s="52">
        <v>0</v>
      </c>
      <c r="H44" s="52">
        <v>0</v>
      </c>
      <c r="I44" s="52">
        <v>0</v>
      </c>
      <c r="J44" s="765"/>
      <c r="K44" s="765"/>
      <c r="L44" s="766"/>
      <c r="M44" s="766"/>
      <c r="N44" s="822"/>
      <c r="O44" s="251"/>
      <c r="P44" s="112"/>
      <c r="Q44" s="101"/>
      <c r="R44" s="844"/>
      <c r="S44" s="842"/>
    </row>
    <row r="45" spans="1:27" ht="22.5" customHeight="1">
      <c r="A45" s="762" t="s">
        <v>292</v>
      </c>
      <c r="B45" s="330" t="s">
        <v>1</v>
      </c>
      <c r="C45" s="764" t="s">
        <v>299</v>
      </c>
      <c r="D45" s="340">
        <v>1</v>
      </c>
      <c r="E45" s="240">
        <f t="shared" si="0"/>
        <v>2500000</v>
      </c>
      <c r="F45" s="52">
        <v>2500000</v>
      </c>
      <c r="G45" s="52">
        <v>0</v>
      </c>
      <c r="H45" s="52">
        <v>0</v>
      </c>
      <c r="I45" s="52">
        <v>0</v>
      </c>
      <c r="J45" s="765">
        <v>44971</v>
      </c>
      <c r="K45" s="765">
        <v>45290</v>
      </c>
      <c r="L45" s="766">
        <f>D46/D45</f>
        <v>0</v>
      </c>
      <c r="M45" s="766">
        <f>E46/E45</f>
        <v>0.8</v>
      </c>
      <c r="N45" s="822">
        <v>0</v>
      </c>
      <c r="O45" s="251"/>
      <c r="P45" s="112"/>
      <c r="Q45" s="101"/>
      <c r="R45" s="844"/>
      <c r="S45" s="842"/>
    </row>
    <row r="46" spans="1:27" ht="22.5" customHeight="1">
      <c r="A46" s="763"/>
      <c r="B46" s="330" t="s">
        <v>0</v>
      </c>
      <c r="C46" s="764"/>
      <c r="D46" s="340">
        <v>0</v>
      </c>
      <c r="E46" s="240">
        <f t="shared" si="0"/>
        <v>2000000</v>
      </c>
      <c r="F46" s="52">
        <f>1000000+1000000</f>
        <v>2000000</v>
      </c>
      <c r="G46" s="52">
        <v>0</v>
      </c>
      <c r="H46" s="52">
        <v>0</v>
      </c>
      <c r="I46" s="52">
        <v>0</v>
      </c>
      <c r="J46" s="765"/>
      <c r="K46" s="765"/>
      <c r="L46" s="766"/>
      <c r="M46" s="766"/>
      <c r="N46" s="822"/>
      <c r="O46" s="251"/>
      <c r="Q46" s="112"/>
      <c r="R46" s="845"/>
      <c r="S46" s="842"/>
    </row>
    <row r="47" spans="1:27" ht="24.75" customHeight="1">
      <c r="A47" s="776" t="s">
        <v>293</v>
      </c>
      <c r="B47" s="341" t="s">
        <v>1</v>
      </c>
      <c r="C47" s="778" t="s">
        <v>298</v>
      </c>
      <c r="D47" s="340">
        <v>1</v>
      </c>
      <c r="E47" s="240">
        <f t="shared" si="0"/>
        <v>2500000</v>
      </c>
      <c r="F47" s="52">
        <v>2500000</v>
      </c>
      <c r="G47" s="52">
        <v>0</v>
      </c>
      <c r="H47" s="52">
        <v>0</v>
      </c>
      <c r="I47" s="52">
        <v>0</v>
      </c>
      <c r="J47" s="765">
        <v>44971</v>
      </c>
      <c r="K47" s="765">
        <v>45290</v>
      </c>
      <c r="L47" s="766">
        <f>D48/D47</f>
        <v>0</v>
      </c>
      <c r="M47" s="766">
        <f>E48/E47</f>
        <v>0.8</v>
      </c>
      <c r="N47" s="822">
        <v>0</v>
      </c>
      <c r="O47" s="251"/>
      <c r="P47" s="112"/>
      <c r="Q47" s="843"/>
      <c r="R47" s="844"/>
      <c r="S47" s="842"/>
    </row>
    <row r="48" spans="1:27" ht="24.75" customHeight="1">
      <c r="A48" s="777"/>
      <c r="B48" s="341" t="s">
        <v>0</v>
      </c>
      <c r="C48" s="778"/>
      <c r="D48" s="340">
        <v>0</v>
      </c>
      <c r="E48" s="240">
        <f t="shared" si="0"/>
        <v>2000000</v>
      </c>
      <c r="F48" s="52">
        <f>1000000+1000000</f>
        <v>2000000</v>
      </c>
      <c r="G48" s="52">
        <v>0</v>
      </c>
      <c r="H48" s="52">
        <v>0</v>
      </c>
      <c r="I48" s="52">
        <v>0</v>
      </c>
      <c r="J48" s="765"/>
      <c r="K48" s="765"/>
      <c r="L48" s="766"/>
      <c r="M48" s="766"/>
      <c r="N48" s="822"/>
      <c r="O48" s="251"/>
      <c r="P48" s="112"/>
      <c r="Q48" s="101"/>
      <c r="R48" s="844"/>
      <c r="S48" s="842"/>
      <c r="U48" s="251"/>
      <c r="W48" s="847"/>
    </row>
    <row r="49" spans="1:52" ht="18">
      <c r="A49" s="588" t="s">
        <v>6</v>
      </c>
      <c r="B49" s="26" t="s">
        <v>1</v>
      </c>
      <c r="C49" s="589"/>
      <c r="D49" s="53"/>
      <c r="E49" s="54">
        <f t="shared" ref="E49:I50" si="1">SUM(E17+E19+E21+E23+E25+E27+E29+E31+E33+E35+E37+E39+E41+E43+E45+E47)</f>
        <v>1100000000</v>
      </c>
      <c r="F49" s="54">
        <f t="shared" si="1"/>
        <v>1100000000</v>
      </c>
      <c r="G49" s="54">
        <f t="shared" si="1"/>
        <v>0</v>
      </c>
      <c r="H49" s="54">
        <f t="shared" si="1"/>
        <v>0</v>
      </c>
      <c r="I49" s="54">
        <f t="shared" si="1"/>
        <v>0</v>
      </c>
      <c r="J49" s="28"/>
      <c r="K49" s="55"/>
      <c r="L49" s="55"/>
      <c r="M49" s="55"/>
      <c r="N49" s="824"/>
      <c r="P49" s="112"/>
      <c r="R49" s="844"/>
      <c r="S49" s="842"/>
      <c r="U49" s="251"/>
    </row>
    <row r="50" spans="1:52" ht="18">
      <c r="A50" s="588"/>
      <c r="B50" s="26" t="s">
        <v>0</v>
      </c>
      <c r="C50" s="590"/>
      <c r="D50" s="53"/>
      <c r="E50" s="54">
        <f t="shared" si="1"/>
        <v>814197879</v>
      </c>
      <c r="F50" s="54">
        <f t="shared" si="1"/>
        <v>814197879</v>
      </c>
      <c r="G50" s="54">
        <f t="shared" si="1"/>
        <v>0</v>
      </c>
      <c r="H50" s="54">
        <f t="shared" si="1"/>
        <v>0</v>
      </c>
      <c r="I50" s="54">
        <f t="shared" si="1"/>
        <v>0</v>
      </c>
      <c r="J50" s="28"/>
      <c r="K50" s="55"/>
      <c r="L50" s="55"/>
      <c r="M50" s="55"/>
      <c r="N50" s="824"/>
      <c r="P50" s="112"/>
      <c r="R50" s="844"/>
      <c r="S50" s="842"/>
    </row>
    <row r="51" spans="1:52" ht="18">
      <c r="B51" s="8"/>
      <c r="E51" s="21"/>
      <c r="F51" s="20"/>
      <c r="G51" s="13"/>
      <c r="H51" s="13"/>
      <c r="I51" s="13"/>
      <c r="J51" s="56"/>
      <c r="K51" s="56"/>
      <c r="L51" s="20"/>
      <c r="M51" s="57"/>
      <c r="N51" s="825"/>
      <c r="O51" s="825"/>
      <c r="P51" s="825"/>
      <c r="Q51" s="825"/>
      <c r="R51" s="848"/>
      <c r="S51" s="842"/>
    </row>
    <row r="52" spans="1:52" ht="18">
      <c r="A52" s="294" t="s">
        <v>5</v>
      </c>
      <c r="B52" s="630" t="s">
        <v>4</v>
      </c>
      <c r="C52" s="631"/>
      <c r="D52" s="632"/>
      <c r="E52" s="630" t="s">
        <v>3</v>
      </c>
      <c r="F52" s="631"/>
      <c r="G52" s="631"/>
      <c r="H52" s="632"/>
      <c r="I52" s="342"/>
      <c r="J52" s="781" t="s">
        <v>2</v>
      </c>
      <c r="K52" s="782"/>
      <c r="L52" s="782"/>
      <c r="M52" s="782"/>
      <c r="N52" s="782"/>
      <c r="R52" s="848"/>
      <c r="S52" s="842"/>
    </row>
    <row r="53" spans="1:52" ht="38.25" customHeight="1">
      <c r="A53" s="783" t="s">
        <v>607</v>
      </c>
      <c r="B53" s="779" t="s">
        <v>608</v>
      </c>
      <c r="C53" s="779"/>
      <c r="D53" s="779"/>
      <c r="E53" s="780" t="s">
        <v>70</v>
      </c>
      <c r="F53" s="780"/>
      <c r="G53" s="780"/>
      <c r="H53" s="343" t="s">
        <v>1</v>
      </c>
      <c r="I53" s="344">
        <v>1</v>
      </c>
      <c r="J53" s="628" t="s">
        <v>609</v>
      </c>
      <c r="K53" s="384"/>
      <c r="L53" s="384"/>
      <c r="M53" s="384"/>
      <c r="N53" s="385"/>
      <c r="O53" s="849"/>
      <c r="P53" s="849"/>
      <c r="Q53" s="849"/>
      <c r="R53" s="850"/>
      <c r="S53" s="851"/>
      <c r="T53" s="849"/>
      <c r="U53" s="849"/>
      <c r="V53" s="849"/>
      <c r="W53" s="849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</row>
    <row r="54" spans="1:52" ht="38.25" customHeight="1">
      <c r="A54" s="783"/>
      <c r="B54" s="779"/>
      <c r="C54" s="779"/>
      <c r="D54" s="779"/>
      <c r="E54" s="780"/>
      <c r="F54" s="780"/>
      <c r="G54" s="780"/>
      <c r="H54" s="343" t="s">
        <v>0</v>
      </c>
      <c r="I54" s="344">
        <v>0</v>
      </c>
      <c r="J54" s="385"/>
      <c r="K54" s="384"/>
      <c r="L54" s="384"/>
      <c r="M54" s="384"/>
      <c r="N54" s="385"/>
      <c r="O54" s="849"/>
      <c r="P54" s="849"/>
      <c r="Q54" s="849"/>
      <c r="R54" s="850"/>
      <c r="S54" s="851"/>
      <c r="T54" s="849"/>
      <c r="U54" s="849"/>
      <c r="V54" s="849"/>
      <c r="W54" s="849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</row>
    <row r="55" spans="1:52" ht="39" customHeight="1">
      <c r="A55" s="783" t="s">
        <v>607</v>
      </c>
      <c r="B55" s="779" t="s">
        <v>610</v>
      </c>
      <c r="C55" s="779"/>
      <c r="D55" s="779"/>
      <c r="E55" s="780" t="s">
        <v>71</v>
      </c>
      <c r="F55" s="780"/>
      <c r="G55" s="780"/>
      <c r="H55" s="345" t="s">
        <v>1</v>
      </c>
      <c r="I55" s="331">
        <v>1</v>
      </c>
      <c r="J55" s="385"/>
      <c r="K55" s="384"/>
      <c r="L55" s="384"/>
      <c r="M55" s="384"/>
      <c r="N55" s="385"/>
      <c r="O55" s="849"/>
      <c r="P55" s="849"/>
      <c r="Q55" s="849"/>
      <c r="R55" s="850"/>
      <c r="S55" s="851"/>
      <c r="T55" s="849"/>
      <c r="U55" s="849"/>
      <c r="V55" s="849"/>
      <c r="W55" s="849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</row>
    <row r="56" spans="1:52" ht="39" customHeight="1">
      <c r="A56" s="783"/>
      <c r="B56" s="779"/>
      <c r="C56" s="779"/>
      <c r="D56" s="779"/>
      <c r="E56" s="780"/>
      <c r="F56" s="780"/>
      <c r="G56" s="780"/>
      <c r="H56" s="345" t="s">
        <v>0</v>
      </c>
      <c r="I56" s="331">
        <v>0</v>
      </c>
      <c r="J56" s="385"/>
      <c r="K56" s="384"/>
      <c r="L56" s="384"/>
      <c r="M56" s="384"/>
      <c r="N56" s="385"/>
      <c r="O56" s="849"/>
      <c r="P56" s="849"/>
      <c r="Q56" s="849"/>
      <c r="R56" s="850"/>
      <c r="S56" s="851"/>
      <c r="T56" s="849"/>
      <c r="U56" s="849"/>
      <c r="V56" s="849"/>
      <c r="W56" s="849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</row>
    <row r="57" spans="1:52" ht="45" customHeight="1">
      <c r="A57" s="783" t="s">
        <v>607</v>
      </c>
      <c r="B57" s="784" t="s">
        <v>611</v>
      </c>
      <c r="C57" s="779"/>
      <c r="D57" s="779"/>
      <c r="E57" s="780" t="s">
        <v>72</v>
      </c>
      <c r="F57" s="780"/>
      <c r="G57" s="780"/>
      <c r="H57" s="343" t="s">
        <v>1</v>
      </c>
      <c r="I57" s="346">
        <v>1</v>
      </c>
      <c r="J57" s="385"/>
      <c r="K57" s="384"/>
      <c r="L57" s="384"/>
      <c r="M57" s="384"/>
      <c r="N57" s="385"/>
      <c r="O57" s="849"/>
      <c r="P57" s="849"/>
      <c r="Q57" s="849"/>
      <c r="R57" s="850"/>
      <c r="S57" s="851"/>
      <c r="T57" s="849"/>
      <c r="U57" s="849"/>
      <c r="V57" s="849"/>
      <c r="W57" s="849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</row>
    <row r="58" spans="1:52" ht="45" customHeight="1">
      <c r="A58" s="783"/>
      <c r="B58" s="779"/>
      <c r="C58" s="779"/>
      <c r="D58" s="779"/>
      <c r="E58" s="780"/>
      <c r="F58" s="780"/>
      <c r="G58" s="780"/>
      <c r="H58" s="343" t="s">
        <v>0</v>
      </c>
      <c r="I58" s="346">
        <v>0</v>
      </c>
      <c r="J58" s="385"/>
      <c r="K58" s="384"/>
      <c r="L58" s="384"/>
      <c r="M58" s="384"/>
      <c r="N58" s="385"/>
      <c r="O58" s="849"/>
      <c r="P58" s="849"/>
      <c r="Q58" s="849"/>
      <c r="R58" s="850"/>
      <c r="S58" s="851"/>
      <c r="T58" s="849"/>
      <c r="U58" s="849"/>
      <c r="V58" s="849"/>
      <c r="W58" s="849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</row>
    <row r="59" spans="1:52" ht="43.5" customHeight="1">
      <c r="A59" s="783" t="s">
        <v>607</v>
      </c>
      <c r="B59" s="785" t="s">
        <v>612</v>
      </c>
      <c r="C59" s="779"/>
      <c r="D59" s="779"/>
      <c r="E59" s="780" t="s">
        <v>73</v>
      </c>
      <c r="F59" s="780"/>
      <c r="G59" s="780"/>
      <c r="H59" s="343" t="s">
        <v>1</v>
      </c>
      <c r="I59" s="346">
        <v>1</v>
      </c>
      <c r="J59" s="385"/>
      <c r="K59" s="384"/>
      <c r="L59" s="384"/>
      <c r="M59" s="384"/>
      <c r="N59" s="385"/>
      <c r="O59" s="849"/>
      <c r="P59" s="849"/>
      <c r="Q59" s="849"/>
      <c r="R59" s="850"/>
      <c r="S59" s="851"/>
      <c r="T59" s="849"/>
      <c r="U59" s="849"/>
      <c r="V59" s="849"/>
      <c r="W59" s="849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</row>
    <row r="60" spans="1:52" ht="43.5" customHeight="1">
      <c r="A60" s="783"/>
      <c r="B60" s="779"/>
      <c r="C60" s="779"/>
      <c r="D60" s="779"/>
      <c r="E60" s="780"/>
      <c r="F60" s="780"/>
      <c r="G60" s="780"/>
      <c r="H60" s="343" t="s">
        <v>0</v>
      </c>
      <c r="I60" s="346">
        <v>0</v>
      </c>
      <c r="J60" s="385"/>
      <c r="K60" s="384"/>
      <c r="L60" s="384"/>
      <c r="M60" s="384"/>
      <c r="N60" s="385"/>
      <c r="O60" s="849"/>
      <c r="P60" s="849"/>
      <c r="Q60" s="849"/>
      <c r="R60" s="850"/>
      <c r="S60" s="851"/>
      <c r="T60" s="849"/>
      <c r="U60" s="849"/>
      <c r="V60" s="849"/>
      <c r="W60" s="849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</row>
    <row r="61" spans="1:52" ht="43.5" customHeight="1">
      <c r="A61" s="783" t="s">
        <v>607</v>
      </c>
      <c r="B61" s="784" t="s">
        <v>613</v>
      </c>
      <c r="C61" s="779"/>
      <c r="D61" s="779"/>
      <c r="E61" s="780" t="s">
        <v>74</v>
      </c>
      <c r="F61" s="780"/>
      <c r="G61" s="780"/>
      <c r="H61" s="343" t="s">
        <v>1</v>
      </c>
      <c r="I61" s="346">
        <v>15</v>
      </c>
      <c r="J61" s="385"/>
      <c r="K61" s="384"/>
      <c r="L61" s="384"/>
      <c r="M61" s="384"/>
      <c r="N61" s="385"/>
      <c r="O61" s="849"/>
      <c r="P61" s="849"/>
      <c r="Q61" s="849"/>
      <c r="R61" s="850"/>
      <c r="S61" s="851"/>
      <c r="T61" s="849"/>
      <c r="U61" s="849"/>
      <c r="V61" s="849"/>
      <c r="W61" s="849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</row>
    <row r="62" spans="1:52" ht="43.5" customHeight="1">
      <c r="A62" s="783"/>
      <c r="B62" s="779"/>
      <c r="C62" s="779"/>
      <c r="D62" s="779"/>
      <c r="E62" s="780"/>
      <c r="F62" s="780"/>
      <c r="G62" s="780"/>
      <c r="H62" s="343" t="s">
        <v>0</v>
      </c>
      <c r="I62" s="346">
        <v>0</v>
      </c>
      <c r="J62" s="385"/>
      <c r="K62" s="384"/>
      <c r="L62" s="384"/>
      <c r="M62" s="384"/>
      <c r="N62" s="385"/>
      <c r="O62" s="849"/>
      <c r="P62" s="849"/>
      <c r="Q62" s="849"/>
      <c r="R62" s="850"/>
      <c r="S62" s="851"/>
      <c r="T62" s="849"/>
      <c r="U62" s="849"/>
      <c r="V62" s="849"/>
      <c r="W62" s="849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</row>
    <row r="63" spans="1:52" ht="48.75" customHeight="1">
      <c r="A63" s="783" t="s">
        <v>607</v>
      </c>
      <c r="B63" s="784" t="s">
        <v>614</v>
      </c>
      <c r="C63" s="779"/>
      <c r="D63" s="779"/>
      <c r="E63" s="780" t="s">
        <v>75</v>
      </c>
      <c r="F63" s="780"/>
      <c r="G63" s="780"/>
      <c r="H63" s="343" t="s">
        <v>1</v>
      </c>
      <c r="I63" s="346">
        <v>1</v>
      </c>
      <c r="J63" s="385"/>
      <c r="K63" s="384"/>
      <c r="L63" s="384"/>
      <c r="M63" s="384"/>
      <c r="N63" s="385"/>
      <c r="O63" s="849"/>
      <c r="P63" s="849"/>
      <c r="Q63" s="849"/>
      <c r="R63" s="850"/>
      <c r="S63" s="851"/>
      <c r="T63" s="849"/>
      <c r="U63" s="849"/>
      <c r="V63" s="849"/>
      <c r="W63" s="849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</row>
    <row r="64" spans="1:52" ht="48.75" customHeight="1">
      <c r="A64" s="783"/>
      <c r="B64" s="779"/>
      <c r="C64" s="779"/>
      <c r="D64" s="779"/>
      <c r="E64" s="780"/>
      <c r="F64" s="780"/>
      <c r="G64" s="780"/>
      <c r="H64" s="343" t="s">
        <v>0</v>
      </c>
      <c r="I64" s="346">
        <v>0</v>
      </c>
      <c r="J64" s="385"/>
      <c r="K64" s="384"/>
      <c r="L64" s="384"/>
      <c r="M64" s="384"/>
      <c r="N64" s="385"/>
      <c r="O64" s="849"/>
      <c r="P64" s="849"/>
      <c r="Q64" s="849"/>
      <c r="R64" s="850"/>
      <c r="S64" s="849"/>
      <c r="T64" s="849"/>
      <c r="U64" s="849"/>
      <c r="V64" s="849"/>
      <c r="W64" s="849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</row>
    <row r="65" spans="1:52" ht="49.5" customHeight="1">
      <c r="A65" s="783" t="s">
        <v>607</v>
      </c>
      <c r="B65" s="779" t="s">
        <v>615</v>
      </c>
      <c r="C65" s="779"/>
      <c r="D65" s="779"/>
      <c r="E65" s="780" t="s">
        <v>76</v>
      </c>
      <c r="F65" s="780"/>
      <c r="G65" s="780"/>
      <c r="H65" s="343" t="s">
        <v>1</v>
      </c>
      <c r="I65" s="346">
        <v>1</v>
      </c>
      <c r="J65" s="385"/>
      <c r="K65" s="384"/>
      <c r="L65" s="384"/>
      <c r="M65" s="384"/>
      <c r="N65" s="385"/>
      <c r="O65" s="849"/>
      <c r="P65" s="849"/>
      <c r="Q65" s="849"/>
      <c r="R65" s="850"/>
      <c r="S65" s="849"/>
      <c r="T65" s="849"/>
      <c r="U65" s="849"/>
      <c r="V65" s="849"/>
      <c r="W65" s="849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</row>
    <row r="66" spans="1:52" ht="49.5" customHeight="1">
      <c r="A66" s="783"/>
      <c r="B66" s="779"/>
      <c r="C66" s="779"/>
      <c r="D66" s="779"/>
      <c r="E66" s="780"/>
      <c r="F66" s="780"/>
      <c r="G66" s="780"/>
      <c r="H66" s="343" t="s">
        <v>0</v>
      </c>
      <c r="I66" s="346">
        <v>0</v>
      </c>
      <c r="J66" s="385"/>
      <c r="K66" s="384"/>
      <c r="L66" s="384"/>
      <c r="M66" s="384"/>
      <c r="N66" s="385"/>
      <c r="O66" s="849"/>
      <c r="P66" s="849"/>
      <c r="Q66" s="849"/>
      <c r="R66" s="849"/>
      <c r="S66" s="849"/>
      <c r="T66" s="849"/>
      <c r="U66" s="849"/>
      <c r="V66" s="849"/>
      <c r="W66" s="849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</row>
    <row r="67" spans="1:52" ht="34.5" customHeight="1">
      <c r="A67" s="783" t="s">
        <v>607</v>
      </c>
      <c r="B67" s="779" t="s">
        <v>616</v>
      </c>
      <c r="C67" s="779"/>
      <c r="D67" s="779"/>
      <c r="E67" s="780" t="s">
        <v>77</v>
      </c>
      <c r="F67" s="780"/>
      <c r="G67" s="780"/>
      <c r="H67" s="343" t="s">
        <v>1</v>
      </c>
      <c r="I67" s="346">
        <v>3</v>
      </c>
      <c r="J67" s="385"/>
      <c r="K67" s="384"/>
      <c r="L67" s="384"/>
      <c r="M67" s="384"/>
      <c r="N67" s="385"/>
      <c r="O67" s="849"/>
      <c r="P67" s="849"/>
      <c r="Q67" s="849"/>
      <c r="R67" s="849"/>
      <c r="S67" s="849"/>
      <c r="T67" s="849"/>
      <c r="U67" s="849"/>
      <c r="V67" s="849"/>
      <c r="W67" s="849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</row>
    <row r="68" spans="1:52" ht="34.5" customHeight="1">
      <c r="A68" s="783"/>
      <c r="B68" s="779"/>
      <c r="C68" s="779"/>
      <c r="D68" s="779"/>
      <c r="E68" s="780"/>
      <c r="F68" s="780"/>
      <c r="G68" s="780"/>
      <c r="H68" s="343" t="s">
        <v>0</v>
      </c>
      <c r="I68" s="346">
        <v>0</v>
      </c>
      <c r="J68" s="385"/>
      <c r="K68" s="384"/>
      <c r="L68" s="384"/>
      <c r="M68" s="384"/>
      <c r="N68" s="385"/>
      <c r="O68" s="849"/>
      <c r="P68" s="849"/>
      <c r="Q68" s="849"/>
      <c r="R68" s="849"/>
      <c r="S68" s="849"/>
      <c r="T68" s="849"/>
      <c r="U68" s="849"/>
      <c r="V68" s="849"/>
      <c r="W68" s="849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</row>
    <row r="69" spans="1:52" ht="27" customHeight="1">
      <c r="A69" s="783" t="s">
        <v>607</v>
      </c>
      <c r="B69" s="779" t="s">
        <v>617</v>
      </c>
      <c r="C69" s="779"/>
      <c r="D69" s="779"/>
      <c r="E69" s="780" t="s">
        <v>78</v>
      </c>
      <c r="F69" s="780"/>
      <c r="G69" s="780"/>
      <c r="H69" s="343" t="s">
        <v>1</v>
      </c>
      <c r="I69" s="346">
        <v>1</v>
      </c>
      <c r="J69" s="385"/>
      <c r="K69" s="384"/>
      <c r="L69" s="384"/>
      <c r="M69" s="384"/>
      <c r="N69" s="385"/>
      <c r="O69" s="849"/>
      <c r="P69" s="849"/>
      <c r="Q69" s="849"/>
      <c r="R69" s="849"/>
      <c r="S69" s="849"/>
      <c r="T69" s="849"/>
      <c r="U69" s="849"/>
      <c r="V69" s="849"/>
      <c r="W69" s="849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</row>
    <row r="70" spans="1:52" ht="27" customHeight="1">
      <c r="A70" s="783"/>
      <c r="B70" s="779"/>
      <c r="C70" s="779"/>
      <c r="D70" s="779"/>
      <c r="E70" s="780"/>
      <c r="F70" s="780"/>
      <c r="G70" s="780"/>
      <c r="H70" s="343" t="s">
        <v>0</v>
      </c>
      <c r="I70" s="346">
        <v>0</v>
      </c>
      <c r="J70" s="385"/>
      <c r="K70" s="384"/>
      <c r="L70" s="384"/>
      <c r="M70" s="384"/>
      <c r="N70" s="385"/>
      <c r="O70" s="849"/>
      <c r="P70" s="849"/>
      <c r="Q70" s="849"/>
      <c r="R70" s="849"/>
      <c r="S70" s="849"/>
      <c r="T70" s="849"/>
      <c r="U70" s="849"/>
      <c r="V70" s="849"/>
      <c r="W70" s="849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</row>
    <row r="71" spans="1:52" ht="50.25" customHeight="1">
      <c r="A71" s="783" t="s">
        <v>607</v>
      </c>
      <c r="B71" s="779" t="s">
        <v>618</v>
      </c>
      <c r="C71" s="779"/>
      <c r="D71" s="779"/>
      <c r="E71" s="780" t="s">
        <v>79</v>
      </c>
      <c r="F71" s="780"/>
      <c r="G71" s="780"/>
      <c r="H71" s="343" t="s">
        <v>1</v>
      </c>
      <c r="I71" s="344">
        <v>1</v>
      </c>
      <c r="J71" s="385"/>
      <c r="K71" s="384"/>
      <c r="L71" s="384"/>
      <c r="M71" s="384"/>
      <c r="N71" s="385"/>
      <c r="O71" s="849"/>
      <c r="P71" s="849"/>
      <c r="Q71" s="849"/>
      <c r="R71" s="849"/>
      <c r="S71" s="849"/>
      <c r="T71" s="849"/>
      <c r="U71" s="849"/>
      <c r="V71" s="849"/>
      <c r="W71" s="849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</row>
    <row r="72" spans="1:52" ht="50.25" customHeight="1">
      <c r="A72" s="783"/>
      <c r="B72" s="779"/>
      <c r="C72" s="779"/>
      <c r="D72" s="779"/>
      <c r="E72" s="780"/>
      <c r="F72" s="780"/>
      <c r="G72" s="780"/>
      <c r="H72" s="343" t="s">
        <v>0</v>
      </c>
      <c r="I72" s="344">
        <v>0</v>
      </c>
      <c r="J72" s="385"/>
      <c r="K72" s="384"/>
      <c r="L72" s="384"/>
      <c r="M72" s="384"/>
      <c r="N72" s="385"/>
      <c r="O72" s="849"/>
      <c r="P72" s="849"/>
      <c r="Q72" s="849"/>
      <c r="R72" s="849"/>
      <c r="S72" s="849"/>
      <c r="T72" s="849"/>
      <c r="U72" s="849"/>
      <c r="V72" s="849"/>
      <c r="W72" s="849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</row>
    <row r="73" spans="1:52" ht="15.75">
      <c r="A73" s="389" t="s">
        <v>284</v>
      </c>
      <c r="B73" s="389"/>
      <c r="C73" s="389"/>
      <c r="D73" s="389"/>
      <c r="E73" s="389"/>
      <c r="F73" s="389"/>
      <c r="G73" s="389"/>
      <c r="H73" s="389"/>
      <c r="I73" s="389"/>
      <c r="J73" s="389"/>
      <c r="K73" s="389"/>
      <c r="L73" s="389"/>
      <c r="M73" s="389"/>
      <c r="N73" s="389"/>
      <c r="O73" s="849"/>
      <c r="P73" s="849"/>
      <c r="Q73" s="849"/>
      <c r="R73" s="849"/>
      <c r="S73" s="849"/>
      <c r="T73" s="849"/>
      <c r="U73" s="849"/>
      <c r="V73" s="849"/>
      <c r="W73" s="849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</row>
    <row r="74" spans="1:52">
      <c r="O74" s="849"/>
      <c r="P74" s="849"/>
      <c r="Q74" s="849"/>
      <c r="R74" s="849"/>
      <c r="S74" s="849"/>
      <c r="T74" s="849"/>
      <c r="U74" s="849"/>
      <c r="V74" s="849"/>
      <c r="W74" s="849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</row>
    <row r="75" spans="1:52">
      <c r="O75" s="849"/>
      <c r="P75" s="849"/>
      <c r="Q75" s="849"/>
      <c r="R75" s="849"/>
      <c r="S75" s="849"/>
      <c r="T75" s="849"/>
      <c r="U75" s="849"/>
      <c r="V75" s="849"/>
      <c r="W75" s="849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</row>
    <row r="76" spans="1:52">
      <c r="O76" s="849"/>
      <c r="P76" s="849"/>
      <c r="Q76" s="849"/>
      <c r="R76" s="849"/>
      <c r="S76" s="849"/>
      <c r="T76" s="849"/>
      <c r="U76" s="849"/>
      <c r="V76" s="849"/>
      <c r="W76" s="849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</row>
    <row r="77" spans="1:52">
      <c r="O77" s="849"/>
      <c r="P77" s="849"/>
      <c r="Q77" s="849"/>
      <c r="R77" s="849"/>
      <c r="S77" s="849"/>
      <c r="T77" s="849"/>
      <c r="U77" s="849"/>
      <c r="V77" s="849"/>
      <c r="W77" s="849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</row>
    <row r="78" spans="1:52">
      <c r="O78" s="849"/>
      <c r="P78" s="849"/>
      <c r="Q78" s="849"/>
      <c r="R78" s="849"/>
      <c r="S78" s="849"/>
      <c r="T78" s="849"/>
      <c r="U78" s="849"/>
      <c r="V78" s="849"/>
      <c r="W78" s="849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</row>
    <row r="79" spans="1:52">
      <c r="C79" s="71"/>
      <c r="O79" s="849"/>
      <c r="P79" s="849"/>
      <c r="Q79" s="849"/>
      <c r="R79" s="849"/>
      <c r="S79" s="849"/>
      <c r="T79" s="849"/>
      <c r="U79" s="849"/>
      <c r="V79" s="849"/>
      <c r="W79" s="849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</row>
    <row r="80" spans="1:52">
      <c r="O80" s="849"/>
      <c r="P80" s="849"/>
      <c r="Q80" s="849"/>
      <c r="R80" s="849"/>
      <c r="S80" s="849"/>
      <c r="T80" s="849"/>
      <c r="U80" s="849"/>
      <c r="V80" s="849"/>
      <c r="W80" s="849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</row>
  </sheetData>
  <mergeCells count="190">
    <mergeCell ref="A73:N73"/>
    <mergeCell ref="A69:A70"/>
    <mergeCell ref="B69:D70"/>
    <mergeCell ref="E69:G70"/>
    <mergeCell ref="A71:A72"/>
    <mergeCell ref="B71:D72"/>
    <mergeCell ref="E71:G72"/>
    <mergeCell ref="A65:A66"/>
    <mergeCell ref="B65:D66"/>
    <mergeCell ref="E65:G66"/>
    <mergeCell ref="A67:A68"/>
    <mergeCell ref="B67:D68"/>
    <mergeCell ref="E67:G68"/>
    <mergeCell ref="B55:D56"/>
    <mergeCell ref="E55:G56"/>
    <mergeCell ref="J53:N72"/>
    <mergeCell ref="A49:A50"/>
    <mergeCell ref="C49:C50"/>
    <mergeCell ref="B52:D52"/>
    <mergeCell ref="E52:H52"/>
    <mergeCell ref="J52:N52"/>
    <mergeCell ref="A61:A62"/>
    <mergeCell ref="B61:D62"/>
    <mergeCell ref="E61:G62"/>
    <mergeCell ref="A63:A64"/>
    <mergeCell ref="B63:D64"/>
    <mergeCell ref="E63:G64"/>
    <mergeCell ref="A57:A58"/>
    <mergeCell ref="B57:D58"/>
    <mergeCell ref="E57:G58"/>
    <mergeCell ref="A59:A60"/>
    <mergeCell ref="B59:D60"/>
    <mergeCell ref="E59:G60"/>
    <mergeCell ref="A53:A54"/>
    <mergeCell ref="B53:D54"/>
    <mergeCell ref="E53:G54"/>
    <mergeCell ref="A55:A56"/>
    <mergeCell ref="N47:N48"/>
    <mergeCell ref="A33:A34"/>
    <mergeCell ref="C33:C34"/>
    <mergeCell ref="J33:J34"/>
    <mergeCell ref="K33:K34"/>
    <mergeCell ref="L33:L34"/>
    <mergeCell ref="M33:M34"/>
    <mergeCell ref="N33:N34"/>
    <mergeCell ref="A47:A48"/>
    <mergeCell ref="C47:C48"/>
    <mergeCell ref="J47:J48"/>
    <mergeCell ref="K47:K48"/>
    <mergeCell ref="L47:L48"/>
    <mergeCell ref="M47:M48"/>
    <mergeCell ref="A41:A42"/>
    <mergeCell ref="C41:C42"/>
    <mergeCell ref="J41:J42"/>
    <mergeCell ref="K41:K42"/>
    <mergeCell ref="L41:L42"/>
    <mergeCell ref="M41:M42"/>
    <mergeCell ref="N41:N42"/>
    <mergeCell ref="N39:N40"/>
    <mergeCell ref="A39:A40"/>
    <mergeCell ref="C39:C40"/>
    <mergeCell ref="M39:M40"/>
    <mergeCell ref="N25:N26"/>
    <mergeCell ref="M25:M26"/>
    <mergeCell ref="L25:L26"/>
    <mergeCell ref="K25:K26"/>
    <mergeCell ref="J25:J26"/>
    <mergeCell ref="J31:J32"/>
    <mergeCell ref="K31:K32"/>
    <mergeCell ref="L31:L32"/>
    <mergeCell ref="C25:C26"/>
    <mergeCell ref="A25:A26"/>
    <mergeCell ref="N29:N30"/>
    <mergeCell ref="A29:A30"/>
    <mergeCell ref="C29:C30"/>
    <mergeCell ref="A27:A28"/>
    <mergeCell ref="C27:C28"/>
    <mergeCell ref="J27:J28"/>
    <mergeCell ref="K27:K28"/>
    <mergeCell ref="L27:L28"/>
    <mergeCell ref="M27:M28"/>
    <mergeCell ref="N27:N28"/>
    <mergeCell ref="T17:U17"/>
    <mergeCell ref="A19:A20"/>
    <mergeCell ref="C19:C20"/>
    <mergeCell ref="J19:J20"/>
    <mergeCell ref="K19:K20"/>
    <mergeCell ref="L19:L20"/>
    <mergeCell ref="M19:M20"/>
    <mergeCell ref="N19:N20"/>
    <mergeCell ref="A17:A18"/>
    <mergeCell ref="C17:C18"/>
    <mergeCell ref="J17:J18"/>
    <mergeCell ref="K17:K18"/>
    <mergeCell ref="L17:L18"/>
    <mergeCell ref="M17:M18"/>
    <mergeCell ref="N17:N18"/>
    <mergeCell ref="T14:U14"/>
    <mergeCell ref="T15:U15"/>
    <mergeCell ref="T16:U16"/>
    <mergeCell ref="A14:A16"/>
    <mergeCell ref="B14:B16"/>
    <mergeCell ref="C14:C16"/>
    <mergeCell ref="D14:D16"/>
    <mergeCell ref="E14:E16"/>
    <mergeCell ref="F14:I15"/>
    <mergeCell ref="J14:K15"/>
    <mergeCell ref="C23:C24"/>
    <mergeCell ref="A23:A24"/>
    <mergeCell ref="A31:A32"/>
    <mergeCell ref="C31:C32"/>
    <mergeCell ref="A37:A38"/>
    <mergeCell ref="C37:C38"/>
    <mergeCell ref="J23:J24"/>
    <mergeCell ref="T11:V11"/>
    <mergeCell ref="A5:N5"/>
    <mergeCell ref="A6:N6"/>
    <mergeCell ref="B7:N7"/>
    <mergeCell ref="B8:F8"/>
    <mergeCell ref="G8:I13"/>
    <mergeCell ref="J8:N8"/>
    <mergeCell ref="B11:F11"/>
    <mergeCell ref="K11:M11"/>
    <mergeCell ref="B12:F12"/>
    <mergeCell ref="K12:M12"/>
    <mergeCell ref="T12:V12"/>
    <mergeCell ref="K13:M13"/>
    <mergeCell ref="T13:U13"/>
    <mergeCell ref="S8:W8"/>
    <mergeCell ref="B9:F9"/>
    <mergeCell ref="T10:V10"/>
    <mergeCell ref="A1:A4"/>
    <mergeCell ref="B1:H2"/>
    <mergeCell ref="I1:L1"/>
    <mergeCell ref="M1:N4"/>
    <mergeCell ref="I2:L2"/>
    <mergeCell ref="B3:H4"/>
    <mergeCell ref="I3:L3"/>
    <mergeCell ref="I4:L4"/>
    <mergeCell ref="K21:K22"/>
    <mergeCell ref="L21:L22"/>
    <mergeCell ref="M21:M22"/>
    <mergeCell ref="N21:N22"/>
    <mergeCell ref="A21:A22"/>
    <mergeCell ref="C21:C22"/>
    <mergeCell ref="J21:J22"/>
    <mergeCell ref="K9:M9"/>
    <mergeCell ref="B10:F10"/>
    <mergeCell ref="K10:M10"/>
    <mergeCell ref="B13:F13"/>
    <mergeCell ref="L14:N15"/>
    <mergeCell ref="K23:K24"/>
    <mergeCell ref="L23:L24"/>
    <mergeCell ref="M23:M24"/>
    <mergeCell ref="N23:N24"/>
    <mergeCell ref="J37:J38"/>
    <mergeCell ref="K37:K38"/>
    <mergeCell ref="L37:L38"/>
    <mergeCell ref="M37:M38"/>
    <mergeCell ref="N37:N38"/>
    <mergeCell ref="M31:M32"/>
    <mergeCell ref="N31:N32"/>
    <mergeCell ref="J29:J30"/>
    <mergeCell ref="K29:K30"/>
    <mergeCell ref="L29:L30"/>
    <mergeCell ref="M29:M30"/>
    <mergeCell ref="A45:A46"/>
    <mergeCell ref="C45:C46"/>
    <mergeCell ref="J45:J46"/>
    <mergeCell ref="K45:K46"/>
    <mergeCell ref="L45:L46"/>
    <mergeCell ref="M45:M46"/>
    <mergeCell ref="N45:N46"/>
    <mergeCell ref="A35:A36"/>
    <mergeCell ref="C35:C36"/>
    <mergeCell ref="J35:J36"/>
    <mergeCell ref="K35:K36"/>
    <mergeCell ref="L35:L36"/>
    <mergeCell ref="M35:M36"/>
    <mergeCell ref="N35:N36"/>
    <mergeCell ref="A43:A44"/>
    <mergeCell ref="C43:C44"/>
    <mergeCell ref="J43:J44"/>
    <mergeCell ref="K43:K44"/>
    <mergeCell ref="L43:L44"/>
    <mergeCell ref="M43:M44"/>
    <mergeCell ref="N43:N44"/>
    <mergeCell ref="J39:J40"/>
    <mergeCell ref="K39:K40"/>
    <mergeCell ref="L39:L40"/>
  </mergeCells>
  <pageMargins left="0.7" right="0.7" top="0.75" bottom="0.75" header="0.3" footer="0.3"/>
  <pageSetup paperSize="14" scale="56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26625" r:id="rId4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104775</xdr:rowOff>
              </from>
              <to>
                <xdr:col>0</xdr:col>
                <xdr:colOff>4400550</xdr:colOff>
                <xdr:row>3</xdr:row>
                <xdr:rowOff>104775</xdr:rowOff>
              </to>
            </anchor>
          </objectPr>
        </oleObject>
      </mc:Choice>
      <mc:Fallback>
        <oleObject shapeId="26625" r:id="rId4"/>
      </mc:Fallback>
    </mc:AlternateContent>
    <mc:AlternateContent xmlns:mc="http://schemas.openxmlformats.org/markup-compatibility/2006">
      <mc:Choice Requires="x14">
        <oleObject shapeId="26631" r:id="rId6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104775</xdr:rowOff>
              </from>
              <to>
                <xdr:col>0</xdr:col>
                <xdr:colOff>4400550</xdr:colOff>
                <xdr:row>3</xdr:row>
                <xdr:rowOff>104775</xdr:rowOff>
              </to>
            </anchor>
          </objectPr>
        </oleObject>
      </mc:Choice>
      <mc:Fallback>
        <oleObject shapeId="26631" r:id="rId6"/>
      </mc:Fallback>
    </mc:AlternateContent>
    <mc:AlternateContent xmlns:mc="http://schemas.openxmlformats.org/markup-compatibility/2006">
      <mc:Choice Requires="x14">
        <oleObject shapeId="26637" r:id="rId7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104775</xdr:rowOff>
              </from>
              <to>
                <xdr:col>0</xdr:col>
                <xdr:colOff>4400550</xdr:colOff>
                <xdr:row>3</xdr:row>
                <xdr:rowOff>104775</xdr:rowOff>
              </to>
            </anchor>
          </objectPr>
        </oleObject>
      </mc:Choice>
      <mc:Fallback>
        <oleObject shapeId="26637" r:id="rId7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118"/>
  <sheetViews>
    <sheetView topLeftCell="A52" zoomScale="70" zoomScaleNormal="70" zoomScalePageLayoutView="70" workbookViewId="0">
      <selection activeCell="D24" sqref="D24"/>
    </sheetView>
  </sheetViews>
  <sheetFormatPr baseColWidth="10" defaultColWidth="12.5703125" defaultRowHeight="15"/>
  <cols>
    <col min="1" max="1" width="74.7109375" style="1" customWidth="1"/>
    <col min="2" max="2" width="10.28515625" style="1" customWidth="1"/>
    <col min="3" max="3" width="17.7109375" style="1" customWidth="1"/>
    <col min="4" max="4" width="10" style="1" customWidth="1"/>
    <col min="5" max="5" width="21" style="1" customWidth="1"/>
    <col min="6" max="6" width="21.28515625" style="65" customWidth="1"/>
    <col min="7" max="7" width="17.7109375" style="1" customWidth="1"/>
    <col min="8" max="8" width="13" style="1" bestFit="1" customWidth="1"/>
    <col min="9" max="9" width="9.42578125" style="1" bestFit="1" customWidth="1"/>
    <col min="10" max="10" width="14.42578125" style="60" customWidth="1"/>
    <col min="11" max="11" width="17.5703125" style="60" bestFit="1" customWidth="1"/>
    <col min="12" max="12" width="15.140625" style="1" customWidth="1"/>
    <col min="13" max="13" width="22.7109375" style="1" bestFit="1" customWidth="1"/>
    <col min="14" max="14" width="14.28515625" style="1" bestFit="1" customWidth="1"/>
    <col min="15" max="15" width="13.7109375" style="1" bestFit="1" customWidth="1"/>
    <col min="16" max="16" width="5" style="163" customWidth="1"/>
    <col min="17" max="17" width="9.7109375" style="163" customWidth="1"/>
    <col min="18" max="18" width="19.7109375" style="163" bestFit="1" customWidth="1"/>
    <col min="19" max="19" width="18.5703125" style="1" customWidth="1"/>
    <col min="20" max="20" width="16.7109375" style="1" customWidth="1"/>
    <col min="21" max="21" width="15.7109375" style="1" customWidth="1"/>
    <col min="22" max="22" width="13.42578125" style="1" customWidth="1"/>
    <col min="23" max="23" width="22.5703125" style="1" customWidth="1"/>
    <col min="24" max="25" width="12.5703125" style="1"/>
    <col min="26" max="26" width="16.85546875" style="1" customWidth="1"/>
    <col min="27" max="27" width="12.5703125" style="1"/>
    <col min="28" max="28" width="30.140625" style="1" customWidth="1"/>
    <col min="29" max="29" width="15.42578125" style="1" customWidth="1"/>
    <col min="30" max="30" width="15.85546875" style="1" customWidth="1"/>
    <col min="31" max="31" width="24.42578125" style="1" customWidth="1"/>
    <col min="32" max="32" width="17.140625" style="1" customWidth="1"/>
    <col min="33" max="16384" width="12.5703125" style="1"/>
  </cols>
  <sheetData>
    <row r="1" spans="1:26" ht="15.75">
      <c r="A1" s="488"/>
      <c r="B1" s="491" t="s">
        <v>86</v>
      </c>
      <c r="C1" s="492"/>
      <c r="D1" s="492"/>
      <c r="E1" s="492"/>
      <c r="F1" s="492"/>
      <c r="G1" s="492"/>
      <c r="H1" s="493"/>
      <c r="I1" s="497" t="s">
        <v>87</v>
      </c>
      <c r="J1" s="498"/>
      <c r="K1" s="498"/>
      <c r="L1" s="499"/>
      <c r="M1" s="500"/>
      <c r="N1" s="501"/>
      <c r="O1" s="101"/>
      <c r="P1" s="162"/>
      <c r="Q1" s="347"/>
    </row>
    <row r="2" spans="1:26" ht="15.75">
      <c r="A2" s="489"/>
      <c r="B2" s="494"/>
      <c r="C2" s="495"/>
      <c r="D2" s="495"/>
      <c r="E2" s="495"/>
      <c r="F2" s="495"/>
      <c r="G2" s="495"/>
      <c r="H2" s="496"/>
      <c r="I2" s="497" t="s">
        <v>88</v>
      </c>
      <c r="J2" s="498"/>
      <c r="K2" s="498"/>
      <c r="L2" s="499"/>
      <c r="M2" s="502"/>
      <c r="N2" s="503"/>
      <c r="O2" s="101"/>
      <c r="P2" s="162"/>
      <c r="Q2" s="347"/>
    </row>
    <row r="3" spans="1:26" ht="15.75">
      <c r="A3" s="489"/>
      <c r="B3" s="491" t="s">
        <v>89</v>
      </c>
      <c r="C3" s="492"/>
      <c r="D3" s="492"/>
      <c r="E3" s="492"/>
      <c r="F3" s="492"/>
      <c r="G3" s="492"/>
      <c r="H3" s="493"/>
      <c r="I3" s="497" t="s">
        <v>90</v>
      </c>
      <c r="J3" s="498"/>
      <c r="K3" s="498"/>
      <c r="L3" s="499"/>
      <c r="M3" s="502"/>
      <c r="N3" s="503"/>
      <c r="O3" s="101"/>
      <c r="P3" s="162"/>
      <c r="Q3" s="347"/>
    </row>
    <row r="4" spans="1:26" ht="15.75">
      <c r="A4" s="490"/>
      <c r="B4" s="494"/>
      <c r="C4" s="495"/>
      <c r="D4" s="495"/>
      <c r="E4" s="495"/>
      <c r="F4" s="495"/>
      <c r="G4" s="495"/>
      <c r="H4" s="496"/>
      <c r="I4" s="497" t="s">
        <v>91</v>
      </c>
      <c r="J4" s="498"/>
      <c r="K4" s="498"/>
      <c r="L4" s="499"/>
      <c r="M4" s="504"/>
      <c r="N4" s="505"/>
      <c r="O4" s="101"/>
      <c r="P4" s="162"/>
      <c r="Q4" s="347"/>
    </row>
    <row r="5" spans="1:26" ht="15.75">
      <c r="A5" s="506"/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258"/>
      <c r="P5" s="164"/>
      <c r="Q5" s="347"/>
    </row>
    <row r="6" spans="1:26" ht="15.75">
      <c r="A6" s="497" t="s">
        <v>215</v>
      </c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9"/>
      <c r="O6" s="102"/>
      <c r="P6" s="165"/>
      <c r="Q6" s="347"/>
    </row>
    <row r="7" spans="1:26" ht="15.75">
      <c r="A7" s="34" t="s">
        <v>282</v>
      </c>
      <c r="B7" s="411" t="s">
        <v>467</v>
      </c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102"/>
      <c r="P7" s="165"/>
    </row>
    <row r="8" spans="1:26" ht="15.75">
      <c r="A8" s="35" t="s">
        <v>32</v>
      </c>
      <c r="B8" s="507" t="s">
        <v>33</v>
      </c>
      <c r="C8" s="508"/>
      <c r="D8" s="508"/>
      <c r="E8" s="508"/>
      <c r="F8" s="509"/>
      <c r="G8" s="548" t="s">
        <v>214</v>
      </c>
      <c r="H8" s="549"/>
      <c r="I8" s="550"/>
      <c r="J8" s="519" t="s">
        <v>31</v>
      </c>
      <c r="K8" s="520"/>
      <c r="L8" s="520"/>
      <c r="M8" s="520"/>
      <c r="N8" s="521"/>
      <c r="O8" s="103"/>
      <c r="P8" s="166"/>
      <c r="Q8" s="348"/>
      <c r="S8" s="547"/>
      <c r="T8" s="547"/>
      <c r="U8" s="547"/>
      <c r="V8" s="547"/>
    </row>
    <row r="9" spans="1:26" ht="15.75">
      <c r="A9" s="37" t="s">
        <v>30</v>
      </c>
      <c r="B9" s="523" t="s">
        <v>213</v>
      </c>
      <c r="C9" s="508"/>
      <c r="D9" s="508"/>
      <c r="E9" s="508"/>
      <c r="F9" s="509"/>
      <c r="G9" s="551"/>
      <c r="H9" s="552"/>
      <c r="I9" s="553"/>
      <c r="J9" s="253" t="s">
        <v>29</v>
      </c>
      <c r="K9" s="422" t="s">
        <v>28</v>
      </c>
      <c r="L9" s="422"/>
      <c r="M9" s="422"/>
      <c r="N9" s="253" t="s">
        <v>27</v>
      </c>
      <c r="O9" s="104"/>
    </row>
    <row r="10" spans="1:26" ht="15.75">
      <c r="A10" s="38" t="s">
        <v>26</v>
      </c>
      <c r="B10" s="522" t="s">
        <v>212</v>
      </c>
      <c r="C10" s="523"/>
      <c r="D10" s="523"/>
      <c r="E10" s="523"/>
      <c r="F10" s="524"/>
      <c r="G10" s="551"/>
      <c r="H10" s="552"/>
      <c r="I10" s="553"/>
      <c r="J10" s="39"/>
      <c r="K10" s="528"/>
      <c r="L10" s="529"/>
      <c r="M10" s="530"/>
      <c r="N10" s="40"/>
      <c r="O10" s="105"/>
    </row>
    <row r="11" spans="1:26" ht="15.75">
      <c r="A11" s="41" t="s">
        <v>25</v>
      </c>
      <c r="B11" s="522" t="s">
        <v>211</v>
      </c>
      <c r="C11" s="523"/>
      <c r="D11" s="523"/>
      <c r="E11" s="523"/>
      <c r="F11" s="524"/>
      <c r="G11" s="551"/>
      <c r="H11" s="552"/>
      <c r="I11" s="553"/>
      <c r="J11" s="252"/>
      <c r="K11" s="525"/>
      <c r="L11" s="526"/>
      <c r="M11" s="527"/>
      <c r="N11" s="42"/>
      <c r="O11" s="104"/>
    </row>
    <row r="12" spans="1:26" ht="22.5" customHeight="1">
      <c r="A12" s="61" t="s">
        <v>273</v>
      </c>
      <c r="B12" s="705">
        <v>2020730010055</v>
      </c>
      <c r="C12" s="706"/>
      <c r="D12" s="706"/>
      <c r="E12" s="706"/>
      <c r="F12" s="707"/>
      <c r="G12" s="551"/>
      <c r="H12" s="552"/>
      <c r="I12" s="553"/>
      <c r="J12" s="44"/>
      <c r="K12" s="468"/>
      <c r="L12" s="469"/>
      <c r="M12" s="470"/>
      <c r="N12" s="45"/>
      <c r="O12" s="104"/>
    </row>
    <row r="13" spans="1:26" ht="51" customHeight="1">
      <c r="A13" s="83" t="s">
        <v>318</v>
      </c>
      <c r="B13" s="419" t="s">
        <v>210</v>
      </c>
      <c r="C13" s="419"/>
      <c r="D13" s="419"/>
      <c r="E13" s="419"/>
      <c r="F13" s="419"/>
      <c r="G13" s="554"/>
      <c r="H13" s="555"/>
      <c r="I13" s="556"/>
      <c r="J13" s="254"/>
      <c r="K13" s="468"/>
      <c r="L13" s="469"/>
      <c r="M13" s="470"/>
      <c r="N13" s="46"/>
      <c r="O13" s="104"/>
      <c r="P13" s="348"/>
      <c r="R13" s="349"/>
      <c r="S13" s="104"/>
      <c r="T13" s="63"/>
      <c r="U13" s="261"/>
      <c r="V13" s="50"/>
      <c r="W13" s="14"/>
      <c r="X13" s="13"/>
      <c r="Y13" s="4"/>
      <c r="Z13" s="11"/>
    </row>
    <row r="14" spans="1:26" ht="15.75">
      <c r="A14" s="415" t="s">
        <v>23</v>
      </c>
      <c r="B14" s="426" t="s">
        <v>92</v>
      </c>
      <c r="C14" s="413" t="s">
        <v>21</v>
      </c>
      <c r="D14" s="413" t="s">
        <v>20</v>
      </c>
      <c r="E14" s="413" t="s">
        <v>119</v>
      </c>
      <c r="F14" s="621" t="s">
        <v>18</v>
      </c>
      <c r="G14" s="622"/>
      <c r="H14" s="622"/>
      <c r="I14" s="623"/>
      <c r="J14" s="413" t="s">
        <v>17</v>
      </c>
      <c r="K14" s="413"/>
      <c r="L14" s="414" t="s">
        <v>16</v>
      </c>
      <c r="M14" s="414"/>
      <c r="N14" s="414"/>
      <c r="O14" s="350"/>
      <c r="P14" s="351"/>
      <c r="S14" s="571"/>
      <c r="T14" s="571"/>
      <c r="V14" s="50"/>
      <c r="X14" s="13"/>
      <c r="Y14" s="4"/>
      <c r="Z14" s="11"/>
    </row>
    <row r="15" spans="1:26" ht="15.75">
      <c r="A15" s="415"/>
      <c r="B15" s="413"/>
      <c r="C15" s="413"/>
      <c r="D15" s="413"/>
      <c r="E15" s="413"/>
      <c r="F15" s="624"/>
      <c r="G15" s="625"/>
      <c r="H15" s="625"/>
      <c r="I15" s="626"/>
      <c r="J15" s="413"/>
      <c r="K15" s="413"/>
      <c r="L15" s="413" t="s">
        <v>15</v>
      </c>
      <c r="M15" s="413" t="s">
        <v>14</v>
      </c>
      <c r="N15" s="415" t="s">
        <v>13</v>
      </c>
      <c r="O15" s="112"/>
      <c r="P15" s="173"/>
      <c r="Q15" s="172"/>
      <c r="R15" s="172"/>
      <c r="S15" s="571"/>
      <c r="T15" s="571"/>
      <c r="V15" s="4"/>
      <c r="X15" s="13"/>
      <c r="Y15" s="4"/>
      <c r="Z15" s="11"/>
    </row>
    <row r="16" spans="1:26" ht="15.75">
      <c r="A16" s="415"/>
      <c r="B16" s="413"/>
      <c r="C16" s="413"/>
      <c r="D16" s="413"/>
      <c r="E16" s="413"/>
      <c r="F16" s="84" t="s">
        <v>12</v>
      </c>
      <c r="G16" s="263" t="s">
        <v>11</v>
      </c>
      <c r="H16" s="263" t="s">
        <v>10</v>
      </c>
      <c r="I16" s="51" t="s">
        <v>9</v>
      </c>
      <c r="J16" s="263" t="s">
        <v>8</v>
      </c>
      <c r="K16" s="262" t="s">
        <v>7</v>
      </c>
      <c r="L16" s="413"/>
      <c r="M16" s="413"/>
      <c r="N16" s="415"/>
      <c r="O16" s="112"/>
      <c r="P16" s="352"/>
      <c r="Q16" s="159" t="s">
        <v>278</v>
      </c>
      <c r="R16" s="159" t="s">
        <v>27</v>
      </c>
      <c r="S16" s="571"/>
      <c r="T16" s="571"/>
      <c r="V16" s="4"/>
      <c r="X16" s="13"/>
      <c r="Y16" s="4"/>
      <c r="Z16" s="11"/>
    </row>
    <row r="17" spans="1:89" ht="24" customHeight="1">
      <c r="A17" s="789" t="s">
        <v>209</v>
      </c>
      <c r="B17" s="82" t="s">
        <v>1</v>
      </c>
      <c r="C17" s="406" t="s">
        <v>208</v>
      </c>
      <c r="D17" s="353">
        <v>10</v>
      </c>
      <c r="E17" s="52">
        <f t="shared" ref="E17:E72" si="0">SUM(F17:I17)</f>
        <v>25100000</v>
      </c>
      <c r="F17" s="52">
        <f>10100000+15000000</f>
        <v>25100000</v>
      </c>
      <c r="G17" s="52">
        <v>0</v>
      </c>
      <c r="H17" s="52">
        <v>0</v>
      </c>
      <c r="I17" s="52">
        <v>0</v>
      </c>
      <c r="J17" s="788">
        <v>44946</v>
      </c>
      <c r="K17" s="788">
        <v>45275</v>
      </c>
      <c r="L17" s="766">
        <f>D18/D17</f>
        <v>0</v>
      </c>
      <c r="M17" s="766">
        <f>E18/E17</f>
        <v>0.97051792828685257</v>
      </c>
      <c r="N17" s="410">
        <f>L17*L17/M17</f>
        <v>0</v>
      </c>
      <c r="O17" s="107"/>
      <c r="P17" s="159" t="s">
        <v>1</v>
      </c>
      <c r="Q17" s="160">
        <v>2</v>
      </c>
      <c r="R17" s="161">
        <f>F17</f>
        <v>25100000</v>
      </c>
      <c r="V17" s="12"/>
      <c r="X17" s="13"/>
      <c r="Y17" s="4"/>
      <c r="Z17" s="11"/>
    </row>
    <row r="18" spans="1:89" ht="24" customHeight="1">
      <c r="A18" s="790"/>
      <c r="B18" s="82" t="s">
        <v>0</v>
      </c>
      <c r="C18" s="407"/>
      <c r="D18" s="353">
        <v>0</v>
      </c>
      <c r="E18" s="52">
        <f t="shared" si="0"/>
        <v>24360000</v>
      </c>
      <c r="F18" s="52">
        <f>2850000+4100000+17410000</f>
        <v>24360000</v>
      </c>
      <c r="G18" s="52">
        <v>0</v>
      </c>
      <c r="H18" s="52">
        <v>0</v>
      </c>
      <c r="I18" s="52">
        <v>0</v>
      </c>
      <c r="J18" s="788"/>
      <c r="K18" s="788"/>
      <c r="L18" s="766"/>
      <c r="M18" s="766"/>
      <c r="N18" s="410"/>
      <c r="O18" s="107"/>
      <c r="P18" s="159" t="s">
        <v>0</v>
      </c>
      <c r="Q18" s="167"/>
      <c r="R18" s="161">
        <f>F18</f>
        <v>24360000</v>
      </c>
      <c r="T18" s="161">
        <v>7650000</v>
      </c>
      <c r="V18" s="12"/>
      <c r="X18" s="13"/>
      <c r="Y18" s="4"/>
      <c r="Z18" s="11"/>
    </row>
    <row r="19" spans="1:89" ht="21.75" customHeight="1">
      <c r="A19" s="790" t="s">
        <v>207</v>
      </c>
      <c r="B19" s="82" t="s">
        <v>1</v>
      </c>
      <c r="C19" s="406" t="s">
        <v>222</v>
      </c>
      <c r="D19" s="353">
        <v>40</v>
      </c>
      <c r="E19" s="52">
        <f t="shared" si="0"/>
        <v>18400000</v>
      </c>
      <c r="F19" s="354">
        <v>18400000</v>
      </c>
      <c r="G19" s="52">
        <v>0</v>
      </c>
      <c r="H19" s="52">
        <v>0</v>
      </c>
      <c r="I19" s="52">
        <v>0</v>
      </c>
      <c r="J19" s="788">
        <v>44946</v>
      </c>
      <c r="K19" s="788">
        <v>45275</v>
      </c>
      <c r="L19" s="766">
        <f>D20/D19</f>
        <v>0</v>
      </c>
      <c r="M19" s="766">
        <f>E20/E19</f>
        <v>0.93478260869565222</v>
      </c>
      <c r="N19" s="410">
        <f>L19*L19/M19</f>
        <v>0</v>
      </c>
      <c r="O19" s="107"/>
      <c r="P19" s="168"/>
      <c r="R19" s="169"/>
    </row>
    <row r="20" spans="1:89" ht="21.75" customHeight="1">
      <c r="A20" s="790"/>
      <c r="B20" s="82" t="s">
        <v>0</v>
      </c>
      <c r="C20" s="407"/>
      <c r="D20" s="353">
        <v>0</v>
      </c>
      <c r="E20" s="52">
        <f t="shared" si="0"/>
        <v>17200000</v>
      </c>
      <c r="F20" s="354">
        <f>16200000+1000000</f>
        <v>17200000</v>
      </c>
      <c r="G20" s="52">
        <v>0</v>
      </c>
      <c r="H20" s="52">
        <v>0</v>
      </c>
      <c r="I20" s="52">
        <v>0</v>
      </c>
      <c r="J20" s="788"/>
      <c r="K20" s="788"/>
      <c r="L20" s="766"/>
      <c r="M20" s="766"/>
      <c r="N20" s="410"/>
      <c r="O20" s="107"/>
      <c r="P20" s="352"/>
      <c r="Q20" s="159" t="s">
        <v>278</v>
      </c>
      <c r="R20" s="355" t="s">
        <v>27</v>
      </c>
    </row>
    <row r="21" spans="1:89" ht="23.25" customHeight="1">
      <c r="A21" s="790" t="s">
        <v>206</v>
      </c>
      <c r="B21" s="82" t="s">
        <v>1</v>
      </c>
      <c r="C21" s="406" t="s">
        <v>429</v>
      </c>
      <c r="D21" s="353">
        <v>5</v>
      </c>
      <c r="E21" s="52">
        <f t="shared" si="0"/>
        <v>20000000</v>
      </c>
      <c r="F21" s="52">
        <f>5000000+15000000</f>
        <v>20000000</v>
      </c>
      <c r="G21" s="52">
        <v>0</v>
      </c>
      <c r="H21" s="52">
        <v>0</v>
      </c>
      <c r="I21" s="52">
        <v>0</v>
      </c>
      <c r="J21" s="788">
        <v>44946</v>
      </c>
      <c r="K21" s="788">
        <v>45275</v>
      </c>
      <c r="L21" s="766">
        <f>D22/D21</f>
        <v>0</v>
      </c>
      <c r="M21" s="766">
        <f>E22/E21</f>
        <v>0.5</v>
      </c>
      <c r="N21" s="410">
        <f>L21*L21/M21</f>
        <v>0</v>
      </c>
      <c r="O21" s="107"/>
      <c r="P21" s="159" t="s">
        <v>1</v>
      </c>
      <c r="Q21" s="160">
        <v>3</v>
      </c>
      <c r="R21" s="161">
        <f>F19</f>
        <v>18400000</v>
      </c>
    </row>
    <row r="22" spans="1:89" ht="23.25" customHeight="1">
      <c r="A22" s="790"/>
      <c r="B22" s="82" t="s">
        <v>0</v>
      </c>
      <c r="C22" s="407"/>
      <c r="D22" s="353">
        <v>0</v>
      </c>
      <c r="E22" s="52">
        <f t="shared" si="0"/>
        <v>10000000</v>
      </c>
      <c r="F22" s="52">
        <f>5000000+5000000</f>
        <v>10000000</v>
      </c>
      <c r="G22" s="52">
        <v>0</v>
      </c>
      <c r="H22" s="52">
        <v>0</v>
      </c>
      <c r="I22" s="52">
        <v>0</v>
      </c>
      <c r="J22" s="788"/>
      <c r="K22" s="788"/>
      <c r="L22" s="766"/>
      <c r="M22" s="766"/>
      <c r="N22" s="410"/>
      <c r="O22" s="107"/>
      <c r="P22" s="159" t="s">
        <v>0</v>
      </c>
      <c r="Q22" s="167"/>
      <c r="R22" s="161">
        <f>F20</f>
        <v>17200000</v>
      </c>
      <c r="U22" s="1">
        <v>8700000</v>
      </c>
    </row>
    <row r="23" spans="1:89" ht="28.5" customHeight="1">
      <c r="A23" s="790" t="s">
        <v>205</v>
      </c>
      <c r="B23" s="82" t="s">
        <v>1</v>
      </c>
      <c r="C23" s="406" t="s">
        <v>267</v>
      </c>
      <c r="D23" s="353">
        <v>1</v>
      </c>
      <c r="E23" s="52">
        <f t="shared" si="0"/>
        <v>23633716</v>
      </c>
      <c r="F23" s="354">
        <f>18633716+5000000</f>
        <v>23633716</v>
      </c>
      <c r="G23" s="52">
        <v>0</v>
      </c>
      <c r="H23" s="52">
        <v>0</v>
      </c>
      <c r="I23" s="52">
        <v>0</v>
      </c>
      <c r="J23" s="788">
        <v>44946</v>
      </c>
      <c r="K23" s="788">
        <v>45275</v>
      </c>
      <c r="L23" s="766">
        <f>D24/D23</f>
        <v>1</v>
      </c>
      <c r="M23" s="766">
        <f>E24/E23</f>
        <v>0.84349833094380922</v>
      </c>
      <c r="N23" s="767">
        <f>L23*L23/M23</f>
        <v>1.1855388011035868</v>
      </c>
      <c r="O23" s="107"/>
      <c r="P23" s="159" t="s">
        <v>1</v>
      </c>
      <c r="Q23" s="160">
        <v>4</v>
      </c>
      <c r="R23" s="161">
        <f>F21</f>
        <v>20000000</v>
      </c>
    </row>
    <row r="24" spans="1:89" ht="28.5" customHeight="1">
      <c r="A24" s="790"/>
      <c r="B24" s="82" t="s">
        <v>0</v>
      </c>
      <c r="C24" s="407"/>
      <c r="D24" s="353">
        <v>1</v>
      </c>
      <c r="E24" s="52">
        <f t="shared" si="0"/>
        <v>19935000</v>
      </c>
      <c r="F24" s="354">
        <f>11200000+2000000+4800000+1935000</f>
        <v>19935000</v>
      </c>
      <c r="G24" s="52">
        <v>0</v>
      </c>
      <c r="H24" s="52">
        <v>0</v>
      </c>
      <c r="I24" s="52">
        <v>0</v>
      </c>
      <c r="J24" s="788"/>
      <c r="K24" s="788"/>
      <c r="L24" s="766"/>
      <c r="M24" s="766"/>
      <c r="N24" s="767"/>
      <c r="O24" s="107"/>
      <c r="P24" s="159" t="s">
        <v>0</v>
      </c>
      <c r="Q24" s="167"/>
      <c r="R24" s="161">
        <f>F22</f>
        <v>10000000</v>
      </c>
    </row>
    <row r="25" spans="1:89" ht="28.5" customHeight="1">
      <c r="A25" s="790" t="s">
        <v>316</v>
      </c>
      <c r="B25" s="82" t="s">
        <v>1</v>
      </c>
      <c r="C25" s="406" t="s">
        <v>430</v>
      </c>
      <c r="D25" s="353">
        <v>1</v>
      </c>
      <c r="E25" s="52">
        <f t="shared" si="0"/>
        <v>1366284</v>
      </c>
      <c r="F25" s="354">
        <v>1366284</v>
      </c>
      <c r="G25" s="52">
        <v>0</v>
      </c>
      <c r="H25" s="52">
        <v>0</v>
      </c>
      <c r="I25" s="52">
        <v>0</v>
      </c>
      <c r="J25" s="788">
        <v>44946</v>
      </c>
      <c r="K25" s="788">
        <v>45275</v>
      </c>
      <c r="L25" s="766">
        <f>D26/D25</f>
        <v>0</v>
      </c>
      <c r="M25" s="766">
        <f>E26/E25</f>
        <v>1</v>
      </c>
      <c r="N25" s="410">
        <f>L25*L25/M25</f>
        <v>0</v>
      </c>
      <c r="O25" s="107"/>
      <c r="P25" s="173"/>
      <c r="Q25" s="162"/>
      <c r="R25" s="174"/>
    </row>
    <row r="26" spans="1:89" ht="28.5" customHeight="1">
      <c r="A26" s="790"/>
      <c r="B26" s="82" t="s">
        <v>0</v>
      </c>
      <c r="C26" s="407"/>
      <c r="D26" s="353">
        <v>0</v>
      </c>
      <c r="E26" s="52">
        <f t="shared" si="0"/>
        <v>1366284</v>
      </c>
      <c r="F26" s="354">
        <v>1366284</v>
      </c>
      <c r="G26" s="52">
        <v>0</v>
      </c>
      <c r="H26" s="52">
        <v>0</v>
      </c>
      <c r="I26" s="52">
        <v>0</v>
      </c>
      <c r="J26" s="788"/>
      <c r="K26" s="788"/>
      <c r="L26" s="766"/>
      <c r="M26" s="766"/>
      <c r="N26" s="410"/>
      <c r="O26" s="107"/>
      <c r="P26" s="173"/>
      <c r="Q26" s="162"/>
      <c r="R26" s="174"/>
    </row>
    <row r="27" spans="1:89" s="65" customFormat="1" ht="23.25" customHeight="1">
      <c r="A27" s="786" t="s">
        <v>204</v>
      </c>
      <c r="B27" s="82" t="s">
        <v>1</v>
      </c>
      <c r="C27" s="406" t="s">
        <v>203</v>
      </c>
      <c r="D27" s="271">
        <v>4391</v>
      </c>
      <c r="E27" s="52">
        <f t="shared" si="0"/>
        <v>4378484489</v>
      </c>
      <c r="F27" s="52">
        <f>3373484489+1005000000</f>
        <v>4378484489</v>
      </c>
      <c r="G27" s="52">
        <v>0</v>
      </c>
      <c r="H27" s="52">
        <v>0</v>
      </c>
      <c r="I27" s="52">
        <v>0</v>
      </c>
      <c r="J27" s="788">
        <v>44946</v>
      </c>
      <c r="K27" s="788">
        <v>45275</v>
      </c>
      <c r="L27" s="766">
        <f>D28/D27</f>
        <v>0.93167843315873378</v>
      </c>
      <c r="M27" s="766">
        <f>E28/E27</f>
        <v>0.12106756489185773</v>
      </c>
      <c r="N27" s="767">
        <f>L27*L27/M27</f>
        <v>7.1697543730103659</v>
      </c>
      <c r="O27" s="1"/>
      <c r="P27" s="168"/>
      <c r="Q27" s="163"/>
      <c r="R27" s="169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3.25" customHeight="1">
      <c r="A28" s="787"/>
      <c r="B28" s="82" t="s">
        <v>0</v>
      </c>
      <c r="C28" s="407"/>
      <c r="D28" s="353">
        <v>4091</v>
      </c>
      <c r="E28" s="52">
        <f t="shared" si="0"/>
        <v>530092455</v>
      </c>
      <c r="F28" s="52">
        <v>530092455</v>
      </c>
      <c r="G28" s="52">
        <v>0</v>
      </c>
      <c r="H28" s="52">
        <v>0</v>
      </c>
      <c r="I28" s="52">
        <v>0</v>
      </c>
      <c r="J28" s="788"/>
      <c r="K28" s="788"/>
      <c r="L28" s="766"/>
      <c r="M28" s="766"/>
      <c r="N28" s="767"/>
      <c r="P28" s="352"/>
      <c r="Q28" s="159" t="s">
        <v>278</v>
      </c>
      <c r="R28" s="355" t="s">
        <v>27</v>
      </c>
    </row>
    <row r="29" spans="1:89" ht="23.25" customHeight="1">
      <c r="A29" s="786" t="s">
        <v>202</v>
      </c>
      <c r="B29" s="82" t="s">
        <v>1</v>
      </c>
      <c r="C29" s="406" t="s">
        <v>201</v>
      </c>
      <c r="D29" s="353">
        <v>60</v>
      </c>
      <c r="E29" s="52">
        <f t="shared" si="0"/>
        <v>100000000</v>
      </c>
      <c r="F29" s="52">
        <f>70000000+30000000</f>
        <v>100000000</v>
      </c>
      <c r="G29" s="52">
        <v>0</v>
      </c>
      <c r="H29" s="52">
        <v>0</v>
      </c>
      <c r="I29" s="52">
        <v>0</v>
      </c>
      <c r="J29" s="788">
        <v>44946</v>
      </c>
      <c r="K29" s="788">
        <v>45275</v>
      </c>
      <c r="L29" s="766">
        <f>D30/D29</f>
        <v>0</v>
      </c>
      <c r="M29" s="766">
        <f>E30/E29</f>
        <v>0.9516</v>
      </c>
      <c r="N29" s="410">
        <f>L29*L29/M29</f>
        <v>0</v>
      </c>
      <c r="P29" s="159" t="s">
        <v>1</v>
      </c>
      <c r="Q29" s="160">
        <v>14</v>
      </c>
      <c r="R29" s="161">
        <f>F23+F25</f>
        <v>25000000</v>
      </c>
    </row>
    <row r="30" spans="1:89" ht="23.25" customHeight="1">
      <c r="A30" s="787"/>
      <c r="B30" s="82" t="s">
        <v>0</v>
      </c>
      <c r="C30" s="407"/>
      <c r="D30" s="353">
        <v>0</v>
      </c>
      <c r="E30" s="52">
        <f t="shared" si="0"/>
        <v>95160000</v>
      </c>
      <c r="F30" s="52">
        <f>12600000+11690000+26460000+2000000+10020000+32390000</f>
        <v>95160000</v>
      </c>
      <c r="G30" s="52">
        <v>0</v>
      </c>
      <c r="H30" s="52">
        <v>0</v>
      </c>
      <c r="I30" s="52">
        <v>0</v>
      </c>
      <c r="J30" s="788"/>
      <c r="K30" s="788"/>
      <c r="L30" s="766"/>
      <c r="M30" s="766"/>
      <c r="N30" s="410"/>
      <c r="P30" s="159" t="s">
        <v>0</v>
      </c>
      <c r="Q30" s="167"/>
      <c r="R30" s="161">
        <f>F24+F26</f>
        <v>21301284</v>
      </c>
      <c r="T30" s="161">
        <v>3200000</v>
      </c>
    </row>
    <row r="31" spans="1:89" ht="27.75" customHeight="1">
      <c r="A31" s="786" t="s">
        <v>200</v>
      </c>
      <c r="B31" s="82" t="s">
        <v>1</v>
      </c>
      <c r="C31" s="406" t="s">
        <v>268</v>
      </c>
      <c r="D31" s="353">
        <v>30</v>
      </c>
      <c r="E31" s="52">
        <f t="shared" si="0"/>
        <v>5000000</v>
      </c>
      <c r="F31" s="52">
        <v>5000000</v>
      </c>
      <c r="G31" s="52">
        <v>0</v>
      </c>
      <c r="H31" s="52">
        <v>0</v>
      </c>
      <c r="I31" s="52">
        <v>0</v>
      </c>
      <c r="J31" s="788">
        <v>44946</v>
      </c>
      <c r="K31" s="788">
        <v>45275</v>
      </c>
      <c r="L31" s="766">
        <f>D32/D31</f>
        <v>0</v>
      </c>
      <c r="M31" s="766">
        <f>E32/E31</f>
        <v>1</v>
      </c>
      <c r="N31" s="410">
        <f>L31*L31/M31</f>
        <v>0</v>
      </c>
      <c r="O31" s="107"/>
      <c r="P31" s="168"/>
      <c r="R31" s="169"/>
    </row>
    <row r="32" spans="1:89" ht="27.75" customHeight="1">
      <c r="A32" s="787"/>
      <c r="B32" s="82" t="s">
        <v>0</v>
      </c>
      <c r="C32" s="407"/>
      <c r="D32" s="353">
        <v>0</v>
      </c>
      <c r="E32" s="52">
        <f t="shared" si="0"/>
        <v>5000000</v>
      </c>
      <c r="F32" s="52">
        <v>5000000</v>
      </c>
      <c r="G32" s="52">
        <v>0</v>
      </c>
      <c r="H32" s="52">
        <v>0</v>
      </c>
      <c r="I32" s="52">
        <v>0</v>
      </c>
      <c r="J32" s="788"/>
      <c r="K32" s="788"/>
      <c r="L32" s="766"/>
      <c r="M32" s="766"/>
      <c r="N32" s="410"/>
      <c r="O32" s="107"/>
      <c r="P32" s="352"/>
      <c r="Q32" s="159" t="s">
        <v>278</v>
      </c>
      <c r="R32" s="355" t="s">
        <v>27</v>
      </c>
    </row>
    <row r="33" spans="1:21" ht="29.25" customHeight="1">
      <c r="A33" s="786" t="s">
        <v>305</v>
      </c>
      <c r="B33" s="82" t="s">
        <v>1</v>
      </c>
      <c r="C33" s="406" t="s">
        <v>199</v>
      </c>
      <c r="D33" s="353">
        <v>1</v>
      </c>
      <c r="E33" s="52">
        <f t="shared" si="0"/>
        <v>7000000</v>
      </c>
      <c r="F33" s="354">
        <v>7000000</v>
      </c>
      <c r="G33" s="52">
        <v>0</v>
      </c>
      <c r="H33" s="52">
        <v>0</v>
      </c>
      <c r="I33" s="52">
        <v>0</v>
      </c>
      <c r="J33" s="788">
        <v>44946</v>
      </c>
      <c r="K33" s="788">
        <v>45275</v>
      </c>
      <c r="L33" s="766">
        <f>D34/D33</f>
        <v>0</v>
      </c>
      <c r="M33" s="766">
        <f>E34/E33</f>
        <v>0.86599999999999999</v>
      </c>
      <c r="N33" s="410">
        <f>L33*L33/M33</f>
        <v>0</v>
      </c>
      <c r="O33" s="107"/>
      <c r="P33" s="159" t="s">
        <v>1</v>
      </c>
      <c r="Q33" s="160">
        <v>15</v>
      </c>
      <c r="R33" s="161">
        <f>F27+F29+F31</f>
        <v>4483484489</v>
      </c>
    </row>
    <row r="34" spans="1:21" ht="29.25" customHeight="1">
      <c r="A34" s="787"/>
      <c r="B34" s="82" t="s">
        <v>0</v>
      </c>
      <c r="C34" s="407"/>
      <c r="D34" s="353">
        <v>0</v>
      </c>
      <c r="E34" s="52">
        <f t="shared" si="0"/>
        <v>6062000</v>
      </c>
      <c r="F34" s="354">
        <v>6062000</v>
      </c>
      <c r="G34" s="52">
        <v>0</v>
      </c>
      <c r="H34" s="52">
        <v>0</v>
      </c>
      <c r="I34" s="52">
        <v>0</v>
      </c>
      <c r="J34" s="788"/>
      <c r="K34" s="788"/>
      <c r="L34" s="766"/>
      <c r="M34" s="766"/>
      <c r="N34" s="410"/>
      <c r="O34" s="107"/>
      <c r="P34" s="159" t="s">
        <v>0</v>
      </c>
      <c r="Q34" s="167"/>
      <c r="R34" s="161">
        <f>F28+F30+F32</f>
        <v>630252455</v>
      </c>
      <c r="T34" s="161">
        <f>3600000+225894836+7200000+5010000+7650000+13353403</f>
        <v>262708239</v>
      </c>
    </row>
    <row r="35" spans="1:21" ht="24.75" customHeight="1">
      <c r="A35" s="786" t="s">
        <v>198</v>
      </c>
      <c r="B35" s="82" t="s">
        <v>1</v>
      </c>
      <c r="C35" s="406" t="s">
        <v>197</v>
      </c>
      <c r="D35" s="353">
        <v>1</v>
      </c>
      <c r="E35" s="52">
        <f t="shared" si="0"/>
        <v>20000000</v>
      </c>
      <c r="F35" s="52">
        <v>20000000</v>
      </c>
      <c r="G35" s="52">
        <v>0</v>
      </c>
      <c r="H35" s="52">
        <v>0</v>
      </c>
      <c r="I35" s="52">
        <v>0</v>
      </c>
      <c r="J35" s="788">
        <v>44946</v>
      </c>
      <c r="K35" s="788">
        <v>45275</v>
      </c>
      <c r="L35" s="766">
        <f>D36/D35</f>
        <v>0</v>
      </c>
      <c r="M35" s="766">
        <f>E36/E35</f>
        <v>0.77552500000000002</v>
      </c>
      <c r="N35" s="410">
        <f>L35*L35/M35</f>
        <v>0</v>
      </c>
      <c r="O35" s="107"/>
      <c r="P35" s="159" t="s">
        <v>1</v>
      </c>
      <c r="Q35" s="160">
        <v>16</v>
      </c>
      <c r="R35" s="161">
        <f>F33</f>
        <v>7000000</v>
      </c>
    </row>
    <row r="36" spans="1:21" ht="24.75" customHeight="1">
      <c r="A36" s="787"/>
      <c r="B36" s="82" t="s">
        <v>0</v>
      </c>
      <c r="C36" s="407"/>
      <c r="D36" s="353">
        <v>0</v>
      </c>
      <c r="E36" s="52">
        <f t="shared" si="0"/>
        <v>15510500</v>
      </c>
      <c r="F36" s="52">
        <f>9369500+6141000</f>
        <v>15510500</v>
      </c>
      <c r="G36" s="52">
        <v>0</v>
      </c>
      <c r="H36" s="52">
        <v>0</v>
      </c>
      <c r="I36" s="52">
        <v>0</v>
      </c>
      <c r="J36" s="788"/>
      <c r="K36" s="788"/>
      <c r="L36" s="766"/>
      <c r="M36" s="766"/>
      <c r="N36" s="410"/>
      <c r="O36" s="107"/>
      <c r="P36" s="159" t="s">
        <v>0</v>
      </c>
      <c r="Q36" s="167"/>
      <c r="R36" s="161">
        <f>F34</f>
        <v>6062000</v>
      </c>
    </row>
    <row r="37" spans="1:21" ht="24" customHeight="1">
      <c r="A37" s="786" t="s">
        <v>196</v>
      </c>
      <c r="B37" s="82" t="s">
        <v>1</v>
      </c>
      <c r="C37" s="406" t="s">
        <v>269</v>
      </c>
      <c r="D37" s="353">
        <v>4</v>
      </c>
      <c r="E37" s="52">
        <f t="shared" si="0"/>
        <v>37887911</v>
      </c>
      <c r="F37" s="52">
        <f>30887911+7000000</f>
        <v>37887911</v>
      </c>
      <c r="G37" s="52">
        <v>0</v>
      </c>
      <c r="H37" s="52">
        <v>0</v>
      </c>
      <c r="I37" s="52">
        <v>0</v>
      </c>
      <c r="J37" s="788">
        <v>44946</v>
      </c>
      <c r="K37" s="788">
        <v>45275</v>
      </c>
      <c r="L37" s="766">
        <f>D38/D37</f>
        <v>0</v>
      </c>
      <c r="M37" s="766">
        <f>E38/E37</f>
        <v>0.95068582693830761</v>
      </c>
      <c r="N37" s="410">
        <f>L37*L37/M37</f>
        <v>0</v>
      </c>
      <c r="O37" s="107"/>
      <c r="P37" s="159" t="s">
        <v>1</v>
      </c>
      <c r="Q37" s="160">
        <v>1</v>
      </c>
      <c r="R37" s="161">
        <f>F35+F37+F39+F41+G39</f>
        <v>162780269</v>
      </c>
      <c r="S37" s="161">
        <f>G39</f>
        <v>66892358</v>
      </c>
    </row>
    <row r="38" spans="1:21" ht="24" customHeight="1">
      <c r="A38" s="787"/>
      <c r="B38" s="82" t="s">
        <v>0</v>
      </c>
      <c r="C38" s="407"/>
      <c r="D38" s="353">
        <v>0</v>
      </c>
      <c r="E38" s="52">
        <f t="shared" si="0"/>
        <v>36019500</v>
      </c>
      <c r="F38" s="52">
        <f>27619500+8400000</f>
        <v>36019500</v>
      </c>
      <c r="G38" s="52">
        <v>0</v>
      </c>
      <c r="H38" s="52">
        <v>0</v>
      </c>
      <c r="I38" s="52">
        <v>0</v>
      </c>
      <c r="J38" s="788"/>
      <c r="K38" s="788"/>
      <c r="L38" s="766"/>
      <c r="M38" s="766"/>
      <c r="N38" s="410"/>
      <c r="O38" s="107"/>
      <c r="P38" s="159" t="s">
        <v>0</v>
      </c>
      <c r="Q38" s="167"/>
      <c r="R38" s="161">
        <f>F36+F38+F40+F42+G40</f>
        <v>79397119</v>
      </c>
      <c r="U38" s="1">
        <v>14250000</v>
      </c>
    </row>
    <row r="39" spans="1:21" ht="34.5" customHeight="1">
      <c r="A39" s="786" t="s">
        <v>306</v>
      </c>
      <c r="B39" s="82" t="s">
        <v>1</v>
      </c>
      <c r="C39" s="406" t="s">
        <v>307</v>
      </c>
      <c r="D39" s="353">
        <v>1</v>
      </c>
      <c r="E39" s="52">
        <f t="shared" si="0"/>
        <v>94892358</v>
      </c>
      <c r="F39" s="52">
        <v>28000000</v>
      </c>
      <c r="G39" s="52">
        <v>66892358</v>
      </c>
      <c r="H39" s="52">
        <v>0</v>
      </c>
      <c r="I39" s="52">
        <v>0</v>
      </c>
      <c r="J39" s="788">
        <v>44581</v>
      </c>
      <c r="K39" s="788">
        <v>44545</v>
      </c>
      <c r="L39" s="766">
        <f>D40/D39</f>
        <v>1</v>
      </c>
      <c r="M39" s="766">
        <f>E40/E39</f>
        <v>0.29367084544363414</v>
      </c>
      <c r="N39" s="767">
        <f>L39*L39/M39</f>
        <v>3.4051728849329561</v>
      </c>
      <c r="O39" s="107"/>
      <c r="P39" s="173"/>
      <c r="Q39" s="162"/>
      <c r="R39" s="174"/>
    </row>
    <row r="40" spans="1:21" ht="34.5" customHeight="1">
      <c r="A40" s="787"/>
      <c r="B40" s="82" t="s">
        <v>0</v>
      </c>
      <c r="C40" s="407"/>
      <c r="D40" s="353">
        <v>1</v>
      </c>
      <c r="E40" s="52">
        <f t="shared" si="0"/>
        <v>27867119</v>
      </c>
      <c r="F40" s="52">
        <v>27867119</v>
      </c>
      <c r="G40" s="52">
        <v>0</v>
      </c>
      <c r="H40" s="52">
        <v>0</v>
      </c>
      <c r="I40" s="52">
        <v>0</v>
      </c>
      <c r="J40" s="788"/>
      <c r="K40" s="788"/>
      <c r="L40" s="766"/>
      <c r="M40" s="766"/>
      <c r="N40" s="767"/>
      <c r="O40" s="107"/>
      <c r="P40" s="173"/>
      <c r="Q40" s="162"/>
      <c r="R40" s="174"/>
    </row>
    <row r="41" spans="1:21" ht="15.75">
      <c r="A41" s="786" t="s">
        <v>274</v>
      </c>
      <c r="B41" s="82" t="s">
        <v>1</v>
      </c>
      <c r="C41" s="808" t="s">
        <v>275</v>
      </c>
      <c r="D41" s="356">
        <v>1</v>
      </c>
      <c r="E41" s="52">
        <f t="shared" si="0"/>
        <v>10000000</v>
      </c>
      <c r="F41" s="52">
        <v>10000000</v>
      </c>
      <c r="G41" s="52">
        <v>0</v>
      </c>
      <c r="H41" s="52">
        <v>0</v>
      </c>
      <c r="I41" s="52">
        <v>0</v>
      </c>
      <c r="J41" s="788">
        <v>44946</v>
      </c>
      <c r="K41" s="788">
        <v>45275</v>
      </c>
      <c r="L41" s="766">
        <f>D42/D41</f>
        <v>0</v>
      </c>
      <c r="M41" s="766">
        <f>E42/E41</f>
        <v>0</v>
      </c>
      <c r="N41" s="410" t="e">
        <f>L41*L41/M41</f>
        <v>#DIV/0!</v>
      </c>
      <c r="O41" s="107"/>
      <c r="P41" s="168"/>
      <c r="R41" s="169"/>
    </row>
    <row r="42" spans="1:21" ht="15.75">
      <c r="A42" s="787"/>
      <c r="B42" s="82" t="s">
        <v>0</v>
      </c>
      <c r="C42" s="385"/>
      <c r="D42" s="356">
        <v>0</v>
      </c>
      <c r="E42" s="52">
        <f t="shared" si="0"/>
        <v>0</v>
      </c>
      <c r="F42" s="52">
        <v>0</v>
      </c>
      <c r="G42" s="52">
        <v>0</v>
      </c>
      <c r="H42" s="52">
        <v>0</v>
      </c>
      <c r="I42" s="52">
        <v>0</v>
      </c>
      <c r="J42" s="788"/>
      <c r="K42" s="788"/>
      <c r="L42" s="766"/>
      <c r="M42" s="766"/>
      <c r="N42" s="410"/>
      <c r="O42" s="107"/>
      <c r="P42" s="352"/>
      <c r="Q42" s="159" t="s">
        <v>278</v>
      </c>
      <c r="R42" s="355" t="s">
        <v>27</v>
      </c>
    </row>
    <row r="43" spans="1:21" ht="30.75" customHeight="1">
      <c r="A43" s="404" t="s">
        <v>195</v>
      </c>
      <c r="B43" s="82" t="s">
        <v>1</v>
      </c>
      <c r="C43" s="406" t="s">
        <v>184</v>
      </c>
      <c r="D43" s="271">
        <v>1</v>
      </c>
      <c r="E43" s="52">
        <f t="shared" si="0"/>
        <v>5000000</v>
      </c>
      <c r="F43" s="52">
        <v>5000000</v>
      </c>
      <c r="G43" s="52">
        <v>0</v>
      </c>
      <c r="H43" s="52">
        <v>0</v>
      </c>
      <c r="I43" s="52">
        <v>0</v>
      </c>
      <c r="J43" s="788">
        <v>44946</v>
      </c>
      <c r="K43" s="788">
        <v>45275</v>
      </c>
      <c r="L43" s="766">
        <f>D44/D43</f>
        <v>0</v>
      </c>
      <c r="M43" s="766">
        <f>E44/E43</f>
        <v>0.84499999999999997</v>
      </c>
      <c r="N43" s="410">
        <f>L43*L43/M43</f>
        <v>0</v>
      </c>
      <c r="O43" s="107"/>
      <c r="P43" s="159" t="s">
        <v>1</v>
      </c>
      <c r="Q43" s="160">
        <v>5</v>
      </c>
      <c r="R43" s="161">
        <f>F43+F45</f>
        <v>10000000</v>
      </c>
    </row>
    <row r="44" spans="1:21" ht="30.75" customHeight="1">
      <c r="A44" s="405"/>
      <c r="B44" s="82" t="s">
        <v>0</v>
      </c>
      <c r="C44" s="407"/>
      <c r="D44" s="271">
        <v>0</v>
      </c>
      <c r="E44" s="52">
        <f t="shared" si="0"/>
        <v>4225000</v>
      </c>
      <c r="F44" s="52">
        <f>1000000+3225000</f>
        <v>4225000</v>
      </c>
      <c r="G44" s="52">
        <v>0</v>
      </c>
      <c r="H44" s="52">
        <v>0</v>
      </c>
      <c r="I44" s="52">
        <v>0</v>
      </c>
      <c r="J44" s="788"/>
      <c r="K44" s="788"/>
      <c r="L44" s="766"/>
      <c r="M44" s="766"/>
      <c r="N44" s="410"/>
      <c r="O44" s="107"/>
      <c r="P44" s="159" t="s">
        <v>0</v>
      </c>
      <c r="Q44" s="167"/>
      <c r="R44" s="161">
        <f>F44+F46</f>
        <v>8935000</v>
      </c>
    </row>
    <row r="45" spans="1:21" ht="20.25">
      <c r="A45" s="404" t="s">
        <v>194</v>
      </c>
      <c r="B45" s="82" t="s">
        <v>1</v>
      </c>
      <c r="C45" s="406" t="s">
        <v>193</v>
      </c>
      <c r="D45" s="353">
        <v>1</v>
      </c>
      <c r="E45" s="52">
        <f t="shared" si="0"/>
        <v>5000000</v>
      </c>
      <c r="F45" s="354">
        <v>5000000</v>
      </c>
      <c r="G45" s="52">
        <v>0</v>
      </c>
      <c r="H45" s="52">
        <v>0</v>
      </c>
      <c r="I45" s="52">
        <v>0</v>
      </c>
      <c r="J45" s="788">
        <v>44946</v>
      </c>
      <c r="K45" s="788">
        <v>45275</v>
      </c>
      <c r="L45" s="766">
        <f>D46/D45</f>
        <v>0</v>
      </c>
      <c r="M45" s="766">
        <f>E46/E45</f>
        <v>0.94199999999999995</v>
      </c>
      <c r="N45" s="410">
        <f>L45*L45/M45</f>
        <v>0</v>
      </c>
      <c r="O45" s="107"/>
      <c r="P45" s="159" t="s">
        <v>1</v>
      </c>
      <c r="Q45" s="160">
        <v>6</v>
      </c>
      <c r="R45" s="161">
        <f>F47+F49+F51</f>
        <v>117000000</v>
      </c>
    </row>
    <row r="46" spans="1:21" ht="15.75">
      <c r="A46" s="405"/>
      <c r="B46" s="82" t="s">
        <v>0</v>
      </c>
      <c r="C46" s="407"/>
      <c r="D46" s="353">
        <v>0</v>
      </c>
      <c r="E46" s="52">
        <f t="shared" si="0"/>
        <v>4710000</v>
      </c>
      <c r="F46" s="354">
        <v>4710000</v>
      </c>
      <c r="G46" s="52">
        <v>0</v>
      </c>
      <c r="H46" s="52">
        <v>0</v>
      </c>
      <c r="I46" s="52">
        <v>0</v>
      </c>
      <c r="J46" s="788"/>
      <c r="K46" s="788"/>
      <c r="L46" s="766"/>
      <c r="M46" s="766"/>
      <c r="N46" s="410"/>
      <c r="O46" s="107"/>
      <c r="P46" s="159" t="s">
        <v>0</v>
      </c>
      <c r="Q46" s="167"/>
      <c r="R46" s="161">
        <f>F48+F50+F52</f>
        <v>101202000</v>
      </c>
      <c r="T46" s="161">
        <f>25400000+19050000</f>
        <v>44450000</v>
      </c>
      <c r="U46" s="161">
        <f>3600000+2047000+5100000</f>
        <v>10747000</v>
      </c>
    </row>
    <row r="47" spans="1:21" ht="15.75">
      <c r="A47" s="404" t="s">
        <v>192</v>
      </c>
      <c r="B47" s="82" t="s">
        <v>1</v>
      </c>
      <c r="C47" s="406" t="s">
        <v>191</v>
      </c>
      <c r="D47" s="353">
        <v>1</v>
      </c>
      <c r="E47" s="52">
        <f t="shared" si="0"/>
        <v>20000000</v>
      </c>
      <c r="F47" s="52">
        <v>20000000</v>
      </c>
      <c r="G47" s="52">
        <v>0</v>
      </c>
      <c r="H47" s="52">
        <v>0</v>
      </c>
      <c r="I47" s="52">
        <v>0</v>
      </c>
      <c r="J47" s="788">
        <v>44946</v>
      </c>
      <c r="K47" s="788">
        <v>45275</v>
      </c>
      <c r="L47" s="766">
        <f>D48/D47</f>
        <v>0</v>
      </c>
      <c r="M47" s="766">
        <f>E48/E47</f>
        <v>0.73107500000000003</v>
      </c>
      <c r="N47" s="410">
        <f>L47*L47/M47</f>
        <v>0</v>
      </c>
      <c r="O47" s="107"/>
    </row>
    <row r="48" spans="1:21" ht="15.75">
      <c r="A48" s="405"/>
      <c r="B48" s="82" t="s">
        <v>0</v>
      </c>
      <c r="C48" s="407"/>
      <c r="D48" s="353">
        <v>0</v>
      </c>
      <c r="E48" s="52">
        <f t="shared" si="0"/>
        <v>14621500</v>
      </c>
      <c r="F48" s="52">
        <f>8480500+6141000</f>
        <v>14621500</v>
      </c>
      <c r="G48" s="52">
        <v>0</v>
      </c>
      <c r="H48" s="52">
        <v>0</v>
      </c>
      <c r="I48" s="52">
        <v>0</v>
      </c>
      <c r="J48" s="788"/>
      <c r="K48" s="788"/>
      <c r="L48" s="766"/>
      <c r="M48" s="766"/>
      <c r="N48" s="410"/>
      <c r="O48" s="107"/>
      <c r="P48" s="168"/>
      <c r="R48" s="169"/>
    </row>
    <row r="49" spans="1:21" ht="34.5" customHeight="1">
      <c r="A49" s="404" t="s">
        <v>190</v>
      </c>
      <c r="B49" s="82" t="s">
        <v>1</v>
      </c>
      <c r="C49" s="406" t="s">
        <v>184</v>
      </c>
      <c r="D49" s="353">
        <v>1</v>
      </c>
      <c r="E49" s="52">
        <f t="shared" si="0"/>
        <v>87000000</v>
      </c>
      <c r="F49" s="52">
        <f>80000000+7000000</f>
        <v>87000000</v>
      </c>
      <c r="G49" s="52">
        <v>0</v>
      </c>
      <c r="H49" s="52">
        <v>0</v>
      </c>
      <c r="I49" s="52">
        <v>0</v>
      </c>
      <c r="J49" s="788">
        <v>44946</v>
      </c>
      <c r="K49" s="788">
        <v>45275</v>
      </c>
      <c r="L49" s="766">
        <f>D50/D49</f>
        <v>0</v>
      </c>
      <c r="M49" s="766">
        <f>E50/E49</f>
        <v>0.99517816091954026</v>
      </c>
      <c r="N49" s="252"/>
      <c r="O49" s="107"/>
      <c r="P49" s="168"/>
      <c r="Q49" s="170"/>
      <c r="R49" s="169"/>
    </row>
    <row r="50" spans="1:21" ht="34.5" customHeight="1">
      <c r="A50" s="405"/>
      <c r="B50" s="82" t="s">
        <v>0</v>
      </c>
      <c r="C50" s="407"/>
      <c r="D50" s="353">
        <v>0</v>
      </c>
      <c r="E50" s="52">
        <f t="shared" si="0"/>
        <v>86580500</v>
      </c>
      <c r="F50" s="52">
        <f>44450000+33250000+880500+8000000</f>
        <v>86580500</v>
      </c>
      <c r="G50" s="52">
        <v>0</v>
      </c>
      <c r="H50" s="52">
        <v>0</v>
      </c>
      <c r="I50" s="52">
        <v>0</v>
      </c>
      <c r="J50" s="788"/>
      <c r="K50" s="788"/>
      <c r="L50" s="766"/>
      <c r="M50" s="766"/>
      <c r="N50" s="252"/>
      <c r="O50" s="107"/>
    </row>
    <row r="51" spans="1:21" ht="15.75" customHeight="1">
      <c r="A51" s="786" t="s">
        <v>189</v>
      </c>
      <c r="B51" s="82" t="s">
        <v>1</v>
      </c>
      <c r="C51" s="604" t="s">
        <v>275</v>
      </c>
      <c r="D51" s="357">
        <v>1</v>
      </c>
      <c r="E51" s="52">
        <f t="shared" si="0"/>
        <v>10000000</v>
      </c>
      <c r="F51" s="52">
        <v>10000000</v>
      </c>
      <c r="G51" s="52">
        <v>0</v>
      </c>
      <c r="H51" s="52">
        <v>0</v>
      </c>
      <c r="I51" s="52">
        <v>0</v>
      </c>
      <c r="J51" s="788">
        <v>44946</v>
      </c>
      <c r="K51" s="788">
        <v>45275</v>
      </c>
      <c r="L51" s="766">
        <f>D52/D51</f>
        <v>0</v>
      </c>
      <c r="M51" s="766">
        <f>E52/E51</f>
        <v>0</v>
      </c>
      <c r="N51" s="410" t="e">
        <f>L51*L51/M51</f>
        <v>#DIV/0!</v>
      </c>
      <c r="O51" s="107"/>
      <c r="P51" s="168"/>
      <c r="R51" s="169"/>
    </row>
    <row r="52" spans="1:21" ht="15.75">
      <c r="A52" s="787"/>
      <c r="B52" s="82" t="s">
        <v>0</v>
      </c>
      <c r="C52" s="394"/>
      <c r="D52" s="357">
        <v>0</v>
      </c>
      <c r="E52" s="52">
        <f t="shared" si="0"/>
        <v>0</v>
      </c>
      <c r="F52" s="52">
        <v>0</v>
      </c>
      <c r="G52" s="52">
        <v>0</v>
      </c>
      <c r="H52" s="52">
        <v>0</v>
      </c>
      <c r="I52" s="52">
        <v>0</v>
      </c>
      <c r="J52" s="788"/>
      <c r="K52" s="788"/>
      <c r="L52" s="766"/>
      <c r="M52" s="766"/>
      <c r="N52" s="410"/>
      <c r="O52" s="107"/>
      <c r="P52" s="168"/>
      <c r="R52" s="169"/>
    </row>
    <row r="53" spans="1:21" ht="15.75">
      <c r="A53" s="786" t="s">
        <v>188</v>
      </c>
      <c r="B53" s="82" t="s">
        <v>1</v>
      </c>
      <c r="C53" s="406" t="s">
        <v>187</v>
      </c>
      <c r="D53" s="353">
        <v>4</v>
      </c>
      <c r="E53" s="52">
        <f t="shared" si="0"/>
        <v>5000000</v>
      </c>
      <c r="F53" s="354">
        <v>5000000</v>
      </c>
      <c r="G53" s="52">
        <v>0</v>
      </c>
      <c r="H53" s="52">
        <v>0</v>
      </c>
      <c r="I53" s="52">
        <v>0</v>
      </c>
      <c r="J53" s="788">
        <v>44946</v>
      </c>
      <c r="K53" s="788">
        <v>45275</v>
      </c>
      <c r="L53" s="766">
        <f>D54/D53</f>
        <v>0</v>
      </c>
      <c r="M53" s="766">
        <f>E54/E53</f>
        <v>0</v>
      </c>
      <c r="N53" s="410" t="e">
        <f>L53*L53/M53</f>
        <v>#DIV/0!</v>
      </c>
      <c r="O53" s="107"/>
      <c r="P53" s="168"/>
      <c r="R53" s="169"/>
    </row>
    <row r="54" spans="1:21" ht="15.75">
      <c r="A54" s="787"/>
      <c r="B54" s="82" t="s">
        <v>0</v>
      </c>
      <c r="C54" s="407"/>
      <c r="D54" s="353">
        <v>0</v>
      </c>
      <c r="E54" s="52">
        <f t="shared" si="0"/>
        <v>0</v>
      </c>
      <c r="F54" s="354">
        <v>0</v>
      </c>
      <c r="G54" s="52">
        <v>0</v>
      </c>
      <c r="H54" s="52">
        <v>0</v>
      </c>
      <c r="I54" s="52">
        <v>0</v>
      </c>
      <c r="J54" s="788"/>
      <c r="K54" s="788"/>
      <c r="L54" s="766"/>
      <c r="M54" s="766"/>
      <c r="N54" s="410"/>
      <c r="O54" s="107"/>
      <c r="P54" s="168"/>
      <c r="R54" s="169"/>
    </row>
    <row r="55" spans="1:21" ht="24.75" customHeight="1">
      <c r="A55" s="786" t="s">
        <v>186</v>
      </c>
      <c r="B55" s="82" t="s">
        <v>1</v>
      </c>
      <c r="C55" s="406" t="s">
        <v>185</v>
      </c>
      <c r="D55" s="353">
        <v>20</v>
      </c>
      <c r="E55" s="52">
        <f t="shared" si="0"/>
        <v>43000000</v>
      </c>
      <c r="F55" s="52">
        <v>43000000</v>
      </c>
      <c r="G55" s="52">
        <v>0</v>
      </c>
      <c r="H55" s="52">
        <v>0</v>
      </c>
      <c r="I55" s="52">
        <v>0</v>
      </c>
      <c r="J55" s="788">
        <v>44946</v>
      </c>
      <c r="K55" s="788">
        <v>45275</v>
      </c>
      <c r="L55" s="766">
        <f>D56/D55</f>
        <v>0</v>
      </c>
      <c r="M55" s="766">
        <f>E56/E55</f>
        <v>0.99509302325581395</v>
      </c>
      <c r="N55" s="410">
        <f>L55*L55/M55</f>
        <v>0</v>
      </c>
      <c r="O55" s="107"/>
      <c r="P55" s="159" t="s">
        <v>1</v>
      </c>
      <c r="Q55" s="160">
        <v>7</v>
      </c>
      <c r="R55" s="161">
        <f>F53</f>
        <v>5000000</v>
      </c>
    </row>
    <row r="56" spans="1:21" ht="24.75" customHeight="1">
      <c r="A56" s="787"/>
      <c r="B56" s="82" t="s">
        <v>0</v>
      </c>
      <c r="C56" s="407"/>
      <c r="D56" s="353">
        <v>0</v>
      </c>
      <c r="E56" s="52">
        <f t="shared" si="0"/>
        <v>42789000</v>
      </c>
      <c r="F56" s="52">
        <f>10000000+11200000+17850000+3739000</f>
        <v>42789000</v>
      </c>
      <c r="G56" s="52">
        <v>0</v>
      </c>
      <c r="H56" s="52">
        <v>0</v>
      </c>
      <c r="I56" s="52">
        <v>0</v>
      </c>
      <c r="J56" s="788"/>
      <c r="K56" s="788"/>
      <c r="L56" s="766"/>
      <c r="M56" s="766"/>
      <c r="N56" s="410"/>
      <c r="O56" s="107"/>
      <c r="P56" s="159" t="s">
        <v>0</v>
      </c>
      <c r="Q56" s="167"/>
      <c r="R56" s="161">
        <f>F54</f>
        <v>0</v>
      </c>
    </row>
    <row r="57" spans="1:21" ht="20.25">
      <c r="A57" s="786" t="s">
        <v>183</v>
      </c>
      <c r="B57" s="82" t="s">
        <v>1</v>
      </c>
      <c r="C57" s="406" t="s">
        <v>182</v>
      </c>
      <c r="D57" s="353">
        <v>1</v>
      </c>
      <c r="E57" s="52">
        <f t="shared" si="0"/>
        <v>22000000</v>
      </c>
      <c r="F57" s="354">
        <v>22000000</v>
      </c>
      <c r="G57" s="52">
        <v>0</v>
      </c>
      <c r="H57" s="52">
        <v>0</v>
      </c>
      <c r="I57" s="52">
        <v>0</v>
      </c>
      <c r="J57" s="788">
        <v>44946</v>
      </c>
      <c r="K57" s="788">
        <v>45275</v>
      </c>
      <c r="L57" s="766">
        <f>D58/D57</f>
        <v>0</v>
      </c>
      <c r="M57" s="766">
        <f>E58/E57</f>
        <v>0.98181818181818181</v>
      </c>
      <c r="N57" s="410">
        <f>L57*L57/M57</f>
        <v>0</v>
      </c>
      <c r="O57" s="107"/>
      <c r="P57" s="159" t="s">
        <v>1</v>
      </c>
      <c r="Q57" s="160">
        <v>8</v>
      </c>
      <c r="R57" s="161">
        <f>F55</f>
        <v>43000000</v>
      </c>
    </row>
    <row r="58" spans="1:21" ht="15.75">
      <c r="A58" s="787"/>
      <c r="B58" s="82" t="s">
        <v>0</v>
      </c>
      <c r="C58" s="407"/>
      <c r="D58" s="353">
        <v>0</v>
      </c>
      <c r="E58" s="52">
        <f t="shared" si="0"/>
        <v>21600000</v>
      </c>
      <c r="F58" s="354">
        <v>21600000</v>
      </c>
      <c r="G58" s="52">
        <v>0</v>
      </c>
      <c r="H58" s="52">
        <v>0</v>
      </c>
      <c r="I58" s="52">
        <v>0</v>
      </c>
      <c r="J58" s="788"/>
      <c r="K58" s="788"/>
      <c r="L58" s="766"/>
      <c r="M58" s="766"/>
      <c r="N58" s="410"/>
      <c r="O58" s="107"/>
      <c r="P58" s="159" t="s">
        <v>0</v>
      </c>
      <c r="Q58" s="167"/>
      <c r="R58" s="161">
        <f>F56</f>
        <v>42789000</v>
      </c>
      <c r="T58" s="161">
        <f>12800000+7650000</f>
        <v>20450000</v>
      </c>
      <c r="U58" s="161">
        <v>3200000</v>
      </c>
    </row>
    <row r="59" spans="1:21" ht="15.75" customHeight="1">
      <c r="A59" s="786" t="s">
        <v>319</v>
      </c>
      <c r="B59" s="82" t="s">
        <v>1</v>
      </c>
      <c r="C59" s="406" t="s">
        <v>315</v>
      </c>
      <c r="D59" s="353">
        <v>1</v>
      </c>
      <c r="E59" s="52">
        <f t="shared" si="0"/>
        <v>1000000</v>
      </c>
      <c r="F59" s="52">
        <v>1000000</v>
      </c>
      <c r="G59" s="52">
        <v>0</v>
      </c>
      <c r="H59" s="52">
        <v>0</v>
      </c>
      <c r="I59" s="52">
        <v>0</v>
      </c>
      <c r="J59" s="788">
        <v>44946</v>
      </c>
      <c r="K59" s="788">
        <v>45275</v>
      </c>
      <c r="L59" s="766">
        <f>D60/D59</f>
        <v>0</v>
      </c>
      <c r="M59" s="766">
        <f>E60/E59</f>
        <v>1</v>
      </c>
      <c r="N59" s="410">
        <f>L59*L59/M59</f>
        <v>0</v>
      </c>
      <c r="O59" s="107"/>
      <c r="P59" s="173"/>
      <c r="Q59" s="162"/>
      <c r="R59" s="174"/>
    </row>
    <row r="60" spans="1:21" ht="15.75">
      <c r="A60" s="787"/>
      <c r="B60" s="82" t="s">
        <v>0</v>
      </c>
      <c r="C60" s="407"/>
      <c r="D60" s="353">
        <v>0</v>
      </c>
      <c r="E60" s="52">
        <f t="shared" si="0"/>
        <v>1000000</v>
      </c>
      <c r="F60" s="52">
        <v>1000000</v>
      </c>
      <c r="G60" s="52">
        <v>0</v>
      </c>
      <c r="H60" s="52">
        <v>0</v>
      </c>
      <c r="I60" s="52">
        <v>0</v>
      </c>
      <c r="J60" s="788"/>
      <c r="K60" s="788"/>
      <c r="L60" s="766"/>
      <c r="M60" s="766"/>
      <c r="N60" s="410"/>
      <c r="O60" s="107"/>
      <c r="P60" s="173"/>
      <c r="Q60" s="162"/>
      <c r="R60" s="174"/>
    </row>
    <row r="61" spans="1:21" ht="25.5" customHeight="1">
      <c r="A61" s="786" t="s">
        <v>181</v>
      </c>
      <c r="B61" s="82" t="s">
        <v>1</v>
      </c>
      <c r="C61" s="406" t="s">
        <v>180</v>
      </c>
      <c r="D61" s="353">
        <v>40</v>
      </c>
      <c r="E61" s="52">
        <f t="shared" si="0"/>
        <v>174191600</v>
      </c>
      <c r="F61" s="52">
        <v>174191600</v>
      </c>
      <c r="G61" s="52">
        <v>0</v>
      </c>
      <c r="H61" s="52">
        <v>0</v>
      </c>
      <c r="I61" s="52">
        <v>0</v>
      </c>
      <c r="J61" s="788">
        <v>44946</v>
      </c>
      <c r="K61" s="788">
        <v>45275</v>
      </c>
      <c r="L61" s="766">
        <f>D62/D61</f>
        <v>0.92500000000000004</v>
      </c>
      <c r="M61" s="766">
        <f>E62/E61</f>
        <v>1</v>
      </c>
      <c r="N61" s="767">
        <f>L61*L61/M61</f>
        <v>0.85562500000000008</v>
      </c>
      <c r="O61" s="107"/>
    </row>
    <row r="62" spans="1:21" ht="25.5" customHeight="1">
      <c r="A62" s="787"/>
      <c r="B62" s="82" t="s">
        <v>0</v>
      </c>
      <c r="C62" s="407"/>
      <c r="D62" s="353">
        <v>37</v>
      </c>
      <c r="E62" s="52">
        <f t="shared" si="0"/>
        <v>174191600</v>
      </c>
      <c r="F62" s="52">
        <v>174191600</v>
      </c>
      <c r="G62" s="52">
        <v>0</v>
      </c>
      <c r="H62" s="52">
        <v>0</v>
      </c>
      <c r="I62" s="52">
        <v>0</v>
      </c>
      <c r="J62" s="788"/>
      <c r="K62" s="788"/>
      <c r="L62" s="766"/>
      <c r="M62" s="766"/>
      <c r="N62" s="767"/>
      <c r="O62" s="107"/>
      <c r="P62" s="159" t="s">
        <v>1</v>
      </c>
      <c r="Q62" s="160">
        <v>9</v>
      </c>
      <c r="R62" s="161">
        <f>F57</f>
        <v>22000000</v>
      </c>
    </row>
    <row r="63" spans="1:21" ht="25.5" customHeight="1">
      <c r="A63" s="404" t="s">
        <v>432</v>
      </c>
      <c r="B63" s="82" t="s">
        <v>1</v>
      </c>
      <c r="C63" s="406" t="s">
        <v>431</v>
      </c>
      <c r="D63" s="353">
        <v>3</v>
      </c>
      <c r="E63" s="52">
        <f t="shared" si="0"/>
        <v>5000000</v>
      </c>
      <c r="F63" s="52">
        <v>5000000</v>
      </c>
      <c r="G63" s="52">
        <v>0</v>
      </c>
      <c r="H63" s="52">
        <v>0</v>
      </c>
      <c r="I63" s="52">
        <v>0</v>
      </c>
      <c r="J63" s="806">
        <v>44946</v>
      </c>
      <c r="K63" s="806">
        <v>45275</v>
      </c>
      <c r="L63" s="791">
        <f>D64/D63</f>
        <v>0</v>
      </c>
      <c r="M63" s="791">
        <f>E64/E63</f>
        <v>0</v>
      </c>
      <c r="N63" s="801" t="e">
        <f>L63*L63/M63</f>
        <v>#DIV/0!</v>
      </c>
      <c r="O63" s="107"/>
      <c r="P63" s="159" t="s">
        <v>0</v>
      </c>
      <c r="Q63" s="167"/>
      <c r="R63" s="161">
        <f>F58</f>
        <v>21600000</v>
      </c>
    </row>
    <row r="64" spans="1:21" ht="25.5" customHeight="1">
      <c r="A64" s="405"/>
      <c r="B64" s="82" t="s">
        <v>0</v>
      </c>
      <c r="C64" s="407"/>
      <c r="D64" s="353">
        <v>0</v>
      </c>
      <c r="E64" s="52">
        <f t="shared" si="0"/>
        <v>0</v>
      </c>
      <c r="F64" s="52">
        <v>0</v>
      </c>
      <c r="G64" s="52">
        <v>0</v>
      </c>
      <c r="H64" s="52">
        <v>0</v>
      </c>
      <c r="I64" s="52">
        <v>0</v>
      </c>
      <c r="J64" s="807"/>
      <c r="K64" s="807"/>
      <c r="L64" s="792"/>
      <c r="M64" s="792"/>
      <c r="N64" s="802"/>
      <c r="O64" s="107"/>
      <c r="P64" s="159" t="s">
        <v>1</v>
      </c>
      <c r="Q64" s="160">
        <v>10</v>
      </c>
      <c r="R64" s="161">
        <f>F59+F61</f>
        <v>175191600</v>
      </c>
    </row>
    <row r="65" spans="1:21" ht="15.75">
      <c r="A65" s="786" t="s">
        <v>179</v>
      </c>
      <c r="B65" s="82" t="s">
        <v>1</v>
      </c>
      <c r="C65" s="406" t="s">
        <v>178</v>
      </c>
      <c r="D65" s="353">
        <v>1</v>
      </c>
      <c r="E65" s="52">
        <f t="shared" si="0"/>
        <v>603436000</v>
      </c>
      <c r="F65" s="354">
        <f>436436000+167000000</f>
        <v>603436000</v>
      </c>
      <c r="G65" s="52">
        <v>0</v>
      </c>
      <c r="H65" s="52">
        <v>0</v>
      </c>
      <c r="I65" s="52">
        <v>0</v>
      </c>
      <c r="J65" s="788">
        <v>44946</v>
      </c>
      <c r="K65" s="788">
        <v>45275</v>
      </c>
      <c r="L65" s="766">
        <f>D66/D65</f>
        <v>1</v>
      </c>
      <c r="M65" s="766">
        <f>E66/E65</f>
        <v>0.99963685792693835</v>
      </c>
      <c r="N65" s="767">
        <f>L65*L65/M65</f>
        <v>1.0003632739931325</v>
      </c>
      <c r="O65" s="107"/>
      <c r="P65" s="159" t="s">
        <v>0</v>
      </c>
      <c r="Q65" s="167"/>
      <c r="R65" s="161">
        <f>F60+F62</f>
        <v>175191600</v>
      </c>
      <c r="T65" s="161">
        <v>119271750</v>
      </c>
      <c r="U65" s="161">
        <v>10800000</v>
      </c>
    </row>
    <row r="66" spans="1:21" ht="20.25">
      <c r="A66" s="787"/>
      <c r="B66" s="82" t="s">
        <v>0</v>
      </c>
      <c r="C66" s="407"/>
      <c r="D66" s="353">
        <v>1</v>
      </c>
      <c r="E66" s="52">
        <f t="shared" si="0"/>
        <v>603216867</v>
      </c>
      <c r="F66" s="354">
        <f>235004000+117502000+250710867</f>
        <v>603216867</v>
      </c>
      <c r="G66" s="52">
        <v>0</v>
      </c>
      <c r="H66" s="52">
        <v>0</v>
      </c>
      <c r="I66" s="52">
        <v>0</v>
      </c>
      <c r="J66" s="788"/>
      <c r="K66" s="788"/>
      <c r="L66" s="766"/>
      <c r="M66" s="766"/>
      <c r="N66" s="767"/>
      <c r="O66" s="107"/>
      <c r="P66" s="159" t="s">
        <v>1</v>
      </c>
      <c r="Q66" s="160">
        <v>11</v>
      </c>
      <c r="R66" s="161">
        <f>F63+F65</f>
        <v>608436000</v>
      </c>
    </row>
    <row r="67" spans="1:21" s="86" customFormat="1" ht="15.75">
      <c r="A67" s="793" t="s">
        <v>177</v>
      </c>
      <c r="B67" s="85" t="s">
        <v>1</v>
      </c>
      <c r="C67" s="406" t="s">
        <v>433</v>
      </c>
      <c r="D67" s="353">
        <v>1</v>
      </c>
      <c r="E67" s="52">
        <f t="shared" si="0"/>
        <v>5000000</v>
      </c>
      <c r="F67" s="52">
        <v>5000000</v>
      </c>
      <c r="G67" s="52">
        <v>0</v>
      </c>
      <c r="H67" s="52">
        <v>0</v>
      </c>
      <c r="I67" s="52">
        <v>0</v>
      </c>
      <c r="J67" s="788">
        <v>44946</v>
      </c>
      <c r="K67" s="788">
        <v>45275</v>
      </c>
      <c r="L67" s="795">
        <f>D68/D67</f>
        <v>0</v>
      </c>
      <c r="M67" s="795">
        <f>E68/E67</f>
        <v>0</v>
      </c>
      <c r="N67" s="799" t="e">
        <f>L67*L67/M67</f>
        <v>#DIV/0!</v>
      </c>
      <c r="O67" s="114"/>
      <c r="P67" s="159" t="s">
        <v>0</v>
      </c>
      <c r="Q67" s="167"/>
      <c r="R67" s="161">
        <f>F64+F66</f>
        <v>603216867</v>
      </c>
      <c r="T67" s="161">
        <f>235004000+89338400</f>
        <v>324342400</v>
      </c>
    </row>
    <row r="68" spans="1:21" s="86" customFormat="1" ht="20.25">
      <c r="A68" s="794"/>
      <c r="B68" s="85" t="s">
        <v>0</v>
      </c>
      <c r="C68" s="407"/>
      <c r="D68" s="353">
        <v>0</v>
      </c>
      <c r="E68" s="52">
        <f t="shared" si="0"/>
        <v>0</v>
      </c>
      <c r="F68" s="52">
        <v>0</v>
      </c>
      <c r="G68" s="52">
        <v>0</v>
      </c>
      <c r="H68" s="52">
        <v>0</v>
      </c>
      <c r="I68" s="52">
        <v>0</v>
      </c>
      <c r="J68" s="788"/>
      <c r="K68" s="788"/>
      <c r="L68" s="796"/>
      <c r="M68" s="796"/>
      <c r="N68" s="800"/>
      <c r="O68" s="114"/>
      <c r="P68" s="159" t="s">
        <v>1</v>
      </c>
      <c r="Q68" s="160">
        <v>12</v>
      </c>
      <c r="R68" s="161">
        <f t="shared" ref="R68:R73" si="1">F67</f>
        <v>5000000</v>
      </c>
    </row>
    <row r="69" spans="1:21" ht="25.5" customHeight="1">
      <c r="A69" s="404" t="s">
        <v>176</v>
      </c>
      <c r="B69" s="82" t="s">
        <v>1</v>
      </c>
      <c r="C69" s="406" t="s">
        <v>434</v>
      </c>
      <c r="D69" s="353">
        <v>5</v>
      </c>
      <c r="E69" s="52">
        <f t="shared" si="0"/>
        <v>32000000</v>
      </c>
      <c r="F69" s="354">
        <v>32000000</v>
      </c>
      <c r="G69" s="52">
        <v>0</v>
      </c>
      <c r="H69" s="52">
        <v>0</v>
      </c>
      <c r="I69" s="52">
        <v>0</v>
      </c>
      <c r="J69" s="788">
        <v>44946</v>
      </c>
      <c r="K69" s="788">
        <v>45275</v>
      </c>
      <c r="L69" s="791">
        <f>D70/D69</f>
        <v>0</v>
      </c>
      <c r="M69" s="791">
        <f>E70/E69</f>
        <v>0.95468750000000002</v>
      </c>
      <c r="N69" s="797">
        <f>L69*L69/M69</f>
        <v>0</v>
      </c>
      <c r="O69" s="107"/>
      <c r="P69" s="159" t="s">
        <v>0</v>
      </c>
      <c r="Q69" s="167"/>
      <c r="R69" s="161">
        <f t="shared" si="1"/>
        <v>0</v>
      </c>
    </row>
    <row r="70" spans="1:21" ht="25.5" customHeight="1">
      <c r="A70" s="405"/>
      <c r="B70" s="82" t="s">
        <v>0</v>
      </c>
      <c r="C70" s="407"/>
      <c r="D70" s="353">
        <v>0</v>
      </c>
      <c r="E70" s="52">
        <f t="shared" si="0"/>
        <v>30550000</v>
      </c>
      <c r="F70" s="354">
        <f>9750000+10800000+10000000</f>
        <v>30550000</v>
      </c>
      <c r="G70" s="52">
        <v>0</v>
      </c>
      <c r="H70" s="52">
        <v>0</v>
      </c>
      <c r="I70" s="52">
        <v>0</v>
      </c>
      <c r="J70" s="788"/>
      <c r="K70" s="788"/>
      <c r="L70" s="792"/>
      <c r="M70" s="792"/>
      <c r="N70" s="798"/>
      <c r="O70" s="107"/>
      <c r="P70" s="159" t="s">
        <v>1</v>
      </c>
      <c r="Q70" s="160">
        <v>13</v>
      </c>
      <c r="R70" s="161">
        <f t="shared" si="1"/>
        <v>32000000</v>
      </c>
    </row>
    <row r="71" spans="1:21" ht="24" customHeight="1">
      <c r="A71" s="786" t="s">
        <v>435</v>
      </c>
      <c r="B71" s="82" t="s">
        <v>1</v>
      </c>
      <c r="C71" s="406" t="s">
        <v>436</v>
      </c>
      <c r="D71" s="353">
        <v>4</v>
      </c>
      <c r="E71" s="52">
        <f t="shared" si="0"/>
        <v>44000000</v>
      </c>
      <c r="F71" s="354">
        <v>44000000</v>
      </c>
      <c r="G71" s="52">
        <v>0</v>
      </c>
      <c r="H71" s="52">
        <v>0</v>
      </c>
      <c r="I71" s="52">
        <v>0</v>
      </c>
      <c r="J71" s="788">
        <v>44946</v>
      </c>
      <c r="K71" s="788">
        <v>45275</v>
      </c>
      <c r="L71" s="766">
        <f>D72/D71</f>
        <v>0</v>
      </c>
      <c r="M71" s="766">
        <f>E72/E71</f>
        <v>0.98181818181818181</v>
      </c>
      <c r="N71" s="410">
        <f>L71*L71/M71</f>
        <v>0</v>
      </c>
      <c r="O71" s="107"/>
      <c r="P71" s="159" t="s">
        <v>0</v>
      </c>
      <c r="Q71" s="167"/>
      <c r="R71" s="161">
        <f t="shared" si="1"/>
        <v>30550000</v>
      </c>
    </row>
    <row r="72" spans="1:21" ht="24" customHeight="1">
      <c r="A72" s="787"/>
      <c r="B72" s="82" t="s">
        <v>0</v>
      </c>
      <c r="C72" s="407"/>
      <c r="D72" s="353">
        <v>0</v>
      </c>
      <c r="E72" s="52">
        <f t="shared" si="0"/>
        <v>43200000</v>
      </c>
      <c r="F72" s="354">
        <f>15000000+11200000+11200000+5200000+600000</f>
        <v>43200000</v>
      </c>
      <c r="G72" s="52">
        <v>0</v>
      </c>
      <c r="H72" s="52">
        <v>0</v>
      </c>
      <c r="I72" s="52">
        <v>0</v>
      </c>
      <c r="J72" s="788"/>
      <c r="K72" s="788"/>
      <c r="L72" s="766"/>
      <c r="M72" s="766"/>
      <c r="N72" s="410"/>
      <c r="O72" s="107"/>
      <c r="P72" s="159" t="s">
        <v>1</v>
      </c>
      <c r="Q72" s="160">
        <v>17</v>
      </c>
      <c r="R72" s="161">
        <f t="shared" si="1"/>
        <v>44000000</v>
      </c>
    </row>
    <row r="73" spans="1:21" ht="15.75">
      <c r="A73" s="805" t="s">
        <v>6</v>
      </c>
      <c r="B73" s="82" t="s">
        <v>1</v>
      </c>
      <c r="C73" s="406"/>
      <c r="D73" s="53"/>
      <c r="E73" s="54">
        <f>E17+E19+E21+E23+E25+E27+E29+E31+E33+E35+E37+E39+E41+E43+E45+E47+E49+E51+E53+E55+E57+E59+E61+E63+E65+E67+E69+E71</f>
        <v>5803392358</v>
      </c>
      <c r="F73" s="54">
        <f>F17+F19+F21+F23+F25+F27+F29+F31+F33+F35+F37+F39+F41+F43+F45+F47+F49+F51+F53+F55+F57+F59+F61+F63+F65+F67+F69+F71</f>
        <v>5736500000</v>
      </c>
      <c r="G73" s="54">
        <f t="shared" ref="G73:I74" si="2">G17+G19+G21+G23+G27+G29+G31+G33+G35+G37+G39+G41+G43+G45+G47+G49+G51+G53+G55+G57+G61+G63+G65+G67+G69+G71</f>
        <v>66892358</v>
      </c>
      <c r="H73" s="54">
        <f t="shared" si="2"/>
        <v>0</v>
      </c>
      <c r="I73" s="54">
        <f t="shared" si="2"/>
        <v>0</v>
      </c>
      <c r="J73" s="28"/>
      <c r="K73" s="55"/>
      <c r="L73" s="55"/>
      <c r="M73" s="55"/>
      <c r="N73" s="30"/>
      <c r="O73" s="358"/>
      <c r="P73" s="159" t="s">
        <v>0</v>
      </c>
      <c r="Q73" s="167"/>
      <c r="R73" s="161">
        <f t="shared" si="1"/>
        <v>43200000</v>
      </c>
      <c r="T73" s="161">
        <f>2550000+6350000</f>
        <v>8900000</v>
      </c>
    </row>
    <row r="74" spans="1:21" ht="15.75">
      <c r="A74" s="805"/>
      <c r="B74" s="82" t="s">
        <v>0</v>
      </c>
      <c r="C74" s="407"/>
      <c r="D74" s="53"/>
      <c r="E74" s="54">
        <f>E18+E20+E22+E24+E26+E28+E30+E32+E34+E36+E38+E40+E42+E44+E46+E48+E50+E52+E54+E56+E58+E60+E62+E64+E66+E68+E70+E72</f>
        <v>1815257325</v>
      </c>
      <c r="F74" s="54">
        <f>F18+F20+F22+F24+F26+F28+F30+F32+F34+F36+F38+F40+F42+F44+F46+F48+F50+F52+F54+F56+F58+F60+F62+F64+F66+F68+F70+F72</f>
        <v>1815257325</v>
      </c>
      <c r="G74" s="54">
        <f t="shared" si="2"/>
        <v>0</v>
      </c>
      <c r="H74" s="54">
        <f t="shared" si="2"/>
        <v>0</v>
      </c>
      <c r="I74" s="54">
        <f t="shared" si="2"/>
        <v>0</v>
      </c>
      <c r="J74" s="28"/>
      <c r="K74" s="55"/>
      <c r="L74" s="55"/>
      <c r="M74" s="55"/>
      <c r="N74" s="30"/>
      <c r="O74" s="358"/>
      <c r="P74" s="159" t="s">
        <v>1</v>
      </c>
      <c r="Q74" s="359"/>
      <c r="R74" s="171">
        <f>R17+R21+R23+R29+R33+R35+R37+R43+R45+R55+R57+R62+R64+R66+R68+R70+R72</f>
        <v>5803392358</v>
      </c>
    </row>
    <row r="75" spans="1:21" ht="15.75">
      <c r="B75" s="8"/>
      <c r="E75" s="21"/>
      <c r="F75" s="100"/>
      <c r="G75" s="13"/>
      <c r="H75" s="13"/>
      <c r="I75" s="13"/>
      <c r="J75" s="56"/>
      <c r="K75" s="56"/>
      <c r="L75" s="20"/>
      <c r="M75" s="57"/>
      <c r="N75" s="293"/>
      <c r="O75" s="358"/>
      <c r="P75" s="159" t="s">
        <v>0</v>
      </c>
      <c r="Q75" s="359"/>
      <c r="R75" s="171">
        <f>R18+R22+R24+R30+R34+R36+R38+R44+R46+R56+R58+R63+R65+R67+R69+R71+R73</f>
        <v>1815257325</v>
      </c>
      <c r="S75" s="171"/>
      <c r="T75" s="171">
        <f>T18+T22+T24+T30+T34+T36+T38+T44+T46+T56+T58+T63+T65+T67+T69+T71+T73</f>
        <v>790972389</v>
      </c>
      <c r="U75" s="171">
        <f>U18+U22+U24+U30+U34+U36+U38+U44+U46+U56+U58+U63+U65+U67+U69+U71+U73</f>
        <v>47697000</v>
      </c>
    </row>
    <row r="76" spans="1:21" ht="15.75">
      <c r="A76" s="294" t="s">
        <v>5</v>
      </c>
      <c r="B76" s="630" t="s">
        <v>4</v>
      </c>
      <c r="C76" s="631"/>
      <c r="D76" s="632"/>
      <c r="E76" s="630" t="s">
        <v>3</v>
      </c>
      <c r="F76" s="631"/>
      <c r="G76" s="631"/>
      <c r="H76" s="632"/>
      <c r="I76" s="294"/>
      <c r="J76" s="633" t="s">
        <v>2</v>
      </c>
      <c r="K76" s="631"/>
      <c r="L76" s="631"/>
      <c r="M76" s="631"/>
      <c r="N76" s="632"/>
      <c r="O76" s="358"/>
    </row>
    <row r="77" spans="1:21" ht="32.25" customHeight="1">
      <c r="A77" s="803" t="s">
        <v>619</v>
      </c>
      <c r="B77" s="803" t="s">
        <v>620</v>
      </c>
      <c r="C77" s="546"/>
      <c r="D77" s="546"/>
      <c r="E77" s="803" t="s">
        <v>175</v>
      </c>
      <c r="F77" s="546"/>
      <c r="G77" s="546"/>
      <c r="H77" s="360" t="s">
        <v>1</v>
      </c>
      <c r="I77" s="361">
        <v>1</v>
      </c>
      <c r="J77" s="383" t="s">
        <v>621</v>
      </c>
      <c r="K77" s="385"/>
      <c r="L77" s="385"/>
      <c r="M77" s="385"/>
      <c r="N77" s="385"/>
      <c r="O77" s="358"/>
      <c r="P77" s="362"/>
      <c r="Q77" s="172"/>
      <c r="R77" s="172"/>
    </row>
    <row r="78" spans="1:21" ht="32.25" customHeight="1">
      <c r="A78" s="803"/>
      <c r="B78" s="546"/>
      <c r="C78" s="546"/>
      <c r="D78" s="546"/>
      <c r="E78" s="546"/>
      <c r="F78" s="546"/>
      <c r="G78" s="546"/>
      <c r="H78" s="360" t="s">
        <v>0</v>
      </c>
      <c r="I78" s="361">
        <v>0</v>
      </c>
      <c r="J78" s="385"/>
      <c r="K78" s="384"/>
      <c r="L78" s="384"/>
      <c r="M78" s="384"/>
      <c r="N78" s="385"/>
      <c r="O78" s="358"/>
      <c r="P78" s="362"/>
    </row>
    <row r="79" spans="1:21" ht="43.5" customHeight="1">
      <c r="A79" s="803"/>
      <c r="B79" s="803" t="s">
        <v>622</v>
      </c>
      <c r="C79" s="546"/>
      <c r="D79" s="546"/>
      <c r="E79" s="803" t="s">
        <v>174</v>
      </c>
      <c r="F79" s="546"/>
      <c r="G79" s="546"/>
      <c r="H79" s="360" t="s">
        <v>1</v>
      </c>
      <c r="I79" s="282">
        <v>1</v>
      </c>
      <c r="J79" s="385"/>
      <c r="K79" s="384"/>
      <c r="L79" s="384"/>
      <c r="M79" s="384"/>
      <c r="N79" s="385"/>
      <c r="O79" s="358"/>
      <c r="P79" s="362"/>
    </row>
    <row r="80" spans="1:21" ht="43.5" customHeight="1">
      <c r="A80" s="803"/>
      <c r="B80" s="546"/>
      <c r="C80" s="546"/>
      <c r="D80" s="546"/>
      <c r="E80" s="546"/>
      <c r="F80" s="546"/>
      <c r="G80" s="546"/>
      <c r="H80" s="360" t="s">
        <v>0</v>
      </c>
      <c r="I80" s="282">
        <v>0</v>
      </c>
      <c r="J80" s="385"/>
      <c r="K80" s="384"/>
      <c r="L80" s="384"/>
      <c r="M80" s="384"/>
      <c r="N80" s="385"/>
      <c r="O80" s="358"/>
      <c r="P80" s="362"/>
    </row>
    <row r="81" spans="1:51" ht="46.5" customHeight="1">
      <c r="A81" s="803"/>
      <c r="B81" s="803" t="s">
        <v>623</v>
      </c>
      <c r="C81" s="546"/>
      <c r="D81" s="546"/>
      <c r="E81" s="803" t="s">
        <v>173</v>
      </c>
      <c r="F81" s="546"/>
      <c r="G81" s="546"/>
      <c r="H81" s="360" t="s">
        <v>1</v>
      </c>
      <c r="I81" s="282">
        <v>1</v>
      </c>
      <c r="J81" s="385"/>
      <c r="K81" s="384"/>
      <c r="L81" s="384"/>
      <c r="M81" s="384"/>
      <c r="N81" s="385"/>
      <c r="O81" s="358"/>
      <c r="P81" s="362"/>
    </row>
    <row r="82" spans="1:51" ht="46.5" customHeight="1">
      <c r="A82" s="803"/>
      <c r="B82" s="546"/>
      <c r="C82" s="546"/>
      <c r="D82" s="546"/>
      <c r="E82" s="546"/>
      <c r="F82" s="546"/>
      <c r="G82" s="546"/>
      <c r="H82" s="360" t="s">
        <v>0</v>
      </c>
      <c r="I82" s="282">
        <v>0</v>
      </c>
      <c r="J82" s="385"/>
      <c r="K82" s="384"/>
      <c r="L82" s="384"/>
      <c r="M82" s="384"/>
      <c r="N82" s="385"/>
      <c r="O82" s="358"/>
      <c r="P82" s="362"/>
    </row>
    <row r="83" spans="1:51" ht="51" customHeight="1">
      <c r="A83" s="803"/>
      <c r="B83" s="804" t="s">
        <v>624</v>
      </c>
      <c r="C83" s="804"/>
      <c r="D83" s="804"/>
      <c r="E83" s="803" t="s">
        <v>172</v>
      </c>
      <c r="F83" s="546"/>
      <c r="G83" s="546"/>
      <c r="H83" s="360" t="s">
        <v>1</v>
      </c>
      <c r="I83" s="282">
        <v>1</v>
      </c>
      <c r="J83" s="385"/>
      <c r="K83" s="384"/>
      <c r="L83" s="384"/>
      <c r="M83" s="384"/>
      <c r="N83" s="385"/>
      <c r="O83" s="358"/>
      <c r="P83" s="362"/>
    </row>
    <row r="84" spans="1:51" ht="33.75" customHeight="1">
      <c r="A84" s="803"/>
      <c r="B84" s="804"/>
      <c r="C84" s="804"/>
      <c r="D84" s="804"/>
      <c r="E84" s="546"/>
      <c r="F84" s="546"/>
      <c r="G84" s="546"/>
      <c r="H84" s="360" t="s">
        <v>0</v>
      </c>
      <c r="I84" s="282">
        <v>0</v>
      </c>
      <c r="J84" s="385"/>
      <c r="K84" s="384"/>
      <c r="L84" s="384"/>
      <c r="M84" s="384"/>
      <c r="N84" s="385"/>
      <c r="O84" s="358"/>
      <c r="P84" s="362"/>
    </row>
    <row r="85" spans="1:51" ht="51" customHeight="1">
      <c r="A85" s="803"/>
      <c r="B85" s="803" t="s">
        <v>625</v>
      </c>
      <c r="C85" s="803"/>
      <c r="D85" s="803"/>
      <c r="E85" s="803" t="s">
        <v>171</v>
      </c>
      <c r="F85" s="546"/>
      <c r="G85" s="546"/>
      <c r="H85" s="360" t="s">
        <v>1</v>
      </c>
      <c r="I85" s="282">
        <v>1</v>
      </c>
      <c r="J85" s="385"/>
      <c r="K85" s="384"/>
      <c r="L85" s="384"/>
      <c r="M85" s="384"/>
      <c r="N85" s="385"/>
      <c r="O85" s="358"/>
      <c r="P85" s="362"/>
    </row>
    <row r="86" spans="1:51" ht="33.75" customHeight="1">
      <c r="A86" s="803"/>
      <c r="B86" s="803"/>
      <c r="C86" s="803"/>
      <c r="D86" s="803"/>
      <c r="E86" s="546"/>
      <c r="F86" s="546"/>
      <c r="G86" s="546"/>
      <c r="H86" s="360" t="s">
        <v>0</v>
      </c>
      <c r="I86" s="282">
        <v>0</v>
      </c>
      <c r="J86" s="385"/>
      <c r="K86" s="384"/>
      <c r="L86" s="384"/>
      <c r="M86" s="384"/>
      <c r="N86" s="385"/>
      <c r="O86" s="358"/>
      <c r="P86" s="362"/>
      <c r="Q86" s="363"/>
      <c r="R86" s="363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</row>
    <row r="87" spans="1:51" ht="36" customHeight="1">
      <c r="A87" s="804" t="s">
        <v>626</v>
      </c>
      <c r="B87" s="803" t="s">
        <v>627</v>
      </c>
      <c r="C87" s="803"/>
      <c r="D87" s="803"/>
      <c r="E87" s="803" t="s">
        <v>170</v>
      </c>
      <c r="F87" s="546"/>
      <c r="G87" s="546"/>
      <c r="H87" s="360" t="s">
        <v>1</v>
      </c>
      <c r="I87" s="282">
        <v>1</v>
      </c>
      <c r="J87" s="385"/>
      <c r="K87" s="384"/>
      <c r="L87" s="384"/>
      <c r="M87" s="384"/>
      <c r="N87" s="385"/>
      <c r="O87" s="358"/>
      <c r="P87" s="362"/>
      <c r="Q87" s="363"/>
      <c r="R87" s="363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</row>
    <row r="88" spans="1:51" ht="36" customHeight="1">
      <c r="A88" s="804"/>
      <c r="B88" s="803"/>
      <c r="C88" s="803"/>
      <c r="D88" s="803"/>
      <c r="E88" s="546"/>
      <c r="F88" s="546"/>
      <c r="G88" s="546"/>
      <c r="H88" s="360" t="s">
        <v>0</v>
      </c>
      <c r="I88" s="282">
        <v>0</v>
      </c>
      <c r="J88" s="385"/>
      <c r="K88" s="384"/>
      <c r="L88" s="384"/>
      <c r="M88" s="384"/>
      <c r="N88" s="385"/>
      <c r="O88" s="358"/>
      <c r="P88" s="362"/>
      <c r="Q88" s="363"/>
      <c r="R88" s="363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</row>
    <row r="89" spans="1:51" ht="51" customHeight="1">
      <c r="A89" s="804"/>
      <c r="B89" s="803" t="s">
        <v>628</v>
      </c>
      <c r="C89" s="803"/>
      <c r="D89" s="803"/>
      <c r="E89" s="803" t="s">
        <v>169</v>
      </c>
      <c r="F89" s="546"/>
      <c r="G89" s="546"/>
      <c r="H89" s="360" t="s">
        <v>1</v>
      </c>
      <c r="I89" s="282">
        <v>1</v>
      </c>
      <c r="J89" s="385"/>
      <c r="K89" s="384"/>
      <c r="L89" s="384"/>
      <c r="M89" s="384"/>
      <c r="N89" s="385"/>
      <c r="O89" s="358"/>
      <c r="P89" s="362"/>
      <c r="Q89" s="363"/>
      <c r="R89" s="363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</row>
    <row r="90" spans="1:51" ht="51" customHeight="1">
      <c r="A90" s="804"/>
      <c r="B90" s="803"/>
      <c r="C90" s="803"/>
      <c r="D90" s="803"/>
      <c r="E90" s="546"/>
      <c r="F90" s="546"/>
      <c r="G90" s="546"/>
      <c r="H90" s="360" t="s">
        <v>0</v>
      </c>
      <c r="I90" s="282">
        <v>0</v>
      </c>
      <c r="J90" s="385"/>
      <c r="K90" s="384"/>
      <c r="L90" s="384"/>
      <c r="M90" s="384"/>
      <c r="N90" s="385"/>
      <c r="O90" s="358"/>
      <c r="P90" s="362"/>
      <c r="Q90" s="363"/>
      <c r="R90" s="363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</row>
    <row r="91" spans="1:51" ht="71.25" customHeight="1">
      <c r="A91" s="803" t="s">
        <v>629</v>
      </c>
      <c r="B91" s="803" t="s">
        <v>630</v>
      </c>
      <c r="C91" s="803"/>
      <c r="D91" s="803"/>
      <c r="E91" s="803" t="s">
        <v>169</v>
      </c>
      <c r="F91" s="546"/>
      <c r="G91" s="546"/>
      <c r="H91" s="360" t="s">
        <v>1</v>
      </c>
      <c r="I91" s="282">
        <v>1</v>
      </c>
      <c r="J91" s="385"/>
      <c r="K91" s="384"/>
      <c r="L91" s="384"/>
      <c r="M91" s="384"/>
      <c r="N91" s="385"/>
      <c r="O91" s="358"/>
      <c r="P91" s="362"/>
      <c r="Q91" s="363"/>
      <c r="R91" s="363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</row>
    <row r="92" spans="1:51" ht="71.25" customHeight="1">
      <c r="A92" s="546"/>
      <c r="B92" s="803"/>
      <c r="C92" s="803"/>
      <c r="D92" s="803"/>
      <c r="E92" s="546"/>
      <c r="F92" s="546"/>
      <c r="G92" s="546"/>
      <c r="H92" s="360" t="s">
        <v>0</v>
      </c>
      <c r="I92" s="282">
        <v>0</v>
      </c>
      <c r="J92" s="385"/>
      <c r="K92" s="384"/>
      <c r="L92" s="384"/>
      <c r="M92" s="384"/>
      <c r="N92" s="385"/>
      <c r="O92" s="358"/>
      <c r="P92" s="362"/>
      <c r="Q92" s="363"/>
      <c r="R92" s="363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</row>
    <row r="93" spans="1:51" ht="90" customHeight="1">
      <c r="A93" s="803" t="s">
        <v>631</v>
      </c>
      <c r="B93" s="804" t="s">
        <v>632</v>
      </c>
      <c r="C93" s="546"/>
      <c r="D93" s="546"/>
      <c r="E93" s="803" t="s">
        <v>169</v>
      </c>
      <c r="F93" s="546"/>
      <c r="G93" s="546"/>
      <c r="H93" s="360" t="s">
        <v>1</v>
      </c>
      <c r="I93" s="282">
        <v>1</v>
      </c>
      <c r="J93" s="385"/>
      <c r="K93" s="384"/>
      <c r="L93" s="384"/>
      <c r="M93" s="384"/>
      <c r="N93" s="385"/>
      <c r="O93" s="358"/>
      <c r="P93" s="362"/>
      <c r="Q93" s="363"/>
      <c r="R93" s="363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</row>
    <row r="94" spans="1:51" ht="90" customHeight="1">
      <c r="A94" s="546"/>
      <c r="B94" s="546"/>
      <c r="C94" s="546"/>
      <c r="D94" s="546"/>
      <c r="E94" s="546"/>
      <c r="F94" s="546"/>
      <c r="G94" s="546"/>
      <c r="H94" s="360" t="s">
        <v>0</v>
      </c>
      <c r="I94" s="282">
        <v>0</v>
      </c>
      <c r="J94" s="385"/>
      <c r="K94" s="384"/>
      <c r="L94" s="384"/>
      <c r="M94" s="384"/>
      <c r="N94" s="385"/>
      <c r="O94" s="358"/>
      <c r="P94" s="362"/>
      <c r="Q94" s="363"/>
      <c r="R94" s="363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</row>
    <row r="95" spans="1:51" ht="50.25" customHeight="1">
      <c r="A95" s="804" t="s">
        <v>633</v>
      </c>
      <c r="B95" s="804" t="s">
        <v>634</v>
      </c>
      <c r="C95" s="546"/>
      <c r="D95" s="546"/>
      <c r="E95" s="803" t="s">
        <v>34</v>
      </c>
      <c r="F95" s="546"/>
      <c r="G95" s="546"/>
      <c r="H95" s="360" t="s">
        <v>1</v>
      </c>
      <c r="I95" s="282">
        <v>1</v>
      </c>
      <c r="J95" s="385"/>
      <c r="K95" s="384"/>
      <c r="L95" s="384"/>
      <c r="M95" s="384"/>
      <c r="N95" s="385"/>
      <c r="O95" s="358"/>
      <c r="P95" s="362"/>
      <c r="Q95" s="363"/>
      <c r="R95" s="363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</row>
    <row r="96" spans="1:51" ht="50.25" customHeight="1">
      <c r="A96" s="546"/>
      <c r="B96" s="546"/>
      <c r="C96" s="546"/>
      <c r="D96" s="546"/>
      <c r="E96" s="546"/>
      <c r="F96" s="546"/>
      <c r="G96" s="546"/>
      <c r="H96" s="360" t="s">
        <v>0</v>
      </c>
      <c r="I96" s="282">
        <v>1</v>
      </c>
      <c r="J96" s="385"/>
      <c r="K96" s="384"/>
      <c r="L96" s="384"/>
      <c r="M96" s="384"/>
      <c r="N96" s="385"/>
      <c r="O96" s="358"/>
      <c r="P96" s="362"/>
      <c r="Q96" s="363"/>
      <c r="R96" s="363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</row>
    <row r="97" spans="1:51" ht="32.25" customHeight="1">
      <c r="A97" s="803" t="s">
        <v>635</v>
      </c>
      <c r="B97" s="804" t="s">
        <v>636</v>
      </c>
      <c r="C97" s="546"/>
      <c r="D97" s="546"/>
      <c r="E97" s="803" t="s">
        <v>168</v>
      </c>
      <c r="F97" s="546"/>
      <c r="G97" s="546"/>
      <c r="H97" s="360" t="s">
        <v>1</v>
      </c>
      <c r="I97" s="364">
        <v>1</v>
      </c>
      <c r="J97" s="385"/>
      <c r="K97" s="384"/>
      <c r="L97" s="384"/>
      <c r="M97" s="384"/>
      <c r="N97" s="385"/>
      <c r="O97" s="358"/>
      <c r="P97" s="362"/>
      <c r="Q97" s="363"/>
      <c r="R97" s="363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</row>
    <row r="98" spans="1:51" ht="32.25" customHeight="1">
      <c r="A98" s="546"/>
      <c r="B98" s="546"/>
      <c r="C98" s="546"/>
      <c r="D98" s="546"/>
      <c r="E98" s="546"/>
      <c r="F98" s="546"/>
      <c r="G98" s="546"/>
      <c r="H98" s="360" t="s">
        <v>0</v>
      </c>
      <c r="I98" s="364">
        <v>1</v>
      </c>
      <c r="J98" s="385"/>
      <c r="K98" s="384"/>
      <c r="L98" s="384"/>
      <c r="M98" s="384"/>
      <c r="N98" s="385"/>
      <c r="O98" s="358"/>
      <c r="P98" s="362"/>
      <c r="Q98" s="363"/>
      <c r="R98" s="363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</row>
    <row r="99" spans="1:51" ht="50.25" customHeight="1">
      <c r="A99" s="803" t="s">
        <v>637</v>
      </c>
      <c r="B99" s="804" t="s">
        <v>638</v>
      </c>
      <c r="C99" s="546"/>
      <c r="D99" s="546"/>
      <c r="E99" s="803" t="s">
        <v>167</v>
      </c>
      <c r="F99" s="546"/>
      <c r="G99" s="546"/>
      <c r="H99" s="360" t="s">
        <v>1</v>
      </c>
      <c r="I99" s="364">
        <v>1</v>
      </c>
      <c r="J99" s="385"/>
      <c r="K99" s="384"/>
      <c r="L99" s="384"/>
      <c r="M99" s="384"/>
      <c r="N99" s="385"/>
      <c r="O99" s="358"/>
      <c r="P99" s="362"/>
      <c r="Q99" s="363"/>
      <c r="R99" s="363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</row>
    <row r="100" spans="1:51" ht="50.25" customHeight="1">
      <c r="A100" s="546"/>
      <c r="B100" s="546"/>
      <c r="C100" s="546"/>
      <c r="D100" s="546"/>
      <c r="E100" s="546"/>
      <c r="F100" s="546"/>
      <c r="G100" s="546"/>
      <c r="H100" s="360" t="s">
        <v>0</v>
      </c>
      <c r="I100" s="364">
        <v>0</v>
      </c>
      <c r="J100" s="385"/>
      <c r="K100" s="384"/>
      <c r="L100" s="384"/>
      <c r="M100" s="384"/>
      <c r="N100" s="385"/>
      <c r="O100" s="358"/>
      <c r="P100" s="362"/>
      <c r="Q100" s="363"/>
      <c r="R100" s="363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</row>
    <row r="101" spans="1:51" ht="51" customHeight="1">
      <c r="A101" s="803" t="s">
        <v>635</v>
      </c>
      <c r="B101" s="804" t="s">
        <v>639</v>
      </c>
      <c r="C101" s="546"/>
      <c r="D101" s="546"/>
      <c r="E101" s="803" t="s">
        <v>166</v>
      </c>
      <c r="F101" s="546"/>
      <c r="G101" s="546"/>
      <c r="H101" s="360" t="s">
        <v>1</v>
      </c>
      <c r="I101" s="361">
        <v>1</v>
      </c>
      <c r="J101" s="385"/>
      <c r="K101" s="384"/>
      <c r="L101" s="384"/>
      <c r="M101" s="384"/>
      <c r="N101" s="385"/>
      <c r="O101" s="358"/>
      <c r="P101" s="362"/>
      <c r="Q101" s="363"/>
      <c r="R101" s="363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</row>
    <row r="102" spans="1:51" ht="51" customHeight="1">
      <c r="A102" s="546"/>
      <c r="B102" s="546"/>
      <c r="C102" s="546"/>
      <c r="D102" s="546"/>
      <c r="E102" s="546"/>
      <c r="F102" s="546"/>
      <c r="G102" s="546"/>
      <c r="H102" s="360" t="s">
        <v>0</v>
      </c>
      <c r="I102" s="361">
        <v>0</v>
      </c>
      <c r="J102" s="385"/>
      <c r="K102" s="384"/>
      <c r="L102" s="384"/>
      <c r="M102" s="384"/>
      <c r="N102" s="385"/>
      <c r="O102" s="358"/>
      <c r="P102" s="362"/>
      <c r="Q102" s="363"/>
      <c r="R102" s="363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</row>
    <row r="103" spans="1:51" ht="72.75" customHeight="1">
      <c r="A103" s="803" t="s">
        <v>635</v>
      </c>
      <c r="B103" s="804" t="s">
        <v>640</v>
      </c>
      <c r="C103" s="546"/>
      <c r="D103" s="546"/>
      <c r="E103" s="803" t="s">
        <v>166</v>
      </c>
      <c r="F103" s="546"/>
      <c r="G103" s="546"/>
      <c r="H103" s="360" t="s">
        <v>1</v>
      </c>
      <c r="I103" s="361">
        <v>1</v>
      </c>
      <c r="J103" s="385"/>
      <c r="K103" s="384"/>
      <c r="L103" s="384"/>
      <c r="M103" s="384"/>
      <c r="N103" s="385"/>
      <c r="O103" s="358"/>
      <c r="P103" s="362"/>
      <c r="Q103" s="363"/>
      <c r="R103" s="363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</row>
    <row r="104" spans="1:51" ht="72.75" customHeight="1">
      <c r="A104" s="546"/>
      <c r="B104" s="546"/>
      <c r="C104" s="546"/>
      <c r="D104" s="546"/>
      <c r="E104" s="546"/>
      <c r="F104" s="546"/>
      <c r="G104" s="546"/>
      <c r="H104" s="360" t="s">
        <v>0</v>
      </c>
      <c r="I104" s="361">
        <v>1</v>
      </c>
      <c r="J104" s="385"/>
      <c r="K104" s="384"/>
      <c r="L104" s="384"/>
      <c r="M104" s="384"/>
      <c r="N104" s="385"/>
      <c r="O104" s="358"/>
      <c r="P104" s="362"/>
      <c r="Q104" s="363"/>
      <c r="R104" s="363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</row>
    <row r="105" spans="1:51" ht="51" customHeight="1">
      <c r="A105" s="803" t="s">
        <v>641</v>
      </c>
      <c r="B105" s="804" t="s">
        <v>642</v>
      </c>
      <c r="C105" s="546"/>
      <c r="D105" s="546"/>
      <c r="E105" s="803" t="s">
        <v>165</v>
      </c>
      <c r="F105" s="546"/>
      <c r="G105" s="546"/>
      <c r="H105" s="360" t="s">
        <v>1</v>
      </c>
      <c r="I105" s="361">
        <v>60</v>
      </c>
      <c r="J105" s="385"/>
      <c r="K105" s="384"/>
      <c r="L105" s="384"/>
      <c r="M105" s="384"/>
      <c r="N105" s="385"/>
      <c r="O105" s="358"/>
      <c r="P105" s="362"/>
      <c r="Q105" s="363"/>
      <c r="R105" s="363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</row>
    <row r="106" spans="1:51" ht="51" customHeight="1">
      <c r="A106" s="546"/>
      <c r="B106" s="546"/>
      <c r="C106" s="546"/>
      <c r="D106" s="546"/>
      <c r="E106" s="546"/>
      <c r="F106" s="546"/>
      <c r="G106" s="546"/>
      <c r="H106" s="360" t="s">
        <v>0</v>
      </c>
      <c r="I106" s="361">
        <v>50</v>
      </c>
      <c r="J106" s="385"/>
      <c r="K106" s="384"/>
      <c r="L106" s="384"/>
      <c r="M106" s="384"/>
      <c r="N106" s="385"/>
      <c r="O106" s="358"/>
      <c r="P106" s="362"/>
      <c r="Q106" s="363"/>
      <c r="R106" s="363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</row>
    <row r="107" spans="1:51" ht="59.25" customHeight="1">
      <c r="A107" s="803" t="s">
        <v>643</v>
      </c>
      <c r="B107" s="804" t="s">
        <v>644</v>
      </c>
      <c r="C107" s="546"/>
      <c r="D107" s="546"/>
      <c r="E107" s="803" t="s">
        <v>34</v>
      </c>
      <c r="F107" s="546"/>
      <c r="G107" s="546"/>
      <c r="H107" s="360" t="s">
        <v>1</v>
      </c>
      <c r="I107" s="361">
        <v>1</v>
      </c>
      <c r="J107" s="385"/>
      <c r="K107" s="384"/>
      <c r="L107" s="384"/>
      <c r="M107" s="384"/>
      <c r="N107" s="385"/>
      <c r="O107" s="358"/>
      <c r="P107" s="362"/>
      <c r="Q107" s="363"/>
      <c r="R107" s="363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</row>
    <row r="108" spans="1:51" ht="59.25" customHeight="1">
      <c r="A108" s="546"/>
      <c r="B108" s="546"/>
      <c r="C108" s="546"/>
      <c r="D108" s="546"/>
      <c r="E108" s="546"/>
      <c r="F108" s="546"/>
      <c r="G108" s="546"/>
      <c r="H108" s="360" t="s">
        <v>0</v>
      </c>
      <c r="I108" s="361">
        <v>0</v>
      </c>
      <c r="J108" s="385"/>
      <c r="K108" s="384"/>
      <c r="L108" s="384"/>
      <c r="M108" s="384"/>
      <c r="N108" s="385"/>
      <c r="O108" s="358"/>
      <c r="P108" s="362"/>
      <c r="Q108" s="363"/>
      <c r="R108" s="363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</row>
    <row r="109" spans="1:51" ht="51" customHeight="1">
      <c r="A109" s="803" t="s">
        <v>643</v>
      </c>
      <c r="B109" s="803" t="s">
        <v>645</v>
      </c>
      <c r="C109" s="546"/>
      <c r="D109" s="546"/>
      <c r="E109" s="803" t="s">
        <v>34</v>
      </c>
      <c r="F109" s="546"/>
      <c r="G109" s="546"/>
      <c r="H109" s="360" t="s">
        <v>1</v>
      </c>
      <c r="I109" s="282">
        <v>1</v>
      </c>
      <c r="J109" s="385"/>
      <c r="K109" s="384"/>
      <c r="L109" s="384"/>
      <c r="M109" s="384"/>
      <c r="N109" s="385"/>
      <c r="O109" s="358"/>
      <c r="P109" s="362"/>
      <c r="Q109" s="363"/>
      <c r="R109" s="363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</row>
    <row r="110" spans="1:51" ht="51" customHeight="1">
      <c r="A110" s="546"/>
      <c r="B110" s="546"/>
      <c r="C110" s="546"/>
      <c r="D110" s="546"/>
      <c r="E110" s="546"/>
      <c r="F110" s="546"/>
      <c r="G110" s="546"/>
      <c r="H110" s="360" t="s">
        <v>0</v>
      </c>
      <c r="I110" s="282">
        <v>0</v>
      </c>
      <c r="J110" s="385"/>
      <c r="K110" s="384"/>
      <c r="L110" s="384"/>
      <c r="M110" s="384"/>
      <c r="N110" s="385"/>
      <c r="O110" s="358"/>
      <c r="P110" s="362"/>
      <c r="Q110" s="363"/>
      <c r="R110" s="363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  <c r="AW110" s="70"/>
      <c r="AX110" s="70"/>
      <c r="AY110" s="70"/>
    </row>
    <row r="111" spans="1:51" ht="45" customHeight="1">
      <c r="A111" s="383" t="s">
        <v>646</v>
      </c>
      <c r="B111" s="383"/>
      <c r="C111" s="383"/>
      <c r="D111" s="383"/>
      <c r="E111" s="383"/>
      <c r="F111" s="383"/>
      <c r="G111" s="383"/>
      <c r="H111" s="383"/>
      <c r="I111" s="383"/>
      <c r="J111" s="383"/>
      <c r="K111" s="383"/>
      <c r="L111" s="383"/>
      <c r="M111" s="383"/>
      <c r="N111" s="383"/>
      <c r="O111" s="365"/>
      <c r="P111" s="366"/>
      <c r="Q111" s="363"/>
      <c r="R111" s="363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</row>
    <row r="112" spans="1:51">
      <c r="Q112" s="363"/>
      <c r="R112" s="363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  <c r="AW112" s="70"/>
      <c r="AX112" s="70"/>
      <c r="AY112" s="70"/>
    </row>
    <row r="113" spans="17:51">
      <c r="Q113" s="363"/>
      <c r="R113" s="363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  <c r="AU113" s="70"/>
      <c r="AV113" s="70"/>
      <c r="AW113" s="70"/>
      <c r="AX113" s="70"/>
      <c r="AY113" s="70"/>
    </row>
    <row r="114" spans="17:51">
      <c r="Q114" s="363"/>
      <c r="R114" s="363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</row>
    <row r="115" spans="17:51">
      <c r="Q115" s="363"/>
      <c r="R115" s="363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  <c r="AU115" s="70"/>
      <c r="AV115" s="70"/>
      <c r="AW115" s="70"/>
      <c r="AX115" s="70"/>
      <c r="AY115" s="70"/>
    </row>
    <row r="116" spans="17:51">
      <c r="Q116" s="363"/>
      <c r="R116" s="363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  <c r="AU116" s="70"/>
      <c r="AV116" s="70"/>
      <c r="AW116" s="70"/>
      <c r="AX116" s="70"/>
      <c r="AY116" s="70"/>
    </row>
    <row r="117" spans="17:51">
      <c r="Q117" s="363"/>
      <c r="R117" s="363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</row>
    <row r="118" spans="17:51">
      <c r="Q118" s="363"/>
      <c r="R118" s="363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0"/>
      <c r="AN118" s="70"/>
      <c r="AO118" s="70"/>
      <c r="AP118" s="70"/>
      <c r="AQ118" s="70"/>
      <c r="AR118" s="70"/>
      <c r="AS118" s="70"/>
      <c r="AT118" s="70"/>
      <c r="AU118" s="70"/>
      <c r="AV118" s="70"/>
      <c r="AW118" s="70"/>
      <c r="AX118" s="70"/>
      <c r="AY118" s="70"/>
    </row>
  </sheetData>
  <mergeCells count="287">
    <mergeCell ref="A59:A60"/>
    <mergeCell ref="C59:C60"/>
    <mergeCell ref="J59:J60"/>
    <mergeCell ref="K59:K60"/>
    <mergeCell ref="L59:L60"/>
    <mergeCell ref="M59:M60"/>
    <mergeCell ref="N59:N60"/>
    <mergeCell ref="A25:A26"/>
    <mergeCell ref="C25:C26"/>
    <mergeCell ref="J25:J26"/>
    <mergeCell ref="K25:K26"/>
    <mergeCell ref="L25:L26"/>
    <mergeCell ref="M25:M26"/>
    <mergeCell ref="N25:N26"/>
    <mergeCell ref="K31:K32"/>
    <mergeCell ref="J29:J30"/>
    <mergeCell ref="K55:K56"/>
    <mergeCell ref="K49:K50"/>
    <mergeCell ref="M27:M28"/>
    <mergeCell ref="L29:L30"/>
    <mergeCell ref="M29:M30"/>
    <mergeCell ref="N29:N30"/>
    <mergeCell ref="K29:K30"/>
    <mergeCell ref="L31:L32"/>
    <mergeCell ref="N43:N44"/>
    <mergeCell ref="L45:L46"/>
    <mergeCell ref="M45:M46"/>
    <mergeCell ref="N45:N46"/>
    <mergeCell ref="L47:L48"/>
    <mergeCell ref="L51:L52"/>
    <mergeCell ref="L53:L54"/>
    <mergeCell ref="M55:M56"/>
    <mergeCell ref="L43:L44"/>
    <mergeCell ref="L49:L50"/>
    <mergeCell ref="M47:M48"/>
    <mergeCell ref="M51:M52"/>
    <mergeCell ref="L27:L28"/>
    <mergeCell ref="A41:A42"/>
    <mergeCell ref="C41:C42"/>
    <mergeCell ref="L37:L38"/>
    <mergeCell ref="L35:L36"/>
    <mergeCell ref="L41:L42"/>
    <mergeCell ref="M41:M42"/>
    <mergeCell ref="N41:N42"/>
    <mergeCell ref="A33:A34"/>
    <mergeCell ref="A31:A32"/>
    <mergeCell ref="C31:C32"/>
    <mergeCell ref="C29:C30"/>
    <mergeCell ref="A29:A30"/>
    <mergeCell ref="M31:M32"/>
    <mergeCell ref="L33:L34"/>
    <mergeCell ref="N33:N34"/>
    <mergeCell ref="N35:N36"/>
    <mergeCell ref="J31:J32"/>
    <mergeCell ref="K41:K42"/>
    <mergeCell ref="M33:M34"/>
    <mergeCell ref="A63:A64"/>
    <mergeCell ref="C63:C64"/>
    <mergeCell ref="J27:J28"/>
    <mergeCell ref="K27:K28"/>
    <mergeCell ref="A77:A86"/>
    <mergeCell ref="B83:D84"/>
    <mergeCell ref="E83:G84"/>
    <mergeCell ref="B85:D86"/>
    <mergeCell ref="E85:G86"/>
    <mergeCell ref="C45:C46"/>
    <mergeCell ref="J45:J46"/>
    <mergeCell ref="J35:J36"/>
    <mergeCell ref="K33:K34"/>
    <mergeCell ref="C47:C48"/>
    <mergeCell ref="A49:A50"/>
    <mergeCell ref="C51:C52"/>
    <mergeCell ref="A53:A54"/>
    <mergeCell ref="C53:C54"/>
    <mergeCell ref="A55:A56"/>
    <mergeCell ref="C55:C56"/>
    <mergeCell ref="C49:C50"/>
    <mergeCell ref="A51:A52"/>
    <mergeCell ref="J51:J52"/>
    <mergeCell ref="J53:J54"/>
    <mergeCell ref="A103:A104"/>
    <mergeCell ref="B103:D104"/>
    <mergeCell ref="E103:G104"/>
    <mergeCell ref="A27:A28"/>
    <mergeCell ref="C27:C28"/>
    <mergeCell ref="B76:D76"/>
    <mergeCell ref="E76:H76"/>
    <mergeCell ref="E79:G80"/>
    <mergeCell ref="B81:D82"/>
    <mergeCell ref="E81:G82"/>
    <mergeCell ref="A45:A46"/>
    <mergeCell ref="A37:A38"/>
    <mergeCell ref="C37:C38"/>
    <mergeCell ref="C33:C34"/>
    <mergeCell ref="E89:G90"/>
    <mergeCell ref="B79:D80"/>
    <mergeCell ref="B87:D88"/>
    <mergeCell ref="E87:G88"/>
    <mergeCell ref="B89:D90"/>
    <mergeCell ref="A101:A102"/>
    <mergeCell ref="B101:D102"/>
    <mergeCell ref="E101:G102"/>
    <mergeCell ref="A95:A96"/>
    <mergeCell ref="B95:D96"/>
    <mergeCell ref="A105:A106"/>
    <mergeCell ref="B105:D106"/>
    <mergeCell ref="E105:G106"/>
    <mergeCell ref="N47:N48"/>
    <mergeCell ref="A47:A48"/>
    <mergeCell ref="A99:A100"/>
    <mergeCell ref="B99:D100"/>
    <mergeCell ref="E99:G100"/>
    <mergeCell ref="A91:A92"/>
    <mergeCell ref="B91:D92"/>
    <mergeCell ref="E91:G92"/>
    <mergeCell ref="A93:A94"/>
    <mergeCell ref="E95:G96"/>
    <mergeCell ref="A97:A98"/>
    <mergeCell ref="B97:D98"/>
    <mergeCell ref="E97:G98"/>
    <mergeCell ref="J63:J64"/>
    <mergeCell ref="K63:K64"/>
    <mergeCell ref="J76:N76"/>
    <mergeCell ref="B77:D78"/>
    <mergeCell ref="E77:G78"/>
    <mergeCell ref="J77:N110"/>
    <mergeCell ref="C73:C74"/>
    <mergeCell ref="A87:A90"/>
    <mergeCell ref="A111:N111"/>
    <mergeCell ref="A107:A108"/>
    <mergeCell ref="B107:D108"/>
    <mergeCell ref="E107:G108"/>
    <mergeCell ref="A109:A110"/>
    <mergeCell ref="B109:D110"/>
    <mergeCell ref="E109:G110"/>
    <mergeCell ref="A73:A74"/>
    <mergeCell ref="A57:A58"/>
    <mergeCell ref="C57:C58"/>
    <mergeCell ref="A61:A62"/>
    <mergeCell ref="C61:C62"/>
    <mergeCell ref="B93:D94"/>
    <mergeCell ref="E93:G94"/>
    <mergeCell ref="J57:J58"/>
    <mergeCell ref="K57:K58"/>
    <mergeCell ref="L57:L58"/>
    <mergeCell ref="M57:M58"/>
    <mergeCell ref="K61:K62"/>
    <mergeCell ref="L61:L62"/>
    <mergeCell ref="M61:M62"/>
    <mergeCell ref="A71:A72"/>
    <mergeCell ref="C71:C72"/>
    <mergeCell ref="L71:L72"/>
    <mergeCell ref="M71:M72"/>
    <mergeCell ref="N55:N56"/>
    <mergeCell ref="N57:N58"/>
    <mergeCell ref="L55:L56"/>
    <mergeCell ref="N61:N62"/>
    <mergeCell ref="J55:J56"/>
    <mergeCell ref="J61:J62"/>
    <mergeCell ref="M69:M70"/>
    <mergeCell ref="N69:N70"/>
    <mergeCell ref="N65:N66"/>
    <mergeCell ref="K69:K70"/>
    <mergeCell ref="N67:N68"/>
    <mergeCell ref="K71:K72"/>
    <mergeCell ref="K67:K68"/>
    <mergeCell ref="M67:M68"/>
    <mergeCell ref="N71:N72"/>
    <mergeCell ref="J71:J72"/>
    <mergeCell ref="L63:L64"/>
    <mergeCell ref="M63:M64"/>
    <mergeCell ref="N63:N64"/>
    <mergeCell ref="A65:A66"/>
    <mergeCell ref="C65:C66"/>
    <mergeCell ref="L65:L66"/>
    <mergeCell ref="M65:M66"/>
    <mergeCell ref="A69:A70"/>
    <mergeCell ref="K65:K66"/>
    <mergeCell ref="J67:J68"/>
    <mergeCell ref="J65:J66"/>
    <mergeCell ref="L69:L70"/>
    <mergeCell ref="C69:C70"/>
    <mergeCell ref="A67:A68"/>
    <mergeCell ref="C67:C68"/>
    <mergeCell ref="J69:J70"/>
    <mergeCell ref="L67:L68"/>
    <mergeCell ref="J43:J44"/>
    <mergeCell ref="K43:K44"/>
    <mergeCell ref="J33:J34"/>
    <mergeCell ref="J37:J38"/>
    <mergeCell ref="M35:M36"/>
    <mergeCell ref="K37:K38"/>
    <mergeCell ref="A35:A36"/>
    <mergeCell ref="C35:C36"/>
    <mergeCell ref="M37:M38"/>
    <mergeCell ref="M43:M44"/>
    <mergeCell ref="N23:N24"/>
    <mergeCell ref="N53:N54"/>
    <mergeCell ref="N51:N52"/>
    <mergeCell ref="N27:N28"/>
    <mergeCell ref="N31:N32"/>
    <mergeCell ref="N37:N38"/>
    <mergeCell ref="A23:A24"/>
    <mergeCell ref="C23:C24"/>
    <mergeCell ref="J23:J24"/>
    <mergeCell ref="K23:K24"/>
    <mergeCell ref="L23:L24"/>
    <mergeCell ref="M23:M24"/>
    <mergeCell ref="K51:K52"/>
    <mergeCell ref="K53:K54"/>
    <mergeCell ref="M53:M54"/>
    <mergeCell ref="M49:M50"/>
    <mergeCell ref="J47:J48"/>
    <mergeCell ref="K47:K48"/>
    <mergeCell ref="K35:K36"/>
    <mergeCell ref="K45:K46"/>
    <mergeCell ref="J49:J50"/>
    <mergeCell ref="A43:A44"/>
    <mergeCell ref="C43:C44"/>
    <mergeCell ref="J41:J42"/>
    <mergeCell ref="N19:N20"/>
    <mergeCell ref="A21:A22"/>
    <mergeCell ref="C21:C22"/>
    <mergeCell ref="J21:J22"/>
    <mergeCell ref="K21:K22"/>
    <mergeCell ref="L21:L22"/>
    <mergeCell ref="M21:M22"/>
    <mergeCell ref="N21:N22"/>
    <mergeCell ref="A19:A20"/>
    <mergeCell ref="C19:C20"/>
    <mergeCell ref="J19:J20"/>
    <mergeCell ref="K19:K20"/>
    <mergeCell ref="L19:L20"/>
    <mergeCell ref="M19:M20"/>
    <mergeCell ref="S14:T14"/>
    <mergeCell ref="L15:L16"/>
    <mergeCell ref="M15:M16"/>
    <mergeCell ref="N15:N16"/>
    <mergeCell ref="S15:T15"/>
    <mergeCell ref="S16:T16"/>
    <mergeCell ref="A14:A16"/>
    <mergeCell ref="B14:B16"/>
    <mergeCell ref="C14:C16"/>
    <mergeCell ref="D14:D16"/>
    <mergeCell ref="E14:E16"/>
    <mergeCell ref="F14:I15"/>
    <mergeCell ref="S8:V8"/>
    <mergeCell ref="B9:F9"/>
    <mergeCell ref="K9:M9"/>
    <mergeCell ref="B10:F10"/>
    <mergeCell ref="K10:M10"/>
    <mergeCell ref="B11:F11"/>
    <mergeCell ref="K11:M11"/>
    <mergeCell ref="A5:N5"/>
    <mergeCell ref="A6:N6"/>
    <mergeCell ref="B7:N7"/>
    <mergeCell ref="B8:F8"/>
    <mergeCell ref="G8:I13"/>
    <mergeCell ref="J8:N8"/>
    <mergeCell ref="B12:F12"/>
    <mergeCell ref="K12:M12"/>
    <mergeCell ref="B13:F13"/>
    <mergeCell ref="K13:M13"/>
    <mergeCell ref="A1:A4"/>
    <mergeCell ref="B1:H2"/>
    <mergeCell ref="I1:L1"/>
    <mergeCell ref="M1:N4"/>
    <mergeCell ref="I2:L2"/>
    <mergeCell ref="B3:H4"/>
    <mergeCell ref="I3:L3"/>
    <mergeCell ref="I4:L4"/>
    <mergeCell ref="A39:A40"/>
    <mergeCell ref="C39:C40"/>
    <mergeCell ref="J39:J40"/>
    <mergeCell ref="K39:K40"/>
    <mergeCell ref="L39:L40"/>
    <mergeCell ref="M39:M40"/>
    <mergeCell ref="N39:N40"/>
    <mergeCell ref="J14:K15"/>
    <mergeCell ref="L14:N14"/>
    <mergeCell ref="N17:N18"/>
    <mergeCell ref="A17:A18"/>
    <mergeCell ref="C17:C18"/>
    <mergeCell ref="J17:J18"/>
    <mergeCell ref="K17:K18"/>
    <mergeCell ref="L17:L18"/>
    <mergeCell ref="M17:M18"/>
  </mergeCells>
  <pageMargins left="0.51181102362204722" right="0.51181102362204722" top="0.55118110236220474" bottom="0.55118110236220474" header="0.31496062992125984" footer="0.31496062992125984"/>
  <pageSetup paperSize="14" scale="55" orientation="landscape" r:id="rId1"/>
  <drawing r:id="rId2"/>
  <legacyDrawing r:id="rId3"/>
  <oleObjects>
    <mc:AlternateContent xmlns:mc="http://schemas.openxmlformats.org/markup-compatibility/2006">
      <mc:Choice Requires="x14">
        <oleObject shapeId="39938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38100</xdr:rowOff>
              </from>
              <to>
                <xdr:col>0</xdr:col>
                <xdr:colOff>3714750</xdr:colOff>
                <xdr:row>3</xdr:row>
                <xdr:rowOff>190500</xdr:rowOff>
              </to>
            </anchor>
          </objectPr>
        </oleObject>
      </mc:Choice>
      <mc:Fallback>
        <oleObject shapeId="39938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69"/>
  <sheetViews>
    <sheetView showWhiteSpace="0" topLeftCell="A40" zoomScale="60" zoomScaleNormal="60" zoomScalePageLayoutView="70" workbookViewId="0">
      <selection activeCell="P1" sqref="P1:Z1048576"/>
    </sheetView>
  </sheetViews>
  <sheetFormatPr baseColWidth="10" defaultColWidth="6.42578125" defaultRowHeight="15"/>
  <cols>
    <col min="1" max="1" width="71.140625" style="1" customWidth="1"/>
    <col min="2" max="2" width="10.28515625" style="1" customWidth="1"/>
    <col min="3" max="3" width="20.85546875" style="1" customWidth="1"/>
    <col min="4" max="4" width="10" style="1" customWidth="1"/>
    <col min="5" max="5" width="26" style="1" customWidth="1"/>
    <col min="6" max="6" width="24.85546875" style="1" customWidth="1"/>
    <col min="7" max="7" width="9.7109375" style="1" customWidth="1"/>
    <col min="8" max="8" width="15.85546875" style="1" bestFit="1" customWidth="1"/>
    <col min="9" max="9" width="11.85546875" style="1" bestFit="1" customWidth="1"/>
    <col min="10" max="10" width="15.140625" style="60" customWidth="1"/>
    <col min="11" max="11" width="20.42578125" style="60" customWidth="1"/>
    <col min="12" max="12" width="14.42578125" style="1" customWidth="1"/>
    <col min="13" max="13" width="18.28515625" style="1" customWidth="1"/>
    <col min="14" max="14" width="16.85546875" style="1" bestFit="1" customWidth="1"/>
    <col min="15" max="15" width="17.7109375" style="1" bestFit="1" customWidth="1"/>
    <col min="16" max="16" width="9" style="1" bestFit="1" customWidth="1"/>
    <col min="17" max="17" width="14.42578125" style="1" customWidth="1"/>
    <col min="18" max="18" width="20.42578125" style="1" customWidth="1"/>
    <col min="19" max="19" width="12.5703125" style="1" hidden="1" customWidth="1"/>
    <col min="20" max="20" width="24.28515625" style="1" customWidth="1"/>
    <col min="21" max="21" width="22.5703125" style="1" customWidth="1"/>
    <col min="22" max="23" width="6.42578125" style="1"/>
    <col min="24" max="24" width="16.85546875" style="1" customWidth="1"/>
    <col min="25" max="25" width="6.42578125" style="1"/>
    <col min="26" max="26" width="30.140625" style="1" customWidth="1"/>
    <col min="27" max="27" width="15.42578125" style="1" customWidth="1"/>
    <col min="28" max="28" width="15.85546875" style="1" customWidth="1"/>
    <col min="29" max="29" width="24.42578125" style="1" customWidth="1"/>
    <col min="30" max="30" width="17.140625" style="1" customWidth="1"/>
    <col min="31" max="16384" width="6.42578125" style="1"/>
  </cols>
  <sheetData>
    <row r="1" spans="1:24" ht="37.5" customHeight="1">
      <c r="A1" s="488"/>
      <c r="B1" s="491" t="s">
        <v>86</v>
      </c>
      <c r="C1" s="492"/>
      <c r="D1" s="492"/>
      <c r="E1" s="492"/>
      <c r="F1" s="492"/>
      <c r="G1" s="492"/>
      <c r="H1" s="493"/>
      <c r="I1" s="497" t="s">
        <v>87</v>
      </c>
      <c r="J1" s="498"/>
      <c r="K1" s="498"/>
      <c r="L1" s="499"/>
      <c r="M1" s="500"/>
      <c r="N1" s="501"/>
      <c r="O1" s="62"/>
    </row>
    <row r="2" spans="1:24" ht="37.5" customHeight="1">
      <c r="A2" s="489"/>
      <c r="B2" s="494"/>
      <c r="C2" s="495"/>
      <c r="D2" s="495"/>
      <c r="E2" s="495"/>
      <c r="F2" s="495"/>
      <c r="G2" s="495"/>
      <c r="H2" s="496"/>
      <c r="I2" s="497" t="s">
        <v>88</v>
      </c>
      <c r="J2" s="498"/>
      <c r="K2" s="498"/>
      <c r="L2" s="499"/>
      <c r="M2" s="502"/>
      <c r="N2" s="503"/>
      <c r="O2" s="62"/>
    </row>
    <row r="3" spans="1:24" ht="33.75" customHeight="1">
      <c r="A3" s="489"/>
      <c r="B3" s="491" t="s">
        <v>89</v>
      </c>
      <c r="C3" s="492"/>
      <c r="D3" s="492"/>
      <c r="E3" s="492"/>
      <c r="F3" s="492"/>
      <c r="G3" s="492"/>
      <c r="H3" s="493"/>
      <c r="I3" s="497" t="s">
        <v>90</v>
      </c>
      <c r="J3" s="498"/>
      <c r="K3" s="498"/>
      <c r="L3" s="499"/>
      <c r="M3" s="502"/>
      <c r="N3" s="503"/>
      <c r="O3" s="62"/>
    </row>
    <row r="4" spans="1:24" ht="38.25" customHeight="1">
      <c r="A4" s="490"/>
      <c r="B4" s="494"/>
      <c r="C4" s="495"/>
      <c r="D4" s="495"/>
      <c r="E4" s="495"/>
      <c r="F4" s="495"/>
      <c r="G4" s="495"/>
      <c r="H4" s="496"/>
      <c r="I4" s="497" t="s">
        <v>91</v>
      </c>
      <c r="J4" s="498"/>
      <c r="K4" s="498"/>
      <c r="L4" s="499"/>
      <c r="M4" s="504"/>
      <c r="N4" s="505"/>
      <c r="O4" s="62"/>
    </row>
    <row r="5" spans="1:24" ht="15.75">
      <c r="A5" s="506"/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62"/>
    </row>
    <row r="6" spans="1:24" ht="15.75">
      <c r="A6" s="497" t="s">
        <v>216</v>
      </c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9"/>
      <c r="O6" s="62"/>
    </row>
    <row r="7" spans="1:24" ht="15.75">
      <c r="A7" s="34" t="s">
        <v>282</v>
      </c>
      <c r="B7" s="411" t="s">
        <v>656</v>
      </c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</row>
    <row r="8" spans="1:24" ht="15.75">
      <c r="A8" s="35" t="s">
        <v>32</v>
      </c>
      <c r="B8" s="507" t="s">
        <v>33</v>
      </c>
      <c r="C8" s="508"/>
      <c r="D8" s="508"/>
      <c r="E8" s="508"/>
      <c r="F8" s="509"/>
      <c r="G8" s="548" t="s">
        <v>217</v>
      </c>
      <c r="H8" s="549"/>
      <c r="I8" s="550"/>
      <c r="J8" s="519" t="s">
        <v>31</v>
      </c>
      <c r="K8" s="520"/>
      <c r="L8" s="520"/>
      <c r="M8" s="520"/>
      <c r="N8" s="521"/>
      <c r="O8" s="63"/>
    </row>
    <row r="9" spans="1:24" ht="15.75">
      <c r="A9" s="37" t="s">
        <v>30</v>
      </c>
      <c r="B9" s="523" t="s">
        <v>213</v>
      </c>
      <c r="C9" s="508"/>
      <c r="D9" s="508"/>
      <c r="E9" s="508"/>
      <c r="F9" s="509"/>
      <c r="G9" s="551"/>
      <c r="H9" s="552"/>
      <c r="I9" s="553"/>
      <c r="J9" s="253" t="s">
        <v>29</v>
      </c>
      <c r="K9" s="422" t="s">
        <v>28</v>
      </c>
      <c r="L9" s="422"/>
      <c r="M9" s="422"/>
      <c r="N9" s="253" t="s">
        <v>27</v>
      </c>
      <c r="O9" s="63"/>
    </row>
    <row r="10" spans="1:24" ht="15.75">
      <c r="A10" s="38" t="s">
        <v>26</v>
      </c>
      <c r="B10" s="522" t="s">
        <v>212</v>
      </c>
      <c r="C10" s="523"/>
      <c r="D10" s="523"/>
      <c r="E10" s="523"/>
      <c r="F10" s="524"/>
      <c r="G10" s="551"/>
      <c r="H10" s="552"/>
      <c r="I10" s="553"/>
      <c r="J10" s="39"/>
      <c r="K10" s="528"/>
      <c r="L10" s="529"/>
      <c r="M10" s="530"/>
      <c r="N10" s="40"/>
      <c r="O10" s="63"/>
      <c r="V10" s="258"/>
      <c r="W10" s="258"/>
    </row>
    <row r="11" spans="1:24" ht="15.75">
      <c r="A11" s="41" t="s">
        <v>25</v>
      </c>
      <c r="B11" s="522" t="s">
        <v>218</v>
      </c>
      <c r="C11" s="523"/>
      <c r="D11" s="523"/>
      <c r="E11" s="523"/>
      <c r="F11" s="524"/>
      <c r="G11" s="551"/>
      <c r="H11" s="552"/>
      <c r="I11" s="553"/>
      <c r="J11" s="252"/>
      <c r="K11" s="525"/>
      <c r="L11" s="526"/>
      <c r="M11" s="527"/>
      <c r="N11" s="42"/>
      <c r="O11" s="63"/>
      <c r="V11" s="13"/>
      <c r="W11" s="4"/>
      <c r="X11" s="11"/>
    </row>
    <row r="12" spans="1:24" ht="15.75">
      <c r="A12" s="61" t="s">
        <v>24</v>
      </c>
      <c r="B12" s="705">
        <v>2020730010056</v>
      </c>
      <c r="C12" s="706"/>
      <c r="D12" s="706"/>
      <c r="E12" s="706"/>
      <c r="F12" s="707"/>
      <c r="G12" s="551"/>
      <c r="H12" s="552"/>
      <c r="I12" s="553"/>
      <c r="J12" s="44"/>
      <c r="K12" s="468"/>
      <c r="L12" s="469"/>
      <c r="M12" s="470"/>
      <c r="N12" s="45"/>
      <c r="O12" s="63"/>
      <c r="V12" s="13"/>
      <c r="W12" s="4"/>
      <c r="X12" s="11"/>
    </row>
    <row r="13" spans="1:24" ht="30.75">
      <c r="A13" s="78" t="s">
        <v>320</v>
      </c>
      <c r="B13" s="809" t="s">
        <v>219</v>
      </c>
      <c r="C13" s="810"/>
      <c r="D13" s="810"/>
      <c r="E13" s="810"/>
      <c r="F13" s="811"/>
      <c r="G13" s="554"/>
      <c r="H13" s="555"/>
      <c r="I13" s="556"/>
      <c r="J13" s="254"/>
      <c r="K13" s="468"/>
      <c r="L13" s="469"/>
      <c r="M13" s="470"/>
      <c r="N13" s="46"/>
      <c r="O13" s="63"/>
      <c r="V13" s="13"/>
      <c r="W13" s="4"/>
      <c r="X13" s="11"/>
    </row>
    <row r="14" spans="1:24" ht="15.75">
      <c r="A14" s="415" t="s">
        <v>23</v>
      </c>
      <c r="B14" s="426" t="s">
        <v>92</v>
      </c>
      <c r="C14" s="413" t="s">
        <v>21</v>
      </c>
      <c r="D14" s="413" t="s">
        <v>20</v>
      </c>
      <c r="E14" s="413" t="s">
        <v>19</v>
      </c>
      <c r="F14" s="621" t="s">
        <v>323</v>
      </c>
      <c r="G14" s="622"/>
      <c r="H14" s="622"/>
      <c r="I14" s="623"/>
      <c r="J14" s="413" t="s">
        <v>17</v>
      </c>
      <c r="K14" s="413"/>
      <c r="L14" s="414" t="s">
        <v>16</v>
      </c>
      <c r="M14" s="414"/>
      <c r="N14" s="414"/>
      <c r="V14" s="13"/>
      <c r="W14" s="4"/>
      <c r="X14" s="11"/>
    </row>
    <row r="15" spans="1:24">
      <c r="A15" s="415"/>
      <c r="B15" s="413"/>
      <c r="C15" s="413"/>
      <c r="D15" s="413"/>
      <c r="E15" s="413"/>
      <c r="F15" s="624"/>
      <c r="G15" s="625"/>
      <c r="H15" s="625"/>
      <c r="I15" s="626"/>
      <c r="J15" s="413"/>
      <c r="K15" s="413"/>
      <c r="L15" s="413" t="s">
        <v>15</v>
      </c>
      <c r="M15" s="413" t="s">
        <v>14</v>
      </c>
      <c r="N15" s="415" t="s">
        <v>13</v>
      </c>
      <c r="T15" s="105"/>
      <c r="U15" s="105"/>
      <c r="V15" s="13"/>
      <c r="W15" s="4"/>
      <c r="X15" s="11"/>
    </row>
    <row r="16" spans="1:24" ht="15.75">
      <c r="A16" s="415"/>
      <c r="B16" s="413"/>
      <c r="C16" s="413"/>
      <c r="D16" s="413"/>
      <c r="E16" s="413"/>
      <c r="F16" s="263" t="s">
        <v>12</v>
      </c>
      <c r="G16" s="263" t="s">
        <v>11</v>
      </c>
      <c r="H16" s="263" t="s">
        <v>10</v>
      </c>
      <c r="I16" s="51" t="s">
        <v>9</v>
      </c>
      <c r="J16" s="263" t="s">
        <v>8</v>
      </c>
      <c r="K16" s="263" t="s">
        <v>7</v>
      </c>
      <c r="L16" s="413"/>
      <c r="M16" s="413"/>
      <c r="N16" s="415"/>
      <c r="P16" s="216"/>
      <c r="Q16" s="263"/>
      <c r="R16" s="159"/>
      <c r="T16" s="105"/>
      <c r="U16" s="105"/>
      <c r="V16" s="13"/>
      <c r="W16" s="4"/>
      <c r="X16" s="11"/>
    </row>
    <row r="17" spans="1:24" ht="27" customHeight="1">
      <c r="A17" s="789" t="s">
        <v>220</v>
      </c>
      <c r="B17" s="84" t="s">
        <v>1</v>
      </c>
      <c r="C17" s="406" t="s">
        <v>221</v>
      </c>
      <c r="D17" s="353">
        <v>1</v>
      </c>
      <c r="E17" s="52">
        <f t="shared" ref="E17:E52" si="0">SUM(F17:I17)</f>
        <v>60000000</v>
      </c>
      <c r="F17" s="52">
        <v>60000000</v>
      </c>
      <c r="G17" s="52">
        <v>0</v>
      </c>
      <c r="H17" s="52">
        <v>0</v>
      </c>
      <c r="I17" s="52">
        <v>0</v>
      </c>
      <c r="J17" s="788">
        <v>44946</v>
      </c>
      <c r="K17" s="788">
        <v>45275</v>
      </c>
      <c r="L17" s="766">
        <f>D18/D17</f>
        <v>0</v>
      </c>
      <c r="M17" s="766">
        <f>E18/E17</f>
        <v>0.82858333333333334</v>
      </c>
      <c r="N17" s="801">
        <f>L17*L17/M17</f>
        <v>0</v>
      </c>
      <c r="P17" s="263"/>
      <c r="Q17" s="113"/>
      <c r="R17" s="176"/>
      <c r="T17" s="105"/>
      <c r="U17" s="105"/>
      <c r="V17" s="13"/>
      <c r="W17" s="4"/>
      <c r="X17" s="11"/>
    </row>
    <row r="18" spans="1:24" ht="27" customHeight="1">
      <c r="A18" s="790"/>
      <c r="B18" s="84" t="s">
        <v>0</v>
      </c>
      <c r="C18" s="407"/>
      <c r="D18" s="367">
        <v>0</v>
      </c>
      <c r="E18" s="52">
        <f t="shared" si="0"/>
        <v>49715000</v>
      </c>
      <c r="F18" s="240">
        <f>10000000+16315000+21000000+2400000</f>
        <v>49715000</v>
      </c>
      <c r="G18" s="52">
        <v>0</v>
      </c>
      <c r="H18" s="52">
        <v>0</v>
      </c>
      <c r="I18" s="52">
        <v>0</v>
      </c>
      <c r="J18" s="788"/>
      <c r="K18" s="788"/>
      <c r="L18" s="766"/>
      <c r="M18" s="766"/>
      <c r="N18" s="802"/>
      <c r="P18" s="263"/>
      <c r="Q18" s="256"/>
      <c r="R18" s="176"/>
      <c r="T18" s="105"/>
      <c r="U18" s="177"/>
      <c r="V18" s="13"/>
      <c r="W18" s="4"/>
      <c r="X18" s="11"/>
    </row>
    <row r="19" spans="1:24" ht="27" customHeight="1">
      <c r="A19" s="790" t="s">
        <v>312</v>
      </c>
      <c r="B19" s="84" t="s">
        <v>1</v>
      </c>
      <c r="C19" s="406" t="s">
        <v>222</v>
      </c>
      <c r="D19" s="367">
        <v>2</v>
      </c>
      <c r="E19" s="52">
        <f t="shared" si="0"/>
        <v>80000000</v>
      </c>
      <c r="F19" s="240">
        <v>80000000</v>
      </c>
      <c r="G19" s="52">
        <v>0</v>
      </c>
      <c r="H19" s="52">
        <v>0</v>
      </c>
      <c r="I19" s="52">
        <v>0</v>
      </c>
      <c r="J19" s="788">
        <v>44946</v>
      </c>
      <c r="K19" s="788">
        <v>45275</v>
      </c>
      <c r="L19" s="766">
        <f>D20/D19</f>
        <v>0</v>
      </c>
      <c r="M19" s="766">
        <f>E20/E19</f>
        <v>0.39634999999999998</v>
      </c>
      <c r="N19" s="797">
        <f>L19*L19/M19</f>
        <v>0</v>
      </c>
      <c r="P19" s="112"/>
      <c r="Q19" s="101"/>
      <c r="R19" s="177"/>
      <c r="T19" s="105"/>
      <c r="U19" s="177"/>
      <c r="V19" s="13"/>
      <c r="W19" s="4"/>
      <c r="X19" s="11"/>
    </row>
    <row r="20" spans="1:24" ht="27" customHeight="1">
      <c r="A20" s="790"/>
      <c r="B20" s="84" t="s">
        <v>0</v>
      </c>
      <c r="C20" s="407"/>
      <c r="D20" s="367">
        <v>0</v>
      </c>
      <c r="E20" s="52">
        <f t="shared" si="0"/>
        <v>31708000</v>
      </c>
      <c r="F20" s="240">
        <f>14329000+14329000+3050000</f>
        <v>31708000</v>
      </c>
      <c r="G20" s="52">
        <v>0</v>
      </c>
      <c r="H20" s="52">
        <v>0</v>
      </c>
      <c r="I20" s="52">
        <v>0</v>
      </c>
      <c r="J20" s="788"/>
      <c r="K20" s="788"/>
      <c r="L20" s="766"/>
      <c r="M20" s="766"/>
      <c r="N20" s="798"/>
      <c r="P20" s="112"/>
      <c r="Q20" s="101"/>
      <c r="R20" s="177"/>
      <c r="T20" s="105"/>
      <c r="U20" s="177"/>
      <c r="V20" s="13"/>
      <c r="W20" s="4"/>
      <c r="X20" s="11"/>
    </row>
    <row r="21" spans="1:24" ht="27" customHeight="1">
      <c r="A21" s="790" t="s">
        <v>276</v>
      </c>
      <c r="B21" s="84" t="s">
        <v>1</v>
      </c>
      <c r="C21" s="406" t="s">
        <v>222</v>
      </c>
      <c r="D21" s="367">
        <v>30</v>
      </c>
      <c r="E21" s="52">
        <f t="shared" si="0"/>
        <v>40000000</v>
      </c>
      <c r="F21" s="52">
        <v>40000000</v>
      </c>
      <c r="G21" s="52">
        <v>0</v>
      </c>
      <c r="H21" s="52">
        <v>0</v>
      </c>
      <c r="I21" s="52">
        <v>0</v>
      </c>
      <c r="J21" s="788">
        <v>44946</v>
      </c>
      <c r="K21" s="788">
        <v>45275</v>
      </c>
      <c r="L21" s="766">
        <f>D22/D21</f>
        <v>0</v>
      </c>
      <c r="M21" s="766">
        <f>E22/E21</f>
        <v>0.90201249999999999</v>
      </c>
      <c r="N21" s="797">
        <f>L21*L21/M21</f>
        <v>0</v>
      </c>
      <c r="R21" s="163"/>
      <c r="T21" s="105"/>
      <c r="U21" s="177"/>
    </row>
    <row r="22" spans="1:24" ht="27" customHeight="1">
      <c r="A22" s="790"/>
      <c r="B22" s="84" t="s">
        <v>0</v>
      </c>
      <c r="C22" s="407"/>
      <c r="D22" s="367">
        <v>0</v>
      </c>
      <c r="E22" s="52">
        <f t="shared" si="0"/>
        <v>36080500</v>
      </c>
      <c r="F22" s="52">
        <f>20300000+7300000+8480500</f>
        <v>36080500</v>
      </c>
      <c r="G22" s="52">
        <v>0</v>
      </c>
      <c r="H22" s="52">
        <v>0</v>
      </c>
      <c r="I22" s="52">
        <v>0</v>
      </c>
      <c r="J22" s="788"/>
      <c r="K22" s="788"/>
      <c r="L22" s="766"/>
      <c r="M22" s="766"/>
      <c r="N22" s="798"/>
      <c r="R22" s="163"/>
      <c r="T22" s="105"/>
      <c r="U22" s="177"/>
    </row>
    <row r="23" spans="1:24" ht="23.25" customHeight="1">
      <c r="A23" s="790" t="s">
        <v>223</v>
      </c>
      <c r="B23" s="84" t="s">
        <v>1</v>
      </c>
      <c r="C23" s="406" t="s">
        <v>222</v>
      </c>
      <c r="D23" s="367">
        <v>30</v>
      </c>
      <c r="E23" s="52">
        <f t="shared" si="0"/>
        <v>35000000</v>
      </c>
      <c r="F23" s="52">
        <v>35000000</v>
      </c>
      <c r="G23" s="52">
        <v>0</v>
      </c>
      <c r="H23" s="52">
        <v>0</v>
      </c>
      <c r="I23" s="52">
        <v>0</v>
      </c>
      <c r="J23" s="788">
        <v>44946</v>
      </c>
      <c r="K23" s="788">
        <v>45275</v>
      </c>
      <c r="L23" s="766">
        <f>D24/D23</f>
        <v>0</v>
      </c>
      <c r="M23" s="766">
        <f>E24/E23</f>
        <v>0.26985714285714285</v>
      </c>
      <c r="N23" s="797">
        <f>L23*L23/M23</f>
        <v>0</v>
      </c>
      <c r="R23" s="163"/>
      <c r="T23" s="105"/>
      <c r="U23" s="177"/>
    </row>
    <row r="24" spans="1:24" ht="23.25" customHeight="1">
      <c r="A24" s="790"/>
      <c r="B24" s="84" t="s">
        <v>0</v>
      </c>
      <c r="C24" s="407"/>
      <c r="D24" s="367">
        <v>0</v>
      </c>
      <c r="E24" s="52">
        <f t="shared" si="0"/>
        <v>9445000</v>
      </c>
      <c r="F24" s="52">
        <f>9445000</f>
        <v>9445000</v>
      </c>
      <c r="G24" s="52">
        <v>0</v>
      </c>
      <c r="H24" s="52">
        <v>0</v>
      </c>
      <c r="I24" s="52">
        <v>0</v>
      </c>
      <c r="J24" s="788"/>
      <c r="K24" s="788"/>
      <c r="L24" s="766"/>
      <c r="M24" s="766"/>
      <c r="N24" s="798"/>
      <c r="R24" s="163"/>
      <c r="T24" s="105"/>
      <c r="U24" s="105"/>
    </row>
    <row r="25" spans="1:24" ht="15.75" customHeight="1">
      <c r="A25" s="790" t="s">
        <v>270</v>
      </c>
      <c r="B25" s="84" t="s">
        <v>1</v>
      </c>
      <c r="C25" s="406" t="s">
        <v>224</v>
      </c>
      <c r="D25" s="357">
        <v>1</v>
      </c>
      <c r="E25" s="52">
        <f t="shared" si="0"/>
        <v>177298000</v>
      </c>
      <c r="F25" s="240">
        <v>177298000</v>
      </c>
      <c r="G25" s="52">
        <v>0</v>
      </c>
      <c r="H25" s="52">
        <v>0</v>
      </c>
      <c r="I25" s="52">
        <v>0</v>
      </c>
      <c r="J25" s="788">
        <v>44946</v>
      </c>
      <c r="K25" s="788">
        <v>45275</v>
      </c>
      <c r="L25" s="766">
        <f>D26/D25</f>
        <v>0.25</v>
      </c>
      <c r="M25" s="766">
        <f>E26/E25</f>
        <v>0.99501404415165429</v>
      </c>
      <c r="N25" s="801">
        <f>L25*L25/M25</f>
        <v>6.2813183760925997E-2</v>
      </c>
      <c r="R25" s="163"/>
      <c r="T25" s="105"/>
      <c r="U25" s="105"/>
    </row>
    <row r="26" spans="1:24" ht="15.75">
      <c r="A26" s="790"/>
      <c r="B26" s="84" t="s">
        <v>0</v>
      </c>
      <c r="C26" s="407"/>
      <c r="D26" s="357">
        <v>0.25</v>
      </c>
      <c r="E26" s="52">
        <f t="shared" si="0"/>
        <v>176414000</v>
      </c>
      <c r="F26" s="240">
        <f>20000000+15300000+10800000+27500000+4750000+2850000+9329000+14875000+11125000+9810000+11850000+16625000+21600000</f>
        <v>176414000</v>
      </c>
      <c r="G26" s="52">
        <v>0</v>
      </c>
      <c r="H26" s="52">
        <v>0</v>
      </c>
      <c r="I26" s="52">
        <v>0</v>
      </c>
      <c r="J26" s="788"/>
      <c r="K26" s="788"/>
      <c r="L26" s="766"/>
      <c r="M26" s="766"/>
      <c r="N26" s="802"/>
      <c r="R26" s="163"/>
      <c r="T26" s="105"/>
      <c r="U26" s="105"/>
    </row>
    <row r="27" spans="1:24" ht="40.5" customHeight="1">
      <c r="A27" s="790" t="s">
        <v>322</v>
      </c>
      <c r="B27" s="84" t="s">
        <v>1</v>
      </c>
      <c r="C27" s="406" t="s">
        <v>438</v>
      </c>
      <c r="D27" s="367">
        <v>1</v>
      </c>
      <c r="E27" s="52">
        <f t="shared" si="0"/>
        <v>2026000</v>
      </c>
      <c r="F27" s="52">
        <v>2026000</v>
      </c>
      <c r="G27" s="52">
        <v>0</v>
      </c>
      <c r="H27" s="52">
        <v>0</v>
      </c>
      <c r="I27" s="52">
        <v>0</v>
      </c>
      <c r="J27" s="788">
        <v>44946</v>
      </c>
      <c r="K27" s="788">
        <v>45275</v>
      </c>
      <c r="L27" s="766">
        <f>D28/D27</f>
        <v>0</v>
      </c>
      <c r="M27" s="766">
        <f>E28/E27</f>
        <v>0</v>
      </c>
      <c r="N27" s="797" t="e">
        <f>L27*L27/M27</f>
        <v>#DIV/0!</v>
      </c>
      <c r="R27" s="163"/>
      <c r="T27" s="105"/>
      <c r="U27" s="105"/>
    </row>
    <row r="28" spans="1:24" ht="40.5" customHeight="1">
      <c r="A28" s="790"/>
      <c r="B28" s="84" t="s">
        <v>0</v>
      </c>
      <c r="C28" s="407"/>
      <c r="D28" s="367">
        <v>0</v>
      </c>
      <c r="E28" s="52">
        <f t="shared" si="0"/>
        <v>0</v>
      </c>
      <c r="F28" s="52">
        <v>0</v>
      </c>
      <c r="G28" s="52">
        <v>0</v>
      </c>
      <c r="H28" s="52">
        <v>0</v>
      </c>
      <c r="I28" s="52">
        <v>0</v>
      </c>
      <c r="J28" s="788"/>
      <c r="K28" s="788"/>
      <c r="L28" s="766"/>
      <c r="M28" s="766"/>
      <c r="N28" s="798"/>
      <c r="R28" s="163"/>
      <c r="T28" s="105"/>
      <c r="U28" s="105"/>
    </row>
    <row r="29" spans="1:24" ht="15.75">
      <c r="A29" s="790" t="s">
        <v>225</v>
      </c>
      <c r="B29" s="84" t="s">
        <v>1</v>
      </c>
      <c r="C29" s="406" t="s">
        <v>271</v>
      </c>
      <c r="D29" s="367">
        <v>20</v>
      </c>
      <c r="E29" s="52">
        <f t="shared" si="0"/>
        <v>150000000</v>
      </c>
      <c r="F29" s="52">
        <v>150000000</v>
      </c>
      <c r="G29" s="52">
        <v>0</v>
      </c>
      <c r="H29" s="52">
        <v>0</v>
      </c>
      <c r="I29" s="52">
        <v>0</v>
      </c>
      <c r="J29" s="788">
        <v>44946</v>
      </c>
      <c r="K29" s="788">
        <v>45275</v>
      </c>
      <c r="L29" s="766">
        <f>D30/D29</f>
        <v>0</v>
      </c>
      <c r="M29" s="766">
        <f>E30/E29</f>
        <v>0</v>
      </c>
      <c r="N29" s="797" t="e">
        <f>L29*L29/M29</f>
        <v>#DIV/0!</v>
      </c>
      <c r="R29" s="163"/>
      <c r="T29" s="105"/>
      <c r="U29" s="105"/>
    </row>
    <row r="30" spans="1:24" ht="15.75">
      <c r="A30" s="790"/>
      <c r="B30" s="84" t="s">
        <v>0</v>
      </c>
      <c r="C30" s="407"/>
      <c r="D30" s="367">
        <v>0</v>
      </c>
      <c r="E30" s="52">
        <f t="shared" si="0"/>
        <v>0</v>
      </c>
      <c r="F30" s="52">
        <v>0</v>
      </c>
      <c r="G30" s="52">
        <v>0</v>
      </c>
      <c r="H30" s="52">
        <v>0</v>
      </c>
      <c r="I30" s="52">
        <v>0</v>
      </c>
      <c r="J30" s="788"/>
      <c r="K30" s="788"/>
      <c r="L30" s="766"/>
      <c r="M30" s="766"/>
      <c r="N30" s="798"/>
      <c r="R30" s="163"/>
      <c r="T30" s="105"/>
      <c r="U30" s="105"/>
    </row>
    <row r="31" spans="1:24" ht="26.25" customHeight="1">
      <c r="A31" s="812" t="s">
        <v>226</v>
      </c>
      <c r="B31" s="84" t="s">
        <v>1</v>
      </c>
      <c r="C31" s="406" t="s">
        <v>321</v>
      </c>
      <c r="D31" s="357">
        <v>1</v>
      </c>
      <c r="E31" s="52">
        <f t="shared" si="0"/>
        <v>50000000</v>
      </c>
      <c r="F31" s="52">
        <v>50000000</v>
      </c>
      <c r="G31" s="52">
        <v>0</v>
      </c>
      <c r="H31" s="52">
        <v>0</v>
      </c>
      <c r="I31" s="52">
        <v>0</v>
      </c>
      <c r="J31" s="788">
        <v>44946</v>
      </c>
      <c r="K31" s="788">
        <v>45275</v>
      </c>
      <c r="L31" s="766">
        <f>D32/D31</f>
        <v>0</v>
      </c>
      <c r="M31" s="766">
        <f>E32/E31</f>
        <v>0</v>
      </c>
      <c r="N31" s="797" t="e">
        <f>L31*L31/M31</f>
        <v>#DIV/0!</v>
      </c>
      <c r="R31" s="163"/>
    </row>
    <row r="32" spans="1:24" ht="26.25" customHeight="1">
      <c r="A32" s="789"/>
      <c r="B32" s="84" t="s">
        <v>0</v>
      </c>
      <c r="C32" s="407"/>
      <c r="D32" s="98">
        <v>0</v>
      </c>
      <c r="E32" s="52">
        <f t="shared" si="0"/>
        <v>0</v>
      </c>
      <c r="F32" s="52">
        <v>0</v>
      </c>
      <c r="G32" s="52">
        <v>0</v>
      </c>
      <c r="H32" s="52">
        <v>0</v>
      </c>
      <c r="I32" s="52">
        <v>0</v>
      </c>
      <c r="J32" s="788"/>
      <c r="K32" s="788"/>
      <c r="L32" s="766"/>
      <c r="M32" s="766"/>
      <c r="N32" s="798"/>
      <c r="P32" s="216"/>
      <c r="Q32" s="263"/>
      <c r="R32" s="159"/>
    </row>
    <row r="33" spans="1:21" ht="36" customHeight="1">
      <c r="A33" s="786" t="s">
        <v>227</v>
      </c>
      <c r="B33" s="84" t="s">
        <v>1</v>
      </c>
      <c r="C33" s="406" t="s">
        <v>272</v>
      </c>
      <c r="D33" s="367">
        <v>2</v>
      </c>
      <c r="E33" s="52">
        <f t="shared" si="0"/>
        <v>30000000</v>
      </c>
      <c r="F33" s="354">
        <v>30000000</v>
      </c>
      <c r="G33" s="52">
        <v>0</v>
      </c>
      <c r="H33" s="52">
        <v>0</v>
      </c>
      <c r="I33" s="52">
        <v>0</v>
      </c>
      <c r="J33" s="788">
        <v>44946</v>
      </c>
      <c r="K33" s="788">
        <v>45275</v>
      </c>
      <c r="L33" s="766">
        <f>D34/D33</f>
        <v>0</v>
      </c>
      <c r="M33" s="766">
        <f>E34/E33</f>
        <v>0.33333333333333331</v>
      </c>
      <c r="N33" s="797">
        <f>L33*L33/M33</f>
        <v>0</v>
      </c>
      <c r="P33" s="263"/>
      <c r="Q33" s="113"/>
      <c r="R33" s="176"/>
    </row>
    <row r="34" spans="1:21" ht="36" customHeight="1">
      <c r="A34" s="787"/>
      <c r="B34" s="84" t="s">
        <v>0</v>
      </c>
      <c r="C34" s="407"/>
      <c r="D34" s="367">
        <v>0</v>
      </c>
      <c r="E34" s="52">
        <f t="shared" si="0"/>
        <v>10000000</v>
      </c>
      <c r="F34" s="354">
        <f>5000000+5000000</f>
        <v>10000000</v>
      </c>
      <c r="G34" s="52">
        <v>0</v>
      </c>
      <c r="H34" s="52">
        <v>0</v>
      </c>
      <c r="I34" s="52">
        <v>0</v>
      </c>
      <c r="J34" s="788"/>
      <c r="K34" s="788"/>
      <c r="L34" s="766"/>
      <c r="M34" s="766"/>
      <c r="N34" s="798"/>
      <c r="P34" s="263"/>
      <c r="Q34" s="256"/>
      <c r="R34" s="176"/>
    </row>
    <row r="35" spans="1:21" ht="24.75" customHeight="1">
      <c r="A35" s="786" t="s">
        <v>228</v>
      </c>
      <c r="B35" s="84" t="s">
        <v>1</v>
      </c>
      <c r="C35" s="406" t="s">
        <v>229</v>
      </c>
      <c r="D35" s="367">
        <v>3</v>
      </c>
      <c r="E35" s="52">
        <f t="shared" si="0"/>
        <v>50000000</v>
      </c>
      <c r="F35" s="368">
        <v>50000000</v>
      </c>
      <c r="G35" s="52">
        <v>0</v>
      </c>
      <c r="H35" s="52">
        <v>0</v>
      </c>
      <c r="I35" s="52">
        <v>0</v>
      </c>
      <c r="J35" s="788">
        <v>44946</v>
      </c>
      <c r="K35" s="788">
        <v>45275</v>
      </c>
      <c r="L35" s="766">
        <f>D36/D35</f>
        <v>0.33333333333333331</v>
      </c>
      <c r="M35" s="766">
        <f>E36/E35</f>
        <v>1</v>
      </c>
      <c r="N35" s="801">
        <f>L35*L35/M35</f>
        <v>0.1111111111111111</v>
      </c>
      <c r="R35" s="163"/>
    </row>
    <row r="36" spans="1:21" ht="24.75" customHeight="1">
      <c r="A36" s="787"/>
      <c r="B36" s="84" t="s">
        <v>0</v>
      </c>
      <c r="C36" s="407"/>
      <c r="D36" s="367">
        <v>1</v>
      </c>
      <c r="E36" s="52">
        <f t="shared" si="0"/>
        <v>50000000</v>
      </c>
      <c r="F36" s="368">
        <v>50000000</v>
      </c>
      <c r="G36" s="52">
        <v>0</v>
      </c>
      <c r="H36" s="52">
        <v>0</v>
      </c>
      <c r="I36" s="52">
        <v>0</v>
      </c>
      <c r="J36" s="788"/>
      <c r="K36" s="788"/>
      <c r="L36" s="766"/>
      <c r="M36" s="766"/>
      <c r="N36" s="802"/>
      <c r="R36" s="163"/>
    </row>
    <row r="37" spans="1:21" ht="38.25" customHeight="1">
      <c r="A37" s="786" t="s">
        <v>230</v>
      </c>
      <c r="B37" s="84" t="s">
        <v>1</v>
      </c>
      <c r="C37" s="406" t="s">
        <v>231</v>
      </c>
      <c r="D37" s="367">
        <v>1</v>
      </c>
      <c r="E37" s="52">
        <f t="shared" si="0"/>
        <v>6000000</v>
      </c>
      <c r="F37" s="354">
        <v>6000000</v>
      </c>
      <c r="G37" s="52">
        <v>0</v>
      </c>
      <c r="H37" s="52">
        <v>0</v>
      </c>
      <c r="I37" s="52">
        <v>0</v>
      </c>
      <c r="J37" s="788">
        <v>44946</v>
      </c>
      <c r="K37" s="788">
        <v>45275</v>
      </c>
      <c r="L37" s="766">
        <f>D38/D37</f>
        <v>0</v>
      </c>
      <c r="M37" s="766">
        <f>E38/E37</f>
        <v>0</v>
      </c>
      <c r="N37" s="797" t="e">
        <f>L37*L37/M37</f>
        <v>#DIV/0!</v>
      </c>
      <c r="R37" s="163"/>
    </row>
    <row r="38" spans="1:21" ht="38.25" customHeight="1">
      <c r="A38" s="787"/>
      <c r="B38" s="84" t="s">
        <v>0</v>
      </c>
      <c r="C38" s="407"/>
      <c r="D38" s="367">
        <v>0</v>
      </c>
      <c r="E38" s="52">
        <f t="shared" si="0"/>
        <v>0</v>
      </c>
      <c r="F38" s="354">
        <v>0</v>
      </c>
      <c r="G38" s="52">
        <v>0</v>
      </c>
      <c r="H38" s="52">
        <v>0</v>
      </c>
      <c r="I38" s="52">
        <v>0</v>
      </c>
      <c r="J38" s="788"/>
      <c r="K38" s="788"/>
      <c r="L38" s="766"/>
      <c r="M38" s="766"/>
      <c r="N38" s="798"/>
      <c r="P38" s="216"/>
      <c r="Q38" s="263"/>
      <c r="R38" s="159"/>
    </row>
    <row r="39" spans="1:21" ht="27.75" customHeight="1">
      <c r="A39" s="786" t="s">
        <v>232</v>
      </c>
      <c r="B39" s="84" t="s">
        <v>1</v>
      </c>
      <c r="C39" s="406" t="s">
        <v>439</v>
      </c>
      <c r="D39" s="367">
        <v>4</v>
      </c>
      <c r="E39" s="52">
        <f t="shared" si="0"/>
        <v>20000000</v>
      </c>
      <c r="F39" s="52">
        <v>20000000</v>
      </c>
      <c r="G39" s="52">
        <v>0</v>
      </c>
      <c r="H39" s="52">
        <v>0</v>
      </c>
      <c r="I39" s="52">
        <v>0</v>
      </c>
      <c r="J39" s="788">
        <v>44946</v>
      </c>
      <c r="K39" s="788">
        <v>45275</v>
      </c>
      <c r="L39" s="766">
        <f>D40/D39</f>
        <v>0</v>
      </c>
      <c r="M39" s="766">
        <f>E40/E39</f>
        <v>0.85</v>
      </c>
      <c r="N39" s="797">
        <f>L39*L39/M39</f>
        <v>0</v>
      </c>
      <c r="P39" s="263"/>
      <c r="Q39" s="113"/>
      <c r="R39" s="176"/>
    </row>
    <row r="40" spans="1:21" ht="27.75" customHeight="1">
      <c r="A40" s="787"/>
      <c r="B40" s="84" t="s">
        <v>0</v>
      </c>
      <c r="C40" s="407"/>
      <c r="D40" s="367">
        <v>0</v>
      </c>
      <c r="E40" s="52">
        <f t="shared" si="0"/>
        <v>17000000</v>
      </c>
      <c r="F40" s="52">
        <f>5000000+12000000</f>
        <v>17000000</v>
      </c>
      <c r="G40" s="52">
        <v>0</v>
      </c>
      <c r="H40" s="52">
        <v>0</v>
      </c>
      <c r="I40" s="52">
        <v>0</v>
      </c>
      <c r="J40" s="788"/>
      <c r="K40" s="788"/>
      <c r="L40" s="766"/>
      <c r="M40" s="766"/>
      <c r="N40" s="798"/>
      <c r="P40" s="263"/>
      <c r="Q40" s="256"/>
      <c r="R40" s="176"/>
    </row>
    <row r="41" spans="1:21" ht="27.75" customHeight="1">
      <c r="A41" s="404" t="s">
        <v>314</v>
      </c>
      <c r="B41" s="84" t="s">
        <v>1</v>
      </c>
      <c r="C41" s="406" t="s">
        <v>313</v>
      </c>
      <c r="D41" s="367">
        <v>1</v>
      </c>
      <c r="E41" s="52">
        <f t="shared" si="0"/>
        <v>1366284</v>
      </c>
      <c r="F41" s="52">
        <v>1366284</v>
      </c>
      <c r="G41" s="52">
        <v>0</v>
      </c>
      <c r="H41" s="52">
        <v>0</v>
      </c>
      <c r="I41" s="52">
        <v>0</v>
      </c>
      <c r="J41" s="788">
        <v>44946</v>
      </c>
      <c r="K41" s="788">
        <v>45275</v>
      </c>
      <c r="L41" s="766">
        <f>D42/D41</f>
        <v>0</v>
      </c>
      <c r="M41" s="766">
        <f>E42/E41</f>
        <v>1</v>
      </c>
      <c r="N41" s="797">
        <f>L41*L41/M41</f>
        <v>0</v>
      </c>
      <c r="P41" s="112"/>
      <c r="Q41" s="101"/>
      <c r="R41" s="177"/>
    </row>
    <row r="42" spans="1:21" ht="27.75" customHeight="1">
      <c r="A42" s="405"/>
      <c r="B42" s="84" t="s">
        <v>0</v>
      </c>
      <c r="C42" s="407"/>
      <c r="D42" s="367">
        <v>0</v>
      </c>
      <c r="E42" s="52">
        <f t="shared" si="0"/>
        <v>1366284</v>
      </c>
      <c r="F42" s="52">
        <v>1366284</v>
      </c>
      <c r="G42" s="52">
        <v>0</v>
      </c>
      <c r="H42" s="52">
        <v>0</v>
      </c>
      <c r="I42" s="52">
        <v>0</v>
      </c>
      <c r="J42" s="788"/>
      <c r="K42" s="788"/>
      <c r="L42" s="766"/>
      <c r="M42" s="766"/>
      <c r="N42" s="798"/>
      <c r="P42" s="112"/>
      <c r="Q42" s="101"/>
      <c r="R42" s="177"/>
    </row>
    <row r="43" spans="1:21" ht="23.25" customHeight="1">
      <c r="A43" s="404" t="s">
        <v>233</v>
      </c>
      <c r="B43" s="84" t="s">
        <v>1</v>
      </c>
      <c r="C43" s="406" t="s">
        <v>440</v>
      </c>
      <c r="D43" s="367">
        <v>200</v>
      </c>
      <c r="E43" s="52">
        <f t="shared" si="0"/>
        <v>152974000</v>
      </c>
      <c r="F43" s="354">
        <f>60000000+92974000</f>
        <v>152974000</v>
      </c>
      <c r="G43" s="52">
        <v>0</v>
      </c>
      <c r="H43" s="52">
        <v>0</v>
      </c>
      <c r="I43" s="52">
        <v>0</v>
      </c>
      <c r="J43" s="788">
        <v>44946</v>
      </c>
      <c r="K43" s="788">
        <v>45275</v>
      </c>
      <c r="L43" s="766">
        <f>D44/D43</f>
        <v>0.82</v>
      </c>
      <c r="M43" s="766">
        <f>E44/E43</f>
        <v>0.96838024762377917</v>
      </c>
      <c r="N43" s="801">
        <f>L43*L43/M43</f>
        <v>0.69435534403963894</v>
      </c>
      <c r="R43" s="163"/>
    </row>
    <row r="44" spans="1:21" ht="23.25" customHeight="1">
      <c r="A44" s="405"/>
      <c r="B44" s="84" t="s">
        <v>0</v>
      </c>
      <c r="C44" s="407"/>
      <c r="D44" s="367">
        <v>164</v>
      </c>
      <c r="E44" s="52">
        <f t="shared" si="0"/>
        <v>148137000</v>
      </c>
      <c r="F44" s="354">
        <f>9369500+11600000+10000000+14875000+10657500+11800000+21315000+18739000+4417000+16625000+18739000</f>
        <v>148137000</v>
      </c>
      <c r="G44" s="52">
        <v>0</v>
      </c>
      <c r="H44" s="52">
        <v>0</v>
      </c>
      <c r="I44" s="52">
        <v>0</v>
      </c>
      <c r="J44" s="788"/>
      <c r="K44" s="788"/>
      <c r="L44" s="766"/>
      <c r="M44" s="766"/>
      <c r="N44" s="802"/>
      <c r="P44" s="216"/>
      <c r="Q44" s="263"/>
      <c r="R44" s="159"/>
      <c r="U44" s="105"/>
    </row>
    <row r="45" spans="1:21" ht="33" customHeight="1">
      <c r="A45" s="786" t="s">
        <v>234</v>
      </c>
      <c r="B45" s="84" t="s">
        <v>1</v>
      </c>
      <c r="C45" s="406" t="s">
        <v>437</v>
      </c>
      <c r="D45" s="367">
        <v>10</v>
      </c>
      <c r="E45" s="52">
        <f t="shared" si="0"/>
        <v>30000000</v>
      </c>
      <c r="F45" s="354">
        <v>30000000</v>
      </c>
      <c r="G45" s="52">
        <v>0</v>
      </c>
      <c r="H45" s="52">
        <v>0</v>
      </c>
      <c r="I45" s="52">
        <v>0</v>
      </c>
      <c r="J45" s="788">
        <v>44946</v>
      </c>
      <c r="K45" s="788">
        <v>45275</v>
      </c>
      <c r="L45" s="766">
        <f>D46/D45</f>
        <v>0.6</v>
      </c>
      <c r="M45" s="766">
        <f>E46/E45</f>
        <v>0</v>
      </c>
      <c r="N45" s="797" t="e">
        <f>L45*L45/M45</f>
        <v>#DIV/0!</v>
      </c>
      <c r="P45" s="263"/>
      <c r="Q45" s="113"/>
      <c r="R45" s="176"/>
      <c r="U45" s="105"/>
    </row>
    <row r="46" spans="1:21" ht="33" customHeight="1">
      <c r="A46" s="787"/>
      <c r="B46" s="84" t="s">
        <v>0</v>
      </c>
      <c r="C46" s="407"/>
      <c r="D46" s="367">
        <v>6</v>
      </c>
      <c r="E46" s="52">
        <f t="shared" si="0"/>
        <v>0</v>
      </c>
      <c r="F46" s="354">
        <v>0</v>
      </c>
      <c r="G46" s="52">
        <v>0</v>
      </c>
      <c r="H46" s="52">
        <v>0</v>
      </c>
      <c r="I46" s="52">
        <v>0</v>
      </c>
      <c r="J46" s="788"/>
      <c r="K46" s="788"/>
      <c r="L46" s="766"/>
      <c r="M46" s="766"/>
      <c r="N46" s="798"/>
      <c r="P46" s="263"/>
      <c r="Q46" s="256"/>
      <c r="R46" s="176"/>
      <c r="U46" s="177"/>
    </row>
    <row r="47" spans="1:21" ht="21.75" customHeight="1">
      <c r="A47" s="786" t="s">
        <v>310</v>
      </c>
      <c r="B47" s="84" t="s">
        <v>1</v>
      </c>
      <c r="C47" s="406" t="s">
        <v>311</v>
      </c>
      <c r="D47" s="367">
        <v>1</v>
      </c>
      <c r="E47" s="52">
        <f t="shared" si="0"/>
        <v>11200000</v>
      </c>
      <c r="F47" s="240">
        <v>11200000</v>
      </c>
      <c r="G47" s="52">
        <v>0</v>
      </c>
      <c r="H47" s="52">
        <v>0</v>
      </c>
      <c r="I47" s="52">
        <v>0</v>
      </c>
      <c r="J47" s="788">
        <v>44946</v>
      </c>
      <c r="K47" s="788">
        <v>45275</v>
      </c>
      <c r="L47" s="766">
        <f>D48/D47</f>
        <v>0</v>
      </c>
      <c r="M47" s="766">
        <f>E48/E47</f>
        <v>1</v>
      </c>
      <c r="N47" s="797">
        <f>L47*L47/M47</f>
        <v>0</v>
      </c>
      <c r="P47" s="263"/>
      <c r="Q47" s="113"/>
      <c r="R47" s="176"/>
      <c r="U47" s="105"/>
    </row>
    <row r="48" spans="1:21" ht="21.75" customHeight="1">
      <c r="A48" s="787"/>
      <c r="B48" s="84" t="s">
        <v>0</v>
      </c>
      <c r="C48" s="407"/>
      <c r="D48" s="367">
        <v>0</v>
      </c>
      <c r="E48" s="52">
        <f t="shared" si="0"/>
        <v>11200000</v>
      </c>
      <c r="F48" s="240">
        <v>11200000</v>
      </c>
      <c r="G48" s="52">
        <v>0</v>
      </c>
      <c r="H48" s="52">
        <v>0</v>
      </c>
      <c r="I48" s="52">
        <v>0</v>
      </c>
      <c r="J48" s="788"/>
      <c r="K48" s="788"/>
      <c r="L48" s="766"/>
      <c r="M48" s="766"/>
      <c r="N48" s="798"/>
      <c r="P48" s="263"/>
      <c r="Q48" s="256"/>
      <c r="R48" s="176"/>
      <c r="U48" s="105"/>
    </row>
    <row r="49" spans="1:49" ht="21.75" customHeight="1">
      <c r="A49" s="786" t="s">
        <v>235</v>
      </c>
      <c r="B49" s="84" t="s">
        <v>1</v>
      </c>
      <c r="C49" s="406" t="s">
        <v>441</v>
      </c>
      <c r="D49" s="367">
        <v>5</v>
      </c>
      <c r="E49" s="52">
        <f t="shared" si="0"/>
        <v>38800000</v>
      </c>
      <c r="F49" s="240">
        <v>38800000</v>
      </c>
      <c r="G49" s="52">
        <v>0</v>
      </c>
      <c r="H49" s="52">
        <v>0</v>
      </c>
      <c r="I49" s="52">
        <v>0</v>
      </c>
      <c r="J49" s="788">
        <v>44946</v>
      </c>
      <c r="K49" s="788">
        <v>45275</v>
      </c>
      <c r="L49" s="766">
        <f>D50/D49</f>
        <v>0</v>
      </c>
      <c r="M49" s="766">
        <f>E50/E49</f>
        <v>0.81054123711340209</v>
      </c>
      <c r="N49" s="797">
        <f>L49*L49/M49</f>
        <v>0</v>
      </c>
      <c r="P49" s="263"/>
      <c r="Q49" s="113"/>
      <c r="R49" s="176"/>
      <c r="T49" s="105"/>
      <c r="U49" s="105"/>
    </row>
    <row r="50" spans="1:49" ht="21.75" customHeight="1">
      <c r="A50" s="787"/>
      <c r="B50" s="84" t="s">
        <v>0</v>
      </c>
      <c r="C50" s="407"/>
      <c r="D50" s="367">
        <v>0</v>
      </c>
      <c r="E50" s="52">
        <f t="shared" si="0"/>
        <v>31449000</v>
      </c>
      <c r="F50" s="240">
        <f>15850000+537000+15062000</f>
        <v>31449000</v>
      </c>
      <c r="G50" s="52">
        <v>0</v>
      </c>
      <c r="H50" s="52">
        <v>0</v>
      </c>
      <c r="I50" s="52">
        <v>0</v>
      </c>
      <c r="J50" s="788"/>
      <c r="K50" s="788"/>
      <c r="L50" s="766"/>
      <c r="M50" s="766"/>
      <c r="N50" s="798"/>
      <c r="P50" s="263"/>
      <c r="Q50" s="255"/>
      <c r="R50" s="176"/>
      <c r="T50" s="105"/>
      <c r="U50" s="105"/>
    </row>
    <row r="51" spans="1:49" ht="15.75">
      <c r="A51" s="786" t="s">
        <v>236</v>
      </c>
      <c r="B51" s="84" t="s">
        <v>1</v>
      </c>
      <c r="C51" s="406" t="s">
        <v>237</v>
      </c>
      <c r="D51" s="367">
        <v>100</v>
      </c>
      <c r="E51" s="52">
        <f t="shared" si="0"/>
        <v>501585716</v>
      </c>
      <c r="F51" s="354">
        <v>501585716</v>
      </c>
      <c r="G51" s="52">
        <v>0</v>
      </c>
      <c r="H51" s="52">
        <v>0</v>
      </c>
      <c r="I51" s="52">
        <v>0</v>
      </c>
      <c r="J51" s="788">
        <v>44946</v>
      </c>
      <c r="K51" s="788">
        <v>45275</v>
      </c>
      <c r="L51" s="766">
        <f>D52/D51</f>
        <v>0.08</v>
      </c>
      <c r="M51" s="766">
        <f>E52/E51</f>
        <v>0.65771510128091448</v>
      </c>
      <c r="N51" s="801">
        <f>L51*L51/M51</f>
        <v>9.7306569174645079E-3</v>
      </c>
      <c r="P51" s="111"/>
      <c r="Q51" s="118"/>
      <c r="R51" s="369"/>
      <c r="T51" s="251"/>
      <c r="U51" s="105"/>
      <c r="V51" s="120"/>
    </row>
    <row r="52" spans="1:49" ht="24.75" customHeight="1">
      <c r="A52" s="787"/>
      <c r="B52" s="84" t="s">
        <v>0</v>
      </c>
      <c r="C52" s="407"/>
      <c r="D52" s="367">
        <v>8</v>
      </c>
      <c r="E52" s="52">
        <f t="shared" si="0"/>
        <v>329900500</v>
      </c>
      <c r="F52" s="354">
        <f>17850000+17850000+14329000+14329000+14329000+14329000+17850000+12271000+11652000+10657500+8765000+8175000+8175000+12750000+8175000+8175000+8175000+13385000+8175000+6000000+10200000+6124000+6124000+6680000+6124000+6124000+6680000+6680000+10200000+10200000+7768000+5800000+5800000</f>
        <v>329900500</v>
      </c>
      <c r="G52" s="52">
        <v>0</v>
      </c>
      <c r="H52" s="52">
        <v>0</v>
      </c>
      <c r="I52" s="52">
        <v>0</v>
      </c>
      <c r="J52" s="788"/>
      <c r="K52" s="788"/>
      <c r="L52" s="766"/>
      <c r="M52" s="766"/>
      <c r="N52" s="802"/>
      <c r="P52" s="111"/>
      <c r="Q52" s="118"/>
      <c r="R52" s="369"/>
      <c r="S52" s="370"/>
      <c r="T52" s="371"/>
      <c r="U52" s="371"/>
    </row>
    <row r="53" spans="1:49" ht="15.75">
      <c r="A53" s="588" t="s">
        <v>6</v>
      </c>
      <c r="B53" s="192" t="s">
        <v>1</v>
      </c>
      <c r="C53" s="589"/>
      <c r="D53" s="276"/>
      <c r="E53" s="277">
        <f>E17+E19+E21+E23+E25+E27+E29+E31+E33+E35+E37+E39+E41+E43+E45+E47+E49+E51</f>
        <v>1436250000</v>
      </c>
      <c r="F53" s="277">
        <f>F17+F19+F21+F23+F25+F27+F29+F31+F33+F35+F37+F39+F41+F43+F45+F47+F49+F51</f>
        <v>1436250000</v>
      </c>
      <c r="G53" s="277">
        <f t="shared" ref="G53:I54" si="1">G17+G19+G21+G23+G25+G27+G29+G31+G33+G35+G37+G39+G41+G43+G45+G47+G49+G51</f>
        <v>0</v>
      </c>
      <c r="H53" s="277">
        <f t="shared" si="1"/>
        <v>0</v>
      </c>
      <c r="I53" s="277">
        <f t="shared" si="1"/>
        <v>0</v>
      </c>
      <c r="J53" s="28"/>
      <c r="K53" s="55"/>
      <c r="L53" s="55"/>
      <c r="M53" s="55"/>
      <c r="N53" s="55"/>
      <c r="T53" s="105"/>
      <c r="U53" s="105"/>
    </row>
    <row r="54" spans="1:49" ht="15.75">
      <c r="A54" s="588"/>
      <c r="B54" s="192" t="s">
        <v>0</v>
      </c>
      <c r="C54" s="590"/>
      <c r="D54" s="276"/>
      <c r="E54" s="277">
        <f>E18+E20+E22+E24+E26+E28+E30+E32+E34+E36+E38+E40+E42+E44+E46+E48+E50+E52</f>
        <v>902415284</v>
      </c>
      <c r="F54" s="277">
        <f>F18+F20+F22+F24+F26+F28+F30+F32+F34+F36+F38+F40+F42+F44+F46+F48+F50+F52</f>
        <v>902415284</v>
      </c>
      <c r="G54" s="277">
        <f t="shared" si="1"/>
        <v>0</v>
      </c>
      <c r="H54" s="277">
        <f t="shared" si="1"/>
        <v>0</v>
      </c>
      <c r="I54" s="277">
        <f t="shared" si="1"/>
        <v>0</v>
      </c>
      <c r="J54" s="28"/>
      <c r="K54" s="55"/>
      <c r="L54" s="55"/>
      <c r="M54" s="55"/>
      <c r="N54" s="55"/>
      <c r="T54" s="105"/>
      <c r="U54" s="105"/>
    </row>
    <row r="55" spans="1:49">
      <c r="B55" s="8"/>
      <c r="E55" s="21"/>
      <c r="F55" s="20"/>
      <c r="G55" s="13"/>
      <c r="H55" s="13"/>
      <c r="I55" s="13"/>
      <c r="J55" s="56"/>
      <c r="K55" s="56"/>
      <c r="L55" s="20"/>
      <c r="M55" s="57"/>
      <c r="N55" s="293"/>
      <c r="O55" s="57"/>
      <c r="T55" s="105"/>
      <c r="U55" s="105"/>
    </row>
    <row r="56" spans="1:49" ht="15.75">
      <c r="A56" s="372" t="s">
        <v>5</v>
      </c>
      <c r="B56" s="813" t="s">
        <v>4</v>
      </c>
      <c r="C56" s="814"/>
      <c r="D56" s="815"/>
      <c r="E56" s="816" t="s">
        <v>3</v>
      </c>
      <c r="F56" s="814"/>
      <c r="G56" s="814"/>
      <c r="H56" s="814"/>
      <c r="I56" s="373"/>
      <c r="J56" s="817" t="s">
        <v>2</v>
      </c>
      <c r="K56" s="814"/>
      <c r="L56" s="814"/>
      <c r="M56" s="814"/>
      <c r="N56" s="815"/>
      <c r="O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</row>
    <row r="57" spans="1:49" ht="36" customHeight="1">
      <c r="A57" s="388" t="s">
        <v>647</v>
      </c>
      <c r="B57" s="383" t="s">
        <v>648</v>
      </c>
      <c r="C57" s="384"/>
      <c r="D57" s="385"/>
      <c r="E57" s="386" t="s">
        <v>238</v>
      </c>
      <c r="F57" s="387"/>
      <c r="G57" s="387"/>
      <c r="H57" s="281" t="s">
        <v>1</v>
      </c>
      <c r="I57" s="282">
        <v>1</v>
      </c>
      <c r="J57" s="374" t="s">
        <v>649</v>
      </c>
      <c r="K57" s="375"/>
      <c r="L57" s="375"/>
      <c r="M57" s="375"/>
      <c r="N57" s="376"/>
      <c r="O57" s="70"/>
      <c r="P57" s="70"/>
      <c r="T57" s="71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</row>
    <row r="58" spans="1:49" ht="36" customHeight="1">
      <c r="A58" s="388"/>
      <c r="B58" s="385"/>
      <c r="C58" s="385"/>
      <c r="D58" s="385"/>
      <c r="E58" s="387"/>
      <c r="F58" s="387"/>
      <c r="G58" s="387"/>
      <c r="H58" s="281" t="s">
        <v>0</v>
      </c>
      <c r="I58" s="282">
        <v>0</v>
      </c>
      <c r="J58" s="377"/>
      <c r="K58" s="378"/>
      <c r="L58" s="378"/>
      <c r="M58" s="378"/>
      <c r="N58" s="379"/>
      <c r="O58" s="70"/>
      <c r="P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</row>
    <row r="59" spans="1:49" ht="57.75" customHeight="1">
      <c r="A59" s="388" t="s">
        <v>647</v>
      </c>
      <c r="B59" s="383" t="s">
        <v>650</v>
      </c>
      <c r="C59" s="385"/>
      <c r="D59" s="385"/>
      <c r="E59" s="386" t="s">
        <v>239</v>
      </c>
      <c r="F59" s="387"/>
      <c r="G59" s="387"/>
      <c r="H59" s="281" t="s">
        <v>1</v>
      </c>
      <c r="I59" s="282">
        <v>1</v>
      </c>
      <c r="J59" s="377"/>
      <c r="K59" s="378"/>
      <c r="L59" s="378"/>
      <c r="M59" s="378"/>
      <c r="N59" s="379"/>
      <c r="O59" s="70"/>
      <c r="P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</row>
    <row r="60" spans="1:49" ht="57.75" customHeight="1">
      <c r="A60" s="388"/>
      <c r="B60" s="385"/>
      <c r="C60" s="385"/>
      <c r="D60" s="385"/>
      <c r="E60" s="387"/>
      <c r="F60" s="387"/>
      <c r="G60" s="387"/>
      <c r="H60" s="281" t="s">
        <v>0</v>
      </c>
      <c r="I60" s="282">
        <v>1</v>
      </c>
      <c r="J60" s="377"/>
      <c r="K60" s="378"/>
      <c r="L60" s="378"/>
      <c r="M60" s="378"/>
      <c r="N60" s="379"/>
      <c r="O60" s="70"/>
      <c r="P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</row>
    <row r="61" spans="1:49" ht="61.5" customHeight="1">
      <c r="A61" s="388" t="s">
        <v>647</v>
      </c>
      <c r="B61" s="383" t="s">
        <v>651</v>
      </c>
      <c r="C61" s="385"/>
      <c r="D61" s="385"/>
      <c r="E61" s="386" t="s">
        <v>240</v>
      </c>
      <c r="F61" s="387"/>
      <c r="G61" s="387"/>
      <c r="H61" s="281" t="s">
        <v>1</v>
      </c>
      <c r="I61" s="282">
        <v>1</v>
      </c>
      <c r="J61" s="377"/>
      <c r="K61" s="378"/>
      <c r="L61" s="378"/>
      <c r="M61" s="378"/>
      <c r="N61" s="379"/>
      <c r="O61" s="70"/>
      <c r="P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</row>
    <row r="62" spans="1:49" ht="61.5" customHeight="1">
      <c r="A62" s="388"/>
      <c r="B62" s="385"/>
      <c r="C62" s="385"/>
      <c r="D62" s="385"/>
      <c r="E62" s="387"/>
      <c r="F62" s="387"/>
      <c r="G62" s="387"/>
      <c r="H62" s="281" t="s">
        <v>0</v>
      </c>
      <c r="I62" s="282">
        <v>0</v>
      </c>
      <c r="J62" s="377"/>
      <c r="K62" s="378"/>
      <c r="L62" s="378"/>
      <c r="M62" s="378"/>
      <c r="N62" s="379"/>
      <c r="O62" s="70"/>
      <c r="P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</row>
    <row r="63" spans="1:49" ht="35.25" customHeight="1">
      <c r="A63" s="388" t="s">
        <v>647</v>
      </c>
      <c r="B63" s="383" t="s">
        <v>652</v>
      </c>
      <c r="C63" s="384"/>
      <c r="D63" s="385"/>
      <c r="E63" s="386" t="s">
        <v>241</v>
      </c>
      <c r="F63" s="387"/>
      <c r="G63" s="387"/>
      <c r="H63" s="281" t="s">
        <v>1</v>
      </c>
      <c r="I63" s="282">
        <v>100</v>
      </c>
      <c r="J63" s="377"/>
      <c r="K63" s="378"/>
      <c r="L63" s="378"/>
      <c r="M63" s="378"/>
      <c r="N63" s="379"/>
    </row>
    <row r="64" spans="1:49" ht="35.25" customHeight="1">
      <c r="A64" s="388"/>
      <c r="B64" s="385"/>
      <c r="C64" s="385"/>
      <c r="D64" s="385"/>
      <c r="E64" s="387"/>
      <c r="F64" s="387"/>
      <c r="G64" s="387"/>
      <c r="H64" s="281" t="s">
        <v>0</v>
      </c>
      <c r="I64" s="282">
        <v>8</v>
      </c>
      <c r="J64" s="377"/>
      <c r="K64" s="378"/>
      <c r="L64" s="378"/>
      <c r="M64" s="378"/>
      <c r="N64" s="379"/>
    </row>
    <row r="65" spans="1:14" ht="41.25" customHeight="1">
      <c r="A65" s="388" t="s">
        <v>647</v>
      </c>
      <c r="B65" s="383" t="s">
        <v>653</v>
      </c>
      <c r="C65" s="384"/>
      <c r="D65" s="385"/>
      <c r="E65" s="386" t="s">
        <v>242</v>
      </c>
      <c r="F65" s="387"/>
      <c r="G65" s="387"/>
      <c r="H65" s="281" t="s">
        <v>1</v>
      </c>
      <c r="I65" s="282">
        <v>1</v>
      </c>
      <c r="J65" s="377"/>
      <c r="K65" s="378"/>
      <c r="L65" s="378"/>
      <c r="M65" s="378"/>
      <c r="N65" s="379"/>
    </row>
    <row r="66" spans="1:14" ht="41.25" customHeight="1">
      <c r="A66" s="388"/>
      <c r="B66" s="385"/>
      <c r="C66" s="385"/>
      <c r="D66" s="385"/>
      <c r="E66" s="387"/>
      <c r="F66" s="387"/>
      <c r="G66" s="387"/>
      <c r="H66" s="281" t="s">
        <v>0</v>
      </c>
      <c r="I66" s="282">
        <v>0</v>
      </c>
      <c r="J66" s="377"/>
      <c r="K66" s="378"/>
      <c r="L66" s="378"/>
      <c r="M66" s="378"/>
      <c r="N66" s="379"/>
    </row>
    <row r="67" spans="1:14" ht="27.75" customHeight="1">
      <c r="A67" s="388" t="s">
        <v>647</v>
      </c>
      <c r="B67" s="383" t="s">
        <v>654</v>
      </c>
      <c r="C67" s="384"/>
      <c r="D67" s="385"/>
      <c r="E67" s="386" t="s">
        <v>243</v>
      </c>
      <c r="F67" s="387"/>
      <c r="G67" s="387"/>
      <c r="H67" s="281" t="s">
        <v>1</v>
      </c>
      <c r="I67" s="282">
        <v>1</v>
      </c>
      <c r="J67" s="377"/>
      <c r="K67" s="378"/>
      <c r="L67" s="378"/>
      <c r="M67" s="378"/>
      <c r="N67" s="379"/>
    </row>
    <row r="68" spans="1:14" ht="27.75" customHeight="1">
      <c r="A68" s="388"/>
      <c r="B68" s="385"/>
      <c r="C68" s="385"/>
      <c r="D68" s="385"/>
      <c r="E68" s="387"/>
      <c r="F68" s="387"/>
      <c r="G68" s="387"/>
      <c r="H68" s="281" t="s">
        <v>0</v>
      </c>
      <c r="I68" s="282">
        <v>0</v>
      </c>
      <c r="J68" s="380"/>
      <c r="K68" s="381"/>
      <c r="L68" s="381"/>
      <c r="M68" s="381"/>
      <c r="N68" s="382"/>
    </row>
    <row r="69" spans="1:14" ht="61.5" customHeight="1">
      <c r="A69" s="383" t="s">
        <v>655</v>
      </c>
      <c r="B69" s="383"/>
      <c r="C69" s="383"/>
      <c r="D69" s="383"/>
      <c r="E69" s="383"/>
      <c r="F69" s="383"/>
      <c r="G69" s="383"/>
      <c r="H69" s="383"/>
      <c r="I69" s="383"/>
      <c r="J69" s="383"/>
      <c r="K69" s="383"/>
      <c r="L69" s="383"/>
      <c r="M69" s="383"/>
      <c r="N69" s="383"/>
    </row>
  </sheetData>
  <mergeCells count="186">
    <mergeCell ref="J57:N68"/>
    <mergeCell ref="A69:N69"/>
    <mergeCell ref="A67:A68"/>
    <mergeCell ref="B67:D68"/>
    <mergeCell ref="E67:G68"/>
    <mergeCell ref="A63:A64"/>
    <mergeCell ref="B63:D64"/>
    <mergeCell ref="E63:G64"/>
    <mergeCell ref="A65:A66"/>
    <mergeCell ref="B65:D66"/>
    <mergeCell ref="E65:G66"/>
    <mergeCell ref="A57:A58"/>
    <mergeCell ref="B57:D58"/>
    <mergeCell ref="E57:G58"/>
    <mergeCell ref="A59:A60"/>
    <mergeCell ref="B59:D60"/>
    <mergeCell ref="E59:G60"/>
    <mergeCell ref="A61:A62"/>
    <mergeCell ref="B61:D62"/>
    <mergeCell ref="E61:G62"/>
    <mergeCell ref="N51:N52"/>
    <mergeCell ref="A53:A54"/>
    <mergeCell ref="C53:C54"/>
    <mergeCell ref="B56:D56"/>
    <mergeCell ref="E56:H56"/>
    <mergeCell ref="J56:N56"/>
    <mergeCell ref="A51:A52"/>
    <mergeCell ref="C51:C52"/>
    <mergeCell ref="J51:J52"/>
    <mergeCell ref="K51:K52"/>
    <mergeCell ref="L51:L52"/>
    <mergeCell ref="M51:M52"/>
    <mergeCell ref="M47:M48"/>
    <mergeCell ref="N47:N48"/>
    <mergeCell ref="A45:A46"/>
    <mergeCell ref="C45:C46"/>
    <mergeCell ref="J45:J46"/>
    <mergeCell ref="K45:K46"/>
    <mergeCell ref="L45:L46"/>
    <mergeCell ref="M45:M46"/>
    <mergeCell ref="A49:A50"/>
    <mergeCell ref="C49:C50"/>
    <mergeCell ref="J49:J50"/>
    <mergeCell ref="K49:K50"/>
    <mergeCell ref="L49:L50"/>
    <mergeCell ref="M49:M50"/>
    <mergeCell ref="N49:N50"/>
    <mergeCell ref="N45:N46"/>
    <mergeCell ref="A47:A48"/>
    <mergeCell ref="C47:C48"/>
    <mergeCell ref="J47:J48"/>
    <mergeCell ref="K47:K48"/>
    <mergeCell ref="L47:L48"/>
    <mergeCell ref="N39:N40"/>
    <mergeCell ref="A43:A44"/>
    <mergeCell ref="C43:C44"/>
    <mergeCell ref="J43:J44"/>
    <mergeCell ref="K43:K44"/>
    <mergeCell ref="L43:L44"/>
    <mergeCell ref="M43:M44"/>
    <mergeCell ref="N43:N44"/>
    <mergeCell ref="A39:A40"/>
    <mergeCell ref="C39:C40"/>
    <mergeCell ref="J39:J40"/>
    <mergeCell ref="K39:K40"/>
    <mergeCell ref="L39:L40"/>
    <mergeCell ref="M39:M40"/>
    <mergeCell ref="A41:A42"/>
    <mergeCell ref="C41:C42"/>
    <mergeCell ref="J41:J42"/>
    <mergeCell ref="K41:K42"/>
    <mergeCell ref="L41:L42"/>
    <mergeCell ref="M41:M42"/>
    <mergeCell ref="N41:N42"/>
    <mergeCell ref="N35:N36"/>
    <mergeCell ref="A37:A38"/>
    <mergeCell ref="C37:C38"/>
    <mergeCell ref="J37:J38"/>
    <mergeCell ref="K37:K38"/>
    <mergeCell ref="L37:L38"/>
    <mergeCell ref="M37:M38"/>
    <mergeCell ref="N37:N38"/>
    <mergeCell ref="A35:A36"/>
    <mergeCell ref="C35:C36"/>
    <mergeCell ref="J35:J36"/>
    <mergeCell ref="K35:K36"/>
    <mergeCell ref="L35:L36"/>
    <mergeCell ref="M35:M36"/>
    <mergeCell ref="N31:N32"/>
    <mergeCell ref="A33:A34"/>
    <mergeCell ref="C33:C34"/>
    <mergeCell ref="J33:J34"/>
    <mergeCell ref="K33:K34"/>
    <mergeCell ref="L33:L34"/>
    <mergeCell ref="M33:M34"/>
    <mergeCell ref="N33:N34"/>
    <mergeCell ref="A31:A32"/>
    <mergeCell ref="C31:C32"/>
    <mergeCell ref="J31:J32"/>
    <mergeCell ref="K31:K32"/>
    <mergeCell ref="L31:L32"/>
    <mergeCell ref="M31:M32"/>
    <mergeCell ref="N27:N28"/>
    <mergeCell ref="A29:A30"/>
    <mergeCell ref="C29:C30"/>
    <mergeCell ref="J29:J30"/>
    <mergeCell ref="K29:K30"/>
    <mergeCell ref="L29:L30"/>
    <mergeCell ref="M29:M30"/>
    <mergeCell ref="N29:N30"/>
    <mergeCell ref="A27:A28"/>
    <mergeCell ref="C27:C28"/>
    <mergeCell ref="J27:J28"/>
    <mergeCell ref="K27:K28"/>
    <mergeCell ref="L27:L28"/>
    <mergeCell ref="M27:M28"/>
    <mergeCell ref="N23:N24"/>
    <mergeCell ref="A25:A26"/>
    <mergeCell ref="C25:C26"/>
    <mergeCell ref="J25:J26"/>
    <mergeCell ref="K25:K26"/>
    <mergeCell ref="L25:L26"/>
    <mergeCell ref="M25:M26"/>
    <mergeCell ref="N25:N26"/>
    <mergeCell ref="A23:A24"/>
    <mergeCell ref="C23:C24"/>
    <mergeCell ref="J23:J24"/>
    <mergeCell ref="K23:K24"/>
    <mergeCell ref="L23:L24"/>
    <mergeCell ref="M23:M24"/>
    <mergeCell ref="N21:N22"/>
    <mergeCell ref="A21:A22"/>
    <mergeCell ref="C21:C22"/>
    <mergeCell ref="J21:J22"/>
    <mergeCell ref="K21:K22"/>
    <mergeCell ref="L21:L22"/>
    <mergeCell ref="M21:M22"/>
    <mergeCell ref="N17:N18"/>
    <mergeCell ref="A17:A18"/>
    <mergeCell ref="C17:C18"/>
    <mergeCell ref="J17:J18"/>
    <mergeCell ref="K17:K18"/>
    <mergeCell ref="L17:L18"/>
    <mergeCell ref="M17:M18"/>
    <mergeCell ref="A19:A20"/>
    <mergeCell ref="C19:C20"/>
    <mergeCell ref="J19:J20"/>
    <mergeCell ref="K19:K20"/>
    <mergeCell ref="L19:L20"/>
    <mergeCell ref="M19:M20"/>
    <mergeCell ref="N19:N20"/>
    <mergeCell ref="J14:K15"/>
    <mergeCell ref="L14:N14"/>
    <mergeCell ref="L15:L16"/>
    <mergeCell ref="M15:M16"/>
    <mergeCell ref="N15:N16"/>
    <mergeCell ref="A14:A16"/>
    <mergeCell ref="B14:B16"/>
    <mergeCell ref="C14:C16"/>
    <mergeCell ref="D14:D16"/>
    <mergeCell ref="E14:E16"/>
    <mergeCell ref="F14:I15"/>
    <mergeCell ref="B13:F13"/>
    <mergeCell ref="K13:M13"/>
    <mergeCell ref="B9:F9"/>
    <mergeCell ref="K9:M9"/>
    <mergeCell ref="B10:F10"/>
    <mergeCell ref="K10:M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B12:F12"/>
    <mergeCell ref="K12:M12"/>
  </mergeCells>
  <pageMargins left="0.7" right="0.7" top="0.75" bottom="0.75" header="0.3" footer="0.3"/>
  <pageSetup paperSize="14" scale="52" orientation="landscape" verticalDpi="360" r:id="rId1"/>
  <drawing r:id="rId2"/>
  <legacyDrawing r:id="rId3"/>
  <oleObjects>
    <mc:AlternateContent xmlns:mc="http://schemas.openxmlformats.org/markup-compatibility/2006">
      <mc:Choice Requires="x14">
        <oleObject shapeId="29697" r:id="rId4">
          <objectPr defaultSize="0" autoPict="0" r:id="rId5">
            <anchor moveWithCells="1" sizeWithCells="1">
              <from>
                <xdr:col>0</xdr:col>
                <xdr:colOff>352425</xdr:colOff>
                <xdr:row>0</xdr:row>
                <xdr:rowOff>447675</xdr:rowOff>
              </from>
              <to>
                <xdr:col>0</xdr:col>
                <xdr:colOff>3933825</xdr:colOff>
                <xdr:row>3</xdr:row>
                <xdr:rowOff>238125</xdr:rowOff>
              </to>
            </anchor>
          </objectPr>
        </oleObject>
      </mc:Choice>
      <mc:Fallback>
        <oleObject shapeId="296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MUJER</vt:lpstr>
      <vt:lpstr>ETNIAS.</vt:lpstr>
      <vt:lpstr>LUCHA CONTRA LA POBREZA</vt:lpstr>
      <vt:lpstr>ADULTO MAYOR</vt:lpstr>
      <vt:lpstr>DISCAPACIDAD</vt:lpstr>
      <vt:lpstr>HABITANTE DE CALLE</vt:lpstr>
      <vt:lpstr>VÍCTIMAS</vt:lpstr>
      <vt:lpstr>NNA</vt:lpstr>
      <vt:lpstr>JUVENTUD</vt:lpstr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2023-04-19T14:22:22Z</cp:lastPrinted>
  <dcterms:created xsi:type="dcterms:W3CDTF">2017-08-24T15:03:39Z</dcterms:created>
  <dcterms:modified xsi:type="dcterms:W3CDTF">2023-08-09T20:43:31Z</dcterms:modified>
</cp:coreProperties>
</file>