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24226"/>
  <mc:AlternateContent xmlns:mc="http://schemas.openxmlformats.org/markup-compatibility/2006">
    <mc:Choice Requires="x15">
      <x15ac:absPath xmlns:x15ac="http://schemas.microsoft.com/office/spreadsheetml/2010/11/ac" url="C:\Users\Maria Paula\Desktop\2023 Alcaldia\Mapa de riesgos de Gestion 2023\MAPAS DE RIESGOS DE GESTION POR PROCESO\"/>
    </mc:Choice>
  </mc:AlternateContent>
  <xr:revisionPtr revIDLastSave="0" documentId="8_{E63191C8-EFEC-4FD7-A1BD-1875CFBAEA6E}" xr6:coauthVersionLast="47" xr6:coauthVersionMax="47" xr10:uidLastSave="{00000000-0000-0000-0000-000000000000}"/>
  <bookViews>
    <workbookView xWindow="-108" yWindow="-108" windowWidth="23256" windowHeight="12456"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81029"/>
  <pivotCaches>
    <pivotCache cacheId="36" r:id="rId11"/>
  </pivotCaches>
</workbook>
</file>

<file path=xl/calcChain.xml><?xml version="1.0" encoding="utf-8"?>
<calcChain xmlns="http://schemas.openxmlformats.org/spreadsheetml/2006/main">
  <c r="V69" i="1" l="1"/>
  <c r="S69" i="1"/>
  <c r="V68" i="1"/>
  <c r="S68" i="1"/>
  <c r="V67" i="1"/>
  <c r="S67" i="1"/>
  <c r="AD68" i="1" s="1"/>
  <c r="AC68" i="1" s="1"/>
  <c r="V66" i="1"/>
  <c r="S66" i="1"/>
  <c r="V65" i="1"/>
  <c r="S65" i="1"/>
  <c r="AD66" i="1" s="1"/>
  <c r="AC66" i="1" s="1"/>
  <c r="V64" i="1"/>
  <c r="S64" i="1"/>
  <c r="AD65" i="1" s="1"/>
  <c r="AC65" i="1" s="1"/>
  <c r="V63" i="1"/>
  <c r="S63" i="1"/>
  <c r="V62" i="1"/>
  <c r="S62" i="1"/>
  <c r="V61" i="1"/>
  <c r="S61" i="1"/>
  <c r="AD62" i="1" s="1"/>
  <c r="AC62" i="1" s="1"/>
  <c r="V60" i="1"/>
  <c r="S60" i="1"/>
  <c r="V59" i="1"/>
  <c r="S59" i="1"/>
  <c r="AD60" i="1" s="1"/>
  <c r="AC60" i="1" s="1"/>
  <c r="V58" i="1"/>
  <c r="S58" i="1"/>
  <c r="V57" i="1"/>
  <c r="S57" i="1"/>
  <c r="V56" i="1"/>
  <c r="S56" i="1"/>
  <c r="V55" i="1"/>
  <c r="S55" i="1"/>
  <c r="V54" i="1"/>
  <c r="S54" i="1"/>
  <c r="V53" i="1"/>
  <c r="S53" i="1"/>
  <c r="V52" i="1"/>
  <c r="S52" i="1"/>
  <c r="V51" i="1"/>
  <c r="S51" i="1"/>
  <c r="V50" i="1"/>
  <c r="S50" i="1"/>
  <c r="V49" i="1"/>
  <c r="S49" i="1"/>
  <c r="V48" i="1"/>
  <c r="S48" i="1"/>
  <c r="V47" i="1"/>
  <c r="S47" i="1"/>
  <c r="V46" i="1"/>
  <c r="S46" i="1"/>
  <c r="V45" i="1"/>
  <c r="S45" i="1"/>
  <c r="V44" i="1"/>
  <c r="S44" i="1"/>
  <c r="V43" i="1"/>
  <c r="S43" i="1"/>
  <c r="V42" i="1"/>
  <c r="S42" i="1"/>
  <c r="V41" i="1"/>
  <c r="S41" i="1"/>
  <c r="V40" i="1"/>
  <c r="S40" i="1"/>
  <c r="V39" i="1"/>
  <c r="S39" i="1"/>
  <c r="V38" i="1"/>
  <c r="S38" i="1"/>
  <c r="V37" i="1"/>
  <c r="S37" i="1"/>
  <c r="V36" i="1"/>
  <c r="S36" i="1"/>
  <c r="V35" i="1"/>
  <c r="S35" i="1"/>
  <c r="V34" i="1"/>
  <c r="S34" i="1"/>
  <c r="V33" i="1"/>
  <c r="S33" i="1"/>
  <c r="V32" i="1"/>
  <c r="S32" i="1"/>
  <c r="V31" i="1"/>
  <c r="S31" i="1"/>
  <c r="V30" i="1"/>
  <c r="S30" i="1"/>
  <c r="V29" i="1"/>
  <c r="S29" i="1"/>
  <c r="V28" i="1"/>
  <c r="S28" i="1"/>
  <c r="V27" i="1"/>
  <c r="S27" i="1"/>
  <c r="V26" i="1"/>
  <c r="S26" i="1"/>
  <c r="V25" i="1"/>
  <c r="S25" i="1"/>
  <c r="V24" i="1"/>
  <c r="S24" i="1"/>
  <c r="V23" i="1"/>
  <c r="S23" i="1"/>
  <c r="V22" i="1"/>
  <c r="S22" i="1"/>
  <c r="V21" i="1"/>
  <c r="S21" i="1"/>
  <c r="V20" i="1"/>
  <c r="S20" i="1"/>
  <c r="V19" i="1"/>
  <c r="S19" i="1"/>
  <c r="V18" i="1"/>
  <c r="S18" i="1"/>
  <c r="V17" i="1"/>
  <c r="S17" i="1"/>
  <c r="V16" i="1"/>
  <c r="S16" i="1"/>
  <c r="AD17" i="1" l="1"/>
  <c r="AC17" i="1" s="1"/>
  <c r="AD19" i="1"/>
  <c r="AC19" i="1" s="1"/>
  <c r="AD21" i="1"/>
  <c r="AC21" i="1" s="1"/>
  <c r="AD23" i="1"/>
  <c r="AC23" i="1" s="1"/>
  <c r="AD25" i="1"/>
  <c r="AC25" i="1" s="1"/>
  <c r="AD27" i="1"/>
  <c r="AC27" i="1" s="1"/>
  <c r="AD29" i="1"/>
  <c r="AC29" i="1" s="1"/>
  <c r="AD31" i="1"/>
  <c r="AC31" i="1" s="1"/>
  <c r="AD33" i="1"/>
  <c r="AC33" i="1" s="1"/>
  <c r="AD35" i="1"/>
  <c r="AC35" i="1" s="1"/>
  <c r="AD37" i="1"/>
  <c r="AC37" i="1" s="1"/>
  <c r="AD39" i="1"/>
  <c r="AC39" i="1" s="1"/>
  <c r="AD41" i="1"/>
  <c r="AC41" i="1" s="1"/>
  <c r="AD43" i="1"/>
  <c r="AC43" i="1" s="1"/>
  <c r="AD45" i="1"/>
  <c r="AC45" i="1" s="1"/>
  <c r="AD47" i="1"/>
  <c r="AC47" i="1" s="1"/>
  <c r="AD49" i="1"/>
  <c r="AC49" i="1" s="1"/>
  <c r="AD51" i="1"/>
  <c r="AC51" i="1" s="1"/>
  <c r="AD53" i="1"/>
  <c r="AC53" i="1" s="1"/>
  <c r="AD55" i="1"/>
  <c r="AC55" i="1" s="1"/>
  <c r="AD57" i="1"/>
  <c r="AC57" i="1" s="1"/>
  <c r="AD59" i="1"/>
  <c r="AC59" i="1" s="1"/>
  <c r="AD61" i="1"/>
  <c r="AC61" i="1" s="1"/>
  <c r="AD63" i="1"/>
  <c r="AC63" i="1" s="1"/>
  <c r="AD67" i="1"/>
  <c r="AC67" i="1" s="1"/>
  <c r="AD69" i="1"/>
  <c r="AC69" i="1" s="1"/>
  <c r="AD18" i="1"/>
  <c r="AC18" i="1" s="1"/>
  <c r="AD20" i="1"/>
  <c r="AC20" i="1" s="1"/>
  <c r="AD24" i="1"/>
  <c r="AC24" i="1" s="1"/>
  <c r="AD26" i="1"/>
  <c r="AC26" i="1" s="1"/>
  <c r="AD30" i="1"/>
  <c r="AC30" i="1" s="1"/>
  <c r="AD32" i="1"/>
  <c r="AC32" i="1" s="1"/>
  <c r="AD36" i="1"/>
  <c r="AC36" i="1" s="1"/>
  <c r="AD38" i="1"/>
  <c r="AC38" i="1" s="1"/>
  <c r="AD42" i="1"/>
  <c r="AC42" i="1" s="1"/>
  <c r="AD44" i="1"/>
  <c r="AC44" i="1" s="1"/>
  <c r="AD48" i="1"/>
  <c r="AC48" i="1" s="1"/>
  <c r="AD50" i="1"/>
  <c r="AC50" i="1" s="1"/>
  <c r="AD54" i="1"/>
  <c r="AC54" i="1" s="1"/>
  <c r="AD56" i="1"/>
  <c r="AC56" i="1" s="1"/>
  <c r="Z64" i="1"/>
  <c r="Z66" i="1"/>
  <c r="Z68" i="1"/>
  <c r="AD64" i="1"/>
  <c r="AC64" i="1" s="1"/>
  <c r="Z65" i="1"/>
  <c r="Z67" i="1"/>
  <c r="Z69" i="1"/>
  <c r="Z58" i="1"/>
  <c r="Z60" i="1"/>
  <c r="Z62" i="1"/>
  <c r="AD58" i="1"/>
  <c r="AC58" i="1" s="1"/>
  <c r="Z59" i="1"/>
  <c r="Z61" i="1"/>
  <c r="Z63" i="1"/>
  <c r="Z52" i="1"/>
  <c r="Z54" i="1"/>
  <c r="Z56" i="1"/>
  <c r="AD52" i="1"/>
  <c r="AC52" i="1" s="1"/>
  <c r="Z53" i="1"/>
  <c r="Z55" i="1"/>
  <c r="Z57" i="1"/>
  <c r="Z46" i="1"/>
  <c r="Z48" i="1"/>
  <c r="Z50" i="1"/>
  <c r="AD46" i="1"/>
  <c r="AC46" i="1" s="1"/>
  <c r="Z47" i="1"/>
  <c r="Z49" i="1"/>
  <c r="Z51" i="1"/>
  <c r="Z40" i="1"/>
  <c r="Z42" i="1"/>
  <c r="Z44" i="1"/>
  <c r="AD40" i="1"/>
  <c r="AC40" i="1" s="1"/>
  <c r="Z41" i="1"/>
  <c r="Z43" i="1"/>
  <c r="Z45" i="1"/>
  <c r="Z34" i="1"/>
  <c r="Z36" i="1"/>
  <c r="Z38" i="1"/>
  <c r="AD34" i="1"/>
  <c r="AC34" i="1" s="1"/>
  <c r="Z35" i="1"/>
  <c r="Z37" i="1"/>
  <c r="Z39" i="1"/>
  <c r="Z28" i="1"/>
  <c r="Z30" i="1"/>
  <c r="Z32" i="1"/>
  <c r="AD28" i="1"/>
  <c r="AC28" i="1" s="1"/>
  <c r="Z29" i="1"/>
  <c r="Z31" i="1"/>
  <c r="Z33" i="1"/>
  <c r="Z22" i="1"/>
  <c r="Z24" i="1"/>
  <c r="Z26" i="1"/>
  <c r="AD22" i="1"/>
  <c r="AC22" i="1" s="1"/>
  <c r="Z23" i="1"/>
  <c r="Z25" i="1"/>
  <c r="Z27" i="1"/>
  <c r="Z16" i="1"/>
  <c r="Z18" i="1"/>
  <c r="Z20" i="1"/>
  <c r="Z17" i="1"/>
  <c r="Z19" i="1"/>
  <c r="Z21" i="1"/>
  <c r="AB69" i="1" l="1"/>
  <c r="AA69" i="1"/>
  <c r="AE69" i="1" s="1"/>
  <c r="AB67" i="1"/>
  <c r="AA67" i="1"/>
  <c r="AE67" i="1" s="1"/>
  <c r="AB65" i="1"/>
  <c r="AA65" i="1"/>
  <c r="AE65" i="1" s="1"/>
  <c r="AB68" i="1"/>
  <c r="AA68" i="1"/>
  <c r="AE68" i="1" s="1"/>
  <c r="AB66" i="1"/>
  <c r="AA66" i="1"/>
  <c r="AE66" i="1" s="1"/>
  <c r="AB64" i="1"/>
  <c r="AA64" i="1"/>
  <c r="AE64" i="1" s="1"/>
  <c r="AB63" i="1"/>
  <c r="AA63" i="1"/>
  <c r="AE63" i="1" s="1"/>
  <c r="AB61" i="1"/>
  <c r="AA61" i="1"/>
  <c r="AE61" i="1" s="1"/>
  <c r="AB59" i="1"/>
  <c r="AA59" i="1"/>
  <c r="AE59" i="1" s="1"/>
  <c r="AB62" i="1"/>
  <c r="AA62" i="1"/>
  <c r="AE62" i="1" s="1"/>
  <c r="AB60" i="1"/>
  <c r="AA60" i="1"/>
  <c r="AE60" i="1" s="1"/>
  <c r="AB58" i="1"/>
  <c r="AA58" i="1"/>
  <c r="AE58" i="1" s="1"/>
  <c r="AB57" i="1"/>
  <c r="AA57" i="1"/>
  <c r="AE57" i="1" s="1"/>
  <c r="AB55" i="1"/>
  <c r="AA55" i="1"/>
  <c r="AE55" i="1" s="1"/>
  <c r="AB53" i="1"/>
  <c r="AA53" i="1"/>
  <c r="AE53" i="1" s="1"/>
  <c r="AB56" i="1"/>
  <c r="AA56" i="1"/>
  <c r="AE56" i="1" s="1"/>
  <c r="AB54" i="1"/>
  <c r="AA54" i="1"/>
  <c r="AE54" i="1" s="1"/>
  <c r="AB52" i="1"/>
  <c r="AA52" i="1"/>
  <c r="AE52" i="1" s="1"/>
  <c r="AB51" i="1"/>
  <c r="AA51" i="1"/>
  <c r="AE51" i="1" s="1"/>
  <c r="AB49" i="1"/>
  <c r="AA49" i="1"/>
  <c r="AE49" i="1" s="1"/>
  <c r="AB47" i="1"/>
  <c r="AA47" i="1"/>
  <c r="AE47" i="1" s="1"/>
  <c r="AB50" i="1"/>
  <c r="AA50" i="1"/>
  <c r="AE50" i="1" s="1"/>
  <c r="AB48" i="1"/>
  <c r="AA48" i="1"/>
  <c r="AE48" i="1" s="1"/>
  <c r="AB46" i="1"/>
  <c r="AA46" i="1"/>
  <c r="AE46" i="1" s="1"/>
  <c r="AB45" i="1"/>
  <c r="AA45" i="1"/>
  <c r="AE45" i="1" s="1"/>
  <c r="AB43" i="1"/>
  <c r="AA43" i="1"/>
  <c r="AE43" i="1" s="1"/>
  <c r="AB41" i="1"/>
  <c r="AA41" i="1"/>
  <c r="AE41" i="1" s="1"/>
  <c r="AB44" i="1"/>
  <c r="AA44" i="1"/>
  <c r="AE44" i="1" s="1"/>
  <c r="AB42" i="1"/>
  <c r="AA42" i="1"/>
  <c r="AE42" i="1" s="1"/>
  <c r="AB40" i="1"/>
  <c r="AA40" i="1"/>
  <c r="AE40" i="1" s="1"/>
  <c r="AB39" i="1"/>
  <c r="AA39" i="1"/>
  <c r="AE39" i="1" s="1"/>
  <c r="AB37" i="1"/>
  <c r="AA37" i="1"/>
  <c r="AE37" i="1" s="1"/>
  <c r="AB35" i="1"/>
  <c r="AA35" i="1"/>
  <c r="AE35" i="1" s="1"/>
  <c r="AA38" i="1"/>
  <c r="AE38" i="1" s="1"/>
  <c r="AB38" i="1"/>
  <c r="AA36" i="1"/>
  <c r="AE36" i="1" s="1"/>
  <c r="AB36" i="1"/>
  <c r="AB34" i="1"/>
  <c r="AA34" i="1"/>
  <c r="AE34" i="1" s="1"/>
  <c r="AB33" i="1"/>
  <c r="AA33" i="1"/>
  <c r="AE33" i="1" s="1"/>
  <c r="AB31" i="1"/>
  <c r="AA31" i="1"/>
  <c r="AE31" i="1" s="1"/>
  <c r="AB29" i="1"/>
  <c r="AA29" i="1"/>
  <c r="AE29" i="1" s="1"/>
  <c r="AB32" i="1"/>
  <c r="AA32" i="1"/>
  <c r="AE32" i="1" s="1"/>
  <c r="AB30" i="1"/>
  <c r="AA30" i="1"/>
  <c r="AE30" i="1" s="1"/>
  <c r="AB28" i="1"/>
  <c r="AA28" i="1"/>
  <c r="AE28" i="1" s="1"/>
  <c r="AB25" i="1"/>
  <c r="AA25" i="1"/>
  <c r="AE25" i="1" s="1"/>
  <c r="AB23" i="1"/>
  <c r="AA23" i="1"/>
  <c r="AE23" i="1" s="1"/>
  <c r="AB26" i="1"/>
  <c r="AA26" i="1"/>
  <c r="AE26" i="1" s="1"/>
  <c r="AB27" i="1"/>
  <c r="AA27" i="1"/>
  <c r="AE27" i="1" s="1"/>
  <c r="AB24" i="1"/>
  <c r="AA24" i="1"/>
  <c r="AE24" i="1" s="1"/>
  <c r="AB22" i="1"/>
  <c r="AA22" i="1"/>
  <c r="AE22" i="1" s="1"/>
  <c r="AB21" i="1"/>
  <c r="AA21" i="1"/>
  <c r="AE21" i="1" s="1"/>
  <c r="AB19" i="1"/>
  <c r="AA19" i="1"/>
  <c r="AE19" i="1" s="1"/>
  <c r="AB20" i="1"/>
  <c r="AA20" i="1"/>
  <c r="AE20" i="1" s="1"/>
  <c r="AB18" i="1"/>
  <c r="AA18" i="1"/>
  <c r="AE18" i="1" s="1"/>
  <c r="AB17" i="1"/>
  <c r="AA17" i="1"/>
  <c r="AE17" i="1" s="1"/>
  <c r="AB16" i="1"/>
  <c r="AA16" i="1"/>
  <c r="J10" i="1" l="1"/>
  <c r="J22" i="1"/>
  <c r="K22" i="1" s="1"/>
  <c r="J28" i="1"/>
  <c r="J34" i="1"/>
  <c r="K34" i="1" s="1"/>
  <c r="J40" i="1"/>
  <c r="K40" i="1" s="1"/>
  <c r="J46" i="1"/>
  <c r="K46" i="1" s="1"/>
  <c r="J52" i="1"/>
  <c r="K52" i="1" s="1"/>
  <c r="J58" i="1"/>
  <c r="K58" i="1" s="1"/>
  <c r="J64" i="1"/>
  <c r="K64" i="1" s="1"/>
  <c r="V12" i="1"/>
  <c r="V13" i="1"/>
  <c r="V14" i="1"/>
  <c r="V15" i="1"/>
  <c r="V11" i="1"/>
  <c r="M30" i="1"/>
  <c r="M43" i="1"/>
  <c r="M57" i="1"/>
  <c r="M23" i="1"/>
  <c r="M29" i="1"/>
  <c r="M31" i="1"/>
  <c r="M49" i="1"/>
  <c r="M67" i="1"/>
  <c r="M60" i="1"/>
  <c r="M38" i="1"/>
  <c r="M69" i="1"/>
  <c r="M45" i="1"/>
  <c r="M66" i="1"/>
  <c r="M55" i="1"/>
  <c r="M27" i="1"/>
  <c r="M39" i="1"/>
  <c r="M56" i="1"/>
  <c r="M47" i="1"/>
  <c r="M65" i="1"/>
  <c r="M33" i="1"/>
  <c r="M42" i="1"/>
  <c r="M51" i="1"/>
  <c r="M24" i="1"/>
  <c r="M26" i="1"/>
  <c r="M44" i="1"/>
  <c r="M63" i="1"/>
  <c r="M53" i="1"/>
  <c r="M32" i="1"/>
  <c r="M50" i="1"/>
  <c r="M59" i="1"/>
  <c r="M37" i="1"/>
  <c r="M41" i="1"/>
  <c r="M61" i="1"/>
  <c r="M36" i="1"/>
  <c r="M54" i="1"/>
  <c r="M35" i="1"/>
  <c r="M48" i="1"/>
  <c r="M68" i="1"/>
  <c r="M25" i="1"/>
  <c r="M62" i="1"/>
  <c r="K28" i="1" l="1"/>
  <c r="S11" i="1" l="1"/>
  <c r="F217" i="13"/>
  <c r="S12" i="1"/>
  <c r="S13" i="1"/>
  <c r="S14" i="1"/>
  <c r="S15" i="1"/>
  <c r="V10" i="1" l="1"/>
  <c r="S10" i="1"/>
  <c r="K10" i="1" l="1"/>
  <c r="M19" i="1"/>
  <c r="M21" i="1"/>
  <c r="M17" i="1"/>
  <c r="M20" i="1"/>
  <c r="M18" i="1"/>
  <c r="F221" i="13" l="1"/>
  <c r="F211" i="13"/>
  <c r="F212" i="13"/>
  <c r="F213" i="13"/>
  <c r="F214" i="13"/>
  <c r="F215" i="13"/>
  <c r="F216" i="13"/>
  <c r="F218" i="13"/>
  <c r="F219" i="13"/>
  <c r="F220" i="13"/>
  <c r="F210" i="13"/>
  <c r="M11" i="1"/>
  <c r="M15" i="1"/>
  <c r="M12" i="1"/>
  <c r="M13" i="1"/>
  <c r="M14"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6" i="1" l="1"/>
  <c r="K16"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10" i="1" l="1"/>
  <c r="AA10" i="1" s="1"/>
  <c r="AB10" i="1" l="1"/>
  <c r="Z11" i="1" l="1"/>
  <c r="Z12"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A12" i="1" l="1"/>
  <c r="AB12" i="1"/>
  <c r="Z13" i="1" s="1"/>
  <c r="AB11" i="1"/>
  <c r="AA11"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3" i="1" l="1"/>
  <c r="AB13" i="1"/>
  <c r="Z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B14" i="1" l="1"/>
  <c r="Z15" i="1" s="1"/>
  <c r="AA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5" i="1" l="1"/>
  <c r="AA15"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M22" i="1" l="1"/>
  <c r="N22" i="1" s="1"/>
  <c r="M28" i="1"/>
  <c r="N28" i="1" s="1"/>
  <c r="M34" i="1"/>
  <c r="N34" i="1" s="1"/>
  <c r="M40" i="1"/>
  <c r="N40" i="1" s="1"/>
  <c r="M46" i="1"/>
  <c r="N46" i="1" s="1"/>
  <c r="M52" i="1"/>
  <c r="N52" i="1" s="1"/>
  <c r="M58" i="1"/>
  <c r="N58" i="1" s="1"/>
  <c r="M64" i="1"/>
  <c r="N64" i="1" s="1"/>
  <c r="M16" i="1"/>
  <c r="N16"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6" i="1"/>
  <c r="R30" i="18"/>
  <c r="AD38" i="18"/>
  <c r="AD22" i="18"/>
  <c r="O16" i="1"/>
  <c r="AD16" i="1" s="1"/>
  <c r="AC16" i="1" s="1"/>
  <c r="AE16" i="1" s="1"/>
  <c r="L30" i="18"/>
  <c r="AJ14" i="18"/>
  <c r="L14" i="18"/>
  <c r="X38" i="18"/>
  <c r="L22" i="18"/>
  <c r="AD30" i="18"/>
  <c r="AJ22" i="18"/>
  <c r="X14" i="18"/>
  <c r="X6" i="18"/>
  <c r="R22" i="18"/>
  <c r="L6" i="18"/>
  <c r="X22" i="18"/>
  <c r="O64" i="1"/>
  <c r="P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58" i="1"/>
  <c r="P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52" i="1"/>
  <c r="O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46" i="1"/>
  <c r="P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40" i="1"/>
  <c r="O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34" i="1"/>
  <c r="O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O28" i="1"/>
  <c r="P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O22" i="1"/>
  <c r="P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46" i="19"/>
  <c r="AH26" i="19"/>
  <c r="AB6" i="19" l="1"/>
  <c r="V26" i="19"/>
  <c r="P46" i="19"/>
  <c r="J6" i="19"/>
  <c r="J46" i="19"/>
  <c r="P16" i="19"/>
  <c r="AE10" i="1"/>
  <c r="J16" i="19"/>
  <c r="AB46" i="19"/>
  <c r="AH16" i="19"/>
  <c r="J26" i="19"/>
  <c r="V16" i="19"/>
  <c r="AB16" i="19"/>
  <c r="V46" i="19"/>
  <c r="P6" i="19"/>
  <c r="J36" i="19"/>
  <c r="P26" i="19"/>
  <c r="AB26" i="19"/>
  <c r="AH6" i="19"/>
  <c r="V36" i="19"/>
  <c r="AH36" i="19"/>
  <c r="AB36" i="19"/>
  <c r="V6" i="19"/>
  <c r="AC11" i="1"/>
  <c r="AD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D15" i="1"/>
  <c r="AC15" i="1" s="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E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<sst xmlns="http://schemas.openxmlformats.org/spreadsheetml/2006/main" count="353" uniqueCount="237">
  <si>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</si>
  <si>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</si>
  <si>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</si>
  <si>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</si>
  <si>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</si>
  <si>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</si>
  <si>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</si>
  <si>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</si>
  <si>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</si>
  <si>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</si>
  <si>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</si>
  <si>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</si>
  <si>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</si>
  <si>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</si>
  <si>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</si>
  <si>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</si>
  <si>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</si>
  <si>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</si>
  <si>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</si>
  <si>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</si>
  <si>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</si>
  <si>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</si>
  <si>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</si>
  <si>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</si>
  <si>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</si>
  <si>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</si>
  <si>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</si>
  <si>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</si>
  <si>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</si>
  <si>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</si>
  <si>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</si>
  <si>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</si>
  <si>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</si>
  <si>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</si>
  <si>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</si>
  <si>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</si>
  <si>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</si>
  <si>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</si>
  <si>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</si>
  <si>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</si>
  <si>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</si>
  <si>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</si>
  <si>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</si>
  <si>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</si>
  <si>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</si>
  <si>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</si>
  <si>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</si>
  <si>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</si>
  <si>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</si>
  <si>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</si>
  <si>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</si>
  <si>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</si>
  <si>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</si>
  <si>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</si>
  <si>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</si>
  <si>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</si>
  <si>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</si>
  <si>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</si>
  <si>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</si>
  <si>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</si>
  <si>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</si>
  <si>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</si>
  <si>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</si>
  <si>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</si>
  <si>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</si>
  <si>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</si>
  <si>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</si>
  <si>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</si>
  <si>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</si>
  <si>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</si>
  <si>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</si>
  <si>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</si>
  <si>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</si>
  <si>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</si>
  <si>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</si>
  <si>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</si>
  <si>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</si>
  <si>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</si>
  <si>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</si>
  <si>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</si>
  <si>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</si>
  <si>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</si>
  <si>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</si>
  <si>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</si>
  <si>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</si>
  <si>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</si>
  <si>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</si>
  <si>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</si>
  <si>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</si>
  <si>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</si>
  <si>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</si>
  <si>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</si>
  <si>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</si>
  <si>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</si>
  <si>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</si>
  <si>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</si>
  <si>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</si>
  <si>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</si>
  <si>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</si>
  <si>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</si>
  <si>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</si>
  <si>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</si>
  <si>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</si>
  <si>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</si>
  <si>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</si>
  <si>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</si>
  <si>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</si>
  <si>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</si>
  <si>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</si>
  <si>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</si>
  <si>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</si>
  <si>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</si>
  <si>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</si>
  <si>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</si>
  <si>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</si>
  <si>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</si>
  <si>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</si>
  <si>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</si>
  <si>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</si>
  <si>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</si>
  <si>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</si>
  <si>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</si>
  <si>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</si>
  <si>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</si>
  <si>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</si>
  <si>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</si>
  <si>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</si>
  <si>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</si>
  <si>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</si>
  <si>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</si>
  <si>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</si>
  <si>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</si>
  <si>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</si>
  <si>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</si>
  <si>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</si>
  <si>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</si>
  <si>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</si>
  <si>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</si>
  <si>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</si>
  <si>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</si>
  <si>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</si>
  <si>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</si>
  <si>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</si>
  <si>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</si>
  <si>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</si>
  <si>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</si>
  <si>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</si>
  <si>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</si>
  <si>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</si>
  <si>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</si>
  <si>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</si>
  <si>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</si>
  <si>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</si>
  <si>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</si>
  <si>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</si>
  <si>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</si>
  <si>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</si>
  <si>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</si>
  <si>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</si>
  <si>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</si>
  <si>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</si>
  <si>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</si>
  <si>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</si>
  <si>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</si>
  <si>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</si>
  <si>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</si>
  <si>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</si>
  <si>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</si>
  <si>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</si>
  <si>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</si>
  <si>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</si>
  <si>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</si>
  <si>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</si>
  <si>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</si>
  <si>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</si>
  <si>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</si>
  <si>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</si>
  <si>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</si>
  <si>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</si>
  <si>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</si>
  <si>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</si>
  <si>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</si>
  <si>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</si>
  <si>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</si>
  <si>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</si>
  <si>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</si>
  <si>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</si>
  <si>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</si>
  <si>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</si>
  <si>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</si>
  <si>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</si>
  <si>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</si>
  <si>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</si>
  <si>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</si>
  <si>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</si>
  <si>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</si>
  <si>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</si>
  <si>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</si>
  <si>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</si>
  <si>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</si>
  <si>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</si>
  <si>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</si>
  <si>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</si>
  <si>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</si>
  <si>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</si>
  <si>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</si>
  <si>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</si>
  <si>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</si>
  <si>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</si>
  <si>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</si>
  <si>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</si>
  <si>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</si>
  <si>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</si>
  <si>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</si>
  <si>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</si>
  <si>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t>
  </si>
  <si>
    <t>Gestión Catastral</t>
  </si>
  <si>
    <t xml:space="preserve">Desactualización de la información catastral </t>
  </si>
  <si>
    <t>Caidas o fallas del sistema catastral utilizado en el proceso</t>
  </si>
  <si>
    <t>Cambio del personal Directivo Delegado para el desarrollo del proceso</t>
  </si>
  <si>
    <t>Insuficiencia del personal de planta y contratista para realizar las actividades propias de cada tramite</t>
  </si>
  <si>
    <t xml:space="preserve">* Inoportunidad en respeusta a la comunidad                         </t>
  </si>
  <si>
    <t>Posibilidad de afectación economica y reputacional, por la inoportunidad de respuesta a la comunidad, debido a la desactulización de la información catastral.</t>
  </si>
  <si>
    <t>PRESTAR SERVICIO COMO GESTOR Y OPERADOR CATASTRAL PARA EL MUNICIPIO DE IBAGUÉ.                              Desde la radicación de solicitud de tramites, productos y/o información, debido a que es posible que el sistema presente fallas y no permita realizar el radicado o que no se cuente con suficiente personal en ventanilla capacitado, incluyendo tambien la falta de personal tecnico/profesional para realizar el tramite, las posibles caidas del sistemas o las fallas o las demoras en las actuailizaciones de este, lo que no permite la oportuna realización del tramite, la terminacion de este con su acto administrativos y la demora en generación de productos.</t>
  </si>
  <si>
    <t>Se realiza por parte del despacho del alcalde al concejo municipal la solicitud de crear la Dirección de Catastro Multipropisito, para que luego se pueda delegar la operación o se pueda operar sin inconvenientes</t>
  </si>
  <si>
    <t>Anualmente se hace solicitud a talento humano de necesidades de personal para suplir los requerimiento para dar las respuestas oportunas a los usuarios</t>
  </si>
  <si>
    <t>Direccion de Planeación Multiproposito</t>
  </si>
  <si>
    <t>Secretaria de Planeación y Dirección de Planeación Multiproposito Delegada con las funciones del Gestor Catastral Multiproposito</t>
  </si>
  <si>
    <t>El Director realiza el reporte de las fallas y/o caidas de la plataforma, con todas las evidencias enviadas por el personal tecnico que opera la plataforma, para que  en el menor tiempo posible se realice el soporte necesario para que esta funcione correctamente. Se recomienda que en lo posible la adminstración municipal adquiera un software catastral porpio para tener control directo de este.</t>
  </si>
  <si>
    <t>Se realiza por parte de la Directora  de Planeación Multipropsito la solicitud de revisión, corrección y/o actualización de la plataforma cuando se presentan las fallas. Se deberá solicitar y/o recomendar la posibilidad de adquirir o realizar un sotfware catastral que sea de propiedad de la administración municipal para poder tener el soporte directamente y asi evitar los retrazos en las respuestas de tramites y prodcutos</t>
  </si>
  <si>
    <t>Se envia correo el 28 de junio, a la empresa realtix con todas las solicitudes y/o requerimientos para superear fallos en el sistema catastral Real Multicarto, además se firma el contrato N°2477 el pasado 03 de agosto de 2023 para el soporte y mantenimiento de la plataforma realmulticarto lo que permite el funcionamiento del centro de gestion catastral</t>
  </si>
  <si>
    <t xml:space="preserve">Alcaldía Municipal, con apoyo de la Secretaria de Planeación </t>
  </si>
  <si>
    <t>Se hace nombramiento de la Directora de planeación multiproposito, dirección aprobada por el concejo municipal,</t>
  </si>
  <si>
    <t>Se firma el decreto 1000-0390 y el acta de posesión 1400-178 del 28 de junio de 2023, en el cual se hace el nombramiento de la directora de planeación multiporposito</t>
  </si>
  <si>
    <t>Se realizaron encargos de funciones para el funcionamiento del servicio catastral, este año se realizaron los siguientes: decreto 0201 del 10 e abril de 2023, donde se encargan las funciones de la DOTS; hasta que se aprobara la dirección de planeación multiproposito solicitada por el despacho del alcalde al municipio de ibagué, hasta que el pasado 28 de junio se hace el nombramiento de la directora de planeación multiproposito</t>
  </si>
  <si>
    <t>INICIA DESDE LA ELABORACIÓN E IMPLEMENTACIÓN DE LOS PROCEDIMIENTOS DE FORMACIÓN Y ACTUALIZACIÓN CATASTRAL, ADMINISTRACIÓN Y CONSERVACIÓN DE LAS BASES DE DATOS QUE CONTIENEN INFORMACIÓN CATASTRAL HASTA LA REALIZAR LAS VERIFICACIONES DEL PROCESO</t>
  </si>
  <si>
    <t>Se aprueba en sesion del Concejo el pasado 24 de mayo de 2023, la creación de la Dirección de Catastro Multiproposito, Se hace solicitud de personal contratista que ayude a suplir las necesidades del centro catastral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</si>
</sst>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2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1" fillId="0" borderId="2"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27" fillId="0" borderId="2" xfId="0" applyNumberFormat="1"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4" fillId="0" borderId="75" xfId="0" applyFont="1" applyBorder="1" applyAlignment="1">
      <alignment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3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5" workbookViewId="0"/>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152" t="s">
        <v>155</v>
      </c>
      <c r="C2" s="153"/>
      <c r="D2" s="153"/>
      <c r="E2" s="153"/>
      <c r="F2" s="153"/>
      <c r="G2" s="153"/>
      <c r="H2" s="154"/>
    </row>
    <row r="3" spans="2:8" x14ac:dyDescent="0.3">
      <c r="B3" s="68"/>
      <c r="C3" s="69"/>
      <c r="D3" s="69"/>
      <c r="E3" s="69"/>
      <c r="F3" s="69"/>
      <c r="G3" s="69"/>
      <c r="H3" s="70"/>
    </row>
    <row r="4" spans="2:8" ht="63" customHeight="1" x14ac:dyDescent="0.3">
      <c r="B4" s="155" t="s">
        <v>198</v>
      </c>
      <c r="C4" s="156"/>
      <c r="D4" s="156"/>
      <c r="E4" s="156"/>
      <c r="F4" s="156"/>
      <c r="G4" s="156"/>
      <c r="H4" s="157"/>
    </row>
    <row r="5" spans="2:8" ht="63" customHeight="1" x14ac:dyDescent="0.3">
      <c r="B5" s="158"/>
      <c r="C5" s="159"/>
      <c r="D5" s="159"/>
      <c r="E5" s="159"/>
      <c r="F5" s="159"/>
      <c r="G5" s="159"/>
      <c r="H5" s="160"/>
    </row>
    <row r="6" spans="2:8" x14ac:dyDescent="0.3">
      <c r="B6" s="161" t="s">
        <v>153</v>
      </c>
      <c r="C6" s="162"/>
      <c r="D6" s="162"/>
      <c r="E6" s="162"/>
      <c r="F6" s="162"/>
      <c r="G6" s="162"/>
      <c r="H6" s="163"/>
    </row>
    <row r="7" spans="2:8" ht="95.25" customHeight="1" x14ac:dyDescent="0.3">
      <c r="B7" s="171" t="s">
        <v>158</v>
      </c>
      <c r="C7" s="172"/>
      <c r="D7" s="172"/>
      <c r="E7" s="172"/>
      <c r="F7" s="172"/>
      <c r="G7" s="172"/>
      <c r="H7" s="173"/>
    </row>
    <row r="8" spans="2:8" x14ac:dyDescent="0.3">
      <c r="B8" s="102"/>
      <c r="C8" s="103"/>
      <c r="D8" s="103"/>
      <c r="E8" s="103"/>
      <c r="F8" s="103"/>
      <c r="G8" s="103"/>
      <c r="H8" s="104"/>
    </row>
    <row r="9" spans="2:8" ht="16.5" customHeight="1" x14ac:dyDescent="0.3">
      <c r="B9" s="164" t="s">
        <v>191</v>
      </c>
      <c r="C9" s="165"/>
      <c r="D9" s="165"/>
      <c r="E9" s="165"/>
      <c r="F9" s="165"/>
      <c r="G9" s="165"/>
      <c r="H9" s="166"/>
    </row>
    <row r="10" spans="2:8" ht="44.25" customHeight="1" x14ac:dyDescent="0.3">
      <c r="B10" s="164"/>
      <c r="C10" s="165"/>
      <c r="D10" s="165"/>
      <c r="E10" s="165"/>
      <c r="F10" s="165"/>
      <c r="G10" s="165"/>
      <c r="H10" s="166"/>
    </row>
    <row r="11" spans="2:8" ht="15" thickBot="1" x14ac:dyDescent="0.35">
      <c r="B11" s="91"/>
      <c r="C11" s="94"/>
      <c r="D11" s="99"/>
      <c r="E11" s="100"/>
      <c r="F11" s="100"/>
      <c r="G11" s="101"/>
      <c r="H11" s="95"/>
    </row>
    <row r="12" spans="2:8" ht="15" thickTop="1" x14ac:dyDescent="0.3">
      <c r="B12" s="91"/>
      <c r="C12" s="167" t="s">
        <v>154</v>
      </c>
      <c r="D12" s="168"/>
      <c r="E12" s="169" t="s">
        <v>192</v>
      </c>
      <c r="F12" s="170"/>
      <c r="G12" s="94"/>
      <c r="H12" s="95"/>
    </row>
    <row r="13" spans="2:8" ht="35.25" customHeight="1" x14ac:dyDescent="0.3">
      <c r="B13" s="91"/>
      <c r="C13" s="174" t="s">
        <v>185</v>
      </c>
      <c r="D13" s="175"/>
      <c r="E13" s="176" t="s">
        <v>190</v>
      </c>
      <c r="F13" s="177"/>
      <c r="G13" s="94"/>
      <c r="H13" s="95"/>
    </row>
    <row r="14" spans="2:8" ht="17.25" customHeight="1" x14ac:dyDescent="0.3">
      <c r="B14" s="91"/>
      <c r="C14" s="174" t="s">
        <v>186</v>
      </c>
      <c r="D14" s="175"/>
      <c r="E14" s="176" t="s">
        <v>188</v>
      </c>
      <c r="F14" s="177"/>
      <c r="G14" s="94"/>
      <c r="H14" s="95"/>
    </row>
    <row r="15" spans="2:8" ht="19.5" customHeight="1" x14ac:dyDescent="0.3">
      <c r="B15" s="91"/>
      <c r="C15" s="174" t="s">
        <v>187</v>
      </c>
      <c r="D15" s="175"/>
      <c r="E15" s="176" t="s">
        <v>189</v>
      </c>
      <c r="F15" s="177"/>
      <c r="G15" s="94"/>
      <c r="H15" s="95"/>
    </row>
    <row r="16" spans="2:8" ht="69.75" customHeight="1" x14ac:dyDescent="0.3">
      <c r="B16" s="91"/>
      <c r="C16" s="174" t="s">
        <v>156</v>
      </c>
      <c r="D16" s="175"/>
      <c r="E16" s="176" t="s">
        <v>157</v>
      </c>
      <c r="F16" s="177"/>
      <c r="G16" s="94"/>
      <c r="H16" s="95"/>
    </row>
    <row r="17" spans="2:8" ht="34.5" customHeight="1" x14ac:dyDescent="0.3">
      <c r="B17" s="91"/>
      <c r="C17" s="178" t="s">
        <v>2</v>
      </c>
      <c r="D17" s="179"/>
      <c r="E17" s="180" t="s">
        <v>199</v>
      </c>
      <c r="F17" s="181"/>
      <c r="G17" s="94"/>
      <c r="H17" s="95"/>
    </row>
    <row r="18" spans="2:8" ht="27.75" customHeight="1" x14ac:dyDescent="0.3">
      <c r="B18" s="91"/>
      <c r="C18" s="178" t="s">
        <v>3</v>
      </c>
      <c r="D18" s="179"/>
      <c r="E18" s="180" t="s">
        <v>200</v>
      </c>
      <c r="F18" s="181"/>
      <c r="G18" s="94"/>
      <c r="H18" s="95"/>
    </row>
    <row r="19" spans="2:8" ht="28.5" customHeight="1" x14ac:dyDescent="0.3">
      <c r="B19" s="91"/>
      <c r="C19" s="178" t="s">
        <v>42</v>
      </c>
      <c r="D19" s="179"/>
      <c r="E19" s="180" t="s">
        <v>201</v>
      </c>
      <c r="F19" s="181"/>
      <c r="G19" s="94"/>
      <c r="H19" s="95"/>
    </row>
    <row r="20" spans="2:8" ht="72.75" customHeight="1" x14ac:dyDescent="0.3">
      <c r="B20" s="91"/>
      <c r="C20" s="178" t="s">
        <v>1</v>
      </c>
      <c r="D20" s="179"/>
      <c r="E20" s="180" t="s">
        <v>202</v>
      </c>
      <c r="F20" s="181"/>
      <c r="G20" s="94"/>
      <c r="H20" s="95"/>
    </row>
    <row r="21" spans="2:8" ht="64.5" customHeight="1" x14ac:dyDescent="0.3">
      <c r="B21" s="91"/>
      <c r="C21" s="178" t="s">
        <v>50</v>
      </c>
      <c r="D21" s="179"/>
      <c r="E21" s="180" t="s">
        <v>160</v>
      </c>
      <c r="F21" s="181"/>
      <c r="G21" s="94"/>
      <c r="H21" s="95"/>
    </row>
    <row r="22" spans="2:8" ht="71.25" customHeight="1" x14ac:dyDescent="0.3">
      <c r="B22" s="91"/>
      <c r="C22" s="178" t="s">
        <v>159</v>
      </c>
      <c r="D22" s="179"/>
      <c r="E22" s="180" t="s">
        <v>161</v>
      </c>
      <c r="F22" s="181"/>
      <c r="G22" s="94"/>
      <c r="H22" s="95"/>
    </row>
    <row r="23" spans="2:8" ht="55.5" customHeight="1" x14ac:dyDescent="0.3">
      <c r="B23" s="91"/>
      <c r="C23" s="185" t="s">
        <v>162</v>
      </c>
      <c r="D23" s="186"/>
      <c r="E23" s="180" t="s">
        <v>163</v>
      </c>
      <c r="F23" s="181"/>
      <c r="G23" s="94"/>
      <c r="H23" s="95"/>
    </row>
    <row r="24" spans="2:8" ht="42" customHeight="1" x14ac:dyDescent="0.3">
      <c r="B24" s="91"/>
      <c r="C24" s="185" t="s">
        <v>48</v>
      </c>
      <c r="D24" s="186"/>
      <c r="E24" s="180" t="s">
        <v>164</v>
      </c>
      <c r="F24" s="181"/>
      <c r="G24" s="94"/>
      <c r="H24" s="95"/>
    </row>
    <row r="25" spans="2:8" ht="59.25" customHeight="1" x14ac:dyDescent="0.3">
      <c r="B25" s="91"/>
      <c r="C25" s="185" t="s">
        <v>152</v>
      </c>
      <c r="D25" s="186"/>
      <c r="E25" s="180" t="s">
        <v>165</v>
      </c>
      <c r="F25" s="181"/>
      <c r="G25" s="94"/>
      <c r="H25" s="95"/>
    </row>
    <row r="26" spans="2:8" ht="23.25" customHeight="1" x14ac:dyDescent="0.3">
      <c r="B26" s="91"/>
      <c r="C26" s="185" t="s">
        <v>12</v>
      </c>
      <c r="D26" s="186"/>
      <c r="E26" s="180" t="s">
        <v>166</v>
      </c>
      <c r="F26" s="181"/>
      <c r="G26" s="94"/>
      <c r="H26" s="95"/>
    </row>
    <row r="27" spans="2:8" ht="30.75" customHeight="1" x14ac:dyDescent="0.3">
      <c r="B27" s="91"/>
      <c r="C27" s="185" t="s">
        <v>170</v>
      </c>
      <c r="D27" s="186"/>
      <c r="E27" s="180" t="s">
        <v>167</v>
      </c>
      <c r="F27" s="181"/>
      <c r="G27" s="94"/>
      <c r="H27" s="95"/>
    </row>
    <row r="28" spans="2:8" ht="35.25" customHeight="1" x14ac:dyDescent="0.3">
      <c r="B28" s="91"/>
      <c r="C28" s="185" t="s">
        <v>171</v>
      </c>
      <c r="D28" s="186"/>
      <c r="E28" s="180" t="s">
        <v>168</v>
      </c>
      <c r="F28" s="181"/>
      <c r="G28" s="94"/>
      <c r="H28" s="95"/>
    </row>
    <row r="29" spans="2:8" ht="33" customHeight="1" x14ac:dyDescent="0.3">
      <c r="B29" s="91"/>
      <c r="C29" s="185" t="s">
        <v>171</v>
      </c>
      <c r="D29" s="186"/>
      <c r="E29" s="180" t="s">
        <v>168</v>
      </c>
      <c r="F29" s="181"/>
      <c r="G29" s="94"/>
      <c r="H29" s="95"/>
    </row>
    <row r="30" spans="2:8" ht="30" customHeight="1" x14ac:dyDescent="0.3">
      <c r="B30" s="91"/>
      <c r="C30" s="185" t="s">
        <v>172</v>
      </c>
      <c r="D30" s="186"/>
      <c r="E30" s="180" t="s">
        <v>169</v>
      </c>
      <c r="F30" s="181"/>
      <c r="G30" s="94"/>
      <c r="H30" s="95"/>
    </row>
    <row r="31" spans="2:8" ht="35.25" customHeight="1" x14ac:dyDescent="0.3">
      <c r="B31" s="91"/>
      <c r="C31" s="185" t="s">
        <v>173</v>
      </c>
      <c r="D31" s="186"/>
      <c r="E31" s="180" t="s">
        <v>174</v>
      </c>
      <c r="F31" s="181"/>
      <c r="G31" s="94"/>
      <c r="H31" s="95"/>
    </row>
    <row r="32" spans="2:8" ht="31.5" customHeight="1" x14ac:dyDescent="0.3">
      <c r="B32" s="91"/>
      <c r="C32" s="185" t="s">
        <v>175</v>
      </c>
      <c r="D32" s="186"/>
      <c r="E32" s="180" t="s">
        <v>176</v>
      </c>
      <c r="F32" s="181"/>
      <c r="G32" s="94"/>
      <c r="H32" s="95"/>
    </row>
    <row r="33" spans="2:8" ht="35.25" customHeight="1" x14ac:dyDescent="0.3">
      <c r="B33" s="91"/>
      <c r="C33" s="185" t="s">
        <v>177</v>
      </c>
      <c r="D33" s="186"/>
      <c r="E33" s="180" t="s">
        <v>178</v>
      </c>
      <c r="F33" s="181"/>
      <c r="G33" s="94"/>
      <c r="H33" s="95"/>
    </row>
    <row r="34" spans="2:8" ht="59.25" customHeight="1" x14ac:dyDescent="0.3">
      <c r="B34" s="91"/>
      <c r="C34" s="185" t="s">
        <v>179</v>
      </c>
      <c r="D34" s="186"/>
      <c r="E34" s="180" t="s">
        <v>180</v>
      </c>
      <c r="F34" s="181"/>
      <c r="G34" s="94"/>
      <c r="H34" s="95"/>
    </row>
    <row r="35" spans="2:8" ht="29.25" customHeight="1" x14ac:dyDescent="0.3">
      <c r="B35" s="91"/>
      <c r="C35" s="185" t="s">
        <v>29</v>
      </c>
      <c r="D35" s="186"/>
      <c r="E35" s="180" t="s">
        <v>181</v>
      </c>
      <c r="F35" s="181"/>
      <c r="G35" s="94"/>
      <c r="H35" s="95"/>
    </row>
    <row r="36" spans="2:8" ht="82.5" customHeight="1" x14ac:dyDescent="0.3">
      <c r="B36" s="91"/>
      <c r="C36" s="185" t="s">
        <v>183</v>
      </c>
      <c r="D36" s="186"/>
      <c r="E36" s="180" t="s">
        <v>182</v>
      </c>
      <c r="F36" s="181"/>
      <c r="G36" s="94"/>
      <c r="H36" s="95"/>
    </row>
    <row r="37" spans="2:8" ht="46.5" customHeight="1" x14ac:dyDescent="0.3">
      <c r="B37" s="91"/>
      <c r="C37" s="185" t="s">
        <v>39</v>
      </c>
      <c r="D37" s="186"/>
      <c r="E37" s="180" t="s">
        <v>184</v>
      </c>
      <c r="F37" s="181"/>
      <c r="G37" s="94"/>
      <c r="H37" s="95"/>
    </row>
    <row r="38" spans="2:8" ht="6.75" customHeight="1" thickBot="1" x14ac:dyDescent="0.35">
      <c r="B38" s="91"/>
      <c r="C38" s="187"/>
      <c r="D38" s="188"/>
      <c r="E38" s="189"/>
      <c r="F38" s="190"/>
      <c r="G38" s="94"/>
      <c r="H38" s="95"/>
    </row>
    <row r="39" spans="2:8" ht="15" thickTop="1" x14ac:dyDescent="0.3">
      <c r="B39" s="91"/>
      <c r="C39" s="92"/>
      <c r="D39" s="92"/>
      <c r="E39" s="93"/>
      <c r="F39" s="93"/>
      <c r="G39" s="94"/>
      <c r="H39" s="95"/>
    </row>
    <row r="40" spans="2:8" ht="21" customHeight="1" x14ac:dyDescent="0.3">
      <c r="B40" s="182" t="s">
        <v>193</v>
      </c>
      <c r="C40" s="183"/>
      <c r="D40" s="183"/>
      <c r="E40" s="183"/>
      <c r="F40" s="183"/>
      <c r="G40" s="183"/>
      <c r="H40" s="184"/>
    </row>
    <row r="41" spans="2:8" ht="20.25" customHeight="1" x14ac:dyDescent="0.3">
      <c r="B41" s="182" t="s">
        <v>194</v>
      </c>
      <c r="C41" s="183"/>
      <c r="D41" s="183"/>
      <c r="E41" s="183"/>
      <c r="F41" s="183"/>
      <c r="G41" s="183"/>
      <c r="H41" s="184"/>
    </row>
    <row r="42" spans="2:8" ht="20.25" customHeight="1" x14ac:dyDescent="0.3">
      <c r="B42" s="182" t="s">
        <v>195</v>
      </c>
      <c r="C42" s="183"/>
      <c r="D42" s="183"/>
      <c r="E42" s="183"/>
      <c r="F42" s="183"/>
      <c r="G42" s="183"/>
      <c r="H42" s="184"/>
    </row>
    <row r="43" spans="2:8" ht="20.25" customHeight="1" x14ac:dyDescent="0.3">
      <c r="B43" s="182" t="s">
        <v>196</v>
      </c>
      <c r="C43" s="183"/>
      <c r="D43" s="183"/>
      <c r="E43" s="183"/>
      <c r="F43" s="183"/>
      <c r="G43" s="183"/>
      <c r="H43" s="184"/>
    </row>
    <row r="44" spans="2:8" x14ac:dyDescent="0.3">
      <c r="B44" s="182" t="s">
        <v>197</v>
      </c>
      <c r="C44" s="183"/>
      <c r="D44" s="183"/>
      <c r="E44" s="183"/>
      <c r="F44" s="183"/>
      <c r="G44" s="183"/>
      <c r="H44" s="184"/>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72"/>
  <sheetViews>
    <sheetView tabSelected="1" topLeftCell="AA8" zoomScale="85" zoomScaleNormal="85" workbookViewId="0">
      <selection activeCell="AM9" sqref="AM9"/>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7" width="35" style="1" customWidth="1"/>
    <col min="8" max="8" width="18.109375" style="5" customWidth="1"/>
    <col min="9" max="9" width="14.33203125" style="1" customWidth="1"/>
    <col min="10" max="10" width="12" style="1" customWidth="1"/>
    <col min="11" max="11" width="6.33203125" style="1" bestFit="1" customWidth="1"/>
    <col min="12" max="12" width="24.44140625" style="1" bestFit="1" customWidth="1"/>
    <col min="13" max="13" width="28.33203125" style="1" hidden="1" customWidth="1"/>
    <col min="14" max="14" width="17.5546875" style="1" customWidth="1"/>
    <col min="15" max="15" width="6.33203125" style="1" bestFit="1" customWidth="1"/>
    <col min="16" max="16" width="16" style="1" customWidth="1"/>
    <col min="17" max="17" width="5.88671875" style="1" customWidth="1"/>
    <col min="18" max="18" width="55" style="1" customWidth="1"/>
    <col min="19" max="19" width="15.109375" style="1" bestFit="1" customWidth="1"/>
    <col min="20" max="20" width="6.88671875" style="1" customWidth="1"/>
    <col min="21" max="21" width="5" style="1" customWidth="1"/>
    <col min="22" max="22" width="5.5546875" style="1" customWidth="1"/>
    <col min="23" max="23" width="7.109375" style="1" customWidth="1"/>
    <col min="24" max="24" width="6.6640625" style="1" customWidth="1"/>
    <col min="25" max="25" width="4.6640625" style="1" bestFit="1" customWidth="1"/>
    <col min="26" max="26" width="38.5546875" style="1" bestFit="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35.33203125" style="3" customWidth="1"/>
    <col min="34" max="34" width="28.44140625" style="3" customWidth="1"/>
    <col min="35" max="35" width="16.88671875" style="3" customWidth="1"/>
    <col min="36" max="36" width="14.88671875" style="3" customWidth="1"/>
    <col min="37" max="37" width="26.109375" style="3" customWidth="1"/>
    <col min="38" max="38" width="21" style="3" customWidth="1"/>
    <col min="39" max="16384" width="11.44140625" style="1"/>
  </cols>
  <sheetData>
    <row r="1" spans="1:70" ht="16.5" customHeight="1" x14ac:dyDescent="0.25">
      <c r="A1" s="269" t="s">
        <v>139</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1"/>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25">
      <c r="A2" s="272"/>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4"/>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25">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26"/>
      <c r="AH3" s="26"/>
      <c r="AI3" s="26"/>
      <c r="AJ3" s="26"/>
      <c r="AK3" s="26"/>
      <c r="AL3" s="26"/>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25">
      <c r="A4" s="232" t="s">
        <v>43</v>
      </c>
      <c r="B4" s="233"/>
      <c r="C4" s="267" t="s">
        <v>216</v>
      </c>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25">
      <c r="A5" s="232" t="s">
        <v>125</v>
      </c>
      <c r="B5" s="233"/>
      <c r="C5" s="268" t="s">
        <v>215</v>
      </c>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25">
      <c r="A6" s="232" t="s">
        <v>44</v>
      </c>
      <c r="B6" s="233"/>
      <c r="C6" s="268" t="s">
        <v>235</v>
      </c>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25">
      <c r="A7" s="275" t="s">
        <v>134</v>
      </c>
      <c r="B7" s="276"/>
      <c r="C7" s="277"/>
      <c r="D7" s="277"/>
      <c r="E7" s="277"/>
      <c r="F7" s="277"/>
      <c r="G7" s="277"/>
      <c r="H7" s="277"/>
      <c r="I7" s="278"/>
      <c r="J7" s="224" t="s">
        <v>135</v>
      </c>
      <c r="K7" s="277"/>
      <c r="L7" s="277"/>
      <c r="M7" s="277"/>
      <c r="N7" s="277"/>
      <c r="O7" s="277"/>
      <c r="P7" s="278"/>
      <c r="Q7" s="224" t="s">
        <v>136</v>
      </c>
      <c r="R7" s="277"/>
      <c r="S7" s="277"/>
      <c r="T7" s="277"/>
      <c r="U7" s="277"/>
      <c r="V7" s="277"/>
      <c r="W7" s="277"/>
      <c r="X7" s="277"/>
      <c r="Y7" s="278"/>
      <c r="Z7" s="224" t="s">
        <v>137</v>
      </c>
      <c r="AA7" s="277"/>
      <c r="AB7" s="277"/>
      <c r="AC7" s="277"/>
      <c r="AD7" s="277"/>
      <c r="AE7" s="277"/>
      <c r="AF7" s="278"/>
      <c r="AG7" s="224" t="s">
        <v>34</v>
      </c>
      <c r="AH7" s="277"/>
      <c r="AI7" s="277"/>
      <c r="AJ7" s="277"/>
      <c r="AK7" s="277"/>
      <c r="AL7" s="27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25">
      <c r="A8" s="234" t="s">
        <v>0</v>
      </c>
      <c r="B8" s="226" t="s">
        <v>2</v>
      </c>
      <c r="C8" s="220" t="s">
        <v>3</v>
      </c>
      <c r="D8" s="220" t="s">
        <v>42</v>
      </c>
      <c r="E8" s="227" t="s">
        <v>203</v>
      </c>
      <c r="F8" s="236" t="s">
        <v>1</v>
      </c>
      <c r="G8" s="133"/>
      <c r="H8" s="227" t="s">
        <v>50</v>
      </c>
      <c r="I8" s="220" t="s">
        <v>130</v>
      </c>
      <c r="J8" s="222" t="s">
        <v>33</v>
      </c>
      <c r="K8" s="223" t="s">
        <v>5</v>
      </c>
      <c r="L8" s="227" t="s">
        <v>86</v>
      </c>
      <c r="M8" s="227" t="s">
        <v>91</v>
      </c>
      <c r="N8" s="225" t="s">
        <v>45</v>
      </c>
      <c r="O8" s="223" t="s">
        <v>5</v>
      </c>
      <c r="P8" s="220" t="s">
        <v>48</v>
      </c>
      <c r="Q8" s="238" t="s">
        <v>11</v>
      </c>
      <c r="R8" s="221" t="s">
        <v>152</v>
      </c>
      <c r="S8" s="227" t="s">
        <v>12</v>
      </c>
      <c r="T8" s="221" t="s">
        <v>8</v>
      </c>
      <c r="U8" s="221"/>
      <c r="V8" s="221"/>
      <c r="W8" s="221"/>
      <c r="X8" s="221"/>
      <c r="Y8" s="221"/>
      <c r="Z8" s="219" t="s">
        <v>133</v>
      </c>
      <c r="AA8" s="219" t="s">
        <v>46</v>
      </c>
      <c r="AB8" s="219" t="s">
        <v>5</v>
      </c>
      <c r="AC8" s="219" t="s">
        <v>47</v>
      </c>
      <c r="AD8" s="219" t="s">
        <v>5</v>
      </c>
      <c r="AE8" s="219" t="s">
        <v>49</v>
      </c>
      <c r="AF8" s="238" t="s">
        <v>29</v>
      </c>
      <c r="AG8" s="221" t="s">
        <v>34</v>
      </c>
      <c r="AH8" s="221" t="s">
        <v>35</v>
      </c>
      <c r="AI8" s="221" t="s">
        <v>36</v>
      </c>
      <c r="AJ8" s="221" t="s">
        <v>38</v>
      </c>
      <c r="AK8" s="221" t="s">
        <v>37</v>
      </c>
      <c r="AL8" s="221"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3">
      <c r="A9" s="235"/>
      <c r="B9" s="226"/>
      <c r="C9" s="221"/>
      <c r="D9" s="221"/>
      <c r="E9" s="222"/>
      <c r="F9" s="237"/>
      <c r="G9" s="133" t="s">
        <v>204</v>
      </c>
      <c r="H9" s="220"/>
      <c r="I9" s="221"/>
      <c r="J9" s="220"/>
      <c r="K9" s="224"/>
      <c r="L9" s="220"/>
      <c r="M9" s="220"/>
      <c r="N9" s="224"/>
      <c r="O9" s="224"/>
      <c r="P9" s="221"/>
      <c r="Q9" s="239"/>
      <c r="R9" s="221"/>
      <c r="S9" s="220"/>
      <c r="T9" s="7" t="s">
        <v>13</v>
      </c>
      <c r="U9" s="7" t="s">
        <v>17</v>
      </c>
      <c r="V9" s="7" t="s">
        <v>28</v>
      </c>
      <c r="W9" s="7" t="s">
        <v>18</v>
      </c>
      <c r="X9" s="7" t="s">
        <v>21</v>
      </c>
      <c r="Y9" s="7" t="s">
        <v>24</v>
      </c>
      <c r="Z9" s="219"/>
      <c r="AA9" s="219"/>
      <c r="AB9" s="219"/>
      <c r="AC9" s="219"/>
      <c r="AD9" s="219"/>
      <c r="AE9" s="219"/>
      <c r="AF9" s="239"/>
      <c r="AG9" s="221"/>
      <c r="AH9" s="221"/>
      <c r="AI9" s="221"/>
      <c r="AJ9" s="221"/>
      <c r="AK9" s="221"/>
      <c r="AL9" s="221"/>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45.94999999999999" customHeight="1" x14ac:dyDescent="0.3">
      <c r="A10" s="200">
        <v>1</v>
      </c>
      <c r="B10" s="203" t="s">
        <v>129</v>
      </c>
      <c r="C10" s="203" t="s">
        <v>221</v>
      </c>
      <c r="D10" s="206" t="s">
        <v>217</v>
      </c>
      <c r="E10" s="134" t="s">
        <v>220</v>
      </c>
      <c r="F10" s="209" t="s">
        <v>222</v>
      </c>
      <c r="G10" s="209" t="s">
        <v>223</v>
      </c>
      <c r="H10" s="191" t="s">
        <v>118</v>
      </c>
      <c r="I10" s="194">
        <v>240</v>
      </c>
      <c r="J10" s="197" t="str">
        <f>IF(I10&lt;=0,"",IF(I10&lt;=2,"Muy Baja",IF(I10&lt;=24,"Baja",IF(I10&lt;=500,"Media",IF(I10&lt;=5000,"Alta","Muy Alta")))))</f>
        <v>Media</v>
      </c>
      <c r="K10" s="213">
        <f>IF(J10="","",IF(J10="Muy Baja",0.2,IF(J10="Baja",0.4,IF(J10="Media",0.6,IF(J10="Alta",0.8,IF(J10="Muy Alta",1,))))))</f>
        <v>0.6</v>
      </c>
      <c r="L10" s="216" t="s">
        <v>146</v>
      </c>
      <c r="M10" s="213" t="str">
        <f>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197" t="str">
        <f>IF(OR(M10='Tabla Impacto'!$C$11,M10='Tabla Impacto'!$D$11),"Leve",IF(OR(M10='Tabla Impacto'!$C$12,M10='Tabla Impacto'!$D$12),"Menor",IF(OR(M10='Tabla Impacto'!$C$13,M10='Tabla Impacto'!$D$13),"Moderado",IF(OR(M10='Tabla Impacto'!$C$14,M10='Tabla Impacto'!$D$14),"Mayor",IF(OR(M10='Tabla Impacto'!$C$15,M10='Tabla Impacto'!$D$15),"Catastrófico","")))))</f>
        <v>Mayor</v>
      </c>
      <c r="O10" s="213">
        <f>IF(N10="","",IF(N10="Leve",0.2,IF(N10="Menor",0.4,IF(N10="Moderado",0.6,IF(N10="Mayor",0.8,IF(N10="Catastrófico",1,))))))</f>
        <v>0.8</v>
      </c>
      <c r="P10" s="210" t="str">
        <f>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5">
        <v>1</v>
      </c>
      <c r="R10" s="112" t="s">
        <v>224</v>
      </c>
      <c r="S10" s="107" t="str">
        <f>IF(OR(T10="Preventivo",T10="Detectivo"),"Probabilidad",IF(T10="Correctivo","Impacto",""))</f>
        <v>Impacto</v>
      </c>
      <c r="T10" s="110" t="s">
        <v>16</v>
      </c>
      <c r="U10" s="110" t="s">
        <v>9</v>
      </c>
      <c r="V10" s="111" t="str">
        <f>IF(AND(T10="Preventivo",U10="Automático"),"50%",IF(AND(T10="Preventivo",U10="Manual"),"40%",IF(AND(T10="Detectivo",U10="Automático"),"40%",IF(AND(T10="Detectivo",U10="Manual"),"30%",IF(AND(T10="Correctivo",U10="Automático"),"35%",IF(AND(T10="Correctivo",U10="Manual"),"25%",""))))))</f>
        <v>25%</v>
      </c>
      <c r="W10" s="110" t="s">
        <v>19</v>
      </c>
      <c r="X10" s="110" t="s">
        <v>23</v>
      </c>
      <c r="Y10" s="110" t="s">
        <v>114</v>
      </c>
      <c r="Z10" s="108">
        <f>IFERROR(IF(S10="Probabilidad",(K10-(+K10*V10)),IF(S10="Impacto",K10,"")),"")</f>
        <v>0.6</v>
      </c>
      <c r="AA10" s="113" t="str">
        <f>IFERROR(IF(Z10="","",IF(Z10&lt;=0.2,"Muy Baja",IF(Z10&lt;=0.4,"Baja",IF(Z10&lt;=0.6,"Media",IF(Z10&lt;=0.8,"Alta","Muy Alta"))))),"")</f>
        <v>Media</v>
      </c>
      <c r="AB10" s="114">
        <f>+Z10</f>
        <v>0.6</v>
      </c>
      <c r="AC10" s="113" t="str">
        <f>IFERROR(IF(AD10="","",IF(AD10&lt;=0.2,"Leve",IF(AD10&lt;=0.4,"Menor",IF(AD10&lt;=0.6,"Moderado",IF(AD10&lt;=0.8,"Mayor","Catastrófico"))))),"")</f>
        <v>Moderado</v>
      </c>
      <c r="AD10" s="114">
        <f>IFERROR(IF(S10="Impacto",(O10-(+O10*V10)),IF(S10="Probabilidad",O10,"")),"")</f>
        <v>0.60000000000000009</v>
      </c>
      <c r="AE10" s="115"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116" t="s">
        <v>131</v>
      </c>
      <c r="AG10" s="146" t="s">
        <v>225</v>
      </c>
      <c r="AH10" s="146" t="s">
        <v>227</v>
      </c>
      <c r="AI10" s="148">
        <v>44927</v>
      </c>
      <c r="AJ10" s="148">
        <v>45168</v>
      </c>
      <c r="AK10" s="146" t="s">
        <v>236</v>
      </c>
      <c r="AL10" s="150" t="s">
        <v>41</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71.75" customHeight="1" x14ac:dyDescent="0.25">
      <c r="A11" s="201"/>
      <c r="B11" s="204"/>
      <c r="C11" s="204"/>
      <c r="D11" s="207"/>
      <c r="E11" s="134" t="s">
        <v>218</v>
      </c>
      <c r="F11" s="209"/>
      <c r="G11" s="209"/>
      <c r="H11" s="192"/>
      <c r="I11" s="195"/>
      <c r="J11" s="198"/>
      <c r="K11" s="214"/>
      <c r="L11" s="217"/>
      <c r="M11" s="214">
        <f>IF(NOT(ISERROR(MATCH(L11,_xlfn.ANCHORARRAY(F22),0))),K24&amp;"Por favor no seleccionar los criterios de impacto",L11)</f>
        <v>0</v>
      </c>
      <c r="N11" s="198"/>
      <c r="O11" s="214"/>
      <c r="P11" s="211"/>
      <c r="Q11" s="105">
        <v>2</v>
      </c>
      <c r="R11" s="106" t="s">
        <v>228</v>
      </c>
      <c r="S11" s="107" t="str">
        <f>IF(OR(T11="Preventivo",T11="Detectivo"),"Probabilidad",IF(T11="Correctivo","Impacto",""))</f>
        <v>Impacto</v>
      </c>
      <c r="T11" s="110" t="s">
        <v>16</v>
      </c>
      <c r="U11" s="110" t="s">
        <v>9</v>
      </c>
      <c r="V11" s="111" t="str">
        <f t="shared" ref="V11" si="0">IF(AND(T11="Preventivo",U11="Automático"),"50%",IF(AND(T11="Preventivo",U11="Manual"),"40%",IF(AND(T11="Detectivo",U11="Automático"),"40%",IF(AND(T11="Detectivo",U11="Manual"),"30%",IF(AND(T11="Correctivo",U11="Automático"),"35%",IF(AND(T11="Correctivo",U11="Manual"),"25%",""))))))</f>
        <v>25%</v>
      </c>
      <c r="W11" s="110" t="s">
        <v>19</v>
      </c>
      <c r="X11" s="110" t="s">
        <v>22</v>
      </c>
      <c r="Y11" s="110" t="s">
        <v>114</v>
      </c>
      <c r="Z11" s="108">
        <f>IFERROR(IF(AND(S10="Probabilidad",S11="Probabilidad"),(AB10-(+AB10*V11)),IF(AND(S10="Impacto",S11="Probabilidad"),(K10-(+K10*V11)),IF(S11="Impacto",AB10,""))),"")</f>
        <v>0.6</v>
      </c>
      <c r="AA11" s="113" t="str">
        <f t="shared" ref="AA11" si="1">IFERROR(IF(Z11="","",IF(Z11&lt;=0.2,"Muy Baja",IF(Z11&lt;=0.4,"Baja",IF(Z11&lt;=0.6,"Media",IF(Z11&lt;=0.8,"Alta","Muy Alta"))))),"")</f>
        <v>Media</v>
      </c>
      <c r="AB11" s="114">
        <f>+Z11</f>
        <v>0.6</v>
      </c>
      <c r="AC11" s="113" t="str">
        <f t="shared" ref="AC11" si="2">IFERROR(IF(AD11="","",IF(AD11&lt;=0.2,"Leve",IF(AD11&lt;=0.4,"Menor",IF(AD11&lt;=0.6,"Moderado",IF(AD11&lt;=0.8,"Mayor","Catastrófico"))))),"")</f>
        <v>Moderado</v>
      </c>
      <c r="AD11" s="114">
        <f>IFERROR(IF(AND(S10="Impacto",S11="Impacto"),(AD10-(+AD10*V11)),IF(AND(S10="Probabilidad",S11="Impacto"),(O10-(+O10*V11)),IF(S11="Probabilidad",AD10,""))),"")</f>
        <v>0.45000000000000007</v>
      </c>
      <c r="AE11" s="115" t="str">
        <f t="shared" ref="AE1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116" t="s">
        <v>131</v>
      </c>
      <c r="AG11" s="145" t="s">
        <v>229</v>
      </c>
      <c r="AH11" s="145" t="s">
        <v>226</v>
      </c>
      <c r="AI11" s="149">
        <v>44927</v>
      </c>
      <c r="AJ11" s="149">
        <v>45168</v>
      </c>
      <c r="AK11" s="145" t="s">
        <v>230</v>
      </c>
      <c r="AL11" s="147" t="s">
        <v>41</v>
      </c>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17" customHeight="1" x14ac:dyDescent="0.25">
      <c r="A12" s="201"/>
      <c r="B12" s="204"/>
      <c r="C12" s="204"/>
      <c r="D12" s="207"/>
      <c r="E12" s="151" t="s">
        <v>219</v>
      </c>
      <c r="F12" s="209"/>
      <c r="G12" s="209"/>
      <c r="H12" s="192"/>
      <c r="I12" s="195"/>
      <c r="J12" s="198"/>
      <c r="K12" s="214"/>
      <c r="L12" s="217"/>
      <c r="M12" s="214">
        <f>IF(NOT(ISERROR(MATCH(L12,_xlfn.ANCHORARRAY(F23),0))),K25&amp;"Por favor no seleccionar los criterios de impacto",L12)</f>
        <v>0</v>
      </c>
      <c r="N12" s="198"/>
      <c r="O12" s="214"/>
      <c r="P12" s="211"/>
      <c r="Q12" s="105">
        <v>3</v>
      </c>
      <c r="R12" s="106" t="s">
        <v>234</v>
      </c>
      <c r="S12" s="107" t="str">
        <f t="shared" ref="S12:S15" si="4">IF(OR(T12="Preventivo",T12="Detectivo"),"Probabilidad",IF(T12="Correctivo","Impacto",""))</f>
        <v>Probabilidad</v>
      </c>
      <c r="T12" s="110" t="s">
        <v>15</v>
      </c>
      <c r="U12" s="110" t="s">
        <v>9</v>
      </c>
      <c r="V12" s="111" t="str">
        <f t="shared" ref="V12:V15" si="5">IF(AND(T12="Preventivo",U12="Automático"),"50%",IF(AND(T12="Preventivo",U12="Manual"),"40%",IF(AND(T12="Detectivo",U12="Automático"),"40%",IF(AND(T12="Detectivo",U12="Manual"),"30%",IF(AND(T12="Correctivo",U12="Automático"),"35%",IF(AND(T12="Correctivo",U12="Manual"),"25%",""))))))</f>
        <v>30%</v>
      </c>
      <c r="W12" s="110" t="s">
        <v>19</v>
      </c>
      <c r="X12" s="110" t="s">
        <v>23</v>
      </c>
      <c r="Y12" s="110" t="s">
        <v>114</v>
      </c>
      <c r="Z12" s="108">
        <f>IFERROR(IF(AND(S11="Probabilidad",S12="Probabilidad"),(AB11-(+AB11*V12)),IF(AND(S11="Impacto",S12="Probabilidad"),(AB10-(+AB10*V12)),IF(S12="Impacto",AB11,""))),"")</f>
        <v>0.42</v>
      </c>
      <c r="AA12" s="113" t="str">
        <f t="shared" ref="AA12:AA15" si="6">IFERROR(IF(Z12="","",IF(Z12&lt;=0.2,"Muy Baja",IF(Z12&lt;=0.4,"Baja",IF(Z12&lt;=0.6,"Media",IF(Z12&lt;=0.8,"Alta","Muy Alta"))))),"")</f>
        <v>Media</v>
      </c>
      <c r="AB12" s="114">
        <f t="shared" ref="AB12:AB15" si="7">+Z12</f>
        <v>0.42</v>
      </c>
      <c r="AC12" s="113" t="str">
        <f t="shared" ref="AC12:AC15" si="8">IFERROR(IF(AD12="","",IF(AD12&lt;=0.2,"Leve",IF(AD12&lt;=0.4,"Menor",IF(AD12&lt;=0.6,"Moderado",IF(AD12&lt;=0.8,"Mayor","Catastrófico"))))),"")</f>
        <v>Moderado</v>
      </c>
      <c r="AD12" s="114">
        <f t="shared" ref="AD12:AD15" si="9">IFERROR(IF(AND(S11="Impacto",S12="Impacto"),(AD11-(+AD11*V12)),IF(AND(S11="Probabilidad",S12="Impacto"),(AD10-(+AD10*V12)),IF(S12="Probabilidad",AD11,""))),"")</f>
        <v>0.45000000000000007</v>
      </c>
      <c r="AE12" s="115" t="str">
        <f t="shared" ref="AE12:AE15"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116" t="s">
        <v>131</v>
      </c>
      <c r="AG12" s="145" t="s">
        <v>232</v>
      </c>
      <c r="AH12" s="145" t="s">
        <v>231</v>
      </c>
      <c r="AI12" s="149">
        <v>44927</v>
      </c>
      <c r="AJ12" s="149">
        <v>45168</v>
      </c>
      <c r="AK12" s="145" t="s">
        <v>233</v>
      </c>
      <c r="AL12" s="147" t="s">
        <v>41</v>
      </c>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46.5" customHeight="1" x14ac:dyDescent="0.25">
      <c r="A13" s="201"/>
      <c r="B13" s="204"/>
      <c r="C13" s="204"/>
      <c r="D13" s="207"/>
      <c r="E13" s="135"/>
      <c r="F13" s="209"/>
      <c r="G13" s="209"/>
      <c r="H13" s="192"/>
      <c r="I13" s="195"/>
      <c r="J13" s="198"/>
      <c r="K13" s="214"/>
      <c r="L13" s="217"/>
      <c r="M13" s="214">
        <f>IF(NOT(ISERROR(MATCH(L13,_xlfn.ANCHORARRAY(F24),0))),K26&amp;"Por favor no seleccionar los criterios de impacto",L13)</f>
        <v>0</v>
      </c>
      <c r="N13" s="198"/>
      <c r="O13" s="214"/>
      <c r="P13" s="211"/>
      <c r="Q13" s="105">
        <v>4</v>
      </c>
      <c r="R13" s="106"/>
      <c r="S13" s="107" t="str">
        <f t="shared" si="4"/>
        <v/>
      </c>
      <c r="T13" s="110"/>
      <c r="U13" s="110"/>
      <c r="V13" s="111" t="str">
        <f t="shared" si="5"/>
        <v/>
      </c>
      <c r="W13" s="110"/>
      <c r="X13" s="110"/>
      <c r="Y13" s="110"/>
      <c r="Z13" s="108" t="str">
        <f t="shared" ref="Z13:Z15" si="11">IFERROR(IF(AND(S12="Probabilidad",S13="Probabilidad"),(AB12-(+AB12*V13)),IF(AND(S12="Impacto",S13="Probabilidad"),(AB11-(+AB11*V13)),IF(S13="Impacto",AB12,""))),"")</f>
        <v/>
      </c>
      <c r="AA13" s="113" t="str">
        <f t="shared" si="6"/>
        <v/>
      </c>
      <c r="AB13" s="114" t="str">
        <f t="shared" si="7"/>
        <v/>
      </c>
      <c r="AC13" s="113" t="str">
        <f t="shared" si="8"/>
        <v/>
      </c>
      <c r="AD13" s="114" t="str">
        <f t="shared" si="9"/>
        <v/>
      </c>
      <c r="AE13" s="115" t="str">
        <f t="shared" si="10"/>
        <v/>
      </c>
      <c r="AF13" s="116"/>
      <c r="AG13" s="145"/>
      <c r="AH13" s="147"/>
      <c r="AI13" s="149"/>
      <c r="AJ13" s="149"/>
      <c r="AK13" s="145"/>
      <c r="AL13" s="147"/>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48.75" customHeight="1" x14ac:dyDescent="0.25">
      <c r="A14" s="201"/>
      <c r="B14" s="204"/>
      <c r="C14" s="204"/>
      <c r="D14" s="207"/>
      <c r="E14" s="135"/>
      <c r="F14" s="209"/>
      <c r="G14" s="209"/>
      <c r="H14" s="192"/>
      <c r="I14" s="195"/>
      <c r="J14" s="198"/>
      <c r="K14" s="214"/>
      <c r="L14" s="217"/>
      <c r="M14" s="214">
        <f>IF(NOT(ISERROR(MATCH(L14,_xlfn.ANCHORARRAY(F25),0))),K27&amp;"Por favor no seleccionar los criterios de impacto",L14)</f>
        <v>0</v>
      </c>
      <c r="N14" s="198"/>
      <c r="O14" s="214"/>
      <c r="P14" s="211"/>
      <c r="Q14" s="105">
        <v>5</v>
      </c>
      <c r="R14" s="106"/>
      <c r="S14" s="107" t="str">
        <f t="shared" si="4"/>
        <v/>
      </c>
      <c r="T14" s="110"/>
      <c r="U14" s="110"/>
      <c r="V14" s="111" t="str">
        <f t="shared" si="5"/>
        <v/>
      </c>
      <c r="W14" s="110"/>
      <c r="X14" s="110"/>
      <c r="Y14" s="110"/>
      <c r="Z14" s="108" t="str">
        <f t="shared" si="11"/>
        <v/>
      </c>
      <c r="AA14" s="113" t="str">
        <f t="shared" si="6"/>
        <v/>
      </c>
      <c r="AB14" s="114" t="str">
        <f t="shared" si="7"/>
        <v/>
      </c>
      <c r="AC14" s="113" t="str">
        <f t="shared" si="8"/>
        <v/>
      </c>
      <c r="AD14" s="114" t="str">
        <f t="shared" si="9"/>
        <v/>
      </c>
      <c r="AE14" s="115" t="str">
        <f t="shared" si="10"/>
        <v/>
      </c>
      <c r="AF14" s="116"/>
      <c r="AG14" s="145"/>
      <c r="AH14" s="147"/>
      <c r="AI14" s="149"/>
      <c r="AJ14" s="149"/>
      <c r="AK14" s="145"/>
      <c r="AL14" s="147"/>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25">
      <c r="A15" s="202"/>
      <c r="B15" s="205"/>
      <c r="C15" s="205"/>
      <c r="D15" s="208"/>
      <c r="E15" s="135"/>
      <c r="F15" s="209"/>
      <c r="G15" s="209"/>
      <c r="H15" s="193"/>
      <c r="I15" s="196"/>
      <c r="J15" s="199"/>
      <c r="K15" s="215"/>
      <c r="L15" s="218"/>
      <c r="M15" s="215">
        <f>IF(NOT(ISERROR(MATCH(L15,_xlfn.ANCHORARRAY(F26),0))),K28&amp;"Por favor no seleccionar los criterios de impacto",L15)</f>
        <v>0</v>
      </c>
      <c r="N15" s="199"/>
      <c r="O15" s="215"/>
      <c r="P15" s="212"/>
      <c r="Q15" s="105">
        <v>6</v>
      </c>
      <c r="R15" s="106"/>
      <c r="S15" s="107" t="str">
        <f t="shared" si="4"/>
        <v/>
      </c>
      <c r="T15" s="110"/>
      <c r="U15" s="110"/>
      <c r="V15" s="111" t="str">
        <f t="shared" si="5"/>
        <v/>
      </c>
      <c r="W15" s="110"/>
      <c r="X15" s="110"/>
      <c r="Y15" s="110"/>
      <c r="Z15" s="108" t="str">
        <f t="shared" si="11"/>
        <v/>
      </c>
      <c r="AA15" s="113" t="str">
        <f t="shared" si="6"/>
        <v/>
      </c>
      <c r="AB15" s="114" t="str">
        <f t="shared" si="7"/>
        <v/>
      </c>
      <c r="AC15" s="113" t="str">
        <f t="shared" si="8"/>
        <v/>
      </c>
      <c r="AD15" s="114" t="str">
        <f t="shared" si="9"/>
        <v/>
      </c>
      <c r="AE15" s="115" t="str">
        <f t="shared" si="10"/>
        <v/>
      </c>
      <c r="AF15" s="116"/>
      <c r="AG15" s="145"/>
      <c r="AH15" s="147"/>
      <c r="AI15" s="149"/>
      <c r="AJ15" s="149"/>
      <c r="AK15" s="145"/>
      <c r="AL15" s="147"/>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71.25" customHeight="1" x14ac:dyDescent="0.25">
      <c r="A16" s="200"/>
      <c r="B16" s="249"/>
      <c r="C16" s="249"/>
      <c r="D16" s="228"/>
      <c r="E16" s="136"/>
      <c r="F16" s="231"/>
      <c r="G16" s="137"/>
      <c r="H16" s="252"/>
      <c r="I16" s="255"/>
      <c r="J16" s="243" t="str">
        <f>IF(I16&lt;=0,"",IF(I16&lt;=2,"Muy Baja",IF(I16&lt;=24,"Baja",IF(I16&lt;=500,"Media",IF(I16&lt;=5000,"Alta","Muy Alta")))))</f>
        <v/>
      </c>
      <c r="K16" s="240" t="str">
        <f>IF(J16="","",IF(J16="Muy Baja",0.2,IF(J16="Baja",0.4,IF(J16="Media",0.6,IF(J16="Alta",0.8,IF(J16="Muy Alta",1,))))))</f>
        <v/>
      </c>
      <c r="L16" s="258"/>
      <c r="M16" s="240">
        <f>IF(NOT(ISERROR(MATCH(L16,'Tabla Impacto'!$B$221:$B$223,0))),'Tabla Impacto'!$F$223&amp;"Por favor no seleccionar los criterios de impacto(Afectación Económica o presupuestal y Pérdida Reputacional)",L16)</f>
        <v>0</v>
      </c>
      <c r="N16" s="243" t="str">
        <f>IF(OR(M16='Tabla Impacto'!$C$11,M16='Tabla Impacto'!$D$11),"Leve",IF(OR(M16='Tabla Impacto'!$C$12,M16='Tabla Impacto'!$D$12),"Menor",IF(OR(M16='Tabla Impacto'!$C$13,M16='Tabla Impacto'!$D$13),"Moderado",IF(OR(M16='Tabla Impacto'!$C$14,M16='Tabla Impacto'!$D$14),"Mayor",IF(OR(M16='Tabla Impacto'!$C$15,M16='Tabla Impacto'!$D$15),"Catastrófico","")))))</f>
        <v/>
      </c>
      <c r="O16" s="240" t="str">
        <f>IF(N16="","",IF(N16="Leve",0.2,IF(N16="Menor",0.4,IF(N16="Moderado",0.6,IF(N16="Mayor",0.8,IF(N16="Catastrófico",1,))))))</f>
        <v/>
      </c>
      <c r="P16" s="246" t="str">
        <f>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
      </c>
      <c r="Q16" s="105">
        <v>1</v>
      </c>
      <c r="R16" s="106"/>
      <c r="S16" s="107" t="str">
        <f>IF(OR(T16="Preventivo",T16="Detectivo"),"Probabilidad",IF(T16="Correctivo","Impacto",""))</f>
        <v/>
      </c>
      <c r="T16" s="110"/>
      <c r="U16" s="110"/>
      <c r="V16" s="111" t="str">
        <f>IF(AND(T16="Preventivo",U16="Automático"),"50%",IF(AND(T16="Preventivo",U16="Manual"),"40%",IF(AND(T16="Detectivo",U16="Automático"),"40%",IF(AND(T16="Detectivo",U16="Manual"),"30%",IF(AND(T16="Correctivo",U16="Automático"),"35%",IF(AND(T16="Correctivo",U16="Manual"),"25%",""))))))</f>
        <v/>
      </c>
      <c r="W16" s="110"/>
      <c r="X16" s="110"/>
      <c r="Y16" s="110"/>
      <c r="Z16" s="108" t="str">
        <f>IFERROR(IF(S16="Probabilidad",(K16-(+K16*V16)),IF(S16="Impacto",K16,"")),"")</f>
        <v/>
      </c>
      <c r="AA16" s="113" t="str">
        <f>IFERROR(IF(Z16="","",IF(Z16&lt;=0.2,"Muy Baja",IF(Z16&lt;=0.4,"Baja",IF(Z16&lt;=0.6,"Media",IF(Z16&lt;=0.8,"Alta","Muy Alta"))))),"")</f>
        <v/>
      </c>
      <c r="AB16" s="114" t="str">
        <f>+Z16</f>
        <v/>
      </c>
      <c r="AC16" s="113" t="str">
        <f>IFERROR(IF(AD16="","",IF(AD16&lt;=0.2,"Leve",IF(AD16&lt;=0.4,"Menor",IF(AD16&lt;=0.6,"Moderado",IF(AD16&lt;=0.8,"Mayor","Catastrófico"))))),"")</f>
        <v/>
      </c>
      <c r="AD16" s="114" t="str">
        <f>IFERROR(IF(S16="Impacto",(O16-(+O16*V16)),IF(S16="Probabilidad",O16,"")),"")</f>
        <v/>
      </c>
      <c r="AE16" s="115"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16"/>
      <c r="AG16" s="145"/>
      <c r="AH16" s="147"/>
      <c r="AI16" s="149"/>
      <c r="AJ16" s="149"/>
      <c r="AK16" s="145"/>
      <c r="AL16" s="147"/>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30" customHeight="1" x14ac:dyDescent="0.25">
      <c r="A17" s="201"/>
      <c r="B17" s="250"/>
      <c r="C17" s="250"/>
      <c r="D17" s="229"/>
      <c r="E17" s="136"/>
      <c r="F17" s="231"/>
      <c r="G17" s="137"/>
      <c r="H17" s="253"/>
      <c r="I17" s="256"/>
      <c r="J17" s="244"/>
      <c r="K17" s="241"/>
      <c r="L17" s="259"/>
      <c r="M17" s="241">
        <f>IF(NOT(ISERROR(MATCH(L17,_xlfn.ANCHORARRAY(F28),0))),K30&amp;"Por favor no seleccionar los criterios de impacto",L17)</f>
        <v>0</v>
      </c>
      <c r="N17" s="244"/>
      <c r="O17" s="241"/>
      <c r="P17" s="247"/>
      <c r="Q17" s="105">
        <v>2</v>
      </c>
      <c r="R17" s="106"/>
      <c r="S17" s="107" t="str">
        <f>IF(OR(T17="Preventivo",T17="Detectivo"),"Probabilidad",IF(T17="Correctivo","Impacto",""))</f>
        <v/>
      </c>
      <c r="T17" s="110"/>
      <c r="U17" s="110"/>
      <c r="V17" s="111" t="str">
        <f t="shared" ref="V17:V21" si="12">IF(AND(T17="Preventivo",U17="Automático"),"50%",IF(AND(T17="Preventivo",U17="Manual"),"40%",IF(AND(T17="Detectivo",U17="Automático"),"40%",IF(AND(T17="Detectivo",U17="Manual"),"30%",IF(AND(T17="Correctivo",U17="Automático"),"35%",IF(AND(T17="Correctivo",U17="Manual"),"25%",""))))))</f>
        <v/>
      </c>
      <c r="W17" s="110"/>
      <c r="X17" s="110"/>
      <c r="Y17" s="110"/>
      <c r="Z17" s="108" t="str">
        <f>IFERROR(IF(AND(S16="Probabilidad",S17="Probabilidad"),(AB16-(+AB16*V17)),IF(AND(S16="Impacto",S17="Probabilidad"),(K16-(+K16*V17)),IF(S17="Impacto",AB16,""))),"")</f>
        <v/>
      </c>
      <c r="AA17" s="113" t="str">
        <f t="shared" ref="AA17:AA21" si="13">IFERROR(IF(Z17="","",IF(Z17&lt;=0.2,"Muy Baja",IF(Z17&lt;=0.4,"Baja",IF(Z17&lt;=0.6,"Media",IF(Z17&lt;=0.8,"Alta","Muy Alta"))))),"")</f>
        <v/>
      </c>
      <c r="AB17" s="114" t="str">
        <f>+Z17</f>
        <v/>
      </c>
      <c r="AC17" s="113" t="str">
        <f t="shared" ref="AC17:AC21" si="14">IFERROR(IF(AD17="","",IF(AD17&lt;=0.2,"Leve",IF(AD17&lt;=0.4,"Menor",IF(AD17&lt;=0.6,"Moderado",IF(AD17&lt;=0.8,"Mayor","Catastrófico"))))),"")</f>
        <v/>
      </c>
      <c r="AD17" s="114" t="str">
        <f>IFERROR(IF(AND(S16="Impacto",S17="Impacto"),(AD16-(+AD16*V17)),IF(AND(S16="Probabilidad",S17="Impacto"),(O16-(+O16*V17)),IF(S17="Probabilidad",AD16,""))),"")</f>
        <v/>
      </c>
      <c r="AE17" s="115" t="str">
        <f t="shared" ref="AE17:AE21" si="15">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
      </c>
      <c r="AF17" s="116"/>
      <c r="AG17" s="145"/>
      <c r="AH17" s="147"/>
      <c r="AI17" s="149"/>
      <c r="AJ17" s="149"/>
      <c r="AK17" s="145"/>
      <c r="AL17" s="147"/>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25">
      <c r="A18" s="201"/>
      <c r="B18" s="250"/>
      <c r="C18" s="250"/>
      <c r="D18" s="229"/>
      <c r="E18" s="136"/>
      <c r="F18" s="231"/>
      <c r="G18" s="137"/>
      <c r="H18" s="253"/>
      <c r="I18" s="256"/>
      <c r="J18" s="244"/>
      <c r="K18" s="241"/>
      <c r="L18" s="259"/>
      <c r="M18" s="241">
        <f>IF(NOT(ISERROR(MATCH(L18,_xlfn.ANCHORARRAY(F29),0))),K31&amp;"Por favor no seleccionar los criterios de impacto",L18)</f>
        <v>0</v>
      </c>
      <c r="N18" s="244"/>
      <c r="O18" s="241"/>
      <c r="P18" s="247"/>
      <c r="Q18" s="105">
        <v>3</v>
      </c>
      <c r="R18" s="109"/>
      <c r="S18" s="107" t="str">
        <f t="shared" ref="S18:S21" si="16">IF(OR(T18="Preventivo",T18="Detectivo"),"Probabilidad",IF(T18="Correctivo","Impacto",""))</f>
        <v/>
      </c>
      <c r="T18" s="110"/>
      <c r="U18" s="110"/>
      <c r="V18" s="111" t="str">
        <f t="shared" si="12"/>
        <v/>
      </c>
      <c r="W18" s="110"/>
      <c r="X18" s="110"/>
      <c r="Y18" s="110"/>
      <c r="Z18" s="108" t="str">
        <f>IFERROR(IF(AND(S17="Probabilidad",S18="Probabilidad"),(AB17-(+AB17*V18)),IF(AND(S17="Impacto",S18="Probabilidad"),(AB16-(+AB16*V18)),IF(S18="Impacto",AB17,""))),"")</f>
        <v/>
      </c>
      <c r="AA18" s="113" t="str">
        <f t="shared" si="13"/>
        <v/>
      </c>
      <c r="AB18" s="114" t="str">
        <f t="shared" ref="AB18:AB21" si="17">+Z18</f>
        <v/>
      </c>
      <c r="AC18" s="113" t="str">
        <f t="shared" si="14"/>
        <v/>
      </c>
      <c r="AD18" s="114" t="str">
        <f t="shared" ref="AD18:AD21" si="18">IFERROR(IF(AND(S17="Impacto",S18="Impacto"),(AD17-(+AD17*V18)),IF(AND(S17="Probabilidad",S18="Impacto"),(AD16-(+AD16*V18)),IF(S18="Probabilidad",AD17,""))),"")</f>
        <v/>
      </c>
      <c r="AE18" s="115" t="str">
        <f t="shared" si="15"/>
        <v/>
      </c>
      <c r="AF18" s="116"/>
      <c r="AG18" s="145"/>
      <c r="AH18" s="147"/>
      <c r="AI18" s="149"/>
      <c r="AJ18" s="149"/>
      <c r="AK18" s="145"/>
      <c r="AL18" s="147"/>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5.5" customHeight="1" x14ac:dyDescent="0.25">
      <c r="A19" s="201"/>
      <c r="B19" s="250"/>
      <c r="C19" s="250"/>
      <c r="D19" s="229"/>
      <c r="E19" s="136"/>
      <c r="F19" s="231"/>
      <c r="G19" s="137"/>
      <c r="H19" s="253"/>
      <c r="I19" s="256"/>
      <c r="J19" s="244"/>
      <c r="K19" s="241"/>
      <c r="L19" s="259"/>
      <c r="M19" s="241">
        <f>IF(NOT(ISERROR(MATCH(L19,_xlfn.ANCHORARRAY(F30),0))),K32&amp;"Por favor no seleccionar los criterios de impacto",L19)</f>
        <v>0</v>
      </c>
      <c r="N19" s="244"/>
      <c r="O19" s="241"/>
      <c r="P19" s="247"/>
      <c r="Q19" s="105">
        <v>4</v>
      </c>
      <c r="R19" s="106"/>
      <c r="S19" s="107" t="str">
        <f t="shared" si="16"/>
        <v/>
      </c>
      <c r="T19" s="110"/>
      <c r="U19" s="110"/>
      <c r="V19" s="111" t="str">
        <f t="shared" si="12"/>
        <v/>
      </c>
      <c r="W19" s="110"/>
      <c r="X19" s="110"/>
      <c r="Y19" s="110"/>
      <c r="Z19" s="108" t="str">
        <f t="shared" ref="Z19:Z21" si="19">IFERROR(IF(AND(S18="Probabilidad",S19="Probabilidad"),(AB18-(+AB18*V19)),IF(AND(S18="Impacto",S19="Probabilidad"),(AB17-(+AB17*V19)),IF(S19="Impacto",AB18,""))),"")</f>
        <v/>
      </c>
      <c r="AA19" s="113" t="str">
        <f t="shared" si="13"/>
        <v/>
      </c>
      <c r="AB19" s="114" t="str">
        <f t="shared" si="17"/>
        <v/>
      </c>
      <c r="AC19" s="113" t="str">
        <f t="shared" si="14"/>
        <v/>
      </c>
      <c r="AD19" s="114" t="str">
        <f t="shared" si="18"/>
        <v/>
      </c>
      <c r="AE19" s="115" t="str">
        <f t="shared" si="15"/>
        <v/>
      </c>
      <c r="AF19" s="116"/>
      <c r="AG19" s="145"/>
      <c r="AH19" s="147"/>
      <c r="AI19" s="149"/>
      <c r="AJ19" s="149"/>
      <c r="AK19" s="145"/>
      <c r="AL19" s="147"/>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4" customHeight="1" x14ac:dyDescent="0.25">
      <c r="A20" s="201"/>
      <c r="B20" s="250"/>
      <c r="C20" s="250"/>
      <c r="D20" s="229"/>
      <c r="E20" s="136"/>
      <c r="F20" s="231"/>
      <c r="G20" s="137"/>
      <c r="H20" s="253"/>
      <c r="I20" s="256"/>
      <c r="J20" s="244"/>
      <c r="K20" s="241"/>
      <c r="L20" s="259"/>
      <c r="M20" s="241">
        <f>IF(NOT(ISERROR(MATCH(L20,_xlfn.ANCHORARRAY(F31),0))),K33&amp;"Por favor no seleccionar los criterios de impacto",L20)</f>
        <v>0</v>
      </c>
      <c r="N20" s="244"/>
      <c r="O20" s="241"/>
      <c r="P20" s="247"/>
      <c r="Q20" s="105">
        <v>5</v>
      </c>
      <c r="R20" s="106"/>
      <c r="S20" s="107" t="str">
        <f t="shared" si="16"/>
        <v/>
      </c>
      <c r="T20" s="110"/>
      <c r="U20" s="110"/>
      <c r="V20" s="111" t="str">
        <f t="shared" si="12"/>
        <v/>
      </c>
      <c r="W20" s="110"/>
      <c r="X20" s="110"/>
      <c r="Y20" s="110"/>
      <c r="Z20" s="108" t="str">
        <f t="shared" si="19"/>
        <v/>
      </c>
      <c r="AA20" s="113" t="str">
        <f t="shared" si="13"/>
        <v/>
      </c>
      <c r="AB20" s="114" t="str">
        <f t="shared" si="17"/>
        <v/>
      </c>
      <c r="AC20" s="113" t="str">
        <f t="shared" si="14"/>
        <v/>
      </c>
      <c r="AD20" s="114" t="str">
        <f t="shared" si="18"/>
        <v/>
      </c>
      <c r="AE20" s="115" t="str">
        <f t="shared" si="15"/>
        <v/>
      </c>
      <c r="AF20" s="116"/>
      <c r="AG20" s="145"/>
      <c r="AH20" s="147"/>
      <c r="AI20" s="149"/>
      <c r="AJ20" s="149"/>
      <c r="AK20" s="145"/>
      <c r="AL20" s="147"/>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5.5" customHeight="1" x14ac:dyDescent="0.25">
      <c r="A21" s="202"/>
      <c r="B21" s="251"/>
      <c r="C21" s="251"/>
      <c r="D21" s="230"/>
      <c r="E21" s="136"/>
      <c r="F21" s="231"/>
      <c r="G21" s="137"/>
      <c r="H21" s="254"/>
      <c r="I21" s="257"/>
      <c r="J21" s="245"/>
      <c r="K21" s="242"/>
      <c r="L21" s="260"/>
      <c r="M21" s="242">
        <f>IF(NOT(ISERROR(MATCH(L21,_xlfn.ANCHORARRAY(F32),0))),K34&amp;"Por favor no seleccionar los criterios de impacto",L21)</f>
        <v>0</v>
      </c>
      <c r="N21" s="245"/>
      <c r="O21" s="242"/>
      <c r="P21" s="248"/>
      <c r="Q21" s="105">
        <v>6</v>
      </c>
      <c r="R21" s="106"/>
      <c r="S21" s="107" t="str">
        <f t="shared" si="16"/>
        <v/>
      </c>
      <c r="T21" s="110"/>
      <c r="U21" s="110"/>
      <c r="V21" s="111" t="str">
        <f t="shared" si="12"/>
        <v/>
      </c>
      <c r="W21" s="110"/>
      <c r="X21" s="110"/>
      <c r="Y21" s="110"/>
      <c r="Z21" s="108" t="str">
        <f t="shared" si="19"/>
        <v/>
      </c>
      <c r="AA21" s="113" t="str">
        <f t="shared" si="13"/>
        <v/>
      </c>
      <c r="AB21" s="114" t="str">
        <f t="shared" si="17"/>
        <v/>
      </c>
      <c r="AC21" s="113" t="str">
        <f t="shared" si="14"/>
        <v/>
      </c>
      <c r="AD21" s="114" t="str">
        <f t="shared" si="18"/>
        <v/>
      </c>
      <c r="AE21" s="115" t="str">
        <f t="shared" si="15"/>
        <v/>
      </c>
      <c r="AF21" s="116"/>
      <c r="AG21" s="145"/>
      <c r="AH21" s="147"/>
      <c r="AI21" s="149"/>
      <c r="AJ21" s="149"/>
      <c r="AK21" s="145"/>
      <c r="AL21" s="147"/>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0.75" customHeight="1" x14ac:dyDescent="0.25">
      <c r="A22" s="200">
        <v>3</v>
      </c>
      <c r="B22" s="249"/>
      <c r="C22" s="249"/>
      <c r="D22" s="228"/>
      <c r="E22" s="136"/>
      <c r="F22" s="231"/>
      <c r="G22" s="137"/>
      <c r="H22" s="252"/>
      <c r="I22" s="255"/>
      <c r="J22" s="243" t="str">
        <f t="shared" ref="J22" si="20">IF(I22&lt;=0,"",IF(I22&lt;=2,"Muy Baja",IF(I22&lt;=24,"Baja",IF(I22&lt;=500,"Media",IF(I22&lt;=5000,"Alta","Muy Alta")))))</f>
        <v/>
      </c>
      <c r="K22" s="240" t="str">
        <f t="shared" ref="K22" si="21">IF(J22="","",IF(J22="Muy Baja",0.2,IF(J22="Baja",0.4,IF(J22="Media",0.6,IF(J22="Alta",0.8,IF(J22="Muy Alta",1,))))))</f>
        <v/>
      </c>
      <c r="L22" s="258"/>
      <c r="M22" s="240">
        <f>IF(NOT(ISERROR(MATCH(L22,'Tabla Impacto'!$B$221:$B$223,0))),'Tabla Impacto'!$F$223&amp;"Por favor no seleccionar los criterios de impacto(Afectación Económica o presupuestal y Pérdida Reputacional)",L22)</f>
        <v>0</v>
      </c>
      <c r="N22" s="243" t="str">
        <f>IF(OR(M22='Tabla Impacto'!$C$11,M22='Tabla Impacto'!$D$11),"Leve",IF(OR(M22='Tabla Impacto'!$C$12,M22='Tabla Impacto'!$D$12),"Menor",IF(OR(M22='Tabla Impacto'!$C$13,M22='Tabla Impacto'!$D$13),"Moderado",IF(OR(M22='Tabla Impacto'!$C$14,M22='Tabla Impacto'!$D$14),"Mayor",IF(OR(M22='Tabla Impacto'!$C$15,M22='Tabla Impacto'!$D$15),"Catastrófico","")))))</f>
        <v/>
      </c>
      <c r="O22" s="240" t="str">
        <f t="shared" ref="O22" si="22">IF(N22="","",IF(N22="Leve",0.2,IF(N22="Menor",0.4,IF(N22="Moderado",0.6,IF(N22="Mayor",0.8,IF(N22="Catastrófico",1,))))))</f>
        <v/>
      </c>
      <c r="P22" s="246" t="str">
        <f t="shared" ref="P22" si="23">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5">
        <v>1</v>
      </c>
      <c r="R22" s="106"/>
      <c r="S22" s="107" t="str">
        <f>IF(OR(T22="Preventivo",T22="Detectivo"),"Probabilidad",IF(T22="Correctivo","Impacto",""))</f>
        <v/>
      </c>
      <c r="T22" s="110"/>
      <c r="U22" s="110"/>
      <c r="V22" s="111" t="str">
        <f>IF(AND(T22="Preventivo",U22="Automático"),"50%",IF(AND(T22="Preventivo",U22="Manual"),"40%",IF(AND(T22="Detectivo",U22="Automático"),"40%",IF(AND(T22="Detectivo",U22="Manual"),"30%",IF(AND(T22="Correctivo",U22="Automático"),"35%",IF(AND(T22="Correctivo",U22="Manual"),"25%",""))))))</f>
        <v/>
      </c>
      <c r="W22" s="110"/>
      <c r="X22" s="110"/>
      <c r="Y22" s="110"/>
      <c r="Z22" s="108" t="str">
        <f>IFERROR(IF(S22="Probabilidad",(K22-(+K22*V22)),IF(S22="Impacto",K22,"")),"")</f>
        <v/>
      </c>
      <c r="AA22" s="113" t="str">
        <f>IFERROR(IF(Z22="","",IF(Z22&lt;=0.2,"Muy Baja",IF(Z22&lt;=0.4,"Baja",IF(Z22&lt;=0.6,"Media",IF(Z22&lt;=0.8,"Alta","Muy Alta"))))),"")</f>
        <v/>
      </c>
      <c r="AB22" s="114" t="str">
        <f>+Z22</f>
        <v/>
      </c>
      <c r="AC22" s="113" t="str">
        <f>IFERROR(IF(AD22="","",IF(AD22&lt;=0.2,"Leve",IF(AD22&lt;=0.4,"Menor",IF(AD22&lt;=0.6,"Moderado",IF(AD22&lt;=0.8,"Mayor","Catastrófico"))))),"")</f>
        <v/>
      </c>
      <c r="AD22" s="114" t="str">
        <f>IFERROR(IF(S22="Impacto",(O22-(+O22*V22)),IF(S22="Probabilidad",O22,"")),"")</f>
        <v/>
      </c>
      <c r="AE22" s="115"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16"/>
      <c r="AG22" s="145"/>
      <c r="AH22" s="147"/>
      <c r="AI22" s="149"/>
      <c r="AJ22" s="149"/>
      <c r="AK22" s="145"/>
      <c r="AL22" s="147"/>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25">
      <c r="A23" s="201"/>
      <c r="B23" s="250"/>
      <c r="C23" s="250"/>
      <c r="D23" s="229"/>
      <c r="E23" s="136"/>
      <c r="F23" s="231"/>
      <c r="G23" s="137"/>
      <c r="H23" s="253"/>
      <c r="I23" s="256"/>
      <c r="J23" s="244"/>
      <c r="K23" s="241"/>
      <c r="L23" s="259"/>
      <c r="M23" s="241">
        <f>IF(NOT(ISERROR(MATCH(L23,_xlfn.ANCHORARRAY(F34),0))),K36&amp;"Por favor no seleccionar los criterios de impacto",L23)</f>
        <v>0</v>
      </c>
      <c r="N23" s="244"/>
      <c r="O23" s="241"/>
      <c r="P23" s="247"/>
      <c r="Q23" s="105">
        <v>2</v>
      </c>
      <c r="R23" s="106"/>
      <c r="S23" s="107" t="str">
        <f>IF(OR(T23="Preventivo",T23="Detectivo"),"Probabilidad",IF(T23="Correctivo","Impacto",""))</f>
        <v/>
      </c>
      <c r="T23" s="110"/>
      <c r="U23" s="110"/>
      <c r="V23" s="111" t="str">
        <f t="shared" ref="V23:V27" si="24">IF(AND(T23="Preventivo",U23="Automático"),"50%",IF(AND(T23="Preventivo",U23="Manual"),"40%",IF(AND(T23="Detectivo",U23="Automático"),"40%",IF(AND(T23="Detectivo",U23="Manual"),"30%",IF(AND(T23="Correctivo",U23="Automático"),"35%",IF(AND(T23="Correctivo",U23="Manual"),"25%",""))))))</f>
        <v/>
      </c>
      <c r="W23" s="110"/>
      <c r="X23" s="110"/>
      <c r="Y23" s="110"/>
      <c r="Z23" s="108" t="str">
        <f>IFERROR(IF(AND(S22="Probabilidad",S23="Probabilidad"),(AB22-(+AB22*V23)),IF(AND(S22="Impacto",S23="Probabilidad"),(K22-(+K22*V23)),IF(S23="Impacto",AB22,""))),"")</f>
        <v/>
      </c>
      <c r="AA23" s="113" t="str">
        <f t="shared" ref="AA23:AA27" si="25">IFERROR(IF(Z23="","",IF(Z23&lt;=0.2,"Muy Baja",IF(Z23&lt;=0.4,"Baja",IF(Z23&lt;=0.6,"Media",IF(Z23&lt;=0.8,"Alta","Muy Alta"))))),"")</f>
        <v/>
      </c>
      <c r="AB23" s="114" t="str">
        <f>+Z23</f>
        <v/>
      </c>
      <c r="AC23" s="113" t="str">
        <f t="shared" ref="AC23:AC27" si="26">IFERROR(IF(AD23="","",IF(AD23&lt;=0.2,"Leve",IF(AD23&lt;=0.4,"Menor",IF(AD23&lt;=0.6,"Moderado",IF(AD23&lt;=0.8,"Mayor","Catastrófico"))))),"")</f>
        <v/>
      </c>
      <c r="AD23" s="114" t="str">
        <f>IFERROR(IF(AND(S22="Impacto",S23="Impacto"),(AD22-(+AD22*V23)),IF(AND(S22="Probabilidad",S23="Impacto"),(O22-(+O22*V23)),IF(S23="Probabilidad",AD22,""))),"")</f>
        <v/>
      </c>
      <c r="AE23" s="115" t="str">
        <f t="shared" ref="AE23:AE27" si="27">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16"/>
      <c r="AG23" s="145"/>
      <c r="AH23" s="147"/>
      <c r="AI23" s="149"/>
      <c r="AJ23" s="149"/>
      <c r="AK23" s="145"/>
      <c r="AL23" s="147"/>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25">
      <c r="A24" s="201"/>
      <c r="B24" s="250"/>
      <c r="C24" s="250"/>
      <c r="D24" s="229"/>
      <c r="E24" s="136"/>
      <c r="F24" s="231"/>
      <c r="G24" s="137"/>
      <c r="H24" s="253"/>
      <c r="I24" s="256"/>
      <c r="J24" s="244"/>
      <c r="K24" s="241"/>
      <c r="L24" s="259"/>
      <c r="M24" s="241">
        <f>IF(NOT(ISERROR(MATCH(L24,_xlfn.ANCHORARRAY(F35),0))),K37&amp;"Por favor no seleccionar los criterios de impacto",L24)</f>
        <v>0</v>
      </c>
      <c r="N24" s="244"/>
      <c r="O24" s="241"/>
      <c r="P24" s="247"/>
      <c r="Q24" s="105">
        <v>3</v>
      </c>
      <c r="R24" s="109"/>
      <c r="S24" s="107" t="str">
        <f t="shared" ref="S24:S27" si="28">IF(OR(T24="Preventivo",T24="Detectivo"),"Probabilidad",IF(T24="Correctivo","Impacto",""))</f>
        <v/>
      </c>
      <c r="T24" s="110"/>
      <c r="U24" s="110"/>
      <c r="V24" s="111" t="str">
        <f t="shared" si="24"/>
        <v/>
      </c>
      <c r="W24" s="110"/>
      <c r="X24" s="110"/>
      <c r="Y24" s="110"/>
      <c r="Z24" s="108" t="str">
        <f>IFERROR(IF(AND(S23="Probabilidad",S24="Probabilidad"),(AB23-(+AB23*V24)),IF(AND(S23="Impacto",S24="Probabilidad"),(AB22-(+AB22*V24)),IF(S24="Impacto",AB23,""))),"")</f>
        <v/>
      </c>
      <c r="AA24" s="113" t="str">
        <f t="shared" si="25"/>
        <v/>
      </c>
      <c r="AB24" s="114" t="str">
        <f t="shared" ref="AB24:AB27" si="29">+Z24</f>
        <v/>
      </c>
      <c r="AC24" s="113" t="str">
        <f t="shared" si="26"/>
        <v/>
      </c>
      <c r="AD24" s="114" t="str">
        <f t="shared" ref="AD24:AD27" si="30">IFERROR(IF(AND(S23="Impacto",S24="Impacto"),(AD23-(+AD23*V24)),IF(AND(S23="Probabilidad",S24="Impacto"),(AD22-(+AD22*V24)),IF(S24="Probabilidad",AD23,""))),"")</f>
        <v/>
      </c>
      <c r="AE24" s="115" t="str">
        <f t="shared" si="27"/>
        <v/>
      </c>
      <c r="AF24" s="116"/>
      <c r="AG24" s="145"/>
      <c r="AH24" s="147"/>
      <c r="AI24" s="149"/>
      <c r="AJ24" s="149"/>
      <c r="AK24" s="145"/>
      <c r="AL24" s="147"/>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25">
      <c r="A25" s="201"/>
      <c r="B25" s="250"/>
      <c r="C25" s="250"/>
      <c r="D25" s="229"/>
      <c r="E25" s="136"/>
      <c r="F25" s="231"/>
      <c r="G25" s="137"/>
      <c r="H25" s="253"/>
      <c r="I25" s="256"/>
      <c r="J25" s="244"/>
      <c r="K25" s="241"/>
      <c r="L25" s="259"/>
      <c r="M25" s="241">
        <f>IF(NOT(ISERROR(MATCH(L25,_xlfn.ANCHORARRAY(F36),0))),K38&amp;"Por favor no seleccionar los criterios de impacto",L25)</f>
        <v>0</v>
      </c>
      <c r="N25" s="244"/>
      <c r="O25" s="241"/>
      <c r="P25" s="247"/>
      <c r="Q25" s="105">
        <v>4</v>
      </c>
      <c r="R25" s="106"/>
      <c r="S25" s="107" t="str">
        <f t="shared" si="28"/>
        <v/>
      </c>
      <c r="T25" s="110"/>
      <c r="U25" s="110"/>
      <c r="V25" s="111" t="str">
        <f t="shared" si="24"/>
        <v/>
      </c>
      <c r="W25" s="110"/>
      <c r="X25" s="110"/>
      <c r="Y25" s="110"/>
      <c r="Z25" s="108" t="str">
        <f t="shared" ref="Z25:Z27" si="31">IFERROR(IF(AND(S24="Probabilidad",S25="Probabilidad"),(AB24-(+AB24*V25)),IF(AND(S24="Impacto",S25="Probabilidad"),(AB23-(+AB23*V25)),IF(S25="Impacto",AB24,""))),"")</f>
        <v/>
      </c>
      <c r="AA25" s="113" t="str">
        <f t="shared" si="25"/>
        <v/>
      </c>
      <c r="AB25" s="114" t="str">
        <f t="shared" si="29"/>
        <v/>
      </c>
      <c r="AC25" s="113" t="str">
        <f t="shared" si="26"/>
        <v/>
      </c>
      <c r="AD25" s="114" t="str">
        <f t="shared" si="30"/>
        <v/>
      </c>
      <c r="AE25" s="115" t="str">
        <f t="shared" si="27"/>
        <v/>
      </c>
      <c r="AF25" s="116"/>
      <c r="AG25" s="145"/>
      <c r="AH25" s="147"/>
      <c r="AI25" s="149"/>
      <c r="AJ25" s="149"/>
      <c r="AK25" s="145"/>
      <c r="AL25" s="147"/>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25">
      <c r="A26" s="201"/>
      <c r="B26" s="250"/>
      <c r="C26" s="250"/>
      <c r="D26" s="229"/>
      <c r="E26" s="136"/>
      <c r="F26" s="231"/>
      <c r="G26" s="137"/>
      <c r="H26" s="253"/>
      <c r="I26" s="256"/>
      <c r="J26" s="244"/>
      <c r="K26" s="241"/>
      <c r="L26" s="259"/>
      <c r="M26" s="241">
        <f>IF(NOT(ISERROR(MATCH(L26,_xlfn.ANCHORARRAY(F37),0))),K39&amp;"Por favor no seleccionar los criterios de impacto",L26)</f>
        <v>0</v>
      </c>
      <c r="N26" s="244"/>
      <c r="O26" s="241"/>
      <c r="P26" s="247"/>
      <c r="Q26" s="105">
        <v>5</v>
      </c>
      <c r="R26" s="106"/>
      <c r="S26" s="107" t="str">
        <f t="shared" si="28"/>
        <v/>
      </c>
      <c r="T26" s="110"/>
      <c r="U26" s="110"/>
      <c r="V26" s="111" t="str">
        <f t="shared" si="24"/>
        <v/>
      </c>
      <c r="W26" s="110"/>
      <c r="X26" s="110"/>
      <c r="Y26" s="110"/>
      <c r="Z26" s="108" t="str">
        <f t="shared" si="31"/>
        <v/>
      </c>
      <c r="AA26" s="113" t="str">
        <f t="shared" si="25"/>
        <v/>
      </c>
      <c r="AB26" s="114" t="str">
        <f t="shared" si="29"/>
        <v/>
      </c>
      <c r="AC26" s="113" t="str">
        <f t="shared" si="26"/>
        <v/>
      </c>
      <c r="AD26" s="114" t="str">
        <f t="shared" si="30"/>
        <v/>
      </c>
      <c r="AE26" s="115" t="str">
        <f t="shared" si="27"/>
        <v/>
      </c>
      <c r="AF26" s="116"/>
      <c r="AG26" s="145"/>
      <c r="AH26" s="147"/>
      <c r="AI26" s="149"/>
      <c r="AJ26" s="149"/>
      <c r="AK26" s="145"/>
      <c r="AL26" s="147"/>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25">
      <c r="A27" s="202"/>
      <c r="B27" s="251"/>
      <c r="C27" s="251"/>
      <c r="D27" s="230"/>
      <c r="E27" s="136"/>
      <c r="F27" s="231"/>
      <c r="G27" s="137"/>
      <c r="H27" s="254"/>
      <c r="I27" s="257"/>
      <c r="J27" s="245"/>
      <c r="K27" s="242"/>
      <c r="L27" s="260"/>
      <c r="M27" s="242">
        <f>IF(NOT(ISERROR(MATCH(L27,_xlfn.ANCHORARRAY(F38),0))),K40&amp;"Por favor no seleccionar los criterios de impacto",L27)</f>
        <v>0</v>
      </c>
      <c r="N27" s="245"/>
      <c r="O27" s="242"/>
      <c r="P27" s="248"/>
      <c r="Q27" s="105">
        <v>6</v>
      </c>
      <c r="R27" s="106"/>
      <c r="S27" s="107" t="str">
        <f t="shared" si="28"/>
        <v/>
      </c>
      <c r="T27" s="110"/>
      <c r="U27" s="110"/>
      <c r="V27" s="111" t="str">
        <f t="shared" si="24"/>
        <v/>
      </c>
      <c r="W27" s="110"/>
      <c r="X27" s="110"/>
      <c r="Y27" s="110"/>
      <c r="Z27" s="108" t="str">
        <f t="shared" si="31"/>
        <v/>
      </c>
      <c r="AA27" s="113" t="str">
        <f t="shared" si="25"/>
        <v/>
      </c>
      <c r="AB27" s="114" t="str">
        <f t="shared" si="29"/>
        <v/>
      </c>
      <c r="AC27" s="113" t="str">
        <f t="shared" si="26"/>
        <v/>
      </c>
      <c r="AD27" s="114" t="str">
        <f t="shared" si="30"/>
        <v/>
      </c>
      <c r="AE27" s="115" t="str">
        <f t="shared" si="27"/>
        <v/>
      </c>
      <c r="AF27" s="116"/>
      <c r="AG27" s="145"/>
      <c r="AH27" s="147"/>
      <c r="AI27" s="149"/>
      <c r="AJ27" s="149"/>
      <c r="AK27" s="145"/>
      <c r="AL27" s="147"/>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25">
      <c r="A28" s="200">
        <v>4</v>
      </c>
      <c r="B28" s="249"/>
      <c r="C28" s="249"/>
      <c r="D28" s="228"/>
      <c r="E28" s="136"/>
      <c r="F28" s="231"/>
      <c r="G28" s="137"/>
      <c r="H28" s="252"/>
      <c r="I28" s="255"/>
      <c r="J28" s="243" t="str">
        <f t="shared" ref="J28" si="32">IF(I28&lt;=0,"",IF(I28&lt;=2,"Muy Baja",IF(I28&lt;=24,"Baja",IF(I28&lt;=500,"Media",IF(I28&lt;=5000,"Alta","Muy Alta")))))</f>
        <v/>
      </c>
      <c r="K28" s="240" t="str">
        <f t="shared" ref="K28" si="33">IF(J28="","",IF(J28="Muy Baja",0.2,IF(J28="Baja",0.4,IF(J28="Media",0.6,IF(J28="Alta",0.8,IF(J28="Muy Alta",1,))))))</f>
        <v/>
      </c>
      <c r="L28" s="258"/>
      <c r="M28" s="240">
        <f>IF(NOT(ISERROR(MATCH(L28,'Tabla Impacto'!$B$221:$B$223,0))),'Tabla Impacto'!$F$223&amp;"Por favor no seleccionar los criterios de impacto(Afectación Económica o presupuestal y Pérdida Reputacional)",L28)</f>
        <v>0</v>
      </c>
      <c r="N28" s="243" t="str">
        <f>IF(OR(M28='Tabla Impacto'!$C$11,M28='Tabla Impacto'!$D$11),"Leve",IF(OR(M28='Tabla Impacto'!$C$12,M28='Tabla Impacto'!$D$12),"Menor",IF(OR(M28='Tabla Impacto'!$C$13,M28='Tabla Impacto'!$D$13),"Moderado",IF(OR(M28='Tabla Impacto'!$C$14,M28='Tabla Impacto'!$D$14),"Mayor",IF(OR(M28='Tabla Impacto'!$C$15,M28='Tabla Impacto'!$D$15),"Catastrófico","")))))</f>
        <v/>
      </c>
      <c r="O28" s="240" t="str">
        <f t="shared" ref="O28" si="34">IF(N28="","",IF(N28="Leve",0.2,IF(N28="Menor",0.4,IF(N28="Moderado",0.6,IF(N28="Mayor",0.8,IF(N28="Catastrófico",1,))))))</f>
        <v/>
      </c>
      <c r="P28" s="246" t="str">
        <f t="shared" ref="P28" si="35">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5">
        <v>1</v>
      </c>
      <c r="R28" s="106"/>
      <c r="S28" s="107" t="str">
        <f>IF(OR(T28="Preventivo",T28="Detectivo"),"Probabilidad",IF(T28="Correctivo","Impacto",""))</f>
        <v/>
      </c>
      <c r="T28" s="110"/>
      <c r="U28" s="110"/>
      <c r="V28" s="111" t="str">
        <f>IF(AND(T28="Preventivo",U28="Automático"),"50%",IF(AND(T28="Preventivo",U28="Manual"),"40%",IF(AND(T28="Detectivo",U28="Automático"),"40%",IF(AND(T28="Detectivo",U28="Manual"),"30%",IF(AND(T28="Correctivo",U28="Automático"),"35%",IF(AND(T28="Correctivo",U28="Manual"),"25%",""))))))</f>
        <v/>
      </c>
      <c r="W28" s="110"/>
      <c r="X28" s="110"/>
      <c r="Y28" s="110"/>
      <c r="Z28" s="108" t="str">
        <f>IFERROR(IF(S28="Probabilidad",(K28-(+K28*V28)),IF(S28="Impacto",K28,"")),"")</f>
        <v/>
      </c>
      <c r="AA28" s="113" t="str">
        <f>IFERROR(IF(Z28="","",IF(Z28&lt;=0.2,"Muy Baja",IF(Z28&lt;=0.4,"Baja",IF(Z28&lt;=0.6,"Media",IF(Z28&lt;=0.8,"Alta","Muy Alta"))))),"")</f>
        <v/>
      </c>
      <c r="AB28" s="114" t="str">
        <f>+Z28</f>
        <v/>
      </c>
      <c r="AC28" s="113" t="str">
        <f>IFERROR(IF(AD28="","",IF(AD28&lt;=0.2,"Leve",IF(AD28&lt;=0.4,"Menor",IF(AD28&lt;=0.6,"Moderado",IF(AD28&lt;=0.8,"Mayor","Catastrófico"))))),"")</f>
        <v/>
      </c>
      <c r="AD28" s="114" t="str">
        <f>IFERROR(IF(S28="Impacto",(O28-(+O28*V28)),IF(S28="Probabilidad",O28,"")),"")</f>
        <v/>
      </c>
      <c r="AE28" s="115"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6"/>
      <c r="AG28" s="145"/>
      <c r="AH28" s="147"/>
      <c r="AI28" s="149"/>
      <c r="AJ28" s="149"/>
      <c r="AK28" s="145"/>
      <c r="AL28" s="147"/>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25">
      <c r="A29" s="201"/>
      <c r="B29" s="250"/>
      <c r="C29" s="250"/>
      <c r="D29" s="229"/>
      <c r="E29" s="136"/>
      <c r="F29" s="231"/>
      <c r="G29" s="137"/>
      <c r="H29" s="253"/>
      <c r="I29" s="256"/>
      <c r="J29" s="244"/>
      <c r="K29" s="241"/>
      <c r="L29" s="259"/>
      <c r="M29" s="241">
        <f>IF(NOT(ISERROR(MATCH(L29,_xlfn.ANCHORARRAY(F40),0))),K42&amp;"Por favor no seleccionar los criterios de impacto",L29)</f>
        <v>0</v>
      </c>
      <c r="N29" s="244"/>
      <c r="O29" s="241"/>
      <c r="P29" s="247"/>
      <c r="Q29" s="105">
        <v>2</v>
      </c>
      <c r="R29" s="106"/>
      <c r="S29" s="107" t="str">
        <f>IF(OR(T29="Preventivo",T29="Detectivo"),"Probabilidad",IF(T29="Correctivo","Impacto",""))</f>
        <v/>
      </c>
      <c r="T29" s="110"/>
      <c r="U29" s="110"/>
      <c r="V29" s="111" t="str">
        <f t="shared" ref="V29:V33" si="36">IF(AND(T29="Preventivo",U29="Automático"),"50%",IF(AND(T29="Preventivo",U29="Manual"),"40%",IF(AND(T29="Detectivo",U29="Automático"),"40%",IF(AND(T29="Detectivo",U29="Manual"),"30%",IF(AND(T29="Correctivo",U29="Automático"),"35%",IF(AND(T29="Correctivo",U29="Manual"),"25%",""))))))</f>
        <v/>
      </c>
      <c r="W29" s="110"/>
      <c r="X29" s="110"/>
      <c r="Y29" s="110"/>
      <c r="Z29" s="108" t="str">
        <f>IFERROR(IF(AND(S28="Probabilidad",S29="Probabilidad"),(AB28-(+AB28*V29)),IF(AND(S28="Impacto",S29="Probabilidad"),(K28-(+K28*V29)),IF(S29="Impacto",AB28,""))),"")</f>
        <v/>
      </c>
      <c r="AA29" s="113" t="str">
        <f t="shared" ref="AA29:AA33" si="37">IFERROR(IF(Z29="","",IF(Z29&lt;=0.2,"Muy Baja",IF(Z29&lt;=0.4,"Baja",IF(Z29&lt;=0.6,"Media",IF(Z29&lt;=0.8,"Alta","Muy Alta"))))),"")</f>
        <v/>
      </c>
      <c r="AB29" s="114" t="str">
        <f>+Z29</f>
        <v/>
      </c>
      <c r="AC29" s="113" t="str">
        <f t="shared" ref="AC29:AC33" si="38">IFERROR(IF(AD29="","",IF(AD29&lt;=0.2,"Leve",IF(AD29&lt;=0.4,"Menor",IF(AD29&lt;=0.6,"Moderado",IF(AD29&lt;=0.8,"Mayor","Catastrófico"))))),"")</f>
        <v/>
      </c>
      <c r="AD29" s="114" t="str">
        <f>IFERROR(IF(AND(S28="Impacto",S29="Impacto"),(AD28-(+AD28*V29)),IF(AND(S28="Probabilidad",S29="Impacto"),(O28-(+O28*V29)),IF(S29="Probabilidad",AD28,""))),"")</f>
        <v/>
      </c>
      <c r="AE29" s="115" t="str">
        <f t="shared" ref="AE29:AE33" si="39">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16"/>
      <c r="AG29" s="145"/>
      <c r="AH29" s="147"/>
      <c r="AI29" s="149"/>
      <c r="AJ29" s="149"/>
      <c r="AK29" s="145"/>
      <c r="AL29" s="147"/>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25">
      <c r="A30" s="201"/>
      <c r="B30" s="250"/>
      <c r="C30" s="250"/>
      <c r="D30" s="229"/>
      <c r="E30" s="136"/>
      <c r="F30" s="231"/>
      <c r="G30" s="137"/>
      <c r="H30" s="253"/>
      <c r="I30" s="256"/>
      <c r="J30" s="244"/>
      <c r="K30" s="241"/>
      <c r="L30" s="259"/>
      <c r="M30" s="241">
        <f>IF(NOT(ISERROR(MATCH(L30,_xlfn.ANCHORARRAY(F41),0))),K43&amp;"Por favor no seleccionar los criterios de impacto",L30)</f>
        <v>0</v>
      </c>
      <c r="N30" s="244"/>
      <c r="O30" s="241"/>
      <c r="P30" s="247"/>
      <c r="Q30" s="105">
        <v>3</v>
      </c>
      <c r="R30" s="109"/>
      <c r="S30" s="107" t="str">
        <f t="shared" ref="S30:S33" si="40">IF(OR(T30="Preventivo",T30="Detectivo"),"Probabilidad",IF(T30="Correctivo","Impacto",""))</f>
        <v/>
      </c>
      <c r="T30" s="110"/>
      <c r="U30" s="110"/>
      <c r="V30" s="111" t="str">
        <f t="shared" si="36"/>
        <v/>
      </c>
      <c r="W30" s="110"/>
      <c r="X30" s="110"/>
      <c r="Y30" s="110"/>
      <c r="Z30" s="108" t="str">
        <f>IFERROR(IF(AND(S29="Probabilidad",S30="Probabilidad"),(AB29-(+AB29*V30)),IF(AND(S29="Impacto",S30="Probabilidad"),(AB28-(+AB28*V30)),IF(S30="Impacto",AB29,""))),"")</f>
        <v/>
      </c>
      <c r="AA30" s="113" t="str">
        <f t="shared" si="37"/>
        <v/>
      </c>
      <c r="AB30" s="114" t="str">
        <f t="shared" ref="AB30:AB33" si="41">+Z30</f>
        <v/>
      </c>
      <c r="AC30" s="113" t="str">
        <f t="shared" si="38"/>
        <v/>
      </c>
      <c r="AD30" s="114" t="str">
        <f t="shared" ref="AD30:AD33" si="42">IFERROR(IF(AND(S29="Impacto",S30="Impacto"),(AD29-(+AD29*V30)),IF(AND(S29="Probabilidad",S30="Impacto"),(AD28-(+AD28*V30)),IF(S30="Probabilidad",AD29,""))),"")</f>
        <v/>
      </c>
      <c r="AE30" s="115" t="str">
        <f t="shared" si="39"/>
        <v/>
      </c>
      <c r="AF30" s="116"/>
      <c r="AG30" s="145"/>
      <c r="AH30" s="147"/>
      <c r="AI30" s="149"/>
      <c r="AJ30" s="149"/>
      <c r="AK30" s="145"/>
      <c r="AL30" s="147"/>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25">
      <c r="A31" s="201"/>
      <c r="B31" s="250"/>
      <c r="C31" s="250"/>
      <c r="D31" s="229"/>
      <c r="E31" s="136"/>
      <c r="F31" s="231"/>
      <c r="G31" s="137"/>
      <c r="H31" s="253"/>
      <c r="I31" s="256"/>
      <c r="J31" s="244"/>
      <c r="K31" s="241"/>
      <c r="L31" s="259"/>
      <c r="M31" s="241">
        <f>IF(NOT(ISERROR(MATCH(L31,_xlfn.ANCHORARRAY(F42),0))),K44&amp;"Por favor no seleccionar los criterios de impacto",L31)</f>
        <v>0</v>
      </c>
      <c r="N31" s="244"/>
      <c r="O31" s="241"/>
      <c r="P31" s="247"/>
      <c r="Q31" s="105">
        <v>4</v>
      </c>
      <c r="R31" s="106"/>
      <c r="S31" s="107" t="str">
        <f t="shared" si="40"/>
        <v/>
      </c>
      <c r="T31" s="110"/>
      <c r="U31" s="110"/>
      <c r="V31" s="111" t="str">
        <f t="shared" si="36"/>
        <v/>
      </c>
      <c r="W31" s="110"/>
      <c r="X31" s="110"/>
      <c r="Y31" s="110"/>
      <c r="Z31" s="108" t="str">
        <f t="shared" ref="Z31:Z33" si="43">IFERROR(IF(AND(S30="Probabilidad",S31="Probabilidad"),(AB30-(+AB30*V31)),IF(AND(S30="Impacto",S31="Probabilidad"),(AB29-(+AB29*V31)),IF(S31="Impacto",AB30,""))),"")</f>
        <v/>
      </c>
      <c r="AA31" s="113" t="str">
        <f t="shared" si="37"/>
        <v/>
      </c>
      <c r="AB31" s="114" t="str">
        <f t="shared" si="41"/>
        <v/>
      </c>
      <c r="AC31" s="113" t="str">
        <f t="shared" si="38"/>
        <v/>
      </c>
      <c r="AD31" s="114" t="str">
        <f t="shared" si="42"/>
        <v/>
      </c>
      <c r="AE31" s="115" t="str">
        <f t="shared" si="39"/>
        <v/>
      </c>
      <c r="AF31" s="116"/>
      <c r="AG31" s="145"/>
      <c r="AH31" s="147"/>
      <c r="AI31" s="149"/>
      <c r="AJ31" s="149"/>
      <c r="AK31" s="145"/>
      <c r="AL31" s="147"/>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25">
      <c r="A32" s="201"/>
      <c r="B32" s="250"/>
      <c r="C32" s="250"/>
      <c r="D32" s="229"/>
      <c r="E32" s="136"/>
      <c r="F32" s="231"/>
      <c r="G32" s="137"/>
      <c r="H32" s="253"/>
      <c r="I32" s="256"/>
      <c r="J32" s="244"/>
      <c r="K32" s="241"/>
      <c r="L32" s="259"/>
      <c r="M32" s="241">
        <f>IF(NOT(ISERROR(MATCH(L32,_xlfn.ANCHORARRAY(F43),0))),K45&amp;"Por favor no seleccionar los criterios de impacto",L32)</f>
        <v>0</v>
      </c>
      <c r="N32" s="244"/>
      <c r="O32" s="241"/>
      <c r="P32" s="247"/>
      <c r="Q32" s="105">
        <v>5</v>
      </c>
      <c r="R32" s="106"/>
      <c r="S32" s="107" t="str">
        <f t="shared" si="40"/>
        <v/>
      </c>
      <c r="T32" s="110"/>
      <c r="U32" s="110"/>
      <c r="V32" s="111" t="str">
        <f t="shared" si="36"/>
        <v/>
      </c>
      <c r="W32" s="110"/>
      <c r="X32" s="110"/>
      <c r="Y32" s="110"/>
      <c r="Z32" s="108" t="str">
        <f t="shared" si="43"/>
        <v/>
      </c>
      <c r="AA32" s="113" t="str">
        <f t="shared" si="37"/>
        <v/>
      </c>
      <c r="AB32" s="114" t="str">
        <f t="shared" si="41"/>
        <v/>
      </c>
      <c r="AC32" s="113" t="str">
        <f t="shared" si="38"/>
        <v/>
      </c>
      <c r="AD32" s="114" t="str">
        <f t="shared" si="42"/>
        <v/>
      </c>
      <c r="AE32" s="115" t="str">
        <f t="shared" si="39"/>
        <v/>
      </c>
      <c r="AF32" s="116"/>
      <c r="AG32" s="145"/>
      <c r="AH32" s="147"/>
      <c r="AI32" s="149"/>
      <c r="AJ32" s="149"/>
      <c r="AK32" s="145"/>
      <c r="AL32" s="147"/>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25">
      <c r="A33" s="202"/>
      <c r="B33" s="251"/>
      <c r="C33" s="251"/>
      <c r="D33" s="230"/>
      <c r="E33" s="136"/>
      <c r="F33" s="231"/>
      <c r="G33" s="137"/>
      <c r="H33" s="254"/>
      <c r="I33" s="257"/>
      <c r="J33" s="245"/>
      <c r="K33" s="242"/>
      <c r="L33" s="260"/>
      <c r="M33" s="242">
        <f>IF(NOT(ISERROR(MATCH(L33,_xlfn.ANCHORARRAY(F44),0))),K46&amp;"Por favor no seleccionar los criterios de impacto",L33)</f>
        <v>0</v>
      </c>
      <c r="N33" s="245"/>
      <c r="O33" s="242"/>
      <c r="P33" s="248"/>
      <c r="Q33" s="105">
        <v>6</v>
      </c>
      <c r="R33" s="106"/>
      <c r="S33" s="107" t="str">
        <f t="shared" si="40"/>
        <v/>
      </c>
      <c r="T33" s="110"/>
      <c r="U33" s="110"/>
      <c r="V33" s="111" t="str">
        <f t="shared" si="36"/>
        <v/>
      </c>
      <c r="W33" s="110"/>
      <c r="X33" s="110"/>
      <c r="Y33" s="110"/>
      <c r="Z33" s="108" t="str">
        <f t="shared" si="43"/>
        <v/>
      </c>
      <c r="AA33" s="113" t="str">
        <f t="shared" si="37"/>
        <v/>
      </c>
      <c r="AB33" s="114" t="str">
        <f t="shared" si="41"/>
        <v/>
      </c>
      <c r="AC33" s="113" t="str">
        <f t="shared" si="38"/>
        <v/>
      </c>
      <c r="AD33" s="114" t="str">
        <f t="shared" si="42"/>
        <v/>
      </c>
      <c r="AE33" s="115" t="str">
        <f t="shared" si="39"/>
        <v/>
      </c>
      <c r="AF33" s="116"/>
      <c r="AG33" s="145"/>
      <c r="AH33" s="147"/>
      <c r="AI33" s="149"/>
      <c r="AJ33" s="149"/>
      <c r="AK33" s="145"/>
      <c r="AL33" s="147"/>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25">
      <c r="A34" s="200">
        <v>5</v>
      </c>
      <c r="B34" s="249"/>
      <c r="C34" s="249"/>
      <c r="D34" s="228"/>
      <c r="E34" s="136"/>
      <c r="F34" s="231"/>
      <c r="G34" s="137"/>
      <c r="H34" s="252"/>
      <c r="I34" s="255"/>
      <c r="J34" s="243" t="str">
        <f t="shared" ref="J34" si="44">IF(I34&lt;=0,"",IF(I34&lt;=2,"Muy Baja",IF(I34&lt;=24,"Baja",IF(I34&lt;=500,"Media",IF(I34&lt;=5000,"Alta","Muy Alta")))))</f>
        <v/>
      </c>
      <c r="K34" s="240" t="str">
        <f t="shared" ref="K34" si="45">IF(J34="","",IF(J34="Muy Baja",0.2,IF(J34="Baja",0.4,IF(J34="Media",0.6,IF(J34="Alta",0.8,IF(J34="Muy Alta",1,))))))</f>
        <v/>
      </c>
      <c r="L34" s="258"/>
      <c r="M34" s="240">
        <f>IF(NOT(ISERROR(MATCH(L34,'Tabla Impacto'!$B$221:$B$223,0))),'Tabla Impacto'!$F$223&amp;"Por favor no seleccionar los criterios de impacto(Afectación Económica o presupuestal y Pérdida Reputacional)",L34)</f>
        <v>0</v>
      </c>
      <c r="N34" s="243" t="str">
        <f>IF(OR(M34='Tabla Impacto'!$C$11,M34='Tabla Impacto'!$D$11),"Leve",IF(OR(M34='Tabla Impacto'!$C$12,M34='Tabla Impacto'!$D$12),"Menor",IF(OR(M34='Tabla Impacto'!$C$13,M34='Tabla Impacto'!$D$13),"Moderado",IF(OR(M34='Tabla Impacto'!$C$14,M34='Tabla Impacto'!$D$14),"Mayor",IF(OR(M34='Tabla Impacto'!$C$15,M34='Tabla Impacto'!$D$15),"Catastrófico","")))))</f>
        <v/>
      </c>
      <c r="O34" s="240" t="str">
        <f t="shared" ref="O34" si="46">IF(N34="","",IF(N34="Leve",0.2,IF(N34="Menor",0.4,IF(N34="Moderado",0.6,IF(N34="Mayor",0.8,IF(N34="Catastrófico",1,))))))</f>
        <v/>
      </c>
      <c r="P34" s="246" t="str">
        <f t="shared" ref="P34" si="47">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5">
        <v>1</v>
      </c>
      <c r="R34" s="106"/>
      <c r="S34" s="107" t="str">
        <f>IF(OR(T34="Preventivo",T34="Detectivo"),"Probabilidad",IF(T34="Correctivo","Impacto",""))</f>
        <v/>
      </c>
      <c r="T34" s="110"/>
      <c r="U34" s="110"/>
      <c r="V34" s="111" t="str">
        <f>IF(AND(T34="Preventivo",U34="Automático"),"50%",IF(AND(T34="Preventivo",U34="Manual"),"40%",IF(AND(T34="Detectivo",U34="Automático"),"40%",IF(AND(T34="Detectivo",U34="Manual"),"30%",IF(AND(T34="Correctivo",U34="Automático"),"35%",IF(AND(T34="Correctivo",U34="Manual"),"25%",""))))))</f>
        <v/>
      </c>
      <c r="W34" s="110"/>
      <c r="X34" s="110"/>
      <c r="Y34" s="110"/>
      <c r="Z34" s="108" t="str">
        <f>IFERROR(IF(S34="Probabilidad",(K34-(+K34*V34)),IF(S34="Impacto",K34,"")),"")</f>
        <v/>
      </c>
      <c r="AA34" s="113" t="str">
        <f>IFERROR(IF(Z34="","",IF(Z34&lt;=0.2,"Muy Baja",IF(Z34&lt;=0.4,"Baja",IF(Z34&lt;=0.6,"Media",IF(Z34&lt;=0.8,"Alta","Muy Alta"))))),"")</f>
        <v/>
      </c>
      <c r="AB34" s="114" t="str">
        <f>+Z34</f>
        <v/>
      </c>
      <c r="AC34" s="113" t="str">
        <f>IFERROR(IF(AD34="","",IF(AD34&lt;=0.2,"Leve",IF(AD34&lt;=0.4,"Menor",IF(AD34&lt;=0.6,"Moderado",IF(AD34&lt;=0.8,"Mayor","Catastrófico"))))),"")</f>
        <v/>
      </c>
      <c r="AD34" s="114" t="str">
        <f>IFERROR(IF(S34="Impacto",(O34-(+O34*V34)),IF(S34="Probabilidad",O34,"")),"")</f>
        <v/>
      </c>
      <c r="AE34" s="115"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16"/>
      <c r="AG34" s="145"/>
      <c r="AH34" s="147"/>
      <c r="AI34" s="149"/>
      <c r="AJ34" s="149"/>
      <c r="AK34" s="145"/>
      <c r="AL34" s="147"/>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25">
      <c r="A35" s="201"/>
      <c r="B35" s="250"/>
      <c r="C35" s="250"/>
      <c r="D35" s="229"/>
      <c r="E35" s="136"/>
      <c r="F35" s="231"/>
      <c r="G35" s="137"/>
      <c r="H35" s="253"/>
      <c r="I35" s="256"/>
      <c r="J35" s="244"/>
      <c r="K35" s="241"/>
      <c r="L35" s="259"/>
      <c r="M35" s="241">
        <f>IF(NOT(ISERROR(MATCH(L35,_xlfn.ANCHORARRAY(F46),0))),K48&amp;"Por favor no seleccionar los criterios de impacto",L35)</f>
        <v>0</v>
      </c>
      <c r="N35" s="244"/>
      <c r="O35" s="241"/>
      <c r="P35" s="247"/>
      <c r="Q35" s="105">
        <v>2</v>
      </c>
      <c r="R35" s="106"/>
      <c r="S35" s="107" t="str">
        <f>IF(OR(T35="Preventivo",T35="Detectivo"),"Probabilidad",IF(T35="Correctivo","Impacto",""))</f>
        <v/>
      </c>
      <c r="T35" s="110"/>
      <c r="U35" s="110"/>
      <c r="V35" s="111" t="str">
        <f t="shared" ref="V35:V39" si="48">IF(AND(T35="Preventivo",U35="Automático"),"50%",IF(AND(T35="Preventivo",U35="Manual"),"40%",IF(AND(T35="Detectivo",U35="Automático"),"40%",IF(AND(T35="Detectivo",U35="Manual"),"30%",IF(AND(T35="Correctivo",U35="Automático"),"35%",IF(AND(T35="Correctivo",U35="Manual"),"25%",""))))))</f>
        <v/>
      </c>
      <c r="W35" s="110"/>
      <c r="X35" s="110"/>
      <c r="Y35" s="110"/>
      <c r="Z35" s="108" t="str">
        <f>IFERROR(IF(AND(S34="Probabilidad",S35="Probabilidad"),(AB34-(+AB34*V35)),IF(AND(S34="Impacto",S35="Probabilidad"),(K34-(+K34*V35)),IF(S35="Impacto",AB34,""))),"")</f>
        <v/>
      </c>
      <c r="AA35" s="113" t="str">
        <f t="shared" ref="AA35:AA39" si="49">IFERROR(IF(Z35="","",IF(Z35&lt;=0.2,"Muy Baja",IF(Z35&lt;=0.4,"Baja",IF(Z35&lt;=0.6,"Media",IF(Z35&lt;=0.8,"Alta","Muy Alta"))))),"")</f>
        <v/>
      </c>
      <c r="AB35" s="114" t="str">
        <f>+Z35</f>
        <v/>
      </c>
      <c r="AC35" s="113" t="str">
        <f t="shared" ref="AC35:AC39" si="50">IFERROR(IF(AD35="","",IF(AD35&lt;=0.2,"Leve",IF(AD35&lt;=0.4,"Menor",IF(AD35&lt;=0.6,"Moderado",IF(AD35&lt;=0.8,"Mayor","Catastrófico"))))),"")</f>
        <v/>
      </c>
      <c r="AD35" s="114" t="str">
        <f>IFERROR(IF(AND(S34="Impacto",S35="Impacto"),(AD34-(+AD34*V35)),IF(AND(S34="Probabilidad",S35="Impacto"),(O34-(+O34*V35)),IF(S35="Probabilidad",AD34,""))),"")</f>
        <v/>
      </c>
      <c r="AE35" s="115" t="str">
        <f t="shared" ref="AE35:AE39" si="51">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16"/>
      <c r="AG35" s="145"/>
      <c r="AH35" s="147"/>
      <c r="AI35" s="149"/>
      <c r="AJ35" s="149"/>
      <c r="AK35" s="145"/>
      <c r="AL35" s="147"/>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25">
      <c r="A36" s="201"/>
      <c r="B36" s="250"/>
      <c r="C36" s="250"/>
      <c r="D36" s="229"/>
      <c r="E36" s="136"/>
      <c r="F36" s="231"/>
      <c r="G36" s="137"/>
      <c r="H36" s="253"/>
      <c r="I36" s="256"/>
      <c r="J36" s="244"/>
      <c r="K36" s="241"/>
      <c r="L36" s="259"/>
      <c r="M36" s="241">
        <f>IF(NOT(ISERROR(MATCH(L36,_xlfn.ANCHORARRAY(F47),0))),K49&amp;"Por favor no seleccionar los criterios de impacto",L36)</f>
        <v>0</v>
      </c>
      <c r="N36" s="244"/>
      <c r="O36" s="241"/>
      <c r="P36" s="247"/>
      <c r="Q36" s="105">
        <v>3</v>
      </c>
      <c r="R36" s="109"/>
      <c r="S36" s="107" t="str">
        <f t="shared" ref="S36:S39" si="52">IF(OR(T36="Preventivo",T36="Detectivo"),"Probabilidad",IF(T36="Correctivo","Impacto",""))</f>
        <v/>
      </c>
      <c r="T36" s="110"/>
      <c r="U36" s="110"/>
      <c r="V36" s="111" t="str">
        <f t="shared" si="48"/>
        <v/>
      </c>
      <c r="W36" s="110"/>
      <c r="X36" s="110"/>
      <c r="Y36" s="110"/>
      <c r="Z36" s="108" t="str">
        <f>IFERROR(IF(AND(S35="Probabilidad",S36="Probabilidad"),(AB35-(+AB35*V36)),IF(AND(S35="Impacto",S36="Probabilidad"),(AB34-(+AB34*V36)),IF(S36="Impacto",AB35,""))),"")</f>
        <v/>
      </c>
      <c r="AA36" s="113" t="str">
        <f t="shared" si="49"/>
        <v/>
      </c>
      <c r="AB36" s="114" t="str">
        <f t="shared" ref="AB36:AB39" si="53">+Z36</f>
        <v/>
      </c>
      <c r="AC36" s="113" t="str">
        <f t="shared" si="50"/>
        <v/>
      </c>
      <c r="AD36" s="114" t="str">
        <f t="shared" ref="AD36:AD39" si="54">IFERROR(IF(AND(S35="Impacto",S36="Impacto"),(AD35-(+AD35*V36)),IF(AND(S35="Probabilidad",S36="Impacto"),(AD34-(+AD34*V36)),IF(S36="Probabilidad",AD35,""))),"")</f>
        <v/>
      </c>
      <c r="AE36" s="115" t="str">
        <f t="shared" si="51"/>
        <v/>
      </c>
      <c r="AF36" s="116"/>
      <c r="AG36" s="145"/>
      <c r="AH36" s="147"/>
      <c r="AI36" s="149"/>
      <c r="AJ36" s="149"/>
      <c r="AK36" s="145"/>
      <c r="AL36" s="147"/>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25">
      <c r="A37" s="201"/>
      <c r="B37" s="250"/>
      <c r="C37" s="250"/>
      <c r="D37" s="229"/>
      <c r="E37" s="136"/>
      <c r="F37" s="231"/>
      <c r="G37" s="137"/>
      <c r="H37" s="253"/>
      <c r="I37" s="256"/>
      <c r="J37" s="244"/>
      <c r="K37" s="241"/>
      <c r="L37" s="259"/>
      <c r="M37" s="241">
        <f>IF(NOT(ISERROR(MATCH(L37,_xlfn.ANCHORARRAY(F48),0))),K50&amp;"Por favor no seleccionar los criterios de impacto",L37)</f>
        <v>0</v>
      </c>
      <c r="N37" s="244"/>
      <c r="O37" s="241"/>
      <c r="P37" s="247"/>
      <c r="Q37" s="105">
        <v>4</v>
      </c>
      <c r="R37" s="106"/>
      <c r="S37" s="107" t="str">
        <f t="shared" si="52"/>
        <v/>
      </c>
      <c r="T37" s="110"/>
      <c r="U37" s="110"/>
      <c r="V37" s="111" t="str">
        <f t="shared" si="48"/>
        <v/>
      </c>
      <c r="W37" s="110"/>
      <c r="X37" s="110"/>
      <c r="Y37" s="110"/>
      <c r="Z37" s="108" t="str">
        <f t="shared" ref="Z37:Z39" si="55">IFERROR(IF(AND(S36="Probabilidad",S37="Probabilidad"),(AB36-(+AB36*V37)),IF(AND(S36="Impacto",S37="Probabilidad"),(AB35-(+AB35*V37)),IF(S37="Impacto",AB36,""))),"")</f>
        <v/>
      </c>
      <c r="AA37" s="113" t="str">
        <f t="shared" si="49"/>
        <v/>
      </c>
      <c r="AB37" s="114" t="str">
        <f t="shared" si="53"/>
        <v/>
      </c>
      <c r="AC37" s="113" t="str">
        <f t="shared" si="50"/>
        <v/>
      </c>
      <c r="AD37" s="114" t="str">
        <f t="shared" si="54"/>
        <v/>
      </c>
      <c r="AE37" s="115" t="str">
        <f t="shared" si="51"/>
        <v/>
      </c>
      <c r="AF37" s="116"/>
      <c r="AG37" s="145"/>
      <c r="AH37" s="147"/>
      <c r="AI37" s="149"/>
      <c r="AJ37" s="149"/>
      <c r="AK37" s="145"/>
      <c r="AL37" s="147"/>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25">
      <c r="A38" s="201"/>
      <c r="B38" s="250"/>
      <c r="C38" s="250"/>
      <c r="D38" s="229"/>
      <c r="E38" s="136"/>
      <c r="F38" s="231"/>
      <c r="G38" s="137"/>
      <c r="H38" s="253"/>
      <c r="I38" s="256"/>
      <c r="J38" s="244"/>
      <c r="K38" s="241"/>
      <c r="L38" s="259"/>
      <c r="M38" s="241">
        <f>IF(NOT(ISERROR(MATCH(L38,_xlfn.ANCHORARRAY(F49),0))),K51&amp;"Por favor no seleccionar los criterios de impacto",L38)</f>
        <v>0</v>
      </c>
      <c r="N38" s="244"/>
      <c r="O38" s="241"/>
      <c r="P38" s="247"/>
      <c r="Q38" s="105">
        <v>5</v>
      </c>
      <c r="R38" s="106"/>
      <c r="S38" s="107" t="str">
        <f t="shared" si="52"/>
        <v/>
      </c>
      <c r="T38" s="110"/>
      <c r="U38" s="110"/>
      <c r="V38" s="111" t="str">
        <f t="shared" si="48"/>
        <v/>
      </c>
      <c r="W38" s="110"/>
      <c r="X38" s="110"/>
      <c r="Y38" s="110"/>
      <c r="Z38" s="108" t="str">
        <f t="shared" si="55"/>
        <v/>
      </c>
      <c r="AA38" s="113" t="str">
        <f t="shared" si="49"/>
        <v/>
      </c>
      <c r="AB38" s="114" t="str">
        <f t="shared" si="53"/>
        <v/>
      </c>
      <c r="AC38" s="113" t="str">
        <f t="shared" si="50"/>
        <v/>
      </c>
      <c r="AD38" s="114" t="str">
        <f t="shared" si="54"/>
        <v/>
      </c>
      <c r="AE38" s="115" t="str">
        <f t="shared" si="51"/>
        <v/>
      </c>
      <c r="AF38" s="116"/>
      <c r="AG38" s="145"/>
      <c r="AH38" s="147"/>
      <c r="AI38" s="149"/>
      <c r="AJ38" s="149"/>
      <c r="AK38" s="145"/>
      <c r="AL38" s="147"/>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25">
      <c r="A39" s="202"/>
      <c r="B39" s="251"/>
      <c r="C39" s="251"/>
      <c r="D39" s="230"/>
      <c r="E39" s="136"/>
      <c r="F39" s="231"/>
      <c r="G39" s="137"/>
      <c r="H39" s="254"/>
      <c r="I39" s="257"/>
      <c r="J39" s="245"/>
      <c r="K39" s="242"/>
      <c r="L39" s="260"/>
      <c r="M39" s="242">
        <f>IF(NOT(ISERROR(MATCH(L39,_xlfn.ANCHORARRAY(F50),0))),K52&amp;"Por favor no seleccionar los criterios de impacto",L39)</f>
        <v>0</v>
      </c>
      <c r="N39" s="245"/>
      <c r="O39" s="242"/>
      <c r="P39" s="248"/>
      <c r="Q39" s="105">
        <v>6</v>
      </c>
      <c r="R39" s="106"/>
      <c r="S39" s="107" t="str">
        <f t="shared" si="52"/>
        <v/>
      </c>
      <c r="T39" s="110"/>
      <c r="U39" s="110"/>
      <c r="V39" s="111" t="str">
        <f t="shared" si="48"/>
        <v/>
      </c>
      <c r="W39" s="110"/>
      <c r="X39" s="110"/>
      <c r="Y39" s="110"/>
      <c r="Z39" s="108" t="str">
        <f t="shared" si="55"/>
        <v/>
      </c>
      <c r="AA39" s="113" t="str">
        <f t="shared" si="49"/>
        <v/>
      </c>
      <c r="AB39" s="114" t="str">
        <f t="shared" si="53"/>
        <v/>
      </c>
      <c r="AC39" s="113" t="str">
        <f t="shared" si="50"/>
        <v/>
      </c>
      <c r="AD39" s="114" t="str">
        <f t="shared" si="54"/>
        <v/>
      </c>
      <c r="AE39" s="115" t="str">
        <f t="shared" si="51"/>
        <v/>
      </c>
      <c r="AF39" s="116"/>
      <c r="AG39" s="145"/>
      <c r="AH39" s="147"/>
      <c r="AI39" s="149"/>
      <c r="AJ39" s="149"/>
      <c r="AK39" s="145"/>
      <c r="AL39" s="147"/>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25">
      <c r="A40" s="200">
        <v>6</v>
      </c>
      <c r="B40" s="249"/>
      <c r="C40" s="249"/>
      <c r="D40" s="228"/>
      <c r="E40" s="136"/>
      <c r="F40" s="231"/>
      <c r="G40" s="137"/>
      <c r="H40" s="252"/>
      <c r="I40" s="255"/>
      <c r="J40" s="243" t="str">
        <f t="shared" ref="J40" si="56">IF(I40&lt;=0,"",IF(I40&lt;=2,"Muy Baja",IF(I40&lt;=24,"Baja",IF(I40&lt;=500,"Media",IF(I40&lt;=5000,"Alta","Muy Alta")))))</f>
        <v/>
      </c>
      <c r="K40" s="240" t="str">
        <f t="shared" ref="K40" si="57">IF(J40="","",IF(J40="Muy Baja",0.2,IF(J40="Baja",0.4,IF(J40="Media",0.6,IF(J40="Alta",0.8,IF(J40="Muy Alta",1,))))))</f>
        <v/>
      </c>
      <c r="L40" s="258"/>
      <c r="M40" s="240">
        <f>IF(NOT(ISERROR(MATCH(L40,'Tabla Impacto'!$B$221:$B$223,0))),'Tabla Impacto'!$F$223&amp;"Por favor no seleccionar los criterios de impacto(Afectación Económica o presupuestal y Pérdida Reputacional)",L40)</f>
        <v>0</v>
      </c>
      <c r="N40" s="243" t="str">
        <f>IF(OR(M40='Tabla Impacto'!$C$11,M40='Tabla Impacto'!$D$11),"Leve",IF(OR(M40='Tabla Impacto'!$C$12,M40='Tabla Impacto'!$D$12),"Menor",IF(OR(M40='Tabla Impacto'!$C$13,M40='Tabla Impacto'!$D$13),"Moderado",IF(OR(M40='Tabla Impacto'!$C$14,M40='Tabla Impacto'!$D$14),"Mayor",IF(OR(M40='Tabla Impacto'!$C$15,M40='Tabla Impacto'!$D$15),"Catastrófico","")))))</f>
        <v/>
      </c>
      <c r="O40" s="240" t="str">
        <f t="shared" ref="O40" si="58">IF(N40="","",IF(N40="Leve",0.2,IF(N40="Menor",0.4,IF(N40="Moderado",0.6,IF(N40="Mayor",0.8,IF(N40="Catastrófico",1,))))))</f>
        <v/>
      </c>
      <c r="P40" s="246" t="str">
        <f t="shared" ref="P40" si="59">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5">
        <v>1</v>
      </c>
      <c r="R40" s="106"/>
      <c r="S40" s="107" t="str">
        <f>IF(OR(T40="Preventivo",T40="Detectivo"),"Probabilidad",IF(T40="Correctivo","Impacto",""))</f>
        <v/>
      </c>
      <c r="T40" s="110"/>
      <c r="U40" s="110"/>
      <c r="V40" s="111" t="str">
        <f>IF(AND(T40="Preventivo",U40="Automático"),"50%",IF(AND(T40="Preventivo",U40="Manual"),"40%",IF(AND(T40="Detectivo",U40="Automático"),"40%",IF(AND(T40="Detectivo",U40="Manual"),"30%",IF(AND(T40="Correctivo",U40="Automático"),"35%",IF(AND(T40="Correctivo",U40="Manual"),"25%",""))))))</f>
        <v/>
      </c>
      <c r="W40" s="110"/>
      <c r="X40" s="110"/>
      <c r="Y40" s="110"/>
      <c r="Z40" s="108" t="str">
        <f>IFERROR(IF(S40="Probabilidad",(K40-(+K40*V40)),IF(S40="Impacto",K40,"")),"")</f>
        <v/>
      </c>
      <c r="AA40" s="113" t="str">
        <f>IFERROR(IF(Z40="","",IF(Z40&lt;=0.2,"Muy Baja",IF(Z40&lt;=0.4,"Baja",IF(Z40&lt;=0.6,"Media",IF(Z40&lt;=0.8,"Alta","Muy Alta"))))),"")</f>
        <v/>
      </c>
      <c r="AB40" s="114" t="str">
        <f>+Z40</f>
        <v/>
      </c>
      <c r="AC40" s="113" t="str">
        <f>IFERROR(IF(AD40="","",IF(AD40&lt;=0.2,"Leve",IF(AD40&lt;=0.4,"Menor",IF(AD40&lt;=0.6,"Moderado",IF(AD40&lt;=0.8,"Mayor","Catastrófico"))))),"")</f>
        <v/>
      </c>
      <c r="AD40" s="114" t="str">
        <f>IFERROR(IF(S40="Impacto",(O40-(+O40*V40)),IF(S40="Probabilidad",O40,"")),"")</f>
        <v/>
      </c>
      <c r="AE40" s="115"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16"/>
      <c r="AG40" s="145"/>
      <c r="AH40" s="147"/>
      <c r="AI40" s="149"/>
      <c r="AJ40" s="149"/>
      <c r="AK40" s="145"/>
      <c r="AL40" s="147"/>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25">
      <c r="A41" s="201"/>
      <c r="B41" s="250"/>
      <c r="C41" s="250"/>
      <c r="D41" s="229"/>
      <c r="E41" s="136"/>
      <c r="F41" s="231"/>
      <c r="G41" s="137"/>
      <c r="H41" s="253"/>
      <c r="I41" s="256"/>
      <c r="J41" s="244"/>
      <c r="K41" s="241"/>
      <c r="L41" s="259"/>
      <c r="M41" s="241">
        <f>IF(NOT(ISERROR(MATCH(L41,_xlfn.ANCHORARRAY(F52),0))),K54&amp;"Por favor no seleccionar los criterios de impacto",L41)</f>
        <v>0</v>
      </c>
      <c r="N41" s="244"/>
      <c r="O41" s="241"/>
      <c r="P41" s="247"/>
      <c r="Q41" s="105">
        <v>2</v>
      </c>
      <c r="R41" s="106"/>
      <c r="S41" s="107" t="str">
        <f>IF(OR(T41="Preventivo",T41="Detectivo"),"Probabilidad",IF(T41="Correctivo","Impacto",""))</f>
        <v/>
      </c>
      <c r="T41" s="110"/>
      <c r="U41" s="110"/>
      <c r="V41" s="111" t="str">
        <f t="shared" ref="V41:V45" si="60">IF(AND(T41="Preventivo",U41="Automático"),"50%",IF(AND(T41="Preventivo",U41="Manual"),"40%",IF(AND(T41="Detectivo",U41="Automático"),"40%",IF(AND(T41="Detectivo",U41="Manual"),"30%",IF(AND(T41="Correctivo",U41="Automático"),"35%",IF(AND(T41="Correctivo",U41="Manual"),"25%",""))))))</f>
        <v/>
      </c>
      <c r="W41" s="110"/>
      <c r="X41" s="110"/>
      <c r="Y41" s="110"/>
      <c r="Z41" s="108" t="str">
        <f>IFERROR(IF(AND(S40="Probabilidad",S41="Probabilidad"),(AB40-(+AB40*V41)),IF(AND(S40="Impacto",S41="Probabilidad"),(K40-(+K40*V41)),IF(S41="Impacto",AB40,""))),"")</f>
        <v/>
      </c>
      <c r="AA41" s="113" t="str">
        <f t="shared" ref="AA41:AA45" si="61">IFERROR(IF(Z41="","",IF(Z41&lt;=0.2,"Muy Baja",IF(Z41&lt;=0.4,"Baja",IF(Z41&lt;=0.6,"Media",IF(Z41&lt;=0.8,"Alta","Muy Alta"))))),"")</f>
        <v/>
      </c>
      <c r="AB41" s="114" t="str">
        <f>+Z41</f>
        <v/>
      </c>
      <c r="AC41" s="113" t="str">
        <f t="shared" ref="AC41:AC45" si="62">IFERROR(IF(AD41="","",IF(AD41&lt;=0.2,"Leve",IF(AD41&lt;=0.4,"Menor",IF(AD41&lt;=0.6,"Moderado",IF(AD41&lt;=0.8,"Mayor","Catastrófico"))))),"")</f>
        <v/>
      </c>
      <c r="AD41" s="114" t="str">
        <f>IFERROR(IF(AND(S40="Impacto",S41="Impacto"),(AD40-(+AD40*V41)),IF(AND(S40="Probabilidad",S41="Impacto"),(O40-(+O40*V41)),IF(S41="Probabilidad",AD40,""))),"")</f>
        <v/>
      </c>
      <c r="AE41" s="115" t="str">
        <f t="shared" ref="AE41:AE45" si="63">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16"/>
      <c r="AG41" s="145"/>
      <c r="AH41" s="147"/>
      <c r="AI41" s="149"/>
      <c r="AJ41" s="149"/>
      <c r="AK41" s="145"/>
      <c r="AL41" s="147"/>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25">
      <c r="A42" s="201"/>
      <c r="B42" s="250"/>
      <c r="C42" s="250"/>
      <c r="D42" s="229"/>
      <c r="E42" s="136"/>
      <c r="F42" s="231"/>
      <c r="G42" s="137"/>
      <c r="H42" s="253"/>
      <c r="I42" s="256"/>
      <c r="J42" s="244"/>
      <c r="K42" s="241"/>
      <c r="L42" s="259"/>
      <c r="M42" s="241">
        <f>IF(NOT(ISERROR(MATCH(L42,_xlfn.ANCHORARRAY(F53),0))),K55&amp;"Por favor no seleccionar los criterios de impacto",L42)</f>
        <v>0</v>
      </c>
      <c r="N42" s="244"/>
      <c r="O42" s="241"/>
      <c r="P42" s="247"/>
      <c r="Q42" s="105">
        <v>3</v>
      </c>
      <c r="R42" s="109"/>
      <c r="S42" s="107" t="str">
        <f t="shared" ref="S42:S45" si="64">IF(OR(T42="Preventivo",T42="Detectivo"),"Probabilidad",IF(T42="Correctivo","Impacto",""))</f>
        <v/>
      </c>
      <c r="T42" s="110"/>
      <c r="U42" s="110"/>
      <c r="V42" s="111" t="str">
        <f t="shared" si="60"/>
        <v/>
      </c>
      <c r="W42" s="110"/>
      <c r="X42" s="110"/>
      <c r="Y42" s="110"/>
      <c r="Z42" s="108" t="str">
        <f>IFERROR(IF(AND(S41="Probabilidad",S42="Probabilidad"),(AB41-(+AB41*V42)),IF(AND(S41="Impacto",S42="Probabilidad"),(AB40-(+AB40*V42)),IF(S42="Impacto",AB41,""))),"")</f>
        <v/>
      </c>
      <c r="AA42" s="113" t="str">
        <f t="shared" si="61"/>
        <v/>
      </c>
      <c r="AB42" s="114" t="str">
        <f t="shared" ref="AB42:AB45" si="65">+Z42</f>
        <v/>
      </c>
      <c r="AC42" s="113" t="str">
        <f t="shared" si="62"/>
        <v/>
      </c>
      <c r="AD42" s="114" t="str">
        <f t="shared" ref="AD42:AD45" si="66">IFERROR(IF(AND(S41="Impacto",S42="Impacto"),(AD41-(+AD41*V42)),IF(AND(S41="Probabilidad",S42="Impacto"),(AD40-(+AD40*V42)),IF(S42="Probabilidad",AD41,""))),"")</f>
        <v/>
      </c>
      <c r="AE42" s="115" t="str">
        <f t="shared" si="63"/>
        <v/>
      </c>
      <c r="AF42" s="116"/>
      <c r="AG42" s="145"/>
      <c r="AH42" s="147"/>
      <c r="AI42" s="149"/>
      <c r="AJ42" s="149"/>
      <c r="AK42" s="145"/>
      <c r="AL42" s="147"/>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25">
      <c r="A43" s="201"/>
      <c r="B43" s="250"/>
      <c r="C43" s="250"/>
      <c r="D43" s="229"/>
      <c r="E43" s="136"/>
      <c r="F43" s="231"/>
      <c r="G43" s="137"/>
      <c r="H43" s="253"/>
      <c r="I43" s="256"/>
      <c r="J43" s="244"/>
      <c r="K43" s="241"/>
      <c r="L43" s="259"/>
      <c r="M43" s="241">
        <f>IF(NOT(ISERROR(MATCH(L43,_xlfn.ANCHORARRAY(F54),0))),K56&amp;"Por favor no seleccionar los criterios de impacto",L43)</f>
        <v>0</v>
      </c>
      <c r="N43" s="244"/>
      <c r="O43" s="241"/>
      <c r="P43" s="247"/>
      <c r="Q43" s="105">
        <v>4</v>
      </c>
      <c r="R43" s="106"/>
      <c r="S43" s="107" t="str">
        <f t="shared" si="64"/>
        <v/>
      </c>
      <c r="T43" s="110"/>
      <c r="U43" s="110"/>
      <c r="V43" s="111" t="str">
        <f t="shared" si="60"/>
        <v/>
      </c>
      <c r="W43" s="110"/>
      <c r="X43" s="110"/>
      <c r="Y43" s="110"/>
      <c r="Z43" s="108" t="str">
        <f t="shared" ref="Z43:Z45" si="67">IFERROR(IF(AND(S42="Probabilidad",S43="Probabilidad"),(AB42-(+AB42*V43)),IF(AND(S42="Impacto",S43="Probabilidad"),(AB41-(+AB41*V43)),IF(S43="Impacto",AB42,""))),"")</f>
        <v/>
      </c>
      <c r="AA43" s="113" t="str">
        <f t="shared" si="61"/>
        <v/>
      </c>
      <c r="AB43" s="114" t="str">
        <f t="shared" si="65"/>
        <v/>
      </c>
      <c r="AC43" s="113" t="str">
        <f t="shared" si="62"/>
        <v/>
      </c>
      <c r="AD43" s="114" t="str">
        <f t="shared" si="66"/>
        <v/>
      </c>
      <c r="AE43" s="115" t="str">
        <f t="shared" si="63"/>
        <v/>
      </c>
      <c r="AF43" s="116"/>
      <c r="AG43" s="145"/>
      <c r="AH43" s="147"/>
      <c r="AI43" s="149"/>
      <c r="AJ43" s="149"/>
      <c r="AK43" s="145"/>
      <c r="AL43" s="147"/>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25">
      <c r="A44" s="201"/>
      <c r="B44" s="250"/>
      <c r="C44" s="250"/>
      <c r="D44" s="229"/>
      <c r="E44" s="136"/>
      <c r="F44" s="231"/>
      <c r="G44" s="137"/>
      <c r="H44" s="253"/>
      <c r="I44" s="256"/>
      <c r="J44" s="244"/>
      <c r="K44" s="241"/>
      <c r="L44" s="259"/>
      <c r="M44" s="241">
        <f>IF(NOT(ISERROR(MATCH(L44,_xlfn.ANCHORARRAY(F55),0))),K57&amp;"Por favor no seleccionar los criterios de impacto",L44)</f>
        <v>0</v>
      </c>
      <c r="N44" s="244"/>
      <c r="O44" s="241"/>
      <c r="P44" s="247"/>
      <c r="Q44" s="105">
        <v>5</v>
      </c>
      <c r="R44" s="106"/>
      <c r="S44" s="107" t="str">
        <f t="shared" si="64"/>
        <v/>
      </c>
      <c r="T44" s="110"/>
      <c r="U44" s="110"/>
      <c r="V44" s="111" t="str">
        <f t="shared" si="60"/>
        <v/>
      </c>
      <c r="W44" s="110"/>
      <c r="X44" s="110"/>
      <c r="Y44" s="110"/>
      <c r="Z44" s="108" t="str">
        <f t="shared" si="67"/>
        <v/>
      </c>
      <c r="AA44" s="113" t="str">
        <f t="shared" si="61"/>
        <v/>
      </c>
      <c r="AB44" s="114" t="str">
        <f t="shared" si="65"/>
        <v/>
      </c>
      <c r="AC44" s="113" t="str">
        <f t="shared" si="62"/>
        <v/>
      </c>
      <c r="AD44" s="114" t="str">
        <f t="shared" si="66"/>
        <v/>
      </c>
      <c r="AE44" s="115" t="str">
        <f t="shared" si="63"/>
        <v/>
      </c>
      <c r="AF44" s="116"/>
      <c r="AG44" s="145"/>
      <c r="AH44" s="147"/>
      <c r="AI44" s="149"/>
      <c r="AJ44" s="149"/>
      <c r="AK44" s="145"/>
      <c r="AL44" s="147"/>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25">
      <c r="A45" s="202"/>
      <c r="B45" s="251"/>
      <c r="C45" s="251"/>
      <c r="D45" s="230"/>
      <c r="E45" s="136"/>
      <c r="F45" s="231"/>
      <c r="G45" s="137"/>
      <c r="H45" s="254"/>
      <c r="I45" s="257"/>
      <c r="J45" s="245"/>
      <c r="K45" s="242"/>
      <c r="L45" s="260"/>
      <c r="M45" s="242">
        <f>IF(NOT(ISERROR(MATCH(L45,_xlfn.ANCHORARRAY(F56),0))),K58&amp;"Por favor no seleccionar los criterios de impacto",L45)</f>
        <v>0</v>
      </c>
      <c r="N45" s="245"/>
      <c r="O45" s="242"/>
      <c r="P45" s="248"/>
      <c r="Q45" s="105">
        <v>6</v>
      </c>
      <c r="R45" s="106"/>
      <c r="S45" s="107" t="str">
        <f t="shared" si="64"/>
        <v/>
      </c>
      <c r="T45" s="110"/>
      <c r="U45" s="110"/>
      <c r="V45" s="111" t="str">
        <f t="shared" si="60"/>
        <v/>
      </c>
      <c r="W45" s="110"/>
      <c r="X45" s="110"/>
      <c r="Y45" s="110"/>
      <c r="Z45" s="108" t="str">
        <f t="shared" si="67"/>
        <v/>
      </c>
      <c r="AA45" s="113" t="str">
        <f t="shared" si="61"/>
        <v/>
      </c>
      <c r="AB45" s="114" t="str">
        <f t="shared" si="65"/>
        <v/>
      </c>
      <c r="AC45" s="113" t="str">
        <f t="shared" si="62"/>
        <v/>
      </c>
      <c r="AD45" s="114" t="str">
        <f t="shared" si="66"/>
        <v/>
      </c>
      <c r="AE45" s="115" t="str">
        <f t="shared" si="63"/>
        <v/>
      </c>
      <c r="AF45" s="116"/>
      <c r="AG45" s="145"/>
      <c r="AH45" s="147"/>
      <c r="AI45" s="149"/>
      <c r="AJ45" s="149"/>
      <c r="AK45" s="145"/>
      <c r="AL45" s="147"/>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25">
      <c r="A46" s="200">
        <v>7</v>
      </c>
      <c r="B46" s="249"/>
      <c r="C46" s="249"/>
      <c r="D46" s="249"/>
      <c r="E46" s="118"/>
      <c r="F46" s="262"/>
      <c r="G46" s="121"/>
      <c r="H46" s="249"/>
      <c r="I46" s="255"/>
      <c r="J46" s="243" t="str">
        <f t="shared" ref="J46" si="68">IF(I46&lt;=0,"",IF(I46&lt;=2,"Muy Baja",IF(I46&lt;=24,"Baja",IF(I46&lt;=500,"Media",IF(I46&lt;=5000,"Alta","Muy Alta")))))</f>
        <v/>
      </c>
      <c r="K46" s="240" t="str">
        <f t="shared" ref="K46" si="69">IF(J46="","",IF(J46="Muy Baja",0.2,IF(J46="Baja",0.4,IF(J46="Media",0.6,IF(J46="Alta",0.8,IF(J46="Muy Alta",1,))))))</f>
        <v/>
      </c>
      <c r="L46" s="258"/>
      <c r="M46" s="240">
        <f>IF(NOT(ISERROR(MATCH(L46,'Tabla Impacto'!$B$221:$B$223,0))),'Tabla Impacto'!$F$223&amp;"Por favor no seleccionar los criterios de impacto(Afectación Económica o presupuestal y Pérdida Reputacional)",L46)</f>
        <v>0</v>
      </c>
      <c r="N46" s="243" t="str">
        <f>IF(OR(M46='Tabla Impacto'!$C$11,M46='Tabla Impacto'!$D$11),"Leve",IF(OR(M46='Tabla Impacto'!$C$12,M46='Tabla Impacto'!$D$12),"Menor",IF(OR(M46='Tabla Impacto'!$C$13,M46='Tabla Impacto'!$D$13),"Moderado",IF(OR(M46='Tabla Impacto'!$C$14,M46='Tabla Impacto'!$D$14),"Mayor",IF(OR(M46='Tabla Impacto'!$C$15,M46='Tabla Impacto'!$D$15),"Catastrófico","")))))</f>
        <v/>
      </c>
      <c r="O46" s="240" t="str">
        <f t="shared" ref="O46" si="70">IF(N46="","",IF(N46="Leve",0.2,IF(N46="Menor",0.4,IF(N46="Moderado",0.6,IF(N46="Mayor",0.8,IF(N46="Catastrófico",1,))))))</f>
        <v/>
      </c>
      <c r="P46" s="246" t="str">
        <f t="shared" ref="P46" si="71">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5">
        <v>1</v>
      </c>
      <c r="R46" s="106"/>
      <c r="S46" s="107" t="str">
        <f>IF(OR(T46="Preventivo",T46="Detectivo"),"Probabilidad",IF(T46="Correctivo","Impacto",""))</f>
        <v/>
      </c>
      <c r="T46" s="110"/>
      <c r="U46" s="110"/>
      <c r="V46" s="111" t="str">
        <f>IF(AND(T46="Preventivo",U46="Automático"),"50%",IF(AND(T46="Preventivo",U46="Manual"),"40%",IF(AND(T46="Detectivo",U46="Automático"),"40%",IF(AND(T46="Detectivo",U46="Manual"),"30%",IF(AND(T46="Correctivo",U46="Automático"),"35%",IF(AND(T46="Correctivo",U46="Manual"),"25%",""))))))</f>
        <v/>
      </c>
      <c r="W46" s="110"/>
      <c r="X46" s="110"/>
      <c r="Y46" s="110"/>
      <c r="Z46" s="108" t="str">
        <f>IFERROR(IF(S46="Probabilidad",(K46-(+K46*V46)),IF(S46="Impacto",K46,"")),"")</f>
        <v/>
      </c>
      <c r="AA46" s="113" t="str">
        <f>IFERROR(IF(Z46="","",IF(Z46&lt;=0.2,"Muy Baja",IF(Z46&lt;=0.4,"Baja",IF(Z46&lt;=0.6,"Media",IF(Z46&lt;=0.8,"Alta","Muy Alta"))))),"")</f>
        <v/>
      </c>
      <c r="AB46" s="114" t="str">
        <f>+Z46</f>
        <v/>
      </c>
      <c r="AC46" s="113" t="str">
        <f>IFERROR(IF(AD46="","",IF(AD46&lt;=0.2,"Leve",IF(AD46&lt;=0.4,"Menor",IF(AD46&lt;=0.6,"Moderado",IF(AD46&lt;=0.8,"Mayor","Catastrófico"))))),"")</f>
        <v/>
      </c>
      <c r="AD46" s="114" t="str">
        <f>IFERROR(IF(S46="Impacto",(O46-(+O46*V46)),IF(S46="Probabilidad",O46,"")),"")</f>
        <v/>
      </c>
      <c r="AE46" s="115"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16"/>
      <c r="AG46" s="145"/>
      <c r="AH46" s="147"/>
      <c r="AI46" s="149"/>
      <c r="AJ46" s="149"/>
      <c r="AK46" s="145"/>
      <c r="AL46" s="147"/>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25">
      <c r="A47" s="201"/>
      <c r="B47" s="250"/>
      <c r="C47" s="250"/>
      <c r="D47" s="250"/>
      <c r="E47" s="118"/>
      <c r="F47" s="262"/>
      <c r="G47" s="121"/>
      <c r="H47" s="250"/>
      <c r="I47" s="256"/>
      <c r="J47" s="244"/>
      <c r="K47" s="241"/>
      <c r="L47" s="259"/>
      <c r="M47" s="241">
        <f>IF(NOT(ISERROR(MATCH(L47,_xlfn.ANCHORARRAY(F58),0))),K60&amp;"Por favor no seleccionar los criterios de impacto",L47)</f>
        <v>0</v>
      </c>
      <c r="N47" s="244"/>
      <c r="O47" s="241"/>
      <c r="P47" s="247"/>
      <c r="Q47" s="105">
        <v>2</v>
      </c>
      <c r="R47" s="106"/>
      <c r="S47" s="107" t="str">
        <f>IF(OR(T47="Preventivo",T47="Detectivo"),"Probabilidad",IF(T47="Correctivo","Impacto",""))</f>
        <v/>
      </c>
      <c r="T47" s="110"/>
      <c r="U47" s="110"/>
      <c r="V47" s="111" t="str">
        <f t="shared" ref="V47:V51" si="72">IF(AND(T47="Preventivo",U47="Automático"),"50%",IF(AND(T47="Preventivo",U47="Manual"),"40%",IF(AND(T47="Detectivo",U47="Automático"),"40%",IF(AND(T47="Detectivo",U47="Manual"),"30%",IF(AND(T47="Correctivo",U47="Automático"),"35%",IF(AND(T47="Correctivo",U47="Manual"),"25%",""))))))</f>
        <v/>
      </c>
      <c r="W47" s="110"/>
      <c r="X47" s="110"/>
      <c r="Y47" s="110"/>
      <c r="Z47" s="108" t="str">
        <f>IFERROR(IF(AND(S46="Probabilidad",S47="Probabilidad"),(AB46-(+AB46*V47)),IF(AND(S46="Impacto",S47="Probabilidad"),(K46-(+K46*V47)),IF(S47="Impacto",AB46,""))),"")</f>
        <v/>
      </c>
      <c r="AA47" s="113" t="str">
        <f t="shared" ref="AA47:AA51" si="73">IFERROR(IF(Z47="","",IF(Z47&lt;=0.2,"Muy Baja",IF(Z47&lt;=0.4,"Baja",IF(Z47&lt;=0.6,"Media",IF(Z47&lt;=0.8,"Alta","Muy Alta"))))),"")</f>
        <v/>
      </c>
      <c r="AB47" s="114" t="str">
        <f>+Z47</f>
        <v/>
      </c>
      <c r="AC47" s="113" t="str">
        <f t="shared" ref="AC47:AC51" si="74">IFERROR(IF(AD47="","",IF(AD47&lt;=0.2,"Leve",IF(AD47&lt;=0.4,"Menor",IF(AD47&lt;=0.6,"Moderado",IF(AD47&lt;=0.8,"Mayor","Catastrófico"))))),"")</f>
        <v/>
      </c>
      <c r="AD47" s="114" t="str">
        <f>IFERROR(IF(AND(S46="Impacto",S47="Impacto"),(AD46-(+AD46*V47)),IF(AND(S46="Probabilidad",S47="Impacto"),(O46-(+O46*V47)),IF(S47="Probabilidad",AD46,""))),"")</f>
        <v/>
      </c>
      <c r="AE47" s="115" t="str">
        <f t="shared" ref="AE47:AE51" si="75">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16"/>
      <c r="AG47" s="145"/>
      <c r="AH47" s="147"/>
      <c r="AI47" s="149"/>
      <c r="AJ47" s="149"/>
      <c r="AK47" s="145"/>
      <c r="AL47" s="147"/>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25">
      <c r="A48" s="201"/>
      <c r="B48" s="250"/>
      <c r="C48" s="250"/>
      <c r="D48" s="250"/>
      <c r="E48" s="118"/>
      <c r="F48" s="262"/>
      <c r="G48" s="121"/>
      <c r="H48" s="250"/>
      <c r="I48" s="256"/>
      <c r="J48" s="244"/>
      <c r="K48" s="241"/>
      <c r="L48" s="259"/>
      <c r="M48" s="241">
        <f>IF(NOT(ISERROR(MATCH(L48,_xlfn.ANCHORARRAY(F59),0))),K61&amp;"Por favor no seleccionar los criterios de impacto",L48)</f>
        <v>0</v>
      </c>
      <c r="N48" s="244"/>
      <c r="O48" s="241"/>
      <c r="P48" s="247"/>
      <c r="Q48" s="105">
        <v>3</v>
      </c>
      <c r="R48" s="109"/>
      <c r="S48" s="107" t="str">
        <f t="shared" ref="S48:S51" si="76">IF(OR(T48="Preventivo",T48="Detectivo"),"Probabilidad",IF(T48="Correctivo","Impacto",""))</f>
        <v/>
      </c>
      <c r="T48" s="110"/>
      <c r="U48" s="110"/>
      <c r="V48" s="111" t="str">
        <f t="shared" si="72"/>
        <v/>
      </c>
      <c r="W48" s="110"/>
      <c r="X48" s="110"/>
      <c r="Y48" s="110"/>
      <c r="Z48" s="108" t="str">
        <f>IFERROR(IF(AND(S47="Probabilidad",S48="Probabilidad"),(AB47-(+AB47*V48)),IF(AND(S47="Impacto",S48="Probabilidad"),(AB46-(+AB46*V48)),IF(S48="Impacto",AB47,""))),"")</f>
        <v/>
      </c>
      <c r="AA48" s="113" t="str">
        <f t="shared" si="73"/>
        <v/>
      </c>
      <c r="AB48" s="114" t="str">
        <f t="shared" ref="AB48:AB51" si="77">+Z48</f>
        <v/>
      </c>
      <c r="AC48" s="113" t="str">
        <f t="shared" si="74"/>
        <v/>
      </c>
      <c r="AD48" s="114" t="str">
        <f t="shared" ref="AD48:AD51" si="78">IFERROR(IF(AND(S47="Impacto",S48="Impacto"),(AD47-(+AD47*V48)),IF(AND(S47="Probabilidad",S48="Impacto"),(AD46-(+AD46*V48)),IF(S48="Probabilidad",AD47,""))),"")</f>
        <v/>
      </c>
      <c r="AE48" s="115" t="str">
        <f t="shared" si="75"/>
        <v/>
      </c>
      <c r="AF48" s="116"/>
      <c r="AG48" s="145"/>
      <c r="AH48" s="147"/>
      <c r="AI48" s="149"/>
      <c r="AJ48" s="149"/>
      <c r="AK48" s="145"/>
      <c r="AL48" s="147"/>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25">
      <c r="A49" s="201"/>
      <c r="B49" s="250"/>
      <c r="C49" s="250"/>
      <c r="D49" s="250"/>
      <c r="E49" s="118"/>
      <c r="F49" s="262"/>
      <c r="G49" s="121"/>
      <c r="H49" s="250"/>
      <c r="I49" s="256"/>
      <c r="J49" s="244"/>
      <c r="K49" s="241"/>
      <c r="L49" s="259"/>
      <c r="M49" s="241">
        <f>IF(NOT(ISERROR(MATCH(L49,_xlfn.ANCHORARRAY(F60),0))),K62&amp;"Por favor no seleccionar los criterios de impacto",L49)</f>
        <v>0</v>
      </c>
      <c r="N49" s="244"/>
      <c r="O49" s="241"/>
      <c r="P49" s="247"/>
      <c r="Q49" s="105">
        <v>4</v>
      </c>
      <c r="R49" s="106"/>
      <c r="S49" s="107" t="str">
        <f t="shared" si="76"/>
        <v/>
      </c>
      <c r="T49" s="110"/>
      <c r="U49" s="110"/>
      <c r="V49" s="111" t="str">
        <f t="shared" si="72"/>
        <v/>
      </c>
      <c r="W49" s="110"/>
      <c r="X49" s="110"/>
      <c r="Y49" s="110"/>
      <c r="Z49" s="108" t="str">
        <f t="shared" ref="Z49:Z51" si="79">IFERROR(IF(AND(S48="Probabilidad",S49="Probabilidad"),(AB48-(+AB48*V49)),IF(AND(S48="Impacto",S49="Probabilidad"),(AB47-(+AB47*V49)),IF(S49="Impacto",AB48,""))),"")</f>
        <v/>
      </c>
      <c r="AA49" s="113" t="str">
        <f t="shared" si="73"/>
        <v/>
      </c>
      <c r="AB49" s="114" t="str">
        <f t="shared" si="77"/>
        <v/>
      </c>
      <c r="AC49" s="113" t="str">
        <f t="shared" si="74"/>
        <v/>
      </c>
      <c r="AD49" s="114" t="str">
        <f t="shared" si="78"/>
        <v/>
      </c>
      <c r="AE49" s="115" t="str">
        <f t="shared" si="75"/>
        <v/>
      </c>
      <c r="AF49" s="116"/>
      <c r="AG49" s="145"/>
      <c r="AH49" s="147"/>
      <c r="AI49" s="149"/>
      <c r="AJ49" s="149"/>
      <c r="AK49" s="145"/>
      <c r="AL49" s="147"/>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25">
      <c r="A50" s="201"/>
      <c r="B50" s="250"/>
      <c r="C50" s="250"/>
      <c r="D50" s="250"/>
      <c r="E50" s="118"/>
      <c r="F50" s="262"/>
      <c r="G50" s="121"/>
      <c r="H50" s="250"/>
      <c r="I50" s="256"/>
      <c r="J50" s="244"/>
      <c r="K50" s="241"/>
      <c r="L50" s="259"/>
      <c r="M50" s="241">
        <f>IF(NOT(ISERROR(MATCH(L50,_xlfn.ANCHORARRAY(F61),0))),K63&amp;"Por favor no seleccionar los criterios de impacto",L50)</f>
        <v>0</v>
      </c>
      <c r="N50" s="244"/>
      <c r="O50" s="241"/>
      <c r="P50" s="247"/>
      <c r="Q50" s="105">
        <v>5</v>
      </c>
      <c r="R50" s="106"/>
      <c r="S50" s="107" t="str">
        <f t="shared" si="76"/>
        <v/>
      </c>
      <c r="T50" s="110"/>
      <c r="U50" s="110"/>
      <c r="V50" s="111" t="str">
        <f t="shared" si="72"/>
        <v/>
      </c>
      <c r="W50" s="110"/>
      <c r="X50" s="110"/>
      <c r="Y50" s="110"/>
      <c r="Z50" s="108" t="str">
        <f t="shared" si="79"/>
        <v/>
      </c>
      <c r="AA50" s="113" t="str">
        <f t="shared" si="73"/>
        <v/>
      </c>
      <c r="AB50" s="114" t="str">
        <f t="shared" si="77"/>
        <v/>
      </c>
      <c r="AC50" s="113" t="str">
        <f t="shared" si="74"/>
        <v/>
      </c>
      <c r="AD50" s="114" t="str">
        <f t="shared" si="78"/>
        <v/>
      </c>
      <c r="AE50" s="115" t="str">
        <f t="shared" si="75"/>
        <v/>
      </c>
      <c r="AF50" s="116"/>
      <c r="AG50" s="145"/>
      <c r="AH50" s="147"/>
      <c r="AI50" s="149"/>
      <c r="AJ50" s="149"/>
      <c r="AK50" s="145"/>
      <c r="AL50" s="147"/>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25">
      <c r="A51" s="202"/>
      <c r="B51" s="251"/>
      <c r="C51" s="251"/>
      <c r="D51" s="251"/>
      <c r="E51" s="119"/>
      <c r="F51" s="263"/>
      <c r="G51" s="122"/>
      <c r="H51" s="251"/>
      <c r="I51" s="257"/>
      <c r="J51" s="245"/>
      <c r="K51" s="242"/>
      <c r="L51" s="260"/>
      <c r="M51" s="242">
        <f>IF(NOT(ISERROR(MATCH(L51,_xlfn.ANCHORARRAY(F62),0))),K64&amp;"Por favor no seleccionar los criterios de impacto",L51)</f>
        <v>0</v>
      </c>
      <c r="N51" s="245"/>
      <c r="O51" s="242"/>
      <c r="P51" s="248"/>
      <c r="Q51" s="105">
        <v>6</v>
      </c>
      <c r="R51" s="106"/>
      <c r="S51" s="107" t="str">
        <f t="shared" si="76"/>
        <v/>
      </c>
      <c r="T51" s="110"/>
      <c r="U51" s="110"/>
      <c r="V51" s="111" t="str">
        <f t="shared" si="72"/>
        <v/>
      </c>
      <c r="W51" s="110"/>
      <c r="X51" s="110"/>
      <c r="Y51" s="110"/>
      <c r="Z51" s="108" t="str">
        <f t="shared" si="79"/>
        <v/>
      </c>
      <c r="AA51" s="113" t="str">
        <f t="shared" si="73"/>
        <v/>
      </c>
      <c r="AB51" s="114" t="str">
        <f t="shared" si="77"/>
        <v/>
      </c>
      <c r="AC51" s="113" t="str">
        <f t="shared" si="74"/>
        <v/>
      </c>
      <c r="AD51" s="114" t="str">
        <f t="shared" si="78"/>
        <v/>
      </c>
      <c r="AE51" s="115" t="str">
        <f t="shared" si="75"/>
        <v/>
      </c>
      <c r="AF51" s="116"/>
      <c r="AG51" s="145"/>
      <c r="AH51" s="147"/>
      <c r="AI51" s="149"/>
      <c r="AJ51" s="149"/>
      <c r="AK51" s="145"/>
      <c r="AL51" s="147"/>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25">
      <c r="A52" s="200">
        <v>8</v>
      </c>
      <c r="B52" s="249"/>
      <c r="C52" s="249"/>
      <c r="D52" s="249"/>
      <c r="E52" s="117"/>
      <c r="F52" s="261"/>
      <c r="G52" s="120"/>
      <c r="H52" s="249"/>
      <c r="I52" s="255"/>
      <c r="J52" s="243" t="str">
        <f t="shared" ref="J52" si="80">IF(I52&lt;=0,"",IF(I52&lt;=2,"Muy Baja",IF(I52&lt;=24,"Baja",IF(I52&lt;=500,"Media",IF(I52&lt;=5000,"Alta","Muy Alta")))))</f>
        <v/>
      </c>
      <c r="K52" s="240" t="str">
        <f t="shared" ref="K52" si="81">IF(J52="","",IF(J52="Muy Baja",0.2,IF(J52="Baja",0.4,IF(J52="Media",0.6,IF(J52="Alta",0.8,IF(J52="Muy Alta",1,))))))</f>
        <v/>
      </c>
      <c r="L52" s="258"/>
      <c r="M52" s="240">
        <f>IF(NOT(ISERROR(MATCH(L52,'Tabla Impacto'!$B$221:$B$223,0))),'Tabla Impacto'!$F$223&amp;"Por favor no seleccionar los criterios de impacto(Afectación Económica o presupuestal y Pérdida Reputacional)",L52)</f>
        <v>0</v>
      </c>
      <c r="N52" s="243" t="str">
        <f>IF(OR(M52='Tabla Impacto'!$C$11,M52='Tabla Impacto'!$D$11),"Leve",IF(OR(M52='Tabla Impacto'!$C$12,M52='Tabla Impacto'!$D$12),"Menor",IF(OR(M52='Tabla Impacto'!$C$13,M52='Tabla Impacto'!$D$13),"Moderado",IF(OR(M52='Tabla Impacto'!$C$14,M52='Tabla Impacto'!$D$14),"Mayor",IF(OR(M52='Tabla Impacto'!$C$15,M52='Tabla Impacto'!$D$15),"Catastrófico","")))))</f>
        <v/>
      </c>
      <c r="O52" s="240" t="str">
        <f t="shared" ref="O52" si="82">IF(N52="","",IF(N52="Leve",0.2,IF(N52="Menor",0.4,IF(N52="Moderado",0.6,IF(N52="Mayor",0.8,IF(N52="Catastrófico",1,))))))</f>
        <v/>
      </c>
      <c r="P52" s="246" t="str">
        <f t="shared" ref="P52" si="83">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5">
        <v>1</v>
      </c>
      <c r="R52" s="106"/>
      <c r="S52" s="107" t="str">
        <f>IF(OR(T52="Preventivo",T52="Detectivo"),"Probabilidad",IF(T52="Correctivo","Impacto",""))</f>
        <v/>
      </c>
      <c r="T52" s="110"/>
      <c r="U52" s="110"/>
      <c r="V52" s="111" t="str">
        <f>IF(AND(T52="Preventivo",U52="Automático"),"50%",IF(AND(T52="Preventivo",U52="Manual"),"40%",IF(AND(T52="Detectivo",U52="Automático"),"40%",IF(AND(T52="Detectivo",U52="Manual"),"30%",IF(AND(T52="Correctivo",U52="Automático"),"35%",IF(AND(T52="Correctivo",U52="Manual"),"25%",""))))))</f>
        <v/>
      </c>
      <c r="W52" s="110"/>
      <c r="X52" s="110"/>
      <c r="Y52" s="110"/>
      <c r="Z52" s="108" t="str">
        <f>IFERROR(IF(S52="Probabilidad",(K52-(+K52*V52)),IF(S52="Impacto",K52,"")),"")</f>
        <v/>
      </c>
      <c r="AA52" s="113" t="str">
        <f>IFERROR(IF(Z52="","",IF(Z52&lt;=0.2,"Muy Baja",IF(Z52&lt;=0.4,"Baja",IF(Z52&lt;=0.6,"Media",IF(Z52&lt;=0.8,"Alta","Muy Alta"))))),"")</f>
        <v/>
      </c>
      <c r="AB52" s="114" t="str">
        <f>+Z52</f>
        <v/>
      </c>
      <c r="AC52" s="113" t="str">
        <f>IFERROR(IF(AD52="","",IF(AD52&lt;=0.2,"Leve",IF(AD52&lt;=0.4,"Menor",IF(AD52&lt;=0.6,"Moderado",IF(AD52&lt;=0.8,"Mayor","Catastrófico"))))),"")</f>
        <v/>
      </c>
      <c r="AD52" s="114" t="str">
        <f>IFERROR(IF(S52="Impacto",(O52-(+O52*V52)),IF(S52="Probabilidad",O52,"")),"")</f>
        <v/>
      </c>
      <c r="AE52" s="115"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6"/>
      <c r="AG52" s="145"/>
      <c r="AH52" s="147"/>
      <c r="AI52" s="149"/>
      <c r="AJ52" s="149"/>
      <c r="AK52" s="145"/>
      <c r="AL52" s="147"/>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25">
      <c r="A53" s="201"/>
      <c r="B53" s="250"/>
      <c r="C53" s="250"/>
      <c r="D53" s="250"/>
      <c r="E53" s="118"/>
      <c r="F53" s="262"/>
      <c r="G53" s="121"/>
      <c r="H53" s="250"/>
      <c r="I53" s="256"/>
      <c r="J53" s="244"/>
      <c r="K53" s="241"/>
      <c r="L53" s="259"/>
      <c r="M53" s="241">
        <f>IF(NOT(ISERROR(MATCH(L53,_xlfn.ANCHORARRAY(F64),0))),K66&amp;"Por favor no seleccionar los criterios de impacto",L53)</f>
        <v>0</v>
      </c>
      <c r="N53" s="244"/>
      <c r="O53" s="241"/>
      <c r="P53" s="247"/>
      <c r="Q53" s="105">
        <v>2</v>
      </c>
      <c r="R53" s="106"/>
      <c r="S53" s="107" t="str">
        <f>IF(OR(T53="Preventivo",T53="Detectivo"),"Probabilidad",IF(T53="Correctivo","Impacto",""))</f>
        <v/>
      </c>
      <c r="T53" s="110"/>
      <c r="U53" s="110"/>
      <c r="V53" s="111" t="str">
        <f t="shared" ref="V53:V57" si="84">IF(AND(T53="Preventivo",U53="Automático"),"50%",IF(AND(T53="Preventivo",U53="Manual"),"40%",IF(AND(T53="Detectivo",U53="Automático"),"40%",IF(AND(T53="Detectivo",U53="Manual"),"30%",IF(AND(T53="Correctivo",U53="Automático"),"35%",IF(AND(T53="Correctivo",U53="Manual"),"25%",""))))))</f>
        <v/>
      </c>
      <c r="W53" s="110"/>
      <c r="X53" s="110"/>
      <c r="Y53" s="110"/>
      <c r="Z53" s="108" t="str">
        <f>IFERROR(IF(AND(S52="Probabilidad",S53="Probabilidad"),(AB52-(+AB52*V53)),IF(AND(S52="Impacto",S53="Probabilidad"),(K52-(+K52*V53)),IF(S53="Impacto",AB52,""))),"")</f>
        <v/>
      </c>
      <c r="AA53" s="113" t="str">
        <f t="shared" ref="AA53:AA57" si="85">IFERROR(IF(Z53="","",IF(Z53&lt;=0.2,"Muy Baja",IF(Z53&lt;=0.4,"Baja",IF(Z53&lt;=0.6,"Media",IF(Z53&lt;=0.8,"Alta","Muy Alta"))))),"")</f>
        <v/>
      </c>
      <c r="AB53" s="114" t="str">
        <f>+Z53</f>
        <v/>
      </c>
      <c r="AC53" s="113" t="str">
        <f t="shared" ref="AC53:AC57" si="86">IFERROR(IF(AD53="","",IF(AD53&lt;=0.2,"Leve",IF(AD53&lt;=0.4,"Menor",IF(AD53&lt;=0.6,"Moderado",IF(AD53&lt;=0.8,"Mayor","Catastrófico"))))),"")</f>
        <v/>
      </c>
      <c r="AD53" s="114" t="str">
        <f>IFERROR(IF(AND(S52="Impacto",S53="Impacto"),(AD52-(+AD52*V53)),IF(AND(S52="Probabilidad",S53="Impacto"),(O52-(+O52*V53)),IF(S53="Probabilidad",AD52,""))),"")</f>
        <v/>
      </c>
      <c r="AE53" s="115" t="str">
        <f t="shared" ref="AE53:AE57" si="87">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16"/>
      <c r="AG53" s="145"/>
      <c r="AH53" s="147"/>
      <c r="AI53" s="149"/>
      <c r="AJ53" s="149"/>
      <c r="AK53" s="145"/>
      <c r="AL53" s="147"/>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25">
      <c r="A54" s="201"/>
      <c r="B54" s="250"/>
      <c r="C54" s="250"/>
      <c r="D54" s="250"/>
      <c r="E54" s="118"/>
      <c r="F54" s="262"/>
      <c r="G54" s="121"/>
      <c r="H54" s="250"/>
      <c r="I54" s="256"/>
      <c r="J54" s="244"/>
      <c r="K54" s="241"/>
      <c r="L54" s="259"/>
      <c r="M54" s="241">
        <f>IF(NOT(ISERROR(MATCH(L54,_xlfn.ANCHORARRAY(F65),0))),K67&amp;"Por favor no seleccionar los criterios de impacto",L54)</f>
        <v>0</v>
      </c>
      <c r="N54" s="244"/>
      <c r="O54" s="241"/>
      <c r="P54" s="247"/>
      <c r="Q54" s="105">
        <v>3</v>
      </c>
      <c r="R54" s="109"/>
      <c r="S54" s="107" t="str">
        <f t="shared" ref="S54:S57" si="88">IF(OR(T54="Preventivo",T54="Detectivo"),"Probabilidad",IF(T54="Correctivo","Impacto",""))</f>
        <v/>
      </c>
      <c r="T54" s="110"/>
      <c r="U54" s="110"/>
      <c r="V54" s="111" t="str">
        <f t="shared" si="84"/>
        <v/>
      </c>
      <c r="W54" s="110"/>
      <c r="X54" s="110"/>
      <c r="Y54" s="110"/>
      <c r="Z54" s="108" t="str">
        <f>IFERROR(IF(AND(S53="Probabilidad",S54="Probabilidad"),(AB53-(+AB53*V54)),IF(AND(S53="Impacto",S54="Probabilidad"),(AB52-(+AB52*V54)),IF(S54="Impacto",AB53,""))),"")</f>
        <v/>
      </c>
      <c r="AA54" s="113" t="str">
        <f t="shared" si="85"/>
        <v/>
      </c>
      <c r="AB54" s="114" t="str">
        <f t="shared" ref="AB54:AB57" si="89">+Z54</f>
        <v/>
      </c>
      <c r="AC54" s="113" t="str">
        <f t="shared" si="86"/>
        <v/>
      </c>
      <c r="AD54" s="114" t="str">
        <f t="shared" ref="AD54:AD57" si="90">IFERROR(IF(AND(S53="Impacto",S54="Impacto"),(AD53-(+AD53*V54)),IF(AND(S53="Probabilidad",S54="Impacto"),(AD52-(+AD52*V54)),IF(S54="Probabilidad",AD53,""))),"")</f>
        <v/>
      </c>
      <c r="AE54" s="115" t="str">
        <f t="shared" si="87"/>
        <v/>
      </c>
      <c r="AF54" s="116"/>
      <c r="AG54" s="145"/>
      <c r="AH54" s="147"/>
      <c r="AI54" s="149"/>
      <c r="AJ54" s="149"/>
      <c r="AK54" s="145"/>
      <c r="AL54" s="147"/>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25">
      <c r="A55" s="201"/>
      <c r="B55" s="250"/>
      <c r="C55" s="250"/>
      <c r="D55" s="250"/>
      <c r="E55" s="118"/>
      <c r="F55" s="262"/>
      <c r="G55" s="121"/>
      <c r="H55" s="250"/>
      <c r="I55" s="256"/>
      <c r="J55" s="244"/>
      <c r="K55" s="241"/>
      <c r="L55" s="259"/>
      <c r="M55" s="241">
        <f>IF(NOT(ISERROR(MATCH(L55,_xlfn.ANCHORARRAY(F66),0))),K68&amp;"Por favor no seleccionar los criterios de impacto",L55)</f>
        <v>0</v>
      </c>
      <c r="N55" s="244"/>
      <c r="O55" s="241"/>
      <c r="P55" s="247"/>
      <c r="Q55" s="105">
        <v>4</v>
      </c>
      <c r="R55" s="106"/>
      <c r="S55" s="107" t="str">
        <f t="shared" si="88"/>
        <v/>
      </c>
      <c r="T55" s="110"/>
      <c r="U55" s="110"/>
      <c r="V55" s="111" t="str">
        <f t="shared" si="84"/>
        <v/>
      </c>
      <c r="W55" s="110"/>
      <c r="X55" s="110"/>
      <c r="Y55" s="110"/>
      <c r="Z55" s="108" t="str">
        <f t="shared" ref="Z55:Z57" si="91">IFERROR(IF(AND(S54="Probabilidad",S55="Probabilidad"),(AB54-(+AB54*V55)),IF(AND(S54="Impacto",S55="Probabilidad"),(AB53-(+AB53*V55)),IF(S55="Impacto",AB54,""))),"")</f>
        <v/>
      </c>
      <c r="AA55" s="113" t="str">
        <f t="shared" si="85"/>
        <v/>
      </c>
      <c r="AB55" s="114" t="str">
        <f t="shared" si="89"/>
        <v/>
      </c>
      <c r="AC55" s="113" t="str">
        <f t="shared" si="86"/>
        <v/>
      </c>
      <c r="AD55" s="114" t="str">
        <f t="shared" si="90"/>
        <v/>
      </c>
      <c r="AE55" s="115" t="str">
        <f t="shared" si="87"/>
        <v/>
      </c>
      <c r="AF55" s="116"/>
      <c r="AG55" s="145"/>
      <c r="AH55" s="147"/>
      <c r="AI55" s="149"/>
      <c r="AJ55" s="149"/>
      <c r="AK55" s="145"/>
      <c r="AL55" s="147"/>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25">
      <c r="A56" s="201"/>
      <c r="B56" s="250"/>
      <c r="C56" s="250"/>
      <c r="D56" s="250"/>
      <c r="E56" s="118"/>
      <c r="F56" s="262"/>
      <c r="G56" s="121"/>
      <c r="H56" s="250"/>
      <c r="I56" s="256"/>
      <c r="J56" s="244"/>
      <c r="K56" s="241"/>
      <c r="L56" s="259"/>
      <c r="M56" s="241">
        <f>IF(NOT(ISERROR(MATCH(L56,_xlfn.ANCHORARRAY(F67),0))),K69&amp;"Por favor no seleccionar los criterios de impacto",L56)</f>
        <v>0</v>
      </c>
      <c r="N56" s="244"/>
      <c r="O56" s="241"/>
      <c r="P56" s="247"/>
      <c r="Q56" s="105">
        <v>5</v>
      </c>
      <c r="R56" s="106"/>
      <c r="S56" s="107" t="str">
        <f t="shared" si="88"/>
        <v/>
      </c>
      <c r="T56" s="110"/>
      <c r="U56" s="110"/>
      <c r="V56" s="111" t="str">
        <f t="shared" si="84"/>
        <v/>
      </c>
      <c r="W56" s="110"/>
      <c r="X56" s="110"/>
      <c r="Y56" s="110"/>
      <c r="Z56" s="108" t="str">
        <f t="shared" si="91"/>
        <v/>
      </c>
      <c r="AA56" s="113" t="str">
        <f t="shared" si="85"/>
        <v/>
      </c>
      <c r="AB56" s="114" t="str">
        <f t="shared" si="89"/>
        <v/>
      </c>
      <c r="AC56" s="113" t="str">
        <f t="shared" si="86"/>
        <v/>
      </c>
      <c r="AD56" s="114" t="str">
        <f t="shared" si="90"/>
        <v/>
      </c>
      <c r="AE56" s="115" t="str">
        <f t="shared" si="87"/>
        <v/>
      </c>
      <c r="AF56" s="116"/>
      <c r="AG56" s="145"/>
      <c r="AH56" s="147"/>
      <c r="AI56" s="149"/>
      <c r="AJ56" s="149"/>
      <c r="AK56" s="145"/>
      <c r="AL56" s="147"/>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25">
      <c r="A57" s="202"/>
      <c r="B57" s="251"/>
      <c r="C57" s="251"/>
      <c r="D57" s="251"/>
      <c r="E57" s="119"/>
      <c r="F57" s="263"/>
      <c r="G57" s="122"/>
      <c r="H57" s="251"/>
      <c r="I57" s="257"/>
      <c r="J57" s="245"/>
      <c r="K57" s="242"/>
      <c r="L57" s="260"/>
      <c r="M57" s="242">
        <f>IF(NOT(ISERROR(MATCH(L57,_xlfn.ANCHORARRAY(F68),0))),K70&amp;"Por favor no seleccionar los criterios de impacto",L57)</f>
        <v>0</v>
      </c>
      <c r="N57" s="245"/>
      <c r="O57" s="242"/>
      <c r="P57" s="248"/>
      <c r="Q57" s="105">
        <v>6</v>
      </c>
      <c r="R57" s="106"/>
      <c r="S57" s="107" t="str">
        <f t="shared" si="88"/>
        <v/>
      </c>
      <c r="T57" s="110"/>
      <c r="U57" s="110"/>
      <c r="V57" s="111" t="str">
        <f t="shared" si="84"/>
        <v/>
      </c>
      <c r="W57" s="110"/>
      <c r="X57" s="110"/>
      <c r="Y57" s="110"/>
      <c r="Z57" s="108" t="str">
        <f t="shared" si="91"/>
        <v/>
      </c>
      <c r="AA57" s="113" t="str">
        <f t="shared" si="85"/>
        <v/>
      </c>
      <c r="AB57" s="114" t="str">
        <f t="shared" si="89"/>
        <v/>
      </c>
      <c r="AC57" s="113" t="str">
        <f t="shared" si="86"/>
        <v/>
      </c>
      <c r="AD57" s="114" t="str">
        <f t="shared" si="90"/>
        <v/>
      </c>
      <c r="AE57" s="115" t="str">
        <f t="shared" si="87"/>
        <v/>
      </c>
      <c r="AF57" s="116"/>
      <c r="AG57" s="145"/>
      <c r="AH57" s="147"/>
      <c r="AI57" s="149"/>
      <c r="AJ57" s="149"/>
      <c r="AK57" s="145"/>
      <c r="AL57" s="147"/>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25">
      <c r="A58" s="200">
        <v>9</v>
      </c>
      <c r="B58" s="249"/>
      <c r="C58" s="249"/>
      <c r="D58" s="249"/>
      <c r="E58" s="117"/>
      <c r="F58" s="261"/>
      <c r="G58" s="120"/>
      <c r="H58" s="249"/>
      <c r="I58" s="255"/>
      <c r="J58" s="243" t="str">
        <f t="shared" ref="J58" si="92">IF(I58&lt;=0,"",IF(I58&lt;=2,"Muy Baja",IF(I58&lt;=24,"Baja",IF(I58&lt;=500,"Media",IF(I58&lt;=5000,"Alta","Muy Alta")))))</f>
        <v/>
      </c>
      <c r="K58" s="240" t="str">
        <f t="shared" ref="K58" si="93">IF(J58="","",IF(J58="Muy Baja",0.2,IF(J58="Baja",0.4,IF(J58="Media",0.6,IF(J58="Alta",0.8,IF(J58="Muy Alta",1,))))))</f>
        <v/>
      </c>
      <c r="L58" s="258"/>
      <c r="M58" s="240">
        <f>IF(NOT(ISERROR(MATCH(L58,'Tabla Impacto'!$B$221:$B$223,0))),'Tabla Impacto'!$F$223&amp;"Por favor no seleccionar los criterios de impacto(Afectación Económica o presupuestal y Pérdida Reputacional)",L58)</f>
        <v>0</v>
      </c>
      <c r="N58" s="243" t="str">
        <f>IF(OR(M58='Tabla Impacto'!$C$11,M58='Tabla Impacto'!$D$11),"Leve",IF(OR(M58='Tabla Impacto'!$C$12,M58='Tabla Impacto'!$D$12),"Menor",IF(OR(M58='Tabla Impacto'!$C$13,M58='Tabla Impacto'!$D$13),"Moderado",IF(OR(M58='Tabla Impacto'!$C$14,M58='Tabla Impacto'!$D$14),"Mayor",IF(OR(M58='Tabla Impacto'!$C$15,M58='Tabla Impacto'!$D$15),"Catastrófico","")))))</f>
        <v/>
      </c>
      <c r="O58" s="240" t="str">
        <f t="shared" ref="O58" si="94">IF(N58="","",IF(N58="Leve",0.2,IF(N58="Menor",0.4,IF(N58="Moderado",0.6,IF(N58="Mayor",0.8,IF(N58="Catastrófico",1,))))))</f>
        <v/>
      </c>
      <c r="P58" s="246" t="str">
        <f t="shared" ref="P58" si="95">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5">
        <v>1</v>
      </c>
      <c r="R58" s="106"/>
      <c r="S58" s="107" t="str">
        <f>IF(OR(T58="Preventivo",T58="Detectivo"),"Probabilidad",IF(T58="Correctivo","Impacto",""))</f>
        <v/>
      </c>
      <c r="T58" s="110"/>
      <c r="U58" s="110"/>
      <c r="V58" s="111" t="str">
        <f>IF(AND(T58="Preventivo",U58="Automático"),"50%",IF(AND(T58="Preventivo",U58="Manual"),"40%",IF(AND(T58="Detectivo",U58="Automático"),"40%",IF(AND(T58="Detectivo",U58="Manual"),"30%",IF(AND(T58="Correctivo",U58="Automático"),"35%",IF(AND(T58="Correctivo",U58="Manual"),"25%",""))))))</f>
        <v/>
      </c>
      <c r="W58" s="110"/>
      <c r="X58" s="110"/>
      <c r="Y58" s="110"/>
      <c r="Z58" s="108" t="str">
        <f>IFERROR(IF(S58="Probabilidad",(K58-(+K58*V58)),IF(S58="Impacto",K58,"")),"")</f>
        <v/>
      </c>
      <c r="AA58" s="113" t="str">
        <f>IFERROR(IF(Z58="","",IF(Z58&lt;=0.2,"Muy Baja",IF(Z58&lt;=0.4,"Baja",IF(Z58&lt;=0.6,"Media",IF(Z58&lt;=0.8,"Alta","Muy Alta"))))),"")</f>
        <v/>
      </c>
      <c r="AB58" s="114" t="str">
        <f>+Z58</f>
        <v/>
      </c>
      <c r="AC58" s="113" t="str">
        <f>IFERROR(IF(AD58="","",IF(AD58&lt;=0.2,"Leve",IF(AD58&lt;=0.4,"Menor",IF(AD58&lt;=0.6,"Moderado",IF(AD58&lt;=0.8,"Mayor","Catastrófico"))))),"")</f>
        <v/>
      </c>
      <c r="AD58" s="114" t="str">
        <f>IFERROR(IF(S58="Impacto",(O58-(+O58*V58)),IF(S58="Probabilidad",O58,"")),"")</f>
        <v/>
      </c>
      <c r="AE58" s="115"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6"/>
      <c r="AG58" s="145"/>
      <c r="AH58" s="147"/>
      <c r="AI58" s="149"/>
      <c r="AJ58" s="149"/>
      <c r="AK58" s="145"/>
      <c r="AL58" s="147"/>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25">
      <c r="A59" s="201"/>
      <c r="B59" s="250"/>
      <c r="C59" s="250"/>
      <c r="D59" s="250"/>
      <c r="E59" s="118"/>
      <c r="F59" s="262"/>
      <c r="G59" s="121"/>
      <c r="H59" s="250"/>
      <c r="I59" s="256"/>
      <c r="J59" s="244"/>
      <c r="K59" s="241"/>
      <c r="L59" s="259"/>
      <c r="M59" s="241">
        <f>IF(NOT(ISERROR(MATCH(L59,_xlfn.ANCHORARRAY(F70),0))),K72&amp;"Por favor no seleccionar los criterios de impacto",L59)</f>
        <v>0</v>
      </c>
      <c r="N59" s="244"/>
      <c r="O59" s="241"/>
      <c r="P59" s="247"/>
      <c r="Q59" s="105">
        <v>2</v>
      </c>
      <c r="R59" s="106"/>
      <c r="S59" s="107" t="str">
        <f>IF(OR(T59="Preventivo",T59="Detectivo"),"Probabilidad",IF(T59="Correctivo","Impacto",""))</f>
        <v/>
      </c>
      <c r="T59" s="110"/>
      <c r="U59" s="110"/>
      <c r="V59" s="111" t="str">
        <f t="shared" ref="V59:V63" si="96">IF(AND(T59="Preventivo",U59="Automático"),"50%",IF(AND(T59="Preventivo",U59="Manual"),"40%",IF(AND(T59="Detectivo",U59="Automático"),"40%",IF(AND(T59="Detectivo",U59="Manual"),"30%",IF(AND(T59="Correctivo",U59="Automático"),"35%",IF(AND(T59="Correctivo",U59="Manual"),"25%",""))))))</f>
        <v/>
      </c>
      <c r="W59" s="110"/>
      <c r="X59" s="110"/>
      <c r="Y59" s="110"/>
      <c r="Z59" s="108" t="str">
        <f>IFERROR(IF(AND(S58="Probabilidad",S59="Probabilidad"),(AB58-(+AB58*V59)),IF(AND(S58="Impacto",S59="Probabilidad"),(K58-(+K58*V59)),IF(S59="Impacto",AB58,""))),"")</f>
        <v/>
      </c>
      <c r="AA59" s="113" t="str">
        <f t="shared" ref="AA59:AA63" si="97">IFERROR(IF(Z59="","",IF(Z59&lt;=0.2,"Muy Baja",IF(Z59&lt;=0.4,"Baja",IF(Z59&lt;=0.6,"Media",IF(Z59&lt;=0.8,"Alta","Muy Alta"))))),"")</f>
        <v/>
      </c>
      <c r="AB59" s="114" t="str">
        <f>+Z59</f>
        <v/>
      </c>
      <c r="AC59" s="113" t="str">
        <f t="shared" ref="AC59:AC63" si="98">IFERROR(IF(AD59="","",IF(AD59&lt;=0.2,"Leve",IF(AD59&lt;=0.4,"Menor",IF(AD59&lt;=0.6,"Moderado",IF(AD59&lt;=0.8,"Mayor","Catastrófico"))))),"")</f>
        <v/>
      </c>
      <c r="AD59" s="114" t="str">
        <f>IFERROR(IF(AND(S58="Impacto",S59="Impacto"),(AD58-(+AD58*V59)),IF(AND(S58="Probabilidad",S59="Impacto"),(O58-(+O58*V59)),IF(S59="Probabilidad",AD58,""))),"")</f>
        <v/>
      </c>
      <c r="AE59" s="115" t="str">
        <f t="shared" ref="AE59:AE63" si="99">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16"/>
      <c r="AG59" s="145"/>
      <c r="AH59" s="147"/>
      <c r="AI59" s="149"/>
      <c r="AJ59" s="149"/>
      <c r="AK59" s="145"/>
      <c r="AL59" s="147"/>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25">
      <c r="A60" s="201"/>
      <c r="B60" s="250"/>
      <c r="C60" s="250"/>
      <c r="D60" s="250"/>
      <c r="E60" s="118"/>
      <c r="F60" s="262"/>
      <c r="G60" s="121"/>
      <c r="H60" s="250"/>
      <c r="I60" s="256"/>
      <c r="J60" s="244"/>
      <c r="K60" s="241"/>
      <c r="L60" s="259"/>
      <c r="M60" s="241">
        <f>IF(NOT(ISERROR(MATCH(L60,_xlfn.ANCHORARRAY(F71),0))),K73&amp;"Por favor no seleccionar los criterios de impacto",L60)</f>
        <v>0</v>
      </c>
      <c r="N60" s="244"/>
      <c r="O60" s="241"/>
      <c r="P60" s="247"/>
      <c r="Q60" s="105">
        <v>3</v>
      </c>
      <c r="R60" s="109"/>
      <c r="S60" s="107" t="str">
        <f t="shared" ref="S60:S63" si="100">IF(OR(T60="Preventivo",T60="Detectivo"),"Probabilidad",IF(T60="Correctivo","Impacto",""))</f>
        <v/>
      </c>
      <c r="T60" s="110"/>
      <c r="U60" s="110"/>
      <c r="V60" s="111" t="str">
        <f t="shared" si="96"/>
        <v/>
      </c>
      <c r="W60" s="110"/>
      <c r="X60" s="110"/>
      <c r="Y60" s="110"/>
      <c r="Z60" s="108" t="str">
        <f>IFERROR(IF(AND(S59="Probabilidad",S60="Probabilidad"),(AB59-(+AB59*V60)),IF(AND(S59="Impacto",S60="Probabilidad"),(AB58-(+AB58*V60)),IF(S60="Impacto",AB59,""))),"")</f>
        <v/>
      </c>
      <c r="AA60" s="113" t="str">
        <f t="shared" si="97"/>
        <v/>
      </c>
      <c r="AB60" s="114" t="str">
        <f t="shared" ref="AB60:AB63" si="101">+Z60</f>
        <v/>
      </c>
      <c r="AC60" s="113" t="str">
        <f t="shared" si="98"/>
        <v/>
      </c>
      <c r="AD60" s="114" t="str">
        <f t="shared" ref="AD60:AD63" si="102">IFERROR(IF(AND(S59="Impacto",S60="Impacto"),(AD59-(+AD59*V60)),IF(AND(S59="Probabilidad",S60="Impacto"),(AD58-(+AD58*V60)),IF(S60="Probabilidad",AD59,""))),"")</f>
        <v/>
      </c>
      <c r="AE60" s="115" t="str">
        <f t="shared" si="99"/>
        <v/>
      </c>
      <c r="AF60" s="116"/>
      <c r="AG60" s="145"/>
      <c r="AH60" s="147"/>
      <c r="AI60" s="149"/>
      <c r="AJ60" s="149"/>
      <c r="AK60" s="145"/>
      <c r="AL60" s="147"/>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26.25" customHeight="1" x14ac:dyDescent="0.25">
      <c r="A61" s="201"/>
      <c r="B61" s="250"/>
      <c r="C61" s="250"/>
      <c r="D61" s="250"/>
      <c r="E61" s="118"/>
      <c r="F61" s="262"/>
      <c r="G61" s="121"/>
      <c r="H61" s="250"/>
      <c r="I61" s="256"/>
      <c r="J61" s="244"/>
      <c r="K61" s="241"/>
      <c r="L61" s="259"/>
      <c r="M61" s="241">
        <f>IF(NOT(ISERROR(MATCH(L61,_xlfn.ANCHORARRAY(F72),0))),K74&amp;"Por favor no seleccionar los criterios de impacto",L61)</f>
        <v>0</v>
      </c>
      <c r="N61" s="244"/>
      <c r="O61" s="241"/>
      <c r="P61" s="247"/>
      <c r="Q61" s="105">
        <v>4</v>
      </c>
      <c r="R61" s="106"/>
      <c r="S61" s="107" t="str">
        <f t="shared" si="100"/>
        <v/>
      </c>
      <c r="T61" s="110"/>
      <c r="U61" s="110"/>
      <c r="V61" s="111" t="str">
        <f t="shared" si="96"/>
        <v/>
      </c>
      <c r="W61" s="110"/>
      <c r="X61" s="110"/>
      <c r="Y61" s="110"/>
      <c r="Z61" s="108" t="str">
        <f t="shared" ref="Z61:Z63" si="103">IFERROR(IF(AND(S60="Probabilidad",S61="Probabilidad"),(AB60-(+AB60*V61)),IF(AND(S60="Impacto",S61="Probabilidad"),(AB59-(+AB59*V61)),IF(S61="Impacto",AB60,""))),"")</f>
        <v/>
      </c>
      <c r="AA61" s="113" t="str">
        <f t="shared" si="97"/>
        <v/>
      </c>
      <c r="AB61" s="114" t="str">
        <f t="shared" si="101"/>
        <v/>
      </c>
      <c r="AC61" s="113" t="str">
        <f t="shared" si="98"/>
        <v/>
      </c>
      <c r="AD61" s="114" t="str">
        <f t="shared" si="102"/>
        <v/>
      </c>
      <c r="AE61" s="115" t="str">
        <f t="shared" si="99"/>
        <v/>
      </c>
      <c r="AF61" s="116"/>
      <c r="AG61" s="145"/>
      <c r="AH61" s="147"/>
      <c r="AI61" s="149"/>
      <c r="AJ61" s="149"/>
      <c r="AK61" s="145"/>
      <c r="AL61" s="147"/>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26.25" customHeight="1" x14ac:dyDescent="0.25">
      <c r="A62" s="201"/>
      <c r="B62" s="250"/>
      <c r="C62" s="250"/>
      <c r="D62" s="250"/>
      <c r="E62" s="118"/>
      <c r="F62" s="262"/>
      <c r="G62" s="121"/>
      <c r="H62" s="250"/>
      <c r="I62" s="256"/>
      <c r="J62" s="244"/>
      <c r="K62" s="241"/>
      <c r="L62" s="259"/>
      <c r="M62" s="241">
        <f>IF(NOT(ISERROR(MATCH(L62,_xlfn.ANCHORARRAY(F73),0))),K75&amp;"Por favor no seleccionar los criterios de impacto",L62)</f>
        <v>0</v>
      </c>
      <c r="N62" s="244"/>
      <c r="O62" s="241"/>
      <c r="P62" s="247"/>
      <c r="Q62" s="105">
        <v>5</v>
      </c>
      <c r="R62" s="106"/>
      <c r="S62" s="107" t="str">
        <f t="shared" si="100"/>
        <v/>
      </c>
      <c r="T62" s="110"/>
      <c r="U62" s="110"/>
      <c r="V62" s="111" t="str">
        <f t="shared" si="96"/>
        <v/>
      </c>
      <c r="W62" s="110"/>
      <c r="X62" s="110"/>
      <c r="Y62" s="110"/>
      <c r="Z62" s="108" t="str">
        <f t="shared" si="103"/>
        <v/>
      </c>
      <c r="AA62" s="113" t="str">
        <f t="shared" si="97"/>
        <v/>
      </c>
      <c r="AB62" s="114" t="str">
        <f t="shared" si="101"/>
        <v/>
      </c>
      <c r="AC62" s="113" t="str">
        <f t="shared" si="98"/>
        <v/>
      </c>
      <c r="AD62" s="114" t="str">
        <f t="shared" si="102"/>
        <v/>
      </c>
      <c r="AE62" s="115" t="str">
        <f t="shared" si="99"/>
        <v/>
      </c>
      <c r="AF62" s="116"/>
      <c r="AG62" s="145"/>
      <c r="AH62" s="147"/>
      <c r="AI62" s="149"/>
      <c r="AJ62" s="149"/>
      <c r="AK62" s="145"/>
      <c r="AL62" s="147"/>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26.25" customHeight="1" x14ac:dyDescent="0.25">
      <c r="A63" s="202"/>
      <c r="B63" s="251"/>
      <c r="C63" s="251"/>
      <c r="D63" s="251"/>
      <c r="E63" s="119"/>
      <c r="F63" s="263"/>
      <c r="G63" s="122"/>
      <c r="H63" s="251"/>
      <c r="I63" s="257"/>
      <c r="J63" s="245"/>
      <c r="K63" s="242"/>
      <c r="L63" s="260"/>
      <c r="M63" s="242">
        <f>IF(NOT(ISERROR(MATCH(L63,_xlfn.ANCHORARRAY(F74),0))),K76&amp;"Por favor no seleccionar los criterios de impacto",L63)</f>
        <v>0</v>
      </c>
      <c r="N63" s="245"/>
      <c r="O63" s="242"/>
      <c r="P63" s="248"/>
      <c r="Q63" s="105">
        <v>6</v>
      </c>
      <c r="R63" s="106"/>
      <c r="S63" s="107" t="str">
        <f t="shared" si="100"/>
        <v/>
      </c>
      <c r="T63" s="110"/>
      <c r="U63" s="110"/>
      <c r="V63" s="111" t="str">
        <f t="shared" si="96"/>
        <v/>
      </c>
      <c r="W63" s="110"/>
      <c r="X63" s="110"/>
      <c r="Y63" s="110"/>
      <c r="Z63" s="108" t="str">
        <f t="shared" si="103"/>
        <v/>
      </c>
      <c r="AA63" s="113" t="str">
        <f t="shared" si="97"/>
        <v/>
      </c>
      <c r="AB63" s="114" t="str">
        <f t="shared" si="101"/>
        <v/>
      </c>
      <c r="AC63" s="113" t="str">
        <f t="shared" si="98"/>
        <v/>
      </c>
      <c r="AD63" s="114" t="str">
        <f t="shared" si="102"/>
        <v/>
      </c>
      <c r="AE63" s="115" t="str">
        <f t="shared" si="99"/>
        <v/>
      </c>
      <c r="AF63" s="116"/>
      <c r="AG63" s="145"/>
      <c r="AH63" s="147"/>
      <c r="AI63" s="149"/>
      <c r="AJ63" s="149"/>
      <c r="AK63" s="145"/>
      <c r="AL63" s="147"/>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9.5" customHeight="1" x14ac:dyDescent="0.25">
      <c r="A64" s="200">
        <v>10</v>
      </c>
      <c r="B64" s="249"/>
      <c r="C64" s="249"/>
      <c r="D64" s="249"/>
      <c r="E64" s="117"/>
      <c r="F64" s="261"/>
      <c r="G64" s="120"/>
      <c r="H64" s="249"/>
      <c r="I64" s="255"/>
      <c r="J64" s="243" t="str">
        <f t="shared" ref="J64" si="104">IF(I64&lt;=0,"",IF(I64&lt;=2,"Muy Baja",IF(I64&lt;=24,"Baja",IF(I64&lt;=500,"Media",IF(I64&lt;=5000,"Alta","Muy Alta")))))</f>
        <v/>
      </c>
      <c r="K64" s="240" t="str">
        <f t="shared" ref="K64" si="105">IF(J64="","",IF(J64="Muy Baja",0.2,IF(J64="Baja",0.4,IF(J64="Media",0.6,IF(J64="Alta",0.8,IF(J64="Muy Alta",1,))))))</f>
        <v/>
      </c>
      <c r="L64" s="258"/>
      <c r="M64" s="240">
        <f>IF(NOT(ISERROR(MATCH(L64,'Tabla Impacto'!$B$221:$B$223,0))),'Tabla Impacto'!$F$223&amp;"Por favor no seleccionar los criterios de impacto(Afectación Económica o presupuestal y Pérdida Reputacional)",L64)</f>
        <v>0</v>
      </c>
      <c r="N64" s="243" t="str">
        <f>IF(OR(M64='Tabla Impacto'!$C$11,M64='Tabla Impacto'!$D$11),"Leve",IF(OR(M64='Tabla Impacto'!$C$12,M64='Tabla Impacto'!$D$12),"Menor",IF(OR(M64='Tabla Impacto'!$C$13,M64='Tabla Impacto'!$D$13),"Moderado",IF(OR(M64='Tabla Impacto'!$C$14,M64='Tabla Impacto'!$D$14),"Mayor",IF(OR(M64='Tabla Impacto'!$C$15,M64='Tabla Impacto'!$D$15),"Catastrófico","")))))</f>
        <v/>
      </c>
      <c r="O64" s="240" t="str">
        <f t="shared" ref="O64" si="106">IF(N64="","",IF(N64="Leve",0.2,IF(N64="Menor",0.4,IF(N64="Moderado",0.6,IF(N64="Mayor",0.8,IF(N64="Catastrófico",1,))))))</f>
        <v/>
      </c>
      <c r="P64" s="246" t="str">
        <f t="shared" ref="P64" si="107">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5">
        <v>1</v>
      </c>
      <c r="R64" s="106"/>
      <c r="S64" s="107" t="str">
        <f>IF(OR(T64="Preventivo",T64="Detectivo"),"Probabilidad",IF(T64="Correctivo","Impacto",""))</f>
        <v/>
      </c>
      <c r="T64" s="110"/>
      <c r="U64" s="110"/>
      <c r="V64" s="111" t="str">
        <f>IF(AND(T64="Preventivo",U64="Automático"),"50%",IF(AND(T64="Preventivo",U64="Manual"),"40%",IF(AND(T64="Detectivo",U64="Automático"),"40%",IF(AND(T64="Detectivo",U64="Manual"),"30%",IF(AND(T64="Correctivo",U64="Automático"),"35%",IF(AND(T64="Correctivo",U64="Manual"),"25%",""))))))</f>
        <v/>
      </c>
      <c r="W64" s="110"/>
      <c r="X64" s="110"/>
      <c r="Y64" s="110"/>
      <c r="Z64" s="108" t="str">
        <f>IFERROR(IF(S64="Probabilidad",(K64-(+K64*V64)),IF(S64="Impacto",K64,"")),"")</f>
        <v/>
      </c>
      <c r="AA64" s="113" t="str">
        <f>IFERROR(IF(Z64="","",IF(Z64&lt;=0.2,"Muy Baja",IF(Z64&lt;=0.4,"Baja",IF(Z64&lt;=0.6,"Media",IF(Z64&lt;=0.8,"Alta","Muy Alta"))))),"")</f>
        <v/>
      </c>
      <c r="AB64" s="114" t="str">
        <f>+Z64</f>
        <v/>
      </c>
      <c r="AC64" s="113" t="str">
        <f>IFERROR(IF(AD64="","",IF(AD64&lt;=0.2,"Leve",IF(AD64&lt;=0.4,"Menor",IF(AD64&lt;=0.6,"Moderado",IF(AD64&lt;=0.8,"Mayor","Catastrófico"))))),"")</f>
        <v/>
      </c>
      <c r="AD64" s="114" t="str">
        <f>IFERROR(IF(S64="Impacto",(O64-(+O64*V64)),IF(S64="Probabilidad",O64,"")),"")</f>
        <v/>
      </c>
      <c r="AE64" s="115"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6"/>
      <c r="AG64" s="145"/>
      <c r="AH64" s="147"/>
      <c r="AI64" s="149"/>
      <c r="AJ64" s="149"/>
      <c r="AK64" s="145"/>
      <c r="AL64" s="147"/>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9.5" customHeight="1" x14ac:dyDescent="0.25">
      <c r="A65" s="201"/>
      <c r="B65" s="250"/>
      <c r="C65" s="250"/>
      <c r="D65" s="250"/>
      <c r="E65" s="118"/>
      <c r="F65" s="262"/>
      <c r="G65" s="121"/>
      <c r="H65" s="250"/>
      <c r="I65" s="256"/>
      <c r="J65" s="244"/>
      <c r="K65" s="241"/>
      <c r="L65" s="259"/>
      <c r="M65" s="241">
        <f>IF(NOT(ISERROR(MATCH(L65,_xlfn.ANCHORARRAY(F76),0))),K78&amp;"Por favor no seleccionar los criterios de impacto",L65)</f>
        <v>0</v>
      </c>
      <c r="N65" s="244"/>
      <c r="O65" s="241"/>
      <c r="P65" s="247"/>
      <c r="Q65" s="105">
        <v>2</v>
      </c>
      <c r="R65" s="106"/>
      <c r="S65" s="107" t="str">
        <f>IF(OR(T65="Preventivo",T65="Detectivo"),"Probabilidad",IF(T65="Correctivo","Impacto",""))</f>
        <v/>
      </c>
      <c r="T65" s="110"/>
      <c r="U65" s="110"/>
      <c r="V65" s="111" t="str">
        <f t="shared" ref="V65:V69" si="108">IF(AND(T65="Preventivo",U65="Automático"),"50%",IF(AND(T65="Preventivo",U65="Manual"),"40%",IF(AND(T65="Detectivo",U65="Automático"),"40%",IF(AND(T65="Detectivo",U65="Manual"),"30%",IF(AND(T65="Correctivo",U65="Automático"),"35%",IF(AND(T65="Correctivo",U65="Manual"),"25%",""))))))</f>
        <v/>
      </c>
      <c r="W65" s="110"/>
      <c r="X65" s="110"/>
      <c r="Y65" s="110"/>
      <c r="Z65" s="108" t="str">
        <f>IFERROR(IF(AND(S64="Probabilidad",S65="Probabilidad"),(AB64-(+AB64*V65)),IF(AND(S64="Impacto",S65="Probabilidad"),(K64-(+K64*V65)),IF(S65="Impacto",AB64,""))),"")</f>
        <v/>
      </c>
      <c r="AA65" s="113" t="str">
        <f t="shared" ref="AA65:AA69" si="109">IFERROR(IF(Z65="","",IF(Z65&lt;=0.2,"Muy Baja",IF(Z65&lt;=0.4,"Baja",IF(Z65&lt;=0.6,"Media",IF(Z65&lt;=0.8,"Alta","Muy Alta"))))),"")</f>
        <v/>
      </c>
      <c r="AB65" s="114" t="str">
        <f>+Z65</f>
        <v/>
      </c>
      <c r="AC65" s="113" t="str">
        <f t="shared" ref="AC65:AC69" si="110">IFERROR(IF(AD65="","",IF(AD65&lt;=0.2,"Leve",IF(AD65&lt;=0.4,"Menor",IF(AD65&lt;=0.6,"Moderado",IF(AD65&lt;=0.8,"Mayor","Catastrófico"))))),"")</f>
        <v/>
      </c>
      <c r="AD65" s="114" t="str">
        <f>IFERROR(IF(AND(S64="Impacto",S65="Impacto"),(AD64-(+AD64*V65)),IF(AND(S64="Probabilidad",S65="Impacto"),(O64-(+O64*V65)),IF(S65="Probabilidad",AD64,""))),"")</f>
        <v/>
      </c>
      <c r="AE65" s="115" t="str">
        <f t="shared" ref="AE65:AE69" si="111">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16"/>
      <c r="AG65" s="145"/>
      <c r="AH65" s="147"/>
      <c r="AI65" s="149"/>
      <c r="AJ65" s="149"/>
      <c r="AK65" s="145"/>
      <c r="AL65" s="147"/>
    </row>
    <row r="66" spans="1:38" ht="19.5" customHeight="1" x14ac:dyDescent="0.25">
      <c r="A66" s="201"/>
      <c r="B66" s="250"/>
      <c r="C66" s="250"/>
      <c r="D66" s="250"/>
      <c r="E66" s="118"/>
      <c r="F66" s="262"/>
      <c r="G66" s="121"/>
      <c r="H66" s="250"/>
      <c r="I66" s="256"/>
      <c r="J66" s="244"/>
      <c r="K66" s="241"/>
      <c r="L66" s="259"/>
      <c r="M66" s="241">
        <f>IF(NOT(ISERROR(MATCH(L66,_xlfn.ANCHORARRAY(F77),0))),K79&amp;"Por favor no seleccionar los criterios de impacto",L66)</f>
        <v>0</v>
      </c>
      <c r="N66" s="244"/>
      <c r="O66" s="241"/>
      <c r="P66" s="247"/>
      <c r="Q66" s="105">
        <v>3</v>
      </c>
      <c r="R66" s="109"/>
      <c r="S66" s="107" t="str">
        <f t="shared" ref="S66:S69" si="112">IF(OR(T66="Preventivo",T66="Detectivo"),"Probabilidad",IF(T66="Correctivo","Impacto",""))</f>
        <v/>
      </c>
      <c r="T66" s="110"/>
      <c r="U66" s="110"/>
      <c r="V66" s="111" t="str">
        <f t="shared" si="108"/>
        <v/>
      </c>
      <c r="W66" s="110"/>
      <c r="X66" s="110"/>
      <c r="Y66" s="110"/>
      <c r="Z66" s="108" t="str">
        <f>IFERROR(IF(AND(S65="Probabilidad",S66="Probabilidad"),(AB65-(+AB65*V66)),IF(AND(S65="Impacto",S66="Probabilidad"),(AB64-(+AB64*V66)),IF(S66="Impacto",AB65,""))),"")</f>
        <v/>
      </c>
      <c r="AA66" s="113" t="str">
        <f t="shared" si="109"/>
        <v/>
      </c>
      <c r="AB66" s="114" t="str">
        <f t="shared" ref="AB66:AB69" si="113">+Z66</f>
        <v/>
      </c>
      <c r="AC66" s="113" t="str">
        <f t="shared" si="110"/>
        <v/>
      </c>
      <c r="AD66" s="114" t="str">
        <f t="shared" ref="AD66:AD69" si="114">IFERROR(IF(AND(S65="Impacto",S66="Impacto"),(AD65-(+AD65*V66)),IF(AND(S65="Probabilidad",S66="Impacto"),(AD64-(+AD64*V66)),IF(S66="Probabilidad",AD65,""))),"")</f>
        <v/>
      </c>
      <c r="AE66" s="115" t="str">
        <f t="shared" si="111"/>
        <v/>
      </c>
      <c r="AF66" s="116"/>
      <c r="AG66" s="145"/>
      <c r="AH66" s="147"/>
      <c r="AI66" s="149"/>
      <c r="AJ66" s="149"/>
      <c r="AK66" s="145"/>
      <c r="AL66" s="147"/>
    </row>
    <row r="67" spans="1:38" ht="19.5" customHeight="1" x14ac:dyDescent="0.25">
      <c r="A67" s="201"/>
      <c r="B67" s="250"/>
      <c r="C67" s="250"/>
      <c r="D67" s="250"/>
      <c r="E67" s="118"/>
      <c r="F67" s="262"/>
      <c r="G67" s="121"/>
      <c r="H67" s="250"/>
      <c r="I67" s="256"/>
      <c r="J67" s="244"/>
      <c r="K67" s="241"/>
      <c r="L67" s="259"/>
      <c r="M67" s="241">
        <f>IF(NOT(ISERROR(MATCH(L67,_xlfn.ANCHORARRAY(F78),0))),K80&amp;"Por favor no seleccionar los criterios de impacto",L67)</f>
        <v>0</v>
      </c>
      <c r="N67" s="244"/>
      <c r="O67" s="241"/>
      <c r="P67" s="247"/>
      <c r="Q67" s="105">
        <v>4</v>
      </c>
      <c r="R67" s="106"/>
      <c r="S67" s="107" t="str">
        <f t="shared" si="112"/>
        <v/>
      </c>
      <c r="T67" s="110"/>
      <c r="U67" s="110"/>
      <c r="V67" s="111" t="str">
        <f t="shared" si="108"/>
        <v/>
      </c>
      <c r="W67" s="110"/>
      <c r="X67" s="110"/>
      <c r="Y67" s="110"/>
      <c r="Z67" s="108" t="str">
        <f t="shared" ref="Z67:Z69" si="115">IFERROR(IF(AND(S66="Probabilidad",S67="Probabilidad"),(AB66-(+AB66*V67)),IF(AND(S66="Impacto",S67="Probabilidad"),(AB65-(+AB65*V67)),IF(S67="Impacto",AB66,""))),"")</f>
        <v/>
      </c>
      <c r="AA67" s="113" t="str">
        <f t="shared" si="109"/>
        <v/>
      </c>
      <c r="AB67" s="114" t="str">
        <f t="shared" si="113"/>
        <v/>
      </c>
      <c r="AC67" s="113" t="str">
        <f t="shared" si="110"/>
        <v/>
      </c>
      <c r="AD67" s="114" t="str">
        <f t="shared" si="114"/>
        <v/>
      </c>
      <c r="AE67" s="115" t="str">
        <f t="shared" si="111"/>
        <v/>
      </c>
      <c r="AF67" s="116"/>
      <c r="AG67" s="145"/>
      <c r="AH67" s="147"/>
      <c r="AI67" s="149"/>
      <c r="AJ67" s="149"/>
      <c r="AK67" s="145"/>
      <c r="AL67" s="147"/>
    </row>
    <row r="68" spans="1:38" ht="19.5" customHeight="1" x14ac:dyDescent="0.25">
      <c r="A68" s="201"/>
      <c r="B68" s="250"/>
      <c r="C68" s="250"/>
      <c r="D68" s="250"/>
      <c r="E68" s="118"/>
      <c r="F68" s="262"/>
      <c r="G68" s="121"/>
      <c r="H68" s="250"/>
      <c r="I68" s="256"/>
      <c r="J68" s="244"/>
      <c r="K68" s="241"/>
      <c r="L68" s="259"/>
      <c r="M68" s="241">
        <f>IF(NOT(ISERROR(MATCH(L68,_xlfn.ANCHORARRAY(F79),0))),K81&amp;"Por favor no seleccionar los criterios de impacto",L68)</f>
        <v>0</v>
      </c>
      <c r="N68" s="244"/>
      <c r="O68" s="241"/>
      <c r="P68" s="247"/>
      <c r="Q68" s="105">
        <v>5</v>
      </c>
      <c r="R68" s="106"/>
      <c r="S68" s="107" t="str">
        <f t="shared" si="112"/>
        <v/>
      </c>
      <c r="T68" s="110"/>
      <c r="U68" s="110"/>
      <c r="V68" s="111" t="str">
        <f t="shared" si="108"/>
        <v/>
      </c>
      <c r="W68" s="110"/>
      <c r="X68" s="110"/>
      <c r="Y68" s="110"/>
      <c r="Z68" s="108" t="str">
        <f t="shared" si="115"/>
        <v/>
      </c>
      <c r="AA68" s="113" t="str">
        <f t="shared" si="109"/>
        <v/>
      </c>
      <c r="AB68" s="114" t="str">
        <f t="shared" si="113"/>
        <v/>
      </c>
      <c r="AC68" s="113" t="str">
        <f t="shared" si="110"/>
        <v/>
      </c>
      <c r="AD68" s="114" t="str">
        <f t="shared" si="114"/>
        <v/>
      </c>
      <c r="AE68" s="115" t="str">
        <f t="shared" si="111"/>
        <v/>
      </c>
      <c r="AF68" s="116"/>
      <c r="AG68" s="145"/>
      <c r="AH68" s="147"/>
      <c r="AI68" s="149"/>
      <c r="AJ68" s="149"/>
      <c r="AK68" s="145"/>
      <c r="AL68" s="147"/>
    </row>
    <row r="69" spans="1:38" ht="19.5" customHeight="1" x14ac:dyDescent="0.25">
      <c r="A69" s="202"/>
      <c r="B69" s="251"/>
      <c r="C69" s="251"/>
      <c r="D69" s="251"/>
      <c r="E69" s="119"/>
      <c r="F69" s="263"/>
      <c r="G69" s="122"/>
      <c r="H69" s="251"/>
      <c r="I69" s="257"/>
      <c r="J69" s="245"/>
      <c r="K69" s="242"/>
      <c r="L69" s="260"/>
      <c r="M69" s="242">
        <f>IF(NOT(ISERROR(MATCH(L69,_xlfn.ANCHORARRAY(F80),0))),K82&amp;"Por favor no seleccionar los criterios de impacto",L69)</f>
        <v>0</v>
      </c>
      <c r="N69" s="245"/>
      <c r="O69" s="242"/>
      <c r="P69" s="248"/>
      <c r="Q69" s="105">
        <v>6</v>
      </c>
      <c r="R69" s="106"/>
      <c r="S69" s="107" t="str">
        <f t="shared" si="112"/>
        <v/>
      </c>
      <c r="T69" s="110"/>
      <c r="U69" s="110"/>
      <c r="V69" s="111" t="str">
        <f t="shared" si="108"/>
        <v/>
      </c>
      <c r="W69" s="110"/>
      <c r="X69" s="110"/>
      <c r="Y69" s="110"/>
      <c r="Z69" s="108" t="str">
        <f t="shared" si="115"/>
        <v/>
      </c>
      <c r="AA69" s="113" t="str">
        <f t="shared" si="109"/>
        <v/>
      </c>
      <c r="AB69" s="114" t="str">
        <f t="shared" si="113"/>
        <v/>
      </c>
      <c r="AC69" s="113" t="str">
        <f t="shared" si="110"/>
        <v/>
      </c>
      <c r="AD69" s="114" t="str">
        <f t="shared" si="114"/>
        <v/>
      </c>
      <c r="AE69" s="115" t="str">
        <f t="shared" si="111"/>
        <v/>
      </c>
      <c r="AF69" s="116"/>
      <c r="AG69" s="145"/>
      <c r="AH69" s="147"/>
      <c r="AI69" s="149"/>
      <c r="AJ69" s="149"/>
      <c r="AK69" s="145"/>
      <c r="AL69" s="147"/>
    </row>
    <row r="70" spans="1:38" ht="49.5" customHeight="1" x14ac:dyDescent="0.25">
      <c r="A70" s="6"/>
      <c r="B70" s="264" t="s">
        <v>126</v>
      </c>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6"/>
    </row>
    <row r="72" spans="1:38" x14ac:dyDescent="0.25">
      <c r="A72" s="1"/>
      <c r="B72" s="24" t="s">
        <v>138</v>
      </c>
      <c r="C72" s="1"/>
      <c r="D72" s="1"/>
      <c r="E72" s="1"/>
      <c r="H72" s="1"/>
    </row>
  </sheetData>
  <dataConsolidate/>
  <mergeCells count="186">
    <mergeCell ref="C4:AL4"/>
    <mergeCell ref="C5:AL5"/>
    <mergeCell ref="C6:AL6"/>
    <mergeCell ref="A1:AL2"/>
    <mergeCell ref="A7:I7"/>
    <mergeCell ref="J7:P7"/>
    <mergeCell ref="Q7:Y7"/>
    <mergeCell ref="Z7:AF7"/>
    <mergeCell ref="AG7:AL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M16:M21"/>
    <mergeCell ref="N16:N21"/>
    <mergeCell ref="O16:O21"/>
    <mergeCell ref="P16:P21"/>
    <mergeCell ref="A22:A27"/>
    <mergeCell ref="B22:B27"/>
    <mergeCell ref="C22:C27"/>
    <mergeCell ref="D22:D27"/>
    <mergeCell ref="F22:F27"/>
    <mergeCell ref="H22:H27"/>
    <mergeCell ref="I22:I27"/>
    <mergeCell ref="J22:J27"/>
    <mergeCell ref="K22:K27"/>
    <mergeCell ref="L22:L27"/>
    <mergeCell ref="M22:M27"/>
    <mergeCell ref="N22:N27"/>
    <mergeCell ref="H16:H21"/>
    <mergeCell ref="I16:I21"/>
    <mergeCell ref="J16:J21"/>
    <mergeCell ref="K16:K21"/>
    <mergeCell ref="L16:L21"/>
    <mergeCell ref="A16:A21"/>
    <mergeCell ref="B16:B21"/>
    <mergeCell ref="C16:C21"/>
    <mergeCell ref="D16:D21"/>
    <mergeCell ref="F16:F21"/>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AB8:AB9"/>
    <mergeCell ref="I8:I9"/>
    <mergeCell ref="J8:J9"/>
    <mergeCell ref="K8:K9"/>
    <mergeCell ref="N8:N9"/>
    <mergeCell ref="O8:O9"/>
    <mergeCell ref="B8:B9"/>
    <mergeCell ref="P8:P9"/>
    <mergeCell ref="L8:L9"/>
    <mergeCell ref="M8:M9"/>
    <mergeCell ref="S8:S9"/>
    <mergeCell ref="T8:Y8"/>
    <mergeCell ref="E8:E9"/>
    <mergeCell ref="H10:H15"/>
    <mergeCell ref="I10:I15"/>
    <mergeCell ref="J10:J15"/>
    <mergeCell ref="A10:A15"/>
    <mergeCell ref="B10:B15"/>
    <mergeCell ref="C10:C15"/>
    <mergeCell ref="D10:D15"/>
    <mergeCell ref="F10:F15"/>
    <mergeCell ref="P10:P15"/>
    <mergeCell ref="K10:K15"/>
    <mergeCell ref="L10:L15"/>
    <mergeCell ref="M10:M15"/>
    <mergeCell ref="N10:N15"/>
    <mergeCell ref="O10:O15"/>
    <mergeCell ref="G10:G15"/>
  </mergeCells>
  <conditionalFormatting sqref="J10 J16 J22 J28 J34 J40 J46 J52 J58 J64">
    <cfRule type="cellIs" dxfId="32" priority="645" operator="equal">
      <formula>"Muy Baja"</formula>
    </cfRule>
    <cfRule type="cellIs" dxfId="31" priority="644" operator="equal">
      <formula>"Baja"</formula>
    </cfRule>
    <cfRule type="cellIs" dxfId="30" priority="643" operator="equal">
      <formula>"Media"</formula>
    </cfRule>
    <cfRule type="cellIs" dxfId="29" priority="642" operator="equal">
      <formula>"Alta"</formula>
    </cfRule>
    <cfRule type="cellIs" dxfId="28" priority="641" operator="equal">
      <formula>"Muy Alta"</formula>
    </cfRule>
  </conditionalFormatting>
  <conditionalFormatting sqref="M10:M69">
    <cfRule type="containsText" dxfId="27" priority="323" operator="containsText" text="❌">
      <formula>NOT(ISERROR(SEARCH("❌",M10)))</formula>
    </cfRule>
  </conditionalFormatting>
  <conditionalFormatting sqref="N10 N16 N22 N28 N34 N40 N46 N52 N58 N64">
    <cfRule type="cellIs" dxfId="26" priority="640" operator="equal">
      <formula>"Leve"</formula>
    </cfRule>
    <cfRule type="cellIs" dxfId="25" priority="639" operator="equal">
      <formula>"Menor"</formula>
    </cfRule>
    <cfRule type="cellIs" dxfId="24" priority="638" operator="equal">
      <formula>"Moderado"</formula>
    </cfRule>
    <cfRule type="cellIs" dxfId="23" priority="637" operator="equal">
      <formula>"Mayor"</formula>
    </cfRule>
    <cfRule type="cellIs" dxfId="22" priority="636" operator="equal">
      <formula>"Catastrófico"</formula>
    </cfRule>
  </conditionalFormatting>
  <conditionalFormatting sqref="P10">
    <cfRule type="cellIs" dxfId="21" priority="635" operator="equal">
      <formula>"Bajo"</formula>
    </cfRule>
    <cfRule type="cellIs" dxfId="20" priority="634" operator="equal">
      <formula>"Moderado"</formula>
    </cfRule>
    <cfRule type="cellIs" dxfId="19" priority="633" operator="equal">
      <formula>"Alto"</formula>
    </cfRule>
    <cfRule type="cellIs" dxfId="18" priority="632" operator="equal">
      <formula>"Extremo"</formula>
    </cfRule>
  </conditionalFormatting>
  <conditionalFormatting sqref="P16 P22 P28 P34 P40 P46 P52 P58 P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A10:AA69">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C10:AC69">
    <cfRule type="cellIs" dxfId="8" priority="9" operator="equal">
      <formula>"Leve"</formula>
    </cfRule>
    <cfRule type="cellIs" dxfId="7" priority="8" operator="equal">
      <formula>"Menor"</formula>
    </cfRule>
    <cfRule type="cellIs" dxfId="6" priority="7" operator="equal">
      <formula>"Moderado"</formula>
    </cfRule>
    <cfRule type="cellIs" dxfId="5" priority="6" operator="equal">
      <formula>"Mayor"</formula>
    </cfRule>
    <cfRule type="cellIs" dxfId="4" priority="5" operator="equal">
      <formula>"Catastrófico"</formula>
    </cfRule>
  </conditionalFormatting>
  <conditionalFormatting sqref="AE10:AE69">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'Tabla Valoración controles'!$D$4:$D$6</xm:f>
          </x14:formula1>
          <xm:sqref>T10:T69</xm:sqref>
        </x14:dataValidation>
        <x14:dataValidation type="list" allowBlank="1" showInputMessage="1" showErrorMessage="1" xr:uid="{00000000-0002-0000-0100-000001000000}">
          <x14:formula1>
            <xm:f>'Tabla Valoración controles'!$D$7:$D$8</xm:f>
          </x14:formula1>
          <xm:sqref>U10:U69</xm:sqref>
        </x14:dataValidation>
        <x14:dataValidation type="list" allowBlank="1" showInputMessage="1" showErrorMessage="1" xr:uid="{00000000-0002-0000-0100-000002000000}">
          <x14:formula1>
            <xm:f>'Tabla Valoración controles'!$D$9:$D$10</xm:f>
          </x14:formula1>
          <xm:sqref>W10:W69</xm:sqref>
        </x14:dataValidation>
        <x14:dataValidation type="list" allowBlank="1" showInputMessage="1" showErrorMessage="1" xr:uid="{00000000-0002-0000-0100-000003000000}">
          <x14:formula1>
            <xm:f>'Tabla Valoración controles'!$D$11:$D$12</xm:f>
          </x14:formula1>
          <xm:sqref>X10:X69</xm:sqref>
        </x14:dataValidation>
        <x14:dataValidation type="list" allowBlank="1" showInputMessage="1" showErrorMessage="1" xr:uid="{00000000-0002-0000-0100-000004000000}">
          <x14:formula1>
            <xm:f>'Opciones Tratamiento'!$B$9:$B$10</xm:f>
          </x14:formula1>
          <xm:sqref>AL10:AL14 AL16:AL17 AL19:AL20 AL22:AL23 AL25:AL26 AL28:AL29 AL31:AL32 AL34:AL35 AL37:AL38 AL40:AL41 AL43:AL44 AL46:AL47 AL49:AL50 AL52:AL53 AL55:AL56 AL58:AL59 AL61:AL62 AL64:AL65 AL67:AL68</xm:sqref>
        </x14:dataValidation>
        <x14:dataValidation type="list" allowBlank="1" showInputMessage="1" showErrorMessage="1" xr:uid="{00000000-0002-0000-0100-000005000000}">
          <x14:formula1>
            <xm:f>'Tabla Valoración controles'!$D$13:$D$14</xm:f>
          </x14:formula1>
          <xm:sqref>Y10:Y69</xm:sqref>
        </x14:dataValidation>
        <x14:dataValidation type="list" allowBlank="1" showInputMessage="1" showErrorMessage="1" xr:uid="{00000000-0002-0000-0100-000006000000}">
          <x14:formula1>
            <xm:f>'Opciones Tratamiento'!$B$13:$B$19</xm:f>
          </x14:formula1>
          <xm:sqref>H10:H69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AF10:AF16 AF18:AF22 AF24:AF28 AF30:AF34 AF36:AF40 AF42:AF46 AF48:AF52 AF54:AF58 AF60:AF64 AF66:AF69</xm:sqref>
        </x14:dataValidation>
        <x14:dataValidation type="list" allowBlank="1" showInputMessage="1" showErrorMessage="1" xr:uid="{00000000-0002-0000-0100-000009000000}">
          <x14:formula1>
            <xm:f>'Tabla Impacto'!$F$210:$F$221</xm:f>
          </x14:formula1>
          <xm:sqref>L10:L69</xm:sqref>
        </x14:dataValidation>
        <x14:dataValidation type="custom" allowBlank="1" showInputMessage="1" showErrorMessage="1" error="Recuerde que las acciones se generan bajo la medida de mitigar el riesgo" xr:uid="{00000000-0002-0000-0100-00000A000000}">
          <x14:formula1>
            <xm:f>IF(OR(Q10='Opciones Tratamiento'!$B$2,Q10='Opciones Tratamiento'!$B$3,Q10='Opciones Tratamiento'!$B$4),ISBLANK(Q10),ISTEXT(Q10))</xm:f>
          </x14:formula1>
          <xm:sqref>AG10:AG69 R10</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AH10:AH69</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AI10:AI69</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AJ10:AJ69</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AK10:AK69</xm:sqref>
        </x14:dataValidation>
        <x14:dataValidation type="list" allowBlank="1" showInputMessage="1" showErrorMessage="1" xr:uid="{00000000-0002-0000-0100-00000F000000}">
          <x14:formula1>
            <xm:f>'C:\Users\HOME\Downloads\[Formato Matriz de Riesgos 2021 (1).xlsx]Opciones Tratamiento'!#REF!</xm:f>
          </x14:formula1>
          <xm:sqref>AF65 AF17 AF23 AF29 AF35 AF41 AF47 AF53 AF59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12" zoomScale="70" zoomScaleNormal="70" workbookViewId="0">
      <selection activeCell="AD14" sqref="AD14:AE15"/>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279" t="s">
        <v>150</v>
      </c>
      <c r="C2" s="279"/>
      <c r="D2" s="279"/>
      <c r="E2" s="279"/>
      <c r="F2" s="279"/>
      <c r="G2" s="279"/>
      <c r="H2" s="279"/>
      <c r="I2" s="279"/>
      <c r="J2" s="316" t="s">
        <v>2</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279"/>
      <c r="C3" s="279"/>
      <c r="D3" s="279"/>
      <c r="E3" s="279"/>
      <c r="F3" s="279"/>
      <c r="G3" s="279"/>
      <c r="H3" s="279"/>
      <c r="I3" s="279"/>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279"/>
      <c r="C4" s="279"/>
      <c r="D4" s="279"/>
      <c r="E4" s="279"/>
      <c r="F4" s="279"/>
      <c r="G4" s="279"/>
      <c r="H4" s="279"/>
      <c r="I4" s="279"/>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327" t="s">
        <v>4</v>
      </c>
      <c r="C6" s="327"/>
      <c r="D6" s="328"/>
      <c r="E6" s="317" t="s">
        <v>111</v>
      </c>
      <c r="F6" s="318"/>
      <c r="G6" s="318"/>
      <c r="H6" s="318"/>
      <c r="I6" s="319"/>
      <c r="J6" s="313" t="str">
        <f>IF(AND('Mapa final'!$J$10="Muy Alta",'Mapa final'!$N$10="Leve"),CONCATENATE("R",'Mapa final'!$A$10),"")</f>
        <v/>
      </c>
      <c r="K6" s="314"/>
      <c r="L6" s="314" t="str">
        <f>IF(AND('Mapa final'!$J$16="Muy Alta",'Mapa final'!$N$16="Leve"),CONCATENATE("R",'Mapa final'!$A$16),"")</f>
        <v/>
      </c>
      <c r="M6" s="314"/>
      <c r="N6" s="314" t="str">
        <f>IF(AND('Mapa final'!$J$22="Muy Alta",'Mapa final'!$N$22="Leve"),CONCATENATE("R",'Mapa final'!$A$22),"")</f>
        <v/>
      </c>
      <c r="O6" s="315"/>
      <c r="P6" s="313" t="str">
        <f>IF(AND('Mapa final'!$J$10="Muy Alta",'Mapa final'!$N$10="Menor"),CONCATENATE("R",'Mapa final'!$A$10),"")</f>
        <v/>
      </c>
      <c r="Q6" s="314"/>
      <c r="R6" s="314" t="str">
        <f>IF(AND('Mapa final'!$J$16="Muy Alta",'Mapa final'!$N$16="Menor"),CONCATENATE("R",'Mapa final'!$A$16),"")</f>
        <v/>
      </c>
      <c r="S6" s="314"/>
      <c r="T6" s="314" t="str">
        <f>IF(AND('Mapa final'!$J$22="Muy Alta",'Mapa final'!$N$22="Menor"),CONCATENATE("R",'Mapa final'!$A$22),"")</f>
        <v/>
      </c>
      <c r="U6" s="315"/>
      <c r="V6" s="313" t="str">
        <f>IF(AND('Mapa final'!$J$10="Muy Alta",'Mapa final'!$N$10="Moderado"),CONCATENATE("R",'Mapa final'!$A$10),"")</f>
        <v/>
      </c>
      <c r="W6" s="314"/>
      <c r="X6" s="314" t="str">
        <f>IF(AND('Mapa final'!$J$16="Muy Alta",'Mapa final'!$N$16="Moderado"),CONCATENATE("R",'Mapa final'!$A$16),"")</f>
        <v/>
      </c>
      <c r="Y6" s="314"/>
      <c r="Z6" s="314" t="str">
        <f>IF(AND('Mapa final'!$J$22="Muy Alta",'Mapa final'!$N$22="Moderado"),CONCATENATE("R",'Mapa final'!$A$22),"")</f>
        <v/>
      </c>
      <c r="AA6" s="315"/>
      <c r="AB6" s="313" t="str">
        <f>IF(AND('Mapa final'!$J$10="Muy Alta",'Mapa final'!$N$10="Mayor"),CONCATENATE("R",'Mapa final'!$A$10),"")</f>
        <v/>
      </c>
      <c r="AC6" s="314"/>
      <c r="AD6" s="314" t="str">
        <f>IF(AND('Mapa final'!$J$16="Muy Alta",'Mapa final'!$N$16="Mayor"),CONCATENATE("R",'Mapa final'!$A$16),"")</f>
        <v/>
      </c>
      <c r="AE6" s="314"/>
      <c r="AF6" s="314" t="str">
        <f>IF(AND('Mapa final'!$J$22="Muy Alta",'Mapa final'!$N$22="Mayor"),CONCATENATE("R",'Mapa final'!$A$22),"")</f>
        <v/>
      </c>
      <c r="AG6" s="315"/>
      <c r="AH6" s="304" t="str">
        <f>IF(AND('Mapa final'!$J$10="Muy Alta",'Mapa final'!$N$10="Catastrófico"),CONCATENATE("R",'Mapa final'!$A$10),"")</f>
        <v/>
      </c>
      <c r="AI6" s="305"/>
      <c r="AJ6" s="305" t="str">
        <f>IF(AND('Mapa final'!$J$16="Muy Alta",'Mapa final'!$N$16="Catastrófico"),CONCATENATE("R",'Mapa final'!$A$16),"")</f>
        <v/>
      </c>
      <c r="AK6" s="305"/>
      <c r="AL6" s="305" t="str">
        <f>IF(AND('Mapa final'!$J$22="Muy Alta",'Mapa final'!$N$22="Catastrófico"),CONCATENATE("R",'Mapa final'!$A$22),"")</f>
        <v/>
      </c>
      <c r="AM6" s="306"/>
      <c r="AO6" s="329" t="s">
        <v>78</v>
      </c>
      <c r="AP6" s="330"/>
      <c r="AQ6" s="330"/>
      <c r="AR6" s="330"/>
      <c r="AS6" s="330"/>
      <c r="AT6" s="331"/>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327"/>
      <c r="C7" s="327"/>
      <c r="D7" s="328"/>
      <c r="E7" s="320"/>
      <c r="F7" s="321"/>
      <c r="G7" s="321"/>
      <c r="H7" s="321"/>
      <c r="I7" s="322"/>
      <c r="J7" s="307"/>
      <c r="K7" s="308"/>
      <c r="L7" s="308"/>
      <c r="M7" s="308"/>
      <c r="N7" s="308"/>
      <c r="O7" s="309"/>
      <c r="P7" s="307"/>
      <c r="Q7" s="308"/>
      <c r="R7" s="308"/>
      <c r="S7" s="308"/>
      <c r="T7" s="308"/>
      <c r="U7" s="309"/>
      <c r="V7" s="307"/>
      <c r="W7" s="308"/>
      <c r="X7" s="308"/>
      <c r="Y7" s="308"/>
      <c r="Z7" s="308"/>
      <c r="AA7" s="309"/>
      <c r="AB7" s="307"/>
      <c r="AC7" s="308"/>
      <c r="AD7" s="308"/>
      <c r="AE7" s="308"/>
      <c r="AF7" s="308"/>
      <c r="AG7" s="309"/>
      <c r="AH7" s="298"/>
      <c r="AI7" s="299"/>
      <c r="AJ7" s="299"/>
      <c r="AK7" s="299"/>
      <c r="AL7" s="299"/>
      <c r="AM7" s="300"/>
      <c r="AN7" s="67"/>
      <c r="AO7" s="332"/>
      <c r="AP7" s="333"/>
      <c r="AQ7" s="333"/>
      <c r="AR7" s="333"/>
      <c r="AS7" s="333"/>
      <c r="AT7" s="334"/>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327"/>
      <c r="C8" s="327"/>
      <c r="D8" s="328"/>
      <c r="E8" s="320"/>
      <c r="F8" s="321"/>
      <c r="G8" s="321"/>
      <c r="H8" s="321"/>
      <c r="I8" s="322"/>
      <c r="J8" s="307" t="str">
        <f>IF(AND('Mapa final'!$J$28="Muy Alta",'Mapa final'!$N$28="Leve"),CONCATENATE("R",'Mapa final'!$A$28),"")</f>
        <v/>
      </c>
      <c r="K8" s="308"/>
      <c r="L8" s="308" t="str">
        <f>IF(AND('Mapa final'!$J$34="Muy Alta",'Mapa final'!$N$34="Leve"),CONCATENATE("R",'Mapa final'!$A$34),"")</f>
        <v/>
      </c>
      <c r="M8" s="308"/>
      <c r="N8" s="308" t="str">
        <f>IF(AND('Mapa final'!$J$40="Muy Alta",'Mapa final'!$N$40="Leve"),CONCATENATE("R",'Mapa final'!$A$40),"")</f>
        <v/>
      </c>
      <c r="O8" s="309"/>
      <c r="P8" s="307" t="str">
        <f>IF(AND('Mapa final'!$J$28="Muy Alta",'Mapa final'!$N$28="Menor"),CONCATENATE("R",'Mapa final'!$A$28),"")</f>
        <v/>
      </c>
      <c r="Q8" s="308"/>
      <c r="R8" s="308" t="str">
        <f>IF(AND('Mapa final'!$J$34="Muy Alta",'Mapa final'!$N$34="Menor"),CONCATENATE("R",'Mapa final'!$A$34),"")</f>
        <v/>
      </c>
      <c r="S8" s="308"/>
      <c r="T8" s="308" t="str">
        <f>IF(AND('Mapa final'!$J$40="Muy Alta",'Mapa final'!$N$40="Menor"),CONCATENATE("R",'Mapa final'!$A$40),"")</f>
        <v/>
      </c>
      <c r="U8" s="309"/>
      <c r="V8" s="307" t="str">
        <f>IF(AND('Mapa final'!$J$28="Muy Alta",'Mapa final'!$N$28="Moderado"),CONCATENATE("R",'Mapa final'!$A$28),"")</f>
        <v/>
      </c>
      <c r="W8" s="308"/>
      <c r="X8" s="308" t="str">
        <f>IF(AND('Mapa final'!$J$34="Muy Alta",'Mapa final'!$N$34="Moderado"),CONCATENATE("R",'Mapa final'!$A$34),"")</f>
        <v/>
      </c>
      <c r="Y8" s="308"/>
      <c r="Z8" s="308" t="str">
        <f>IF(AND('Mapa final'!$J$40="Muy Alta",'Mapa final'!$N$40="Moderado"),CONCATENATE("R",'Mapa final'!$A$40),"")</f>
        <v/>
      </c>
      <c r="AA8" s="309"/>
      <c r="AB8" s="307" t="str">
        <f>IF(AND('Mapa final'!$J$28="Muy Alta",'Mapa final'!$N$28="Mayor"),CONCATENATE("R",'Mapa final'!$A$28),"")</f>
        <v/>
      </c>
      <c r="AC8" s="308"/>
      <c r="AD8" s="308" t="str">
        <f>IF(AND('Mapa final'!$J$34="Muy Alta",'Mapa final'!$N$34="Mayor"),CONCATENATE("R",'Mapa final'!$A$34),"")</f>
        <v/>
      </c>
      <c r="AE8" s="308"/>
      <c r="AF8" s="308" t="str">
        <f>IF(AND('Mapa final'!$J$40="Muy Alta",'Mapa final'!$N$40="Mayor"),CONCATENATE("R",'Mapa final'!$A$40),"")</f>
        <v/>
      </c>
      <c r="AG8" s="309"/>
      <c r="AH8" s="298" t="str">
        <f>IF(AND('Mapa final'!$J$28="Muy Alta",'Mapa final'!$N$28="Catastrófico"),CONCATENATE("R",'Mapa final'!$A$28),"")</f>
        <v/>
      </c>
      <c r="AI8" s="299"/>
      <c r="AJ8" s="299" t="str">
        <f>IF(AND('Mapa final'!$J$34="Muy Alta",'Mapa final'!$N$34="Catastrófico"),CONCATENATE("R",'Mapa final'!$A$34),"")</f>
        <v/>
      </c>
      <c r="AK8" s="299"/>
      <c r="AL8" s="299" t="str">
        <f>IF(AND('Mapa final'!$J$40="Muy Alta",'Mapa final'!$N$40="Catastrófico"),CONCATENATE("R",'Mapa final'!$A$40),"")</f>
        <v/>
      </c>
      <c r="AM8" s="300"/>
      <c r="AN8" s="67"/>
      <c r="AO8" s="332"/>
      <c r="AP8" s="333"/>
      <c r="AQ8" s="333"/>
      <c r="AR8" s="333"/>
      <c r="AS8" s="333"/>
      <c r="AT8" s="334"/>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327"/>
      <c r="C9" s="327"/>
      <c r="D9" s="328"/>
      <c r="E9" s="320"/>
      <c r="F9" s="321"/>
      <c r="G9" s="321"/>
      <c r="H9" s="321"/>
      <c r="I9" s="322"/>
      <c r="J9" s="307"/>
      <c r="K9" s="308"/>
      <c r="L9" s="308"/>
      <c r="M9" s="308"/>
      <c r="N9" s="308"/>
      <c r="O9" s="309"/>
      <c r="P9" s="307"/>
      <c r="Q9" s="308"/>
      <c r="R9" s="308"/>
      <c r="S9" s="308"/>
      <c r="T9" s="308"/>
      <c r="U9" s="309"/>
      <c r="V9" s="307"/>
      <c r="W9" s="308"/>
      <c r="X9" s="308"/>
      <c r="Y9" s="308"/>
      <c r="Z9" s="308"/>
      <c r="AA9" s="309"/>
      <c r="AB9" s="307"/>
      <c r="AC9" s="308"/>
      <c r="AD9" s="308"/>
      <c r="AE9" s="308"/>
      <c r="AF9" s="308"/>
      <c r="AG9" s="309"/>
      <c r="AH9" s="298"/>
      <c r="AI9" s="299"/>
      <c r="AJ9" s="299"/>
      <c r="AK9" s="299"/>
      <c r="AL9" s="299"/>
      <c r="AM9" s="300"/>
      <c r="AN9" s="67"/>
      <c r="AO9" s="332"/>
      <c r="AP9" s="333"/>
      <c r="AQ9" s="333"/>
      <c r="AR9" s="333"/>
      <c r="AS9" s="333"/>
      <c r="AT9" s="334"/>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327"/>
      <c r="C10" s="327"/>
      <c r="D10" s="328"/>
      <c r="E10" s="320"/>
      <c r="F10" s="321"/>
      <c r="G10" s="321"/>
      <c r="H10" s="321"/>
      <c r="I10" s="322"/>
      <c r="J10" s="307" t="str">
        <f>IF(AND('Mapa final'!$J$46="Muy Alta",'Mapa final'!$N$46="Leve"),CONCATENATE("R",'Mapa final'!$A$46),"")</f>
        <v/>
      </c>
      <c r="K10" s="308"/>
      <c r="L10" s="308" t="str">
        <f>IF(AND('Mapa final'!$J$52="Muy Alta",'Mapa final'!$N$52="Leve"),CONCATENATE("R",'Mapa final'!$A$52),"")</f>
        <v/>
      </c>
      <c r="M10" s="308"/>
      <c r="N10" s="308" t="str">
        <f>IF(AND('Mapa final'!$J$58="Muy Alta",'Mapa final'!$N$58="Leve"),CONCATENATE("R",'Mapa final'!$A$58),"")</f>
        <v/>
      </c>
      <c r="O10" s="309"/>
      <c r="P10" s="307" t="str">
        <f>IF(AND('Mapa final'!$J$46="Muy Alta",'Mapa final'!$N$46="Menor"),CONCATENATE("R",'Mapa final'!$A$46),"")</f>
        <v/>
      </c>
      <c r="Q10" s="308"/>
      <c r="R10" s="308" t="str">
        <f>IF(AND('Mapa final'!$J$52="Muy Alta",'Mapa final'!$N$52="Menor"),CONCATENATE("R",'Mapa final'!$A$52),"")</f>
        <v/>
      </c>
      <c r="S10" s="308"/>
      <c r="T10" s="308" t="str">
        <f>IF(AND('Mapa final'!$J$58="Muy Alta",'Mapa final'!$N$58="Menor"),CONCATENATE("R",'Mapa final'!$A$58),"")</f>
        <v/>
      </c>
      <c r="U10" s="309"/>
      <c r="V10" s="307" t="str">
        <f>IF(AND('Mapa final'!$J$46="Muy Alta",'Mapa final'!$N$46="Moderado"),CONCATENATE("R",'Mapa final'!$A$46),"")</f>
        <v/>
      </c>
      <c r="W10" s="308"/>
      <c r="X10" s="308" t="str">
        <f>IF(AND('Mapa final'!$J$52="Muy Alta",'Mapa final'!$N$52="Moderado"),CONCATENATE("R",'Mapa final'!$A$52),"")</f>
        <v/>
      </c>
      <c r="Y10" s="308"/>
      <c r="Z10" s="308" t="str">
        <f>IF(AND('Mapa final'!$J$58="Muy Alta",'Mapa final'!$N$58="Moderado"),CONCATENATE("R",'Mapa final'!$A$58),"")</f>
        <v/>
      </c>
      <c r="AA10" s="309"/>
      <c r="AB10" s="307" t="str">
        <f>IF(AND('Mapa final'!$J$46="Muy Alta",'Mapa final'!$N$46="Mayor"),CONCATENATE("R",'Mapa final'!$A$46),"")</f>
        <v/>
      </c>
      <c r="AC10" s="308"/>
      <c r="AD10" s="308" t="str">
        <f>IF(AND('Mapa final'!$J$52="Muy Alta",'Mapa final'!$N$52="Mayor"),CONCATENATE("R",'Mapa final'!$A$52),"")</f>
        <v/>
      </c>
      <c r="AE10" s="308"/>
      <c r="AF10" s="308" t="str">
        <f>IF(AND('Mapa final'!$J$58="Muy Alta",'Mapa final'!$N$58="Mayor"),CONCATENATE("R",'Mapa final'!$A$58),"")</f>
        <v/>
      </c>
      <c r="AG10" s="309"/>
      <c r="AH10" s="298" t="str">
        <f>IF(AND('Mapa final'!$J$46="Muy Alta",'Mapa final'!$N$46="Catastrófico"),CONCATENATE("R",'Mapa final'!$A$46),"")</f>
        <v/>
      </c>
      <c r="AI10" s="299"/>
      <c r="AJ10" s="299" t="str">
        <f>IF(AND('Mapa final'!$J$52="Muy Alta",'Mapa final'!$N$52="Catastrófico"),CONCATENATE("R",'Mapa final'!$A$52),"")</f>
        <v/>
      </c>
      <c r="AK10" s="299"/>
      <c r="AL10" s="299" t="str">
        <f>IF(AND('Mapa final'!$J$58="Muy Alta",'Mapa final'!$N$58="Catastrófico"),CONCATENATE("R",'Mapa final'!$A$58),"")</f>
        <v/>
      </c>
      <c r="AM10" s="300"/>
      <c r="AN10" s="67"/>
      <c r="AO10" s="332"/>
      <c r="AP10" s="333"/>
      <c r="AQ10" s="333"/>
      <c r="AR10" s="333"/>
      <c r="AS10" s="333"/>
      <c r="AT10" s="334"/>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327"/>
      <c r="C11" s="327"/>
      <c r="D11" s="328"/>
      <c r="E11" s="320"/>
      <c r="F11" s="321"/>
      <c r="G11" s="321"/>
      <c r="H11" s="321"/>
      <c r="I11" s="322"/>
      <c r="J11" s="307"/>
      <c r="K11" s="308"/>
      <c r="L11" s="308"/>
      <c r="M11" s="308"/>
      <c r="N11" s="308"/>
      <c r="O11" s="309"/>
      <c r="P11" s="307"/>
      <c r="Q11" s="308"/>
      <c r="R11" s="308"/>
      <c r="S11" s="308"/>
      <c r="T11" s="308"/>
      <c r="U11" s="309"/>
      <c r="V11" s="307"/>
      <c r="W11" s="308"/>
      <c r="X11" s="308"/>
      <c r="Y11" s="308"/>
      <c r="Z11" s="308"/>
      <c r="AA11" s="309"/>
      <c r="AB11" s="307"/>
      <c r="AC11" s="308"/>
      <c r="AD11" s="308"/>
      <c r="AE11" s="308"/>
      <c r="AF11" s="308"/>
      <c r="AG11" s="309"/>
      <c r="AH11" s="298"/>
      <c r="AI11" s="299"/>
      <c r="AJ11" s="299"/>
      <c r="AK11" s="299"/>
      <c r="AL11" s="299"/>
      <c r="AM11" s="300"/>
      <c r="AN11" s="67"/>
      <c r="AO11" s="332"/>
      <c r="AP11" s="333"/>
      <c r="AQ11" s="333"/>
      <c r="AR11" s="333"/>
      <c r="AS11" s="333"/>
      <c r="AT11" s="334"/>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327"/>
      <c r="C12" s="327"/>
      <c r="D12" s="328"/>
      <c r="E12" s="320"/>
      <c r="F12" s="321"/>
      <c r="G12" s="321"/>
      <c r="H12" s="321"/>
      <c r="I12" s="322"/>
      <c r="J12" s="307" t="str">
        <f>IF(AND('Mapa final'!$J$64="Muy Alta",'Mapa final'!$N$64="Leve"),CONCATENATE("R",'Mapa final'!$A$64),"")</f>
        <v/>
      </c>
      <c r="K12" s="308"/>
      <c r="L12" s="308" t="str">
        <f>IF(AND('Mapa final'!$J$70="Muy Alta",'Mapa final'!$N$70="Leve"),CONCATENATE("R",'Mapa final'!$A$70),"")</f>
        <v/>
      </c>
      <c r="M12" s="308"/>
      <c r="N12" s="308" t="str">
        <f>IF(AND('Mapa final'!$J$76="Muy Alta",'Mapa final'!$N$76="Leve"),CONCATENATE("R",'Mapa final'!$A$76),"")</f>
        <v/>
      </c>
      <c r="O12" s="309"/>
      <c r="P12" s="307" t="str">
        <f>IF(AND('Mapa final'!$J$64="Muy Alta",'Mapa final'!$N$64="Menor"),CONCATENATE("R",'Mapa final'!$A$64),"")</f>
        <v/>
      </c>
      <c r="Q12" s="308"/>
      <c r="R12" s="308" t="str">
        <f>IF(AND('Mapa final'!$J$70="Muy Alta",'Mapa final'!$N$70="Menor"),CONCATENATE("R",'Mapa final'!$A$70),"")</f>
        <v/>
      </c>
      <c r="S12" s="308"/>
      <c r="T12" s="308" t="str">
        <f>IF(AND('Mapa final'!$J$76="Muy Alta",'Mapa final'!$N$76="Menor"),CONCATENATE("R",'Mapa final'!$A$76),"")</f>
        <v/>
      </c>
      <c r="U12" s="309"/>
      <c r="V12" s="307" t="str">
        <f>IF(AND('Mapa final'!$J$64="Muy Alta",'Mapa final'!$N$64="Moderado"),CONCATENATE("R",'Mapa final'!$A$64),"")</f>
        <v/>
      </c>
      <c r="W12" s="308"/>
      <c r="X12" s="308" t="str">
        <f>IF(AND('Mapa final'!$J$70="Muy Alta",'Mapa final'!$N$70="Moderado"),CONCATENATE("R",'Mapa final'!$A$70),"")</f>
        <v/>
      </c>
      <c r="Y12" s="308"/>
      <c r="Z12" s="308" t="str">
        <f>IF(AND('Mapa final'!$J$76="Muy Alta",'Mapa final'!$N$76="Moderado"),CONCATENATE("R",'Mapa final'!$A$76),"")</f>
        <v/>
      </c>
      <c r="AA12" s="309"/>
      <c r="AB12" s="307" t="str">
        <f>IF(AND('Mapa final'!$J$64="Muy Alta",'Mapa final'!$N$64="Mayor"),CONCATENATE("R",'Mapa final'!$A$64),"")</f>
        <v/>
      </c>
      <c r="AC12" s="308"/>
      <c r="AD12" s="308" t="str">
        <f>IF(AND('Mapa final'!$J$70="Muy Alta",'Mapa final'!$N$70="Mayor"),CONCATENATE("R",'Mapa final'!$A$70),"")</f>
        <v/>
      </c>
      <c r="AE12" s="308"/>
      <c r="AF12" s="308" t="str">
        <f>IF(AND('Mapa final'!$J$76="Muy Alta",'Mapa final'!$N$76="Mayor"),CONCATENATE("R",'Mapa final'!$A$76),"")</f>
        <v/>
      </c>
      <c r="AG12" s="309"/>
      <c r="AH12" s="298" t="str">
        <f>IF(AND('Mapa final'!$J$64="Muy Alta",'Mapa final'!$N$64="Catastrófico"),CONCATENATE("R",'Mapa final'!$A$64),"")</f>
        <v/>
      </c>
      <c r="AI12" s="299"/>
      <c r="AJ12" s="299" t="str">
        <f>IF(AND('Mapa final'!$J$70="Muy Alta",'Mapa final'!$N$70="Catastrófico"),CONCATENATE("R",'Mapa final'!$A$70),"")</f>
        <v/>
      </c>
      <c r="AK12" s="299"/>
      <c r="AL12" s="299" t="str">
        <f>IF(AND('Mapa final'!$J$76="Muy Alta",'Mapa final'!$N$76="Catastrófico"),CONCATENATE("R",'Mapa final'!$A$76),"")</f>
        <v/>
      </c>
      <c r="AM12" s="300"/>
      <c r="AN12" s="67"/>
      <c r="AO12" s="332"/>
      <c r="AP12" s="333"/>
      <c r="AQ12" s="333"/>
      <c r="AR12" s="333"/>
      <c r="AS12" s="333"/>
      <c r="AT12" s="334"/>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327"/>
      <c r="C13" s="327"/>
      <c r="D13" s="328"/>
      <c r="E13" s="323"/>
      <c r="F13" s="324"/>
      <c r="G13" s="324"/>
      <c r="H13" s="324"/>
      <c r="I13" s="325"/>
      <c r="J13" s="307"/>
      <c r="K13" s="308"/>
      <c r="L13" s="308"/>
      <c r="M13" s="308"/>
      <c r="N13" s="308"/>
      <c r="O13" s="309"/>
      <c r="P13" s="307"/>
      <c r="Q13" s="308"/>
      <c r="R13" s="308"/>
      <c r="S13" s="308"/>
      <c r="T13" s="308"/>
      <c r="U13" s="309"/>
      <c r="V13" s="307"/>
      <c r="W13" s="308"/>
      <c r="X13" s="308"/>
      <c r="Y13" s="308"/>
      <c r="Z13" s="308"/>
      <c r="AA13" s="309"/>
      <c r="AB13" s="307"/>
      <c r="AC13" s="308"/>
      <c r="AD13" s="308"/>
      <c r="AE13" s="308"/>
      <c r="AF13" s="308"/>
      <c r="AG13" s="309"/>
      <c r="AH13" s="301"/>
      <c r="AI13" s="302"/>
      <c r="AJ13" s="302"/>
      <c r="AK13" s="302"/>
      <c r="AL13" s="302"/>
      <c r="AM13" s="303"/>
      <c r="AN13" s="67"/>
      <c r="AO13" s="335"/>
      <c r="AP13" s="336"/>
      <c r="AQ13" s="336"/>
      <c r="AR13" s="336"/>
      <c r="AS13" s="336"/>
      <c r="AT13" s="33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327"/>
      <c r="C14" s="327"/>
      <c r="D14" s="328"/>
      <c r="E14" s="317" t="s">
        <v>110</v>
      </c>
      <c r="F14" s="318"/>
      <c r="G14" s="318"/>
      <c r="H14" s="318"/>
      <c r="I14" s="318"/>
      <c r="J14" s="295" t="str">
        <f>IF(AND('Mapa final'!$J$10="Alta",'Mapa final'!$N$10="Leve"),CONCATENATE("R",'Mapa final'!$A$10),"")</f>
        <v/>
      </c>
      <c r="K14" s="296"/>
      <c r="L14" s="296" t="str">
        <f>IF(AND('Mapa final'!$J$16="Alta",'Mapa final'!$N$16="Leve"),CONCATENATE("R",'Mapa final'!$A$16),"")</f>
        <v/>
      </c>
      <c r="M14" s="296"/>
      <c r="N14" s="296" t="str">
        <f>IF(AND('Mapa final'!$J$22="Alta",'Mapa final'!$N$22="Leve"),CONCATENATE("R",'Mapa final'!$A$22),"")</f>
        <v/>
      </c>
      <c r="O14" s="297"/>
      <c r="P14" s="295" t="str">
        <f>IF(AND('Mapa final'!$J$10="Alta",'Mapa final'!$N$10="Menor"),CONCATENATE("R",'Mapa final'!$A$10),"")</f>
        <v/>
      </c>
      <c r="Q14" s="296"/>
      <c r="R14" s="296" t="str">
        <f>IF(AND('Mapa final'!$J$16="Alta",'Mapa final'!$N$16="Menor"),CONCATENATE("R",'Mapa final'!$A$16),"")</f>
        <v/>
      </c>
      <c r="S14" s="296"/>
      <c r="T14" s="296" t="str">
        <f>IF(AND('Mapa final'!$J$22="Alta",'Mapa final'!$N$22="Menor"),CONCATENATE("R",'Mapa final'!$A$22),"")</f>
        <v/>
      </c>
      <c r="U14" s="297"/>
      <c r="V14" s="313" t="str">
        <f>IF(AND('Mapa final'!$J$10="Alta",'Mapa final'!$N$10="Moderado"),CONCATENATE("R",'Mapa final'!$A$10),"")</f>
        <v/>
      </c>
      <c r="W14" s="314"/>
      <c r="X14" s="314" t="str">
        <f>IF(AND('Mapa final'!$J$16="Alta",'Mapa final'!$N$16="Moderado"),CONCATENATE("R",'Mapa final'!$A$16),"")</f>
        <v/>
      </c>
      <c r="Y14" s="314"/>
      <c r="Z14" s="314" t="str">
        <f>IF(AND('Mapa final'!$J$22="Alta",'Mapa final'!$N$22="Moderado"),CONCATENATE("R",'Mapa final'!$A$22),"")</f>
        <v/>
      </c>
      <c r="AA14" s="315"/>
      <c r="AB14" s="313" t="str">
        <f>IF(AND('Mapa final'!$J$10="Alta",'Mapa final'!$N$10="Mayor"),CONCATENATE("R",'Mapa final'!$A$10),"")</f>
        <v/>
      </c>
      <c r="AC14" s="314"/>
      <c r="AD14" s="314" t="str">
        <f>IF(AND('Mapa final'!$J$16="Alta",'Mapa final'!$N$16="Mayor"),CONCATENATE("R",'Mapa final'!$A$16),"")</f>
        <v/>
      </c>
      <c r="AE14" s="314"/>
      <c r="AF14" s="314" t="str">
        <f>IF(AND('Mapa final'!$J$22="Alta",'Mapa final'!$N$22="Mayor"),CONCATENATE("R",'Mapa final'!$A$22),"")</f>
        <v/>
      </c>
      <c r="AG14" s="315"/>
      <c r="AH14" s="304" t="str">
        <f>IF(AND('Mapa final'!$J$10="Alta",'Mapa final'!$N$10="Catastrófico"),CONCATENATE("R",'Mapa final'!$A$10),"")</f>
        <v/>
      </c>
      <c r="AI14" s="305"/>
      <c r="AJ14" s="305" t="str">
        <f>IF(AND('Mapa final'!$J$16="Alta",'Mapa final'!$N$16="Catastrófico"),CONCATENATE("R",'Mapa final'!$A$16),"")</f>
        <v/>
      </c>
      <c r="AK14" s="305"/>
      <c r="AL14" s="305" t="str">
        <f>IF(AND('Mapa final'!$J$22="Alta",'Mapa final'!$N$22="Catastrófico"),CONCATENATE("R",'Mapa final'!$A$22),"")</f>
        <v/>
      </c>
      <c r="AM14" s="306"/>
      <c r="AN14" s="67"/>
      <c r="AO14" s="338" t="s">
        <v>79</v>
      </c>
      <c r="AP14" s="339"/>
      <c r="AQ14" s="339"/>
      <c r="AR14" s="339"/>
      <c r="AS14" s="339"/>
      <c r="AT14" s="34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327"/>
      <c r="C15" s="327"/>
      <c r="D15" s="328"/>
      <c r="E15" s="320"/>
      <c r="F15" s="321"/>
      <c r="G15" s="321"/>
      <c r="H15" s="321"/>
      <c r="I15" s="321"/>
      <c r="J15" s="289"/>
      <c r="K15" s="290"/>
      <c r="L15" s="290"/>
      <c r="M15" s="290"/>
      <c r="N15" s="290"/>
      <c r="O15" s="291"/>
      <c r="P15" s="289"/>
      <c r="Q15" s="290"/>
      <c r="R15" s="290"/>
      <c r="S15" s="290"/>
      <c r="T15" s="290"/>
      <c r="U15" s="291"/>
      <c r="V15" s="307"/>
      <c r="W15" s="308"/>
      <c r="X15" s="308"/>
      <c r="Y15" s="308"/>
      <c r="Z15" s="308"/>
      <c r="AA15" s="309"/>
      <c r="AB15" s="307"/>
      <c r="AC15" s="308"/>
      <c r="AD15" s="308"/>
      <c r="AE15" s="308"/>
      <c r="AF15" s="308"/>
      <c r="AG15" s="309"/>
      <c r="AH15" s="298"/>
      <c r="AI15" s="299"/>
      <c r="AJ15" s="299"/>
      <c r="AK15" s="299"/>
      <c r="AL15" s="299"/>
      <c r="AM15" s="300"/>
      <c r="AN15" s="67"/>
      <c r="AO15" s="341"/>
      <c r="AP15" s="342"/>
      <c r="AQ15" s="342"/>
      <c r="AR15" s="342"/>
      <c r="AS15" s="342"/>
      <c r="AT15" s="34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327"/>
      <c r="C16" s="327"/>
      <c r="D16" s="328"/>
      <c r="E16" s="320"/>
      <c r="F16" s="321"/>
      <c r="G16" s="321"/>
      <c r="H16" s="321"/>
      <c r="I16" s="321"/>
      <c r="J16" s="289" t="str">
        <f>IF(AND('Mapa final'!$J$28="Alta",'Mapa final'!$N$28="Leve"),CONCATENATE("R",'Mapa final'!$A$28),"")</f>
        <v/>
      </c>
      <c r="K16" s="290"/>
      <c r="L16" s="290" t="str">
        <f>IF(AND('Mapa final'!$J$34="Alta",'Mapa final'!$N$34="Leve"),CONCATENATE("R",'Mapa final'!$A$34),"")</f>
        <v/>
      </c>
      <c r="M16" s="290"/>
      <c r="N16" s="290" t="str">
        <f>IF(AND('Mapa final'!$J$40="Alta",'Mapa final'!$N$40="Leve"),CONCATENATE("R",'Mapa final'!$A$40),"")</f>
        <v/>
      </c>
      <c r="O16" s="291"/>
      <c r="P16" s="289" t="str">
        <f>IF(AND('Mapa final'!$J$28="Alta",'Mapa final'!$N$28="Menor"),CONCATENATE("R",'Mapa final'!$A$28),"")</f>
        <v/>
      </c>
      <c r="Q16" s="290"/>
      <c r="R16" s="290" t="str">
        <f>IF(AND('Mapa final'!$J$34="Alta",'Mapa final'!$N$34="Menor"),CONCATENATE("R",'Mapa final'!$A$34),"")</f>
        <v/>
      </c>
      <c r="S16" s="290"/>
      <c r="T16" s="290" t="str">
        <f>IF(AND('Mapa final'!$J$40="Alta",'Mapa final'!$N$40="Menor"),CONCATENATE("R",'Mapa final'!$A$40),"")</f>
        <v/>
      </c>
      <c r="U16" s="291"/>
      <c r="V16" s="307" t="str">
        <f>IF(AND('Mapa final'!$J$28="Alta",'Mapa final'!$N$28="Moderado"),CONCATENATE("R",'Mapa final'!$A$28),"")</f>
        <v/>
      </c>
      <c r="W16" s="308"/>
      <c r="X16" s="308" t="str">
        <f>IF(AND('Mapa final'!$J$34="Alta",'Mapa final'!$N$34="Moderado"),CONCATENATE("R",'Mapa final'!$A$34),"")</f>
        <v/>
      </c>
      <c r="Y16" s="308"/>
      <c r="Z16" s="308" t="str">
        <f>IF(AND('Mapa final'!$J$40="Alta",'Mapa final'!$N$40="Moderado"),CONCATENATE("R",'Mapa final'!$A$40),"")</f>
        <v/>
      </c>
      <c r="AA16" s="309"/>
      <c r="AB16" s="307" t="str">
        <f>IF(AND('Mapa final'!$J$28="Alta",'Mapa final'!$N$28="Mayor"),CONCATENATE("R",'Mapa final'!$A$28),"")</f>
        <v/>
      </c>
      <c r="AC16" s="308"/>
      <c r="AD16" s="308" t="str">
        <f>IF(AND('Mapa final'!$J$34="Alta",'Mapa final'!$N$34="Mayor"),CONCATENATE("R",'Mapa final'!$A$34),"")</f>
        <v/>
      </c>
      <c r="AE16" s="308"/>
      <c r="AF16" s="308" t="str">
        <f>IF(AND('Mapa final'!$J$40="Alta",'Mapa final'!$N$40="Mayor"),CONCATENATE("R",'Mapa final'!$A$40),"")</f>
        <v/>
      </c>
      <c r="AG16" s="309"/>
      <c r="AH16" s="298" t="str">
        <f>IF(AND('Mapa final'!$J$28="Alta",'Mapa final'!$N$28="Catastrófico"),CONCATENATE("R",'Mapa final'!$A$28),"")</f>
        <v/>
      </c>
      <c r="AI16" s="299"/>
      <c r="AJ16" s="299" t="str">
        <f>IF(AND('Mapa final'!$J$34="Alta",'Mapa final'!$N$34="Catastrófico"),CONCATENATE("R",'Mapa final'!$A$34),"")</f>
        <v/>
      </c>
      <c r="AK16" s="299"/>
      <c r="AL16" s="299" t="str">
        <f>IF(AND('Mapa final'!$J$40="Alta",'Mapa final'!$N$40="Catastrófico"),CONCATENATE("R",'Mapa final'!$A$40),"")</f>
        <v/>
      </c>
      <c r="AM16" s="300"/>
      <c r="AN16" s="67"/>
      <c r="AO16" s="341"/>
      <c r="AP16" s="342"/>
      <c r="AQ16" s="342"/>
      <c r="AR16" s="342"/>
      <c r="AS16" s="342"/>
      <c r="AT16" s="34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327"/>
      <c r="C17" s="327"/>
      <c r="D17" s="328"/>
      <c r="E17" s="320"/>
      <c r="F17" s="321"/>
      <c r="G17" s="321"/>
      <c r="H17" s="321"/>
      <c r="I17" s="321"/>
      <c r="J17" s="289"/>
      <c r="K17" s="290"/>
      <c r="L17" s="290"/>
      <c r="M17" s="290"/>
      <c r="N17" s="290"/>
      <c r="O17" s="291"/>
      <c r="P17" s="289"/>
      <c r="Q17" s="290"/>
      <c r="R17" s="290"/>
      <c r="S17" s="290"/>
      <c r="T17" s="290"/>
      <c r="U17" s="291"/>
      <c r="V17" s="307"/>
      <c r="W17" s="308"/>
      <c r="X17" s="308"/>
      <c r="Y17" s="308"/>
      <c r="Z17" s="308"/>
      <c r="AA17" s="309"/>
      <c r="AB17" s="307"/>
      <c r="AC17" s="308"/>
      <c r="AD17" s="308"/>
      <c r="AE17" s="308"/>
      <c r="AF17" s="308"/>
      <c r="AG17" s="309"/>
      <c r="AH17" s="298"/>
      <c r="AI17" s="299"/>
      <c r="AJ17" s="299"/>
      <c r="AK17" s="299"/>
      <c r="AL17" s="299"/>
      <c r="AM17" s="300"/>
      <c r="AN17" s="67"/>
      <c r="AO17" s="341"/>
      <c r="AP17" s="342"/>
      <c r="AQ17" s="342"/>
      <c r="AR17" s="342"/>
      <c r="AS17" s="342"/>
      <c r="AT17" s="343"/>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327"/>
      <c r="C18" s="327"/>
      <c r="D18" s="328"/>
      <c r="E18" s="320"/>
      <c r="F18" s="321"/>
      <c r="G18" s="321"/>
      <c r="H18" s="321"/>
      <c r="I18" s="321"/>
      <c r="J18" s="289" t="str">
        <f>IF(AND('Mapa final'!$J$46="Alta",'Mapa final'!$N$46="Leve"),CONCATENATE("R",'Mapa final'!$A$46),"")</f>
        <v/>
      </c>
      <c r="K18" s="290"/>
      <c r="L18" s="290" t="str">
        <f>IF(AND('Mapa final'!$J$52="Alta",'Mapa final'!$N$52="Leve"),CONCATENATE("R",'Mapa final'!$A$52),"")</f>
        <v/>
      </c>
      <c r="M18" s="290"/>
      <c r="N18" s="290" t="str">
        <f>IF(AND('Mapa final'!$J$58="Alta",'Mapa final'!$N$58="Leve"),CONCATENATE("R",'Mapa final'!$A$58),"")</f>
        <v/>
      </c>
      <c r="O18" s="291"/>
      <c r="P18" s="289" t="str">
        <f>IF(AND('Mapa final'!$J$46="Alta",'Mapa final'!$N$46="Menor"),CONCATENATE("R",'Mapa final'!$A$46),"")</f>
        <v/>
      </c>
      <c r="Q18" s="290"/>
      <c r="R18" s="290" t="str">
        <f>IF(AND('Mapa final'!$J$52="Alta",'Mapa final'!$N$52="Menor"),CONCATENATE("R",'Mapa final'!$A$52),"")</f>
        <v/>
      </c>
      <c r="S18" s="290"/>
      <c r="T18" s="290" t="str">
        <f>IF(AND('Mapa final'!$J$58="Alta",'Mapa final'!$N$58="Menor"),CONCATENATE("R",'Mapa final'!$A$58),"")</f>
        <v/>
      </c>
      <c r="U18" s="291"/>
      <c r="V18" s="307" t="str">
        <f>IF(AND('Mapa final'!$J$46="Alta",'Mapa final'!$N$46="Moderado"),CONCATENATE("R",'Mapa final'!$A$46),"")</f>
        <v/>
      </c>
      <c r="W18" s="308"/>
      <c r="X18" s="308" t="str">
        <f>IF(AND('Mapa final'!$J$52="Alta",'Mapa final'!$N$52="Moderado"),CONCATENATE("R",'Mapa final'!$A$52),"")</f>
        <v/>
      </c>
      <c r="Y18" s="308"/>
      <c r="Z18" s="308" t="str">
        <f>IF(AND('Mapa final'!$J$58="Alta",'Mapa final'!$N$58="Moderado"),CONCATENATE("R",'Mapa final'!$A$58),"")</f>
        <v/>
      </c>
      <c r="AA18" s="309"/>
      <c r="AB18" s="307" t="str">
        <f>IF(AND('Mapa final'!$J$46="Alta",'Mapa final'!$N$46="Mayor"),CONCATENATE("R",'Mapa final'!$A$46),"")</f>
        <v/>
      </c>
      <c r="AC18" s="308"/>
      <c r="AD18" s="308" t="str">
        <f>IF(AND('Mapa final'!$J$52="Alta",'Mapa final'!$N$52="Mayor"),CONCATENATE("R",'Mapa final'!$A$52),"")</f>
        <v/>
      </c>
      <c r="AE18" s="308"/>
      <c r="AF18" s="308" t="str">
        <f>IF(AND('Mapa final'!$J$58="Alta",'Mapa final'!$N$58="Mayor"),CONCATENATE("R",'Mapa final'!$A$58),"")</f>
        <v/>
      </c>
      <c r="AG18" s="309"/>
      <c r="AH18" s="298" t="str">
        <f>IF(AND('Mapa final'!$J$46="Alta",'Mapa final'!$N$46="Catastrófico"),CONCATENATE("R",'Mapa final'!$A$46),"")</f>
        <v/>
      </c>
      <c r="AI18" s="299"/>
      <c r="AJ18" s="299" t="str">
        <f>IF(AND('Mapa final'!$J$52="Alta",'Mapa final'!$N$52="Catastrófico"),CONCATENATE("R",'Mapa final'!$A$52),"")</f>
        <v/>
      </c>
      <c r="AK18" s="299"/>
      <c r="AL18" s="299" t="str">
        <f>IF(AND('Mapa final'!$J$58="Alta",'Mapa final'!$N$58="Catastrófico"),CONCATENATE("R",'Mapa final'!$A$58),"")</f>
        <v/>
      </c>
      <c r="AM18" s="300"/>
      <c r="AN18" s="67"/>
      <c r="AO18" s="341"/>
      <c r="AP18" s="342"/>
      <c r="AQ18" s="342"/>
      <c r="AR18" s="342"/>
      <c r="AS18" s="342"/>
      <c r="AT18" s="343"/>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327"/>
      <c r="C19" s="327"/>
      <c r="D19" s="328"/>
      <c r="E19" s="320"/>
      <c r="F19" s="321"/>
      <c r="G19" s="321"/>
      <c r="H19" s="321"/>
      <c r="I19" s="321"/>
      <c r="J19" s="289"/>
      <c r="K19" s="290"/>
      <c r="L19" s="290"/>
      <c r="M19" s="290"/>
      <c r="N19" s="290"/>
      <c r="O19" s="291"/>
      <c r="P19" s="289"/>
      <c r="Q19" s="290"/>
      <c r="R19" s="290"/>
      <c r="S19" s="290"/>
      <c r="T19" s="290"/>
      <c r="U19" s="291"/>
      <c r="V19" s="307"/>
      <c r="W19" s="308"/>
      <c r="X19" s="308"/>
      <c r="Y19" s="308"/>
      <c r="Z19" s="308"/>
      <c r="AA19" s="309"/>
      <c r="AB19" s="307"/>
      <c r="AC19" s="308"/>
      <c r="AD19" s="308"/>
      <c r="AE19" s="308"/>
      <c r="AF19" s="308"/>
      <c r="AG19" s="309"/>
      <c r="AH19" s="298"/>
      <c r="AI19" s="299"/>
      <c r="AJ19" s="299"/>
      <c r="AK19" s="299"/>
      <c r="AL19" s="299"/>
      <c r="AM19" s="300"/>
      <c r="AN19" s="67"/>
      <c r="AO19" s="341"/>
      <c r="AP19" s="342"/>
      <c r="AQ19" s="342"/>
      <c r="AR19" s="342"/>
      <c r="AS19" s="342"/>
      <c r="AT19" s="343"/>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327"/>
      <c r="C20" s="327"/>
      <c r="D20" s="328"/>
      <c r="E20" s="320"/>
      <c r="F20" s="321"/>
      <c r="G20" s="321"/>
      <c r="H20" s="321"/>
      <c r="I20" s="321"/>
      <c r="J20" s="289" t="str">
        <f>IF(AND('Mapa final'!$J$64="Alta",'Mapa final'!$N$64="Leve"),CONCATENATE("R",'Mapa final'!$A$64),"")</f>
        <v/>
      </c>
      <c r="K20" s="290"/>
      <c r="L20" s="290" t="str">
        <f>IF(AND('Mapa final'!$J$70="Alta",'Mapa final'!$N$70="Leve"),CONCATENATE("R",'Mapa final'!$A$70),"")</f>
        <v/>
      </c>
      <c r="M20" s="290"/>
      <c r="N20" s="290" t="str">
        <f>IF(AND('Mapa final'!$J$76="Alta",'Mapa final'!$N$76="Leve"),CONCATENATE("R",'Mapa final'!$A$76),"")</f>
        <v/>
      </c>
      <c r="O20" s="291"/>
      <c r="P20" s="289" t="str">
        <f>IF(AND('Mapa final'!$J$64="Alta",'Mapa final'!$N$64="Menor"),CONCATENATE("R",'Mapa final'!$A$64),"")</f>
        <v/>
      </c>
      <c r="Q20" s="290"/>
      <c r="R20" s="290" t="str">
        <f>IF(AND('Mapa final'!$J$70="Alta",'Mapa final'!$N$70="Menor"),CONCATENATE("R",'Mapa final'!$A$70),"")</f>
        <v/>
      </c>
      <c r="S20" s="290"/>
      <c r="T20" s="290" t="str">
        <f>IF(AND('Mapa final'!$J$76="Alta",'Mapa final'!$N$76="Menor"),CONCATENATE("R",'Mapa final'!$A$76),"")</f>
        <v/>
      </c>
      <c r="U20" s="291"/>
      <c r="V20" s="307" t="str">
        <f>IF(AND('Mapa final'!$J$64="Alta",'Mapa final'!$N$64="Moderado"),CONCATENATE("R",'Mapa final'!$A$64),"")</f>
        <v/>
      </c>
      <c r="W20" s="308"/>
      <c r="X20" s="308" t="str">
        <f>IF(AND('Mapa final'!$J$70="Alta",'Mapa final'!$N$70="Moderado"),CONCATENATE("R",'Mapa final'!$A$70),"")</f>
        <v/>
      </c>
      <c r="Y20" s="308"/>
      <c r="Z20" s="308" t="str">
        <f>IF(AND('Mapa final'!$J$76="Alta",'Mapa final'!$N$76="Moderado"),CONCATENATE("R",'Mapa final'!$A$76),"")</f>
        <v/>
      </c>
      <c r="AA20" s="309"/>
      <c r="AB20" s="307" t="str">
        <f>IF(AND('Mapa final'!$J$64="Alta",'Mapa final'!$N$64="Mayor"),CONCATENATE("R",'Mapa final'!$A$64),"")</f>
        <v/>
      </c>
      <c r="AC20" s="308"/>
      <c r="AD20" s="308" t="str">
        <f>IF(AND('Mapa final'!$J$70="Alta",'Mapa final'!$N$70="Mayor"),CONCATENATE("R",'Mapa final'!$A$70),"")</f>
        <v/>
      </c>
      <c r="AE20" s="308"/>
      <c r="AF20" s="308" t="str">
        <f>IF(AND('Mapa final'!$J$76="Alta",'Mapa final'!$N$76="Mayor"),CONCATENATE("R",'Mapa final'!$A$76),"")</f>
        <v/>
      </c>
      <c r="AG20" s="309"/>
      <c r="AH20" s="298" t="str">
        <f>IF(AND('Mapa final'!$J$64="Alta",'Mapa final'!$N$64="Catastrófico"),CONCATENATE("R",'Mapa final'!$A$64),"")</f>
        <v/>
      </c>
      <c r="AI20" s="299"/>
      <c r="AJ20" s="299" t="str">
        <f>IF(AND('Mapa final'!$J$70="Alta",'Mapa final'!$N$70="Catastrófico"),CONCATENATE("R",'Mapa final'!$A$70),"")</f>
        <v/>
      </c>
      <c r="AK20" s="299"/>
      <c r="AL20" s="299" t="str">
        <f>IF(AND('Mapa final'!$J$76="Alta",'Mapa final'!$N$76="Catastrófico"),CONCATENATE("R",'Mapa final'!$A$76),"")</f>
        <v/>
      </c>
      <c r="AM20" s="300"/>
      <c r="AN20" s="67"/>
      <c r="AO20" s="341"/>
      <c r="AP20" s="342"/>
      <c r="AQ20" s="342"/>
      <c r="AR20" s="342"/>
      <c r="AS20" s="342"/>
      <c r="AT20" s="343"/>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327"/>
      <c r="C21" s="327"/>
      <c r="D21" s="328"/>
      <c r="E21" s="323"/>
      <c r="F21" s="324"/>
      <c r="G21" s="324"/>
      <c r="H21" s="324"/>
      <c r="I21" s="324"/>
      <c r="J21" s="292"/>
      <c r="K21" s="293"/>
      <c r="L21" s="293"/>
      <c r="M21" s="293"/>
      <c r="N21" s="293"/>
      <c r="O21" s="294"/>
      <c r="P21" s="292"/>
      <c r="Q21" s="293"/>
      <c r="R21" s="293"/>
      <c r="S21" s="293"/>
      <c r="T21" s="293"/>
      <c r="U21" s="294"/>
      <c r="V21" s="310"/>
      <c r="W21" s="311"/>
      <c r="X21" s="311"/>
      <c r="Y21" s="311"/>
      <c r="Z21" s="311"/>
      <c r="AA21" s="312"/>
      <c r="AB21" s="310"/>
      <c r="AC21" s="311"/>
      <c r="AD21" s="311"/>
      <c r="AE21" s="311"/>
      <c r="AF21" s="311"/>
      <c r="AG21" s="312"/>
      <c r="AH21" s="301"/>
      <c r="AI21" s="302"/>
      <c r="AJ21" s="302"/>
      <c r="AK21" s="302"/>
      <c r="AL21" s="302"/>
      <c r="AM21" s="303"/>
      <c r="AN21" s="67"/>
      <c r="AO21" s="344"/>
      <c r="AP21" s="345"/>
      <c r="AQ21" s="345"/>
      <c r="AR21" s="345"/>
      <c r="AS21" s="345"/>
      <c r="AT21" s="34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327"/>
      <c r="C22" s="327"/>
      <c r="D22" s="328"/>
      <c r="E22" s="317" t="s">
        <v>112</v>
      </c>
      <c r="F22" s="318"/>
      <c r="G22" s="318"/>
      <c r="H22" s="318"/>
      <c r="I22" s="319"/>
      <c r="J22" s="295" t="str">
        <f>IF(AND('Mapa final'!$J$10="Media",'Mapa final'!$N$10="Leve"),CONCATENATE("R",'Mapa final'!$A$10),"")</f>
        <v/>
      </c>
      <c r="K22" s="296"/>
      <c r="L22" s="296" t="str">
        <f>IF(AND('Mapa final'!$J$16="Media",'Mapa final'!$N$16="Leve"),CONCATENATE("R",'Mapa final'!$A$16),"")</f>
        <v/>
      </c>
      <c r="M22" s="296"/>
      <c r="N22" s="296" t="str">
        <f>IF(AND('Mapa final'!$J$22="Media",'Mapa final'!$N$22="Leve"),CONCATENATE("R",'Mapa final'!$A$22),"")</f>
        <v/>
      </c>
      <c r="O22" s="297"/>
      <c r="P22" s="295" t="str">
        <f>IF(AND('Mapa final'!$J$10="Media",'Mapa final'!$N$10="Menor"),CONCATENATE("R",'Mapa final'!$A$10),"")</f>
        <v/>
      </c>
      <c r="Q22" s="296"/>
      <c r="R22" s="296" t="str">
        <f>IF(AND('Mapa final'!$J$16="Media",'Mapa final'!$N$16="Menor"),CONCATENATE("R",'Mapa final'!$A$16),"")</f>
        <v/>
      </c>
      <c r="S22" s="296"/>
      <c r="T22" s="296" t="str">
        <f>IF(AND('Mapa final'!$J$22="Media",'Mapa final'!$N$22="Menor"),CONCATENATE("R",'Mapa final'!$A$22),"")</f>
        <v/>
      </c>
      <c r="U22" s="297"/>
      <c r="V22" s="295" t="str">
        <f>IF(AND('Mapa final'!$J$10="Media",'Mapa final'!$N$10="Moderado"),CONCATENATE("R",'Mapa final'!$A$10),"")</f>
        <v/>
      </c>
      <c r="W22" s="296"/>
      <c r="X22" s="296" t="str">
        <f>IF(AND('Mapa final'!$J$16="Media",'Mapa final'!$N$16="Moderado"),CONCATENATE("R",'Mapa final'!$A$16),"")</f>
        <v/>
      </c>
      <c r="Y22" s="296"/>
      <c r="Z22" s="296" t="str">
        <f>IF(AND('Mapa final'!$J$22="Media",'Mapa final'!$N$22="Moderado"),CONCATENATE("R",'Mapa final'!$A$22),"")</f>
        <v/>
      </c>
      <c r="AA22" s="297"/>
      <c r="AB22" s="313" t="str">
        <f>IF(AND('Mapa final'!$J$10="Media",'Mapa final'!$N$10="Mayor"),CONCATENATE("R",'Mapa final'!$A$10),"")</f>
        <v>R1</v>
      </c>
      <c r="AC22" s="314"/>
      <c r="AD22" s="314" t="str">
        <f>IF(AND('Mapa final'!$J$16="Media",'Mapa final'!$N$16="Mayor"),CONCATENATE("R",'Mapa final'!$A$16),"")</f>
        <v/>
      </c>
      <c r="AE22" s="314"/>
      <c r="AF22" s="314" t="str">
        <f>IF(AND('Mapa final'!$J$22="Media",'Mapa final'!$N$22="Mayor"),CONCATENATE("R",'Mapa final'!$A$22),"")</f>
        <v/>
      </c>
      <c r="AG22" s="315"/>
      <c r="AH22" s="304" t="str">
        <f>IF(AND('Mapa final'!$J$10="Media",'Mapa final'!$N$10="Catastrófico"),CONCATENATE("R",'Mapa final'!$A$10),"")</f>
        <v/>
      </c>
      <c r="AI22" s="305"/>
      <c r="AJ22" s="305" t="str">
        <f>IF(AND('Mapa final'!$J$16="Media",'Mapa final'!$N$16="Catastrófico"),CONCATENATE("R",'Mapa final'!$A$16),"")</f>
        <v/>
      </c>
      <c r="AK22" s="305"/>
      <c r="AL22" s="305" t="str">
        <f>IF(AND('Mapa final'!$J$22="Media",'Mapa final'!$N$22="Catastrófico"),CONCATENATE("R",'Mapa final'!$A$22),"")</f>
        <v/>
      </c>
      <c r="AM22" s="306"/>
      <c r="AN22" s="67"/>
      <c r="AO22" s="347" t="s">
        <v>80</v>
      </c>
      <c r="AP22" s="348"/>
      <c r="AQ22" s="348"/>
      <c r="AR22" s="348"/>
      <c r="AS22" s="348"/>
      <c r="AT22" s="34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327"/>
      <c r="C23" s="327"/>
      <c r="D23" s="328"/>
      <c r="E23" s="320"/>
      <c r="F23" s="321"/>
      <c r="G23" s="321"/>
      <c r="H23" s="321"/>
      <c r="I23" s="322"/>
      <c r="J23" s="289"/>
      <c r="K23" s="290"/>
      <c r="L23" s="290"/>
      <c r="M23" s="290"/>
      <c r="N23" s="290"/>
      <c r="O23" s="291"/>
      <c r="P23" s="289"/>
      <c r="Q23" s="290"/>
      <c r="R23" s="290"/>
      <c r="S23" s="290"/>
      <c r="T23" s="290"/>
      <c r="U23" s="291"/>
      <c r="V23" s="289"/>
      <c r="W23" s="290"/>
      <c r="X23" s="290"/>
      <c r="Y23" s="290"/>
      <c r="Z23" s="290"/>
      <c r="AA23" s="291"/>
      <c r="AB23" s="307"/>
      <c r="AC23" s="308"/>
      <c r="AD23" s="308"/>
      <c r="AE23" s="308"/>
      <c r="AF23" s="308"/>
      <c r="AG23" s="309"/>
      <c r="AH23" s="298"/>
      <c r="AI23" s="299"/>
      <c r="AJ23" s="299"/>
      <c r="AK23" s="299"/>
      <c r="AL23" s="299"/>
      <c r="AM23" s="300"/>
      <c r="AN23" s="67"/>
      <c r="AO23" s="350"/>
      <c r="AP23" s="351"/>
      <c r="AQ23" s="351"/>
      <c r="AR23" s="351"/>
      <c r="AS23" s="351"/>
      <c r="AT23" s="35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327"/>
      <c r="C24" s="327"/>
      <c r="D24" s="328"/>
      <c r="E24" s="320"/>
      <c r="F24" s="321"/>
      <c r="G24" s="321"/>
      <c r="H24" s="321"/>
      <c r="I24" s="322"/>
      <c r="J24" s="289" t="str">
        <f>IF(AND('Mapa final'!$J$28="Media",'Mapa final'!$N$28="Leve"),CONCATENATE("R",'Mapa final'!$A$28),"")</f>
        <v/>
      </c>
      <c r="K24" s="290"/>
      <c r="L24" s="290" t="str">
        <f>IF(AND('Mapa final'!$J$34="Media",'Mapa final'!$N$34="Leve"),CONCATENATE("R",'Mapa final'!$A$34),"")</f>
        <v/>
      </c>
      <c r="M24" s="290"/>
      <c r="N24" s="290" t="str">
        <f>IF(AND('Mapa final'!$J$40="Media",'Mapa final'!$N$40="Leve"),CONCATENATE("R",'Mapa final'!$A$40),"")</f>
        <v/>
      </c>
      <c r="O24" s="291"/>
      <c r="P24" s="289" t="str">
        <f>IF(AND('Mapa final'!$J$28="Media",'Mapa final'!$N$28="Menor"),CONCATENATE("R",'Mapa final'!$A$28),"")</f>
        <v/>
      </c>
      <c r="Q24" s="290"/>
      <c r="R24" s="290" t="str">
        <f>IF(AND('Mapa final'!$J$34="Media",'Mapa final'!$N$34="Menor"),CONCATENATE("R",'Mapa final'!$A$34),"")</f>
        <v/>
      </c>
      <c r="S24" s="290"/>
      <c r="T24" s="290" t="str">
        <f>IF(AND('Mapa final'!$J$40="Media",'Mapa final'!$N$40="Menor"),CONCATENATE("R",'Mapa final'!$A$40),"")</f>
        <v/>
      </c>
      <c r="U24" s="291"/>
      <c r="V24" s="289" t="str">
        <f>IF(AND('Mapa final'!$J$28="Media",'Mapa final'!$N$28="Moderado"),CONCATENATE("R",'Mapa final'!$A$28),"")</f>
        <v/>
      </c>
      <c r="W24" s="290"/>
      <c r="X24" s="290" t="str">
        <f>IF(AND('Mapa final'!$J$34="Media",'Mapa final'!$N$34="Moderado"),CONCATENATE("R",'Mapa final'!$A$34),"")</f>
        <v/>
      </c>
      <c r="Y24" s="290"/>
      <c r="Z24" s="290" t="str">
        <f>IF(AND('Mapa final'!$J$40="Media",'Mapa final'!$N$40="Moderado"),CONCATENATE("R",'Mapa final'!$A$40),"")</f>
        <v/>
      </c>
      <c r="AA24" s="291"/>
      <c r="AB24" s="307" t="str">
        <f>IF(AND('Mapa final'!$J$28="Media",'Mapa final'!$N$28="Mayor"),CONCATENATE("R",'Mapa final'!$A$28),"")</f>
        <v/>
      </c>
      <c r="AC24" s="308"/>
      <c r="AD24" s="308" t="str">
        <f>IF(AND('Mapa final'!$J$34="Media",'Mapa final'!$N$34="Mayor"),CONCATENATE("R",'Mapa final'!$A$34),"")</f>
        <v/>
      </c>
      <c r="AE24" s="308"/>
      <c r="AF24" s="308" t="str">
        <f>IF(AND('Mapa final'!$J$40="Media",'Mapa final'!$N$40="Mayor"),CONCATENATE("R",'Mapa final'!$A$40),"")</f>
        <v/>
      </c>
      <c r="AG24" s="309"/>
      <c r="AH24" s="298" t="str">
        <f>IF(AND('Mapa final'!$J$28="Media",'Mapa final'!$N$28="Catastrófico"),CONCATENATE("R",'Mapa final'!$A$28),"")</f>
        <v/>
      </c>
      <c r="AI24" s="299"/>
      <c r="AJ24" s="299" t="str">
        <f>IF(AND('Mapa final'!$J$34="Media",'Mapa final'!$N$34="Catastrófico"),CONCATENATE("R",'Mapa final'!$A$34),"")</f>
        <v/>
      </c>
      <c r="AK24" s="299"/>
      <c r="AL24" s="299" t="str">
        <f>IF(AND('Mapa final'!$J$40="Media",'Mapa final'!$N$40="Catastrófico"),CONCATENATE("R",'Mapa final'!$A$40),"")</f>
        <v/>
      </c>
      <c r="AM24" s="300"/>
      <c r="AN24" s="67"/>
      <c r="AO24" s="350"/>
      <c r="AP24" s="351"/>
      <c r="AQ24" s="351"/>
      <c r="AR24" s="351"/>
      <c r="AS24" s="351"/>
      <c r="AT24" s="35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327"/>
      <c r="C25" s="327"/>
      <c r="D25" s="328"/>
      <c r="E25" s="320"/>
      <c r="F25" s="321"/>
      <c r="G25" s="321"/>
      <c r="H25" s="321"/>
      <c r="I25" s="322"/>
      <c r="J25" s="289"/>
      <c r="K25" s="290"/>
      <c r="L25" s="290"/>
      <c r="M25" s="290"/>
      <c r="N25" s="290"/>
      <c r="O25" s="291"/>
      <c r="P25" s="289"/>
      <c r="Q25" s="290"/>
      <c r="R25" s="290"/>
      <c r="S25" s="290"/>
      <c r="T25" s="290"/>
      <c r="U25" s="291"/>
      <c r="V25" s="289"/>
      <c r="W25" s="290"/>
      <c r="X25" s="290"/>
      <c r="Y25" s="290"/>
      <c r="Z25" s="290"/>
      <c r="AA25" s="291"/>
      <c r="AB25" s="307"/>
      <c r="AC25" s="308"/>
      <c r="AD25" s="308"/>
      <c r="AE25" s="308"/>
      <c r="AF25" s="308"/>
      <c r="AG25" s="309"/>
      <c r="AH25" s="298"/>
      <c r="AI25" s="299"/>
      <c r="AJ25" s="299"/>
      <c r="AK25" s="299"/>
      <c r="AL25" s="299"/>
      <c r="AM25" s="300"/>
      <c r="AN25" s="67"/>
      <c r="AO25" s="350"/>
      <c r="AP25" s="351"/>
      <c r="AQ25" s="351"/>
      <c r="AR25" s="351"/>
      <c r="AS25" s="351"/>
      <c r="AT25" s="35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327"/>
      <c r="C26" s="327"/>
      <c r="D26" s="328"/>
      <c r="E26" s="320"/>
      <c r="F26" s="321"/>
      <c r="G26" s="321"/>
      <c r="H26" s="321"/>
      <c r="I26" s="322"/>
      <c r="J26" s="289" t="str">
        <f>IF(AND('Mapa final'!$J$46="Media",'Mapa final'!$N$46="Leve"),CONCATENATE("R",'Mapa final'!$A$46),"")</f>
        <v/>
      </c>
      <c r="K26" s="290"/>
      <c r="L26" s="290" t="str">
        <f>IF(AND('Mapa final'!$J$52="Media",'Mapa final'!$N$52="Leve"),CONCATENATE("R",'Mapa final'!$A$52),"")</f>
        <v/>
      </c>
      <c r="M26" s="290"/>
      <c r="N26" s="290" t="str">
        <f>IF(AND('Mapa final'!$J$58="Media",'Mapa final'!$N$58="Leve"),CONCATENATE("R",'Mapa final'!$A$58),"")</f>
        <v/>
      </c>
      <c r="O26" s="291"/>
      <c r="P26" s="289" t="str">
        <f>IF(AND('Mapa final'!$J$46="Media",'Mapa final'!$N$46="Menor"),CONCATENATE("R",'Mapa final'!$A$46),"")</f>
        <v/>
      </c>
      <c r="Q26" s="290"/>
      <c r="R26" s="290" t="str">
        <f>IF(AND('Mapa final'!$J$52="Media",'Mapa final'!$N$52="Menor"),CONCATENATE("R",'Mapa final'!$A$52),"")</f>
        <v/>
      </c>
      <c r="S26" s="290"/>
      <c r="T26" s="290" t="str">
        <f>IF(AND('Mapa final'!$J$58="Media",'Mapa final'!$N$58="Menor"),CONCATENATE("R",'Mapa final'!$A$58),"")</f>
        <v/>
      </c>
      <c r="U26" s="291"/>
      <c r="V26" s="289" t="str">
        <f>IF(AND('Mapa final'!$J$46="Media",'Mapa final'!$N$46="Moderado"),CONCATENATE("R",'Mapa final'!$A$46),"")</f>
        <v/>
      </c>
      <c r="W26" s="290"/>
      <c r="X26" s="290" t="str">
        <f>IF(AND('Mapa final'!$J$52="Media",'Mapa final'!$N$52="Moderado"),CONCATENATE("R",'Mapa final'!$A$52),"")</f>
        <v/>
      </c>
      <c r="Y26" s="290"/>
      <c r="Z26" s="290" t="str">
        <f>IF(AND('Mapa final'!$J$58="Media",'Mapa final'!$N$58="Moderado"),CONCATENATE("R",'Mapa final'!$A$58),"")</f>
        <v/>
      </c>
      <c r="AA26" s="291"/>
      <c r="AB26" s="307" t="str">
        <f>IF(AND('Mapa final'!$J$46="Media",'Mapa final'!$N$46="Mayor"),CONCATENATE("R",'Mapa final'!$A$46),"")</f>
        <v/>
      </c>
      <c r="AC26" s="308"/>
      <c r="AD26" s="308" t="str">
        <f>IF(AND('Mapa final'!$J$52="Media",'Mapa final'!$N$52="Mayor"),CONCATENATE("R",'Mapa final'!$A$52),"")</f>
        <v/>
      </c>
      <c r="AE26" s="308"/>
      <c r="AF26" s="308" t="str">
        <f>IF(AND('Mapa final'!$J$58="Media",'Mapa final'!$N$58="Mayor"),CONCATENATE("R",'Mapa final'!$A$58),"")</f>
        <v/>
      </c>
      <c r="AG26" s="309"/>
      <c r="AH26" s="298" t="str">
        <f>IF(AND('Mapa final'!$J$46="Media",'Mapa final'!$N$46="Catastrófico"),CONCATENATE("R",'Mapa final'!$A$46),"")</f>
        <v/>
      </c>
      <c r="AI26" s="299"/>
      <c r="AJ26" s="299" t="str">
        <f>IF(AND('Mapa final'!$J$52="Media",'Mapa final'!$N$52="Catastrófico"),CONCATENATE("R",'Mapa final'!$A$52),"")</f>
        <v/>
      </c>
      <c r="AK26" s="299"/>
      <c r="AL26" s="299" t="str">
        <f>IF(AND('Mapa final'!$J$58="Media",'Mapa final'!$N$58="Catastrófico"),CONCATENATE("R",'Mapa final'!$A$58),"")</f>
        <v/>
      </c>
      <c r="AM26" s="300"/>
      <c r="AN26" s="67"/>
      <c r="AO26" s="350"/>
      <c r="AP26" s="351"/>
      <c r="AQ26" s="351"/>
      <c r="AR26" s="351"/>
      <c r="AS26" s="351"/>
      <c r="AT26" s="35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327"/>
      <c r="C27" s="327"/>
      <c r="D27" s="328"/>
      <c r="E27" s="320"/>
      <c r="F27" s="321"/>
      <c r="G27" s="321"/>
      <c r="H27" s="321"/>
      <c r="I27" s="322"/>
      <c r="J27" s="289"/>
      <c r="K27" s="290"/>
      <c r="L27" s="290"/>
      <c r="M27" s="290"/>
      <c r="N27" s="290"/>
      <c r="O27" s="291"/>
      <c r="P27" s="289"/>
      <c r="Q27" s="290"/>
      <c r="R27" s="290"/>
      <c r="S27" s="290"/>
      <c r="T27" s="290"/>
      <c r="U27" s="291"/>
      <c r="V27" s="289"/>
      <c r="W27" s="290"/>
      <c r="X27" s="290"/>
      <c r="Y27" s="290"/>
      <c r="Z27" s="290"/>
      <c r="AA27" s="291"/>
      <c r="AB27" s="307"/>
      <c r="AC27" s="308"/>
      <c r="AD27" s="308"/>
      <c r="AE27" s="308"/>
      <c r="AF27" s="308"/>
      <c r="AG27" s="309"/>
      <c r="AH27" s="298"/>
      <c r="AI27" s="299"/>
      <c r="AJ27" s="299"/>
      <c r="AK27" s="299"/>
      <c r="AL27" s="299"/>
      <c r="AM27" s="300"/>
      <c r="AN27" s="67"/>
      <c r="AO27" s="350"/>
      <c r="AP27" s="351"/>
      <c r="AQ27" s="351"/>
      <c r="AR27" s="351"/>
      <c r="AS27" s="351"/>
      <c r="AT27" s="35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327"/>
      <c r="C28" s="327"/>
      <c r="D28" s="328"/>
      <c r="E28" s="320"/>
      <c r="F28" s="321"/>
      <c r="G28" s="321"/>
      <c r="H28" s="321"/>
      <c r="I28" s="322"/>
      <c r="J28" s="289" t="str">
        <f>IF(AND('Mapa final'!$J$64="Media",'Mapa final'!$N$64="Leve"),CONCATENATE("R",'Mapa final'!$A$64),"")</f>
        <v/>
      </c>
      <c r="K28" s="290"/>
      <c r="L28" s="290" t="str">
        <f>IF(AND('Mapa final'!$J$70="Media",'Mapa final'!$N$70="Leve"),CONCATENATE("R",'Mapa final'!$A$70),"")</f>
        <v/>
      </c>
      <c r="M28" s="290"/>
      <c r="N28" s="290" t="str">
        <f>IF(AND('Mapa final'!$J$76="Media",'Mapa final'!$N$76="Leve"),CONCATENATE("R",'Mapa final'!$A$76),"")</f>
        <v/>
      </c>
      <c r="O28" s="291"/>
      <c r="P28" s="289" t="str">
        <f>IF(AND('Mapa final'!$J$64="Media",'Mapa final'!$N$64="Menor"),CONCATENATE("R",'Mapa final'!$A$64),"")</f>
        <v/>
      </c>
      <c r="Q28" s="290"/>
      <c r="R28" s="290" t="str">
        <f>IF(AND('Mapa final'!$J$70="Media",'Mapa final'!$N$70="Menor"),CONCATENATE("R",'Mapa final'!$A$70),"")</f>
        <v/>
      </c>
      <c r="S28" s="290"/>
      <c r="T28" s="290" t="str">
        <f>IF(AND('Mapa final'!$J$76="Media",'Mapa final'!$N$76="Menor"),CONCATENATE("R",'Mapa final'!$A$76),"")</f>
        <v/>
      </c>
      <c r="U28" s="291"/>
      <c r="V28" s="289" t="str">
        <f>IF(AND('Mapa final'!$J$64="Media",'Mapa final'!$N$64="Moderado"),CONCATENATE("R",'Mapa final'!$A$64),"")</f>
        <v/>
      </c>
      <c r="W28" s="290"/>
      <c r="X28" s="290" t="str">
        <f>IF(AND('Mapa final'!$J$70="Media",'Mapa final'!$N$70="Moderado"),CONCATENATE("R",'Mapa final'!$A$70),"")</f>
        <v/>
      </c>
      <c r="Y28" s="290"/>
      <c r="Z28" s="290" t="str">
        <f>IF(AND('Mapa final'!$J$76="Media",'Mapa final'!$N$76="Moderado"),CONCATENATE("R",'Mapa final'!$A$76),"")</f>
        <v/>
      </c>
      <c r="AA28" s="291"/>
      <c r="AB28" s="307" t="str">
        <f>IF(AND('Mapa final'!$J$64="Media",'Mapa final'!$N$64="Mayor"),CONCATENATE("R",'Mapa final'!$A$64),"")</f>
        <v/>
      </c>
      <c r="AC28" s="308"/>
      <c r="AD28" s="308" t="str">
        <f>IF(AND('Mapa final'!$J$70="Media",'Mapa final'!$N$70="Mayor"),CONCATENATE("R",'Mapa final'!$A$70),"")</f>
        <v/>
      </c>
      <c r="AE28" s="308"/>
      <c r="AF28" s="308" t="str">
        <f>IF(AND('Mapa final'!$J$76="Media",'Mapa final'!$N$76="Mayor"),CONCATENATE("R",'Mapa final'!$A$76),"")</f>
        <v/>
      </c>
      <c r="AG28" s="309"/>
      <c r="AH28" s="298" t="str">
        <f>IF(AND('Mapa final'!$J$64="Media",'Mapa final'!$N$64="Catastrófico"),CONCATENATE("R",'Mapa final'!$A$64),"")</f>
        <v/>
      </c>
      <c r="AI28" s="299"/>
      <c r="AJ28" s="299" t="str">
        <f>IF(AND('Mapa final'!$J$70="Media",'Mapa final'!$N$70="Catastrófico"),CONCATENATE("R",'Mapa final'!$A$70),"")</f>
        <v/>
      </c>
      <c r="AK28" s="299"/>
      <c r="AL28" s="299" t="str">
        <f>IF(AND('Mapa final'!$J$76="Media",'Mapa final'!$N$76="Catastrófico"),CONCATENATE("R",'Mapa final'!$A$76),"")</f>
        <v/>
      </c>
      <c r="AM28" s="300"/>
      <c r="AN28" s="67"/>
      <c r="AO28" s="350"/>
      <c r="AP28" s="351"/>
      <c r="AQ28" s="351"/>
      <c r="AR28" s="351"/>
      <c r="AS28" s="351"/>
      <c r="AT28" s="35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327"/>
      <c r="C29" s="327"/>
      <c r="D29" s="328"/>
      <c r="E29" s="323"/>
      <c r="F29" s="324"/>
      <c r="G29" s="324"/>
      <c r="H29" s="324"/>
      <c r="I29" s="325"/>
      <c r="J29" s="289"/>
      <c r="K29" s="290"/>
      <c r="L29" s="290"/>
      <c r="M29" s="290"/>
      <c r="N29" s="290"/>
      <c r="O29" s="291"/>
      <c r="P29" s="292"/>
      <c r="Q29" s="293"/>
      <c r="R29" s="293"/>
      <c r="S29" s="293"/>
      <c r="T29" s="293"/>
      <c r="U29" s="294"/>
      <c r="V29" s="292"/>
      <c r="W29" s="293"/>
      <c r="X29" s="293"/>
      <c r="Y29" s="293"/>
      <c r="Z29" s="293"/>
      <c r="AA29" s="294"/>
      <c r="AB29" s="310"/>
      <c r="AC29" s="311"/>
      <c r="AD29" s="311"/>
      <c r="AE29" s="311"/>
      <c r="AF29" s="311"/>
      <c r="AG29" s="312"/>
      <c r="AH29" s="301"/>
      <c r="AI29" s="302"/>
      <c r="AJ29" s="302"/>
      <c r="AK29" s="302"/>
      <c r="AL29" s="302"/>
      <c r="AM29" s="303"/>
      <c r="AN29" s="67"/>
      <c r="AO29" s="353"/>
      <c r="AP29" s="354"/>
      <c r="AQ29" s="354"/>
      <c r="AR29" s="354"/>
      <c r="AS29" s="354"/>
      <c r="AT29" s="35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327"/>
      <c r="C30" s="327"/>
      <c r="D30" s="328"/>
      <c r="E30" s="317" t="s">
        <v>109</v>
      </c>
      <c r="F30" s="318"/>
      <c r="G30" s="318"/>
      <c r="H30" s="318"/>
      <c r="I30" s="318"/>
      <c r="J30" s="286" t="str">
        <f>IF(AND('Mapa final'!$J$10="Baja",'Mapa final'!$N$10="Leve"),CONCATENATE("R",'Mapa final'!$A$10),"")</f>
        <v/>
      </c>
      <c r="K30" s="287"/>
      <c r="L30" s="287" t="str">
        <f>IF(AND('Mapa final'!$J$16="Baja",'Mapa final'!$N$16="Leve"),CONCATENATE("R",'Mapa final'!$A$16),"")</f>
        <v/>
      </c>
      <c r="M30" s="287"/>
      <c r="N30" s="287" t="str">
        <f>IF(AND('Mapa final'!$J$22="Baja",'Mapa final'!$N$22="Leve"),CONCATENATE("R",'Mapa final'!$A$22),"")</f>
        <v/>
      </c>
      <c r="O30" s="288"/>
      <c r="P30" s="296" t="str">
        <f>IF(AND('Mapa final'!$J$10="Baja",'Mapa final'!$N$10="Menor"),CONCATENATE("R",'Mapa final'!$A$10),"")</f>
        <v/>
      </c>
      <c r="Q30" s="296"/>
      <c r="R30" s="296" t="str">
        <f>IF(AND('Mapa final'!$J$16="Baja",'Mapa final'!$N$16="Menor"),CONCATENATE("R",'Mapa final'!$A$16),"")</f>
        <v/>
      </c>
      <c r="S30" s="296"/>
      <c r="T30" s="296" t="str">
        <f>IF(AND('Mapa final'!$J$22="Baja",'Mapa final'!$N$22="Menor"),CONCATENATE("R",'Mapa final'!$A$22),"")</f>
        <v/>
      </c>
      <c r="U30" s="297"/>
      <c r="V30" s="295" t="str">
        <f>IF(AND('Mapa final'!$J$10="Baja",'Mapa final'!$N$10="Moderado"),CONCATENATE("R",'Mapa final'!$A$10),"")</f>
        <v/>
      </c>
      <c r="W30" s="296"/>
      <c r="X30" s="296" t="str">
        <f>IF(AND('Mapa final'!$J$16="Baja",'Mapa final'!$N$16="Moderado"),CONCATENATE("R",'Mapa final'!$A$16),"")</f>
        <v/>
      </c>
      <c r="Y30" s="296"/>
      <c r="Z30" s="296" t="str">
        <f>IF(AND('Mapa final'!$J$22="Baja",'Mapa final'!$N$22="Moderado"),CONCATENATE("R",'Mapa final'!$A$22),"")</f>
        <v/>
      </c>
      <c r="AA30" s="297"/>
      <c r="AB30" s="313" t="str">
        <f>IF(AND('Mapa final'!$J$10="Baja",'Mapa final'!$N$10="Mayor"),CONCATENATE("R",'Mapa final'!$A$10),"")</f>
        <v/>
      </c>
      <c r="AC30" s="314"/>
      <c r="AD30" s="314" t="str">
        <f>IF(AND('Mapa final'!$J$16="Baja",'Mapa final'!$N$16="Mayor"),CONCATENATE("R",'Mapa final'!$A$16),"")</f>
        <v/>
      </c>
      <c r="AE30" s="314"/>
      <c r="AF30" s="314" t="str">
        <f>IF(AND('Mapa final'!$J$22="Baja",'Mapa final'!$N$22="Mayor"),CONCATENATE("R",'Mapa final'!$A$22),"")</f>
        <v/>
      </c>
      <c r="AG30" s="315"/>
      <c r="AH30" s="304" t="str">
        <f>IF(AND('Mapa final'!$J$10="Baja",'Mapa final'!$N$10="Catastrófico"),CONCATENATE("R",'Mapa final'!$A$10),"")</f>
        <v/>
      </c>
      <c r="AI30" s="305"/>
      <c r="AJ30" s="305" t="str">
        <f>IF(AND('Mapa final'!$J$16="Baja",'Mapa final'!$N$16="Catastrófico"),CONCATENATE("R",'Mapa final'!$A$16),"")</f>
        <v/>
      </c>
      <c r="AK30" s="305"/>
      <c r="AL30" s="305" t="str">
        <f>IF(AND('Mapa final'!$J$22="Baja",'Mapa final'!$N$22="Catastrófico"),CONCATENATE("R",'Mapa final'!$A$22),"")</f>
        <v/>
      </c>
      <c r="AM30" s="306"/>
      <c r="AN30" s="67"/>
      <c r="AO30" s="356" t="s">
        <v>81</v>
      </c>
      <c r="AP30" s="357"/>
      <c r="AQ30" s="357"/>
      <c r="AR30" s="357"/>
      <c r="AS30" s="357"/>
      <c r="AT30" s="35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327"/>
      <c r="C31" s="327"/>
      <c r="D31" s="328"/>
      <c r="E31" s="320"/>
      <c r="F31" s="321"/>
      <c r="G31" s="321"/>
      <c r="H31" s="321"/>
      <c r="I31" s="321"/>
      <c r="J31" s="280"/>
      <c r="K31" s="281"/>
      <c r="L31" s="281"/>
      <c r="M31" s="281"/>
      <c r="N31" s="281"/>
      <c r="O31" s="282"/>
      <c r="P31" s="290"/>
      <c r="Q31" s="290"/>
      <c r="R31" s="290"/>
      <c r="S31" s="290"/>
      <c r="T31" s="290"/>
      <c r="U31" s="291"/>
      <c r="V31" s="289"/>
      <c r="W31" s="290"/>
      <c r="X31" s="290"/>
      <c r="Y31" s="290"/>
      <c r="Z31" s="290"/>
      <c r="AA31" s="291"/>
      <c r="AB31" s="307"/>
      <c r="AC31" s="308"/>
      <c r="AD31" s="308"/>
      <c r="AE31" s="308"/>
      <c r="AF31" s="308"/>
      <c r="AG31" s="309"/>
      <c r="AH31" s="298"/>
      <c r="AI31" s="299"/>
      <c r="AJ31" s="299"/>
      <c r="AK31" s="299"/>
      <c r="AL31" s="299"/>
      <c r="AM31" s="300"/>
      <c r="AN31" s="67"/>
      <c r="AO31" s="359"/>
      <c r="AP31" s="360"/>
      <c r="AQ31" s="360"/>
      <c r="AR31" s="360"/>
      <c r="AS31" s="360"/>
      <c r="AT31" s="36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327"/>
      <c r="C32" s="327"/>
      <c r="D32" s="328"/>
      <c r="E32" s="320"/>
      <c r="F32" s="321"/>
      <c r="G32" s="321"/>
      <c r="H32" s="321"/>
      <c r="I32" s="321"/>
      <c r="J32" s="280" t="str">
        <f>IF(AND('Mapa final'!$J$28="Baja",'Mapa final'!$N$28="Leve"),CONCATENATE("R",'Mapa final'!$A$28),"")</f>
        <v/>
      </c>
      <c r="K32" s="281"/>
      <c r="L32" s="281" t="str">
        <f>IF(AND('Mapa final'!$J$34="Baja",'Mapa final'!$N$34="Leve"),CONCATENATE("R",'Mapa final'!$A$34),"")</f>
        <v/>
      </c>
      <c r="M32" s="281"/>
      <c r="N32" s="281" t="str">
        <f>IF(AND('Mapa final'!$J$40="Baja",'Mapa final'!$N$40="Leve"),CONCATENATE("R",'Mapa final'!$A$40),"")</f>
        <v/>
      </c>
      <c r="O32" s="282"/>
      <c r="P32" s="290" t="str">
        <f>IF(AND('Mapa final'!$J$28="Baja",'Mapa final'!$N$28="Menor"),CONCATENATE("R",'Mapa final'!$A$28),"")</f>
        <v/>
      </c>
      <c r="Q32" s="290"/>
      <c r="R32" s="290" t="str">
        <f>IF(AND('Mapa final'!$J$34="Baja",'Mapa final'!$N$34="Menor"),CONCATENATE("R",'Mapa final'!$A$34),"")</f>
        <v/>
      </c>
      <c r="S32" s="290"/>
      <c r="T32" s="290" t="str">
        <f>IF(AND('Mapa final'!$J$40="Baja",'Mapa final'!$N$40="Menor"),CONCATENATE("R",'Mapa final'!$A$40),"")</f>
        <v/>
      </c>
      <c r="U32" s="291"/>
      <c r="V32" s="289" t="str">
        <f>IF(AND('Mapa final'!$J$28="Baja",'Mapa final'!$N$28="Moderado"),CONCATENATE("R",'Mapa final'!$A$28),"")</f>
        <v/>
      </c>
      <c r="W32" s="290"/>
      <c r="X32" s="290" t="str">
        <f>IF(AND('Mapa final'!$J$34="Baja",'Mapa final'!$N$34="Moderado"),CONCATENATE("R",'Mapa final'!$A$34),"")</f>
        <v/>
      </c>
      <c r="Y32" s="290"/>
      <c r="Z32" s="290" t="str">
        <f>IF(AND('Mapa final'!$J$40="Baja",'Mapa final'!$N$40="Moderado"),CONCATENATE("R",'Mapa final'!$A$40),"")</f>
        <v/>
      </c>
      <c r="AA32" s="291"/>
      <c r="AB32" s="307" t="str">
        <f>IF(AND('Mapa final'!$J$28="Baja",'Mapa final'!$N$28="Mayor"),CONCATENATE("R",'Mapa final'!$A$28),"")</f>
        <v/>
      </c>
      <c r="AC32" s="308"/>
      <c r="AD32" s="308" t="str">
        <f>IF(AND('Mapa final'!$J$34="Baja",'Mapa final'!$N$34="Mayor"),CONCATENATE("R",'Mapa final'!$A$34),"")</f>
        <v/>
      </c>
      <c r="AE32" s="308"/>
      <c r="AF32" s="308" t="str">
        <f>IF(AND('Mapa final'!$J$40="Baja",'Mapa final'!$N$40="Mayor"),CONCATENATE("R",'Mapa final'!$A$40),"")</f>
        <v/>
      </c>
      <c r="AG32" s="309"/>
      <c r="AH32" s="298" t="str">
        <f>IF(AND('Mapa final'!$J$28="Baja",'Mapa final'!$N$28="Catastrófico"),CONCATENATE("R",'Mapa final'!$A$28),"")</f>
        <v/>
      </c>
      <c r="AI32" s="299"/>
      <c r="AJ32" s="299" t="str">
        <f>IF(AND('Mapa final'!$J$34="Baja",'Mapa final'!$N$34="Catastrófico"),CONCATENATE("R",'Mapa final'!$A$34),"")</f>
        <v/>
      </c>
      <c r="AK32" s="299"/>
      <c r="AL32" s="299" t="str">
        <f>IF(AND('Mapa final'!$J$40="Baja",'Mapa final'!$N$40="Catastrófico"),CONCATENATE("R",'Mapa final'!$A$40),"")</f>
        <v/>
      </c>
      <c r="AM32" s="300"/>
      <c r="AN32" s="67"/>
      <c r="AO32" s="359"/>
      <c r="AP32" s="360"/>
      <c r="AQ32" s="360"/>
      <c r="AR32" s="360"/>
      <c r="AS32" s="360"/>
      <c r="AT32" s="36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327"/>
      <c r="C33" s="327"/>
      <c r="D33" s="328"/>
      <c r="E33" s="320"/>
      <c r="F33" s="321"/>
      <c r="G33" s="321"/>
      <c r="H33" s="321"/>
      <c r="I33" s="321"/>
      <c r="J33" s="280"/>
      <c r="K33" s="281"/>
      <c r="L33" s="281"/>
      <c r="M33" s="281"/>
      <c r="N33" s="281"/>
      <c r="O33" s="282"/>
      <c r="P33" s="290"/>
      <c r="Q33" s="290"/>
      <c r="R33" s="290"/>
      <c r="S33" s="290"/>
      <c r="T33" s="290"/>
      <c r="U33" s="291"/>
      <c r="V33" s="289"/>
      <c r="W33" s="290"/>
      <c r="X33" s="290"/>
      <c r="Y33" s="290"/>
      <c r="Z33" s="290"/>
      <c r="AA33" s="291"/>
      <c r="AB33" s="307"/>
      <c r="AC33" s="308"/>
      <c r="AD33" s="308"/>
      <c r="AE33" s="308"/>
      <c r="AF33" s="308"/>
      <c r="AG33" s="309"/>
      <c r="AH33" s="298"/>
      <c r="AI33" s="299"/>
      <c r="AJ33" s="299"/>
      <c r="AK33" s="299"/>
      <c r="AL33" s="299"/>
      <c r="AM33" s="300"/>
      <c r="AN33" s="67"/>
      <c r="AO33" s="359"/>
      <c r="AP33" s="360"/>
      <c r="AQ33" s="360"/>
      <c r="AR33" s="360"/>
      <c r="AS33" s="360"/>
      <c r="AT33" s="36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327"/>
      <c r="C34" s="327"/>
      <c r="D34" s="328"/>
      <c r="E34" s="320"/>
      <c r="F34" s="321"/>
      <c r="G34" s="321"/>
      <c r="H34" s="321"/>
      <c r="I34" s="321"/>
      <c r="J34" s="280" t="str">
        <f>IF(AND('Mapa final'!$J$46="Baja",'Mapa final'!$N$46="Leve"),CONCATENATE("R",'Mapa final'!$A$46),"")</f>
        <v/>
      </c>
      <c r="K34" s="281"/>
      <c r="L34" s="281" t="str">
        <f>IF(AND('Mapa final'!$J$52="Baja",'Mapa final'!$N$52="Leve"),CONCATENATE("R",'Mapa final'!$A$52),"")</f>
        <v/>
      </c>
      <c r="M34" s="281"/>
      <c r="N34" s="281" t="str">
        <f>IF(AND('Mapa final'!$J$58="Baja",'Mapa final'!$N$58="Leve"),CONCATENATE("R",'Mapa final'!$A$58),"")</f>
        <v/>
      </c>
      <c r="O34" s="282"/>
      <c r="P34" s="290" t="str">
        <f>IF(AND('Mapa final'!$J$46="Baja",'Mapa final'!$N$46="Menor"),CONCATENATE("R",'Mapa final'!$A$46),"")</f>
        <v/>
      </c>
      <c r="Q34" s="290"/>
      <c r="R34" s="290" t="str">
        <f>IF(AND('Mapa final'!$J$52="Baja",'Mapa final'!$N$52="Menor"),CONCATENATE("R",'Mapa final'!$A$52),"")</f>
        <v/>
      </c>
      <c r="S34" s="290"/>
      <c r="T34" s="290" t="str">
        <f>IF(AND('Mapa final'!$J$58="Baja",'Mapa final'!$N$58="Menor"),CONCATENATE("R",'Mapa final'!$A$58),"")</f>
        <v/>
      </c>
      <c r="U34" s="291"/>
      <c r="V34" s="289" t="str">
        <f>IF(AND('Mapa final'!$J$46="Baja",'Mapa final'!$N$46="Moderado"),CONCATENATE("R",'Mapa final'!$A$46),"")</f>
        <v/>
      </c>
      <c r="W34" s="290"/>
      <c r="X34" s="290" t="str">
        <f>IF(AND('Mapa final'!$J$52="Baja",'Mapa final'!$N$52="Moderado"),CONCATENATE("R",'Mapa final'!$A$52),"")</f>
        <v/>
      </c>
      <c r="Y34" s="290"/>
      <c r="Z34" s="290" t="str">
        <f>IF(AND('Mapa final'!$J$58="Baja",'Mapa final'!$N$58="Moderado"),CONCATENATE("R",'Mapa final'!$A$58),"")</f>
        <v/>
      </c>
      <c r="AA34" s="291"/>
      <c r="AB34" s="307" t="str">
        <f>IF(AND('Mapa final'!$J$46="Baja",'Mapa final'!$N$46="Mayor"),CONCATENATE("R",'Mapa final'!$A$46),"")</f>
        <v/>
      </c>
      <c r="AC34" s="308"/>
      <c r="AD34" s="308" t="str">
        <f>IF(AND('Mapa final'!$J$52="Baja",'Mapa final'!$N$52="Mayor"),CONCATENATE("R",'Mapa final'!$A$52),"")</f>
        <v/>
      </c>
      <c r="AE34" s="308"/>
      <c r="AF34" s="308" t="str">
        <f>IF(AND('Mapa final'!$J$58="Baja",'Mapa final'!$N$58="Mayor"),CONCATENATE("R",'Mapa final'!$A$58),"")</f>
        <v/>
      </c>
      <c r="AG34" s="309"/>
      <c r="AH34" s="298" t="str">
        <f>IF(AND('Mapa final'!$J$46="Baja",'Mapa final'!$N$46="Catastrófico"),CONCATENATE("R",'Mapa final'!$A$46),"")</f>
        <v/>
      </c>
      <c r="AI34" s="299"/>
      <c r="AJ34" s="299" t="str">
        <f>IF(AND('Mapa final'!$J$52="Baja",'Mapa final'!$N$52="Catastrófico"),CONCATENATE("R",'Mapa final'!$A$52),"")</f>
        <v/>
      </c>
      <c r="AK34" s="299"/>
      <c r="AL34" s="299" t="str">
        <f>IF(AND('Mapa final'!$J$58="Baja",'Mapa final'!$N$58="Catastrófico"),CONCATENATE("R",'Mapa final'!$A$58),"")</f>
        <v/>
      </c>
      <c r="AM34" s="300"/>
      <c r="AN34" s="67"/>
      <c r="AO34" s="359"/>
      <c r="AP34" s="360"/>
      <c r="AQ34" s="360"/>
      <c r="AR34" s="360"/>
      <c r="AS34" s="360"/>
      <c r="AT34" s="36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327"/>
      <c r="C35" s="327"/>
      <c r="D35" s="328"/>
      <c r="E35" s="320"/>
      <c r="F35" s="321"/>
      <c r="G35" s="321"/>
      <c r="H35" s="321"/>
      <c r="I35" s="321"/>
      <c r="J35" s="280"/>
      <c r="K35" s="281"/>
      <c r="L35" s="281"/>
      <c r="M35" s="281"/>
      <c r="N35" s="281"/>
      <c r="O35" s="282"/>
      <c r="P35" s="290"/>
      <c r="Q35" s="290"/>
      <c r="R35" s="290"/>
      <c r="S35" s="290"/>
      <c r="T35" s="290"/>
      <c r="U35" s="291"/>
      <c r="V35" s="289"/>
      <c r="W35" s="290"/>
      <c r="X35" s="290"/>
      <c r="Y35" s="290"/>
      <c r="Z35" s="290"/>
      <c r="AA35" s="291"/>
      <c r="AB35" s="307"/>
      <c r="AC35" s="308"/>
      <c r="AD35" s="308"/>
      <c r="AE35" s="308"/>
      <c r="AF35" s="308"/>
      <c r="AG35" s="309"/>
      <c r="AH35" s="298"/>
      <c r="AI35" s="299"/>
      <c r="AJ35" s="299"/>
      <c r="AK35" s="299"/>
      <c r="AL35" s="299"/>
      <c r="AM35" s="300"/>
      <c r="AN35" s="67"/>
      <c r="AO35" s="359"/>
      <c r="AP35" s="360"/>
      <c r="AQ35" s="360"/>
      <c r="AR35" s="360"/>
      <c r="AS35" s="360"/>
      <c r="AT35" s="36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327"/>
      <c r="C36" s="327"/>
      <c r="D36" s="328"/>
      <c r="E36" s="320"/>
      <c r="F36" s="321"/>
      <c r="G36" s="321"/>
      <c r="H36" s="321"/>
      <c r="I36" s="321"/>
      <c r="J36" s="280" t="str">
        <f>IF(AND('Mapa final'!$J$64="Baja",'Mapa final'!$N$64="Leve"),CONCATENATE("R",'Mapa final'!$A$64),"")</f>
        <v/>
      </c>
      <c r="K36" s="281"/>
      <c r="L36" s="281" t="str">
        <f>IF(AND('Mapa final'!$J$70="Baja",'Mapa final'!$N$70="Leve"),CONCATENATE("R",'Mapa final'!$A$70),"")</f>
        <v/>
      </c>
      <c r="M36" s="281"/>
      <c r="N36" s="281" t="str">
        <f>IF(AND('Mapa final'!$J$76="Baja",'Mapa final'!$N$76="Leve"),CONCATENATE("R",'Mapa final'!$A$76),"")</f>
        <v/>
      </c>
      <c r="O36" s="282"/>
      <c r="P36" s="290" t="str">
        <f>IF(AND('Mapa final'!$J$64="Baja",'Mapa final'!$N$64="Menor"),CONCATENATE("R",'Mapa final'!$A$64),"")</f>
        <v/>
      </c>
      <c r="Q36" s="290"/>
      <c r="R36" s="290" t="str">
        <f>IF(AND('Mapa final'!$J$70="Baja",'Mapa final'!$N$70="Menor"),CONCATENATE("R",'Mapa final'!$A$70),"")</f>
        <v/>
      </c>
      <c r="S36" s="290"/>
      <c r="T36" s="290" t="str">
        <f>IF(AND('Mapa final'!$J$76="Baja",'Mapa final'!$N$76="Menor"),CONCATENATE("R",'Mapa final'!$A$76),"")</f>
        <v/>
      </c>
      <c r="U36" s="291"/>
      <c r="V36" s="289" t="str">
        <f>IF(AND('Mapa final'!$J$64="Baja",'Mapa final'!$N$64="Moderado"),CONCATENATE("R",'Mapa final'!$A$64),"")</f>
        <v/>
      </c>
      <c r="W36" s="290"/>
      <c r="X36" s="290" t="str">
        <f>IF(AND('Mapa final'!$J$70="Baja",'Mapa final'!$N$70="Moderado"),CONCATENATE("R",'Mapa final'!$A$70),"")</f>
        <v/>
      </c>
      <c r="Y36" s="290"/>
      <c r="Z36" s="290" t="str">
        <f>IF(AND('Mapa final'!$J$76="Baja",'Mapa final'!$N$76="Moderado"),CONCATENATE("R",'Mapa final'!$A$76),"")</f>
        <v/>
      </c>
      <c r="AA36" s="291"/>
      <c r="AB36" s="307" t="str">
        <f>IF(AND('Mapa final'!$J$64="Baja",'Mapa final'!$N$64="Mayor"),CONCATENATE("R",'Mapa final'!$A$64),"")</f>
        <v/>
      </c>
      <c r="AC36" s="308"/>
      <c r="AD36" s="308" t="str">
        <f>IF(AND('Mapa final'!$J$70="Baja",'Mapa final'!$N$70="Mayor"),CONCATENATE("R",'Mapa final'!$A$70),"")</f>
        <v/>
      </c>
      <c r="AE36" s="308"/>
      <c r="AF36" s="308" t="str">
        <f>IF(AND('Mapa final'!$J$76="Baja",'Mapa final'!$N$76="Mayor"),CONCATENATE("R",'Mapa final'!$A$76),"")</f>
        <v/>
      </c>
      <c r="AG36" s="309"/>
      <c r="AH36" s="298" t="str">
        <f>IF(AND('Mapa final'!$J$64="Baja",'Mapa final'!$N$64="Catastrófico"),CONCATENATE("R",'Mapa final'!$A$64),"")</f>
        <v/>
      </c>
      <c r="AI36" s="299"/>
      <c r="AJ36" s="299" t="str">
        <f>IF(AND('Mapa final'!$J$70="Baja",'Mapa final'!$N$70="Catastrófico"),CONCATENATE("R",'Mapa final'!$A$70),"")</f>
        <v/>
      </c>
      <c r="AK36" s="299"/>
      <c r="AL36" s="299" t="str">
        <f>IF(AND('Mapa final'!$J$76="Baja",'Mapa final'!$N$76="Catastrófico"),CONCATENATE("R",'Mapa final'!$A$76),"")</f>
        <v/>
      </c>
      <c r="AM36" s="300"/>
      <c r="AN36" s="67"/>
      <c r="AO36" s="359"/>
      <c r="AP36" s="360"/>
      <c r="AQ36" s="360"/>
      <c r="AR36" s="360"/>
      <c r="AS36" s="360"/>
      <c r="AT36" s="36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327"/>
      <c r="C37" s="327"/>
      <c r="D37" s="328"/>
      <c r="E37" s="323"/>
      <c r="F37" s="324"/>
      <c r="G37" s="324"/>
      <c r="H37" s="324"/>
      <c r="I37" s="324"/>
      <c r="J37" s="283"/>
      <c r="K37" s="284"/>
      <c r="L37" s="284"/>
      <c r="M37" s="284"/>
      <c r="N37" s="284"/>
      <c r="O37" s="285"/>
      <c r="P37" s="293"/>
      <c r="Q37" s="293"/>
      <c r="R37" s="293"/>
      <c r="S37" s="293"/>
      <c r="T37" s="293"/>
      <c r="U37" s="294"/>
      <c r="V37" s="292"/>
      <c r="W37" s="293"/>
      <c r="X37" s="293"/>
      <c r="Y37" s="293"/>
      <c r="Z37" s="293"/>
      <c r="AA37" s="294"/>
      <c r="AB37" s="310"/>
      <c r="AC37" s="311"/>
      <c r="AD37" s="311"/>
      <c r="AE37" s="311"/>
      <c r="AF37" s="311"/>
      <c r="AG37" s="312"/>
      <c r="AH37" s="301"/>
      <c r="AI37" s="302"/>
      <c r="AJ37" s="302"/>
      <c r="AK37" s="302"/>
      <c r="AL37" s="302"/>
      <c r="AM37" s="303"/>
      <c r="AN37" s="67"/>
      <c r="AO37" s="362"/>
      <c r="AP37" s="363"/>
      <c r="AQ37" s="363"/>
      <c r="AR37" s="363"/>
      <c r="AS37" s="363"/>
      <c r="AT37" s="36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327"/>
      <c r="C38" s="327"/>
      <c r="D38" s="328"/>
      <c r="E38" s="317" t="s">
        <v>108</v>
      </c>
      <c r="F38" s="318"/>
      <c r="G38" s="318"/>
      <c r="H38" s="318"/>
      <c r="I38" s="319"/>
      <c r="J38" s="286" t="str">
        <f>IF(AND('Mapa final'!$J$10="Muy Baja",'Mapa final'!$N$10="Leve"),CONCATENATE("R",'Mapa final'!$A$10),"")</f>
        <v/>
      </c>
      <c r="K38" s="287"/>
      <c r="L38" s="287" t="str">
        <f>IF(AND('Mapa final'!$J$16="Muy Baja",'Mapa final'!$N$16="Leve"),CONCATENATE("R",'Mapa final'!$A$16),"")</f>
        <v/>
      </c>
      <c r="M38" s="287"/>
      <c r="N38" s="287" t="str">
        <f>IF(AND('Mapa final'!$J$22="Muy Baja",'Mapa final'!$N$22="Leve"),CONCATENATE("R",'Mapa final'!$A$22),"")</f>
        <v/>
      </c>
      <c r="O38" s="288"/>
      <c r="P38" s="286" t="str">
        <f>IF(AND('Mapa final'!$J$10="Muy Baja",'Mapa final'!$N$10="Menor"),CONCATENATE("R",'Mapa final'!$A$10),"")</f>
        <v/>
      </c>
      <c r="Q38" s="287"/>
      <c r="R38" s="287" t="str">
        <f>IF(AND('Mapa final'!$J$16="Muy Baja",'Mapa final'!$N$16="Menor"),CONCATENATE("R",'Mapa final'!$A$16),"")</f>
        <v/>
      </c>
      <c r="S38" s="287"/>
      <c r="T38" s="287" t="str">
        <f>IF(AND('Mapa final'!$J$22="Muy Baja",'Mapa final'!$N$22="Menor"),CONCATENATE("R",'Mapa final'!$A$22),"")</f>
        <v/>
      </c>
      <c r="U38" s="288"/>
      <c r="V38" s="295" t="str">
        <f>IF(AND('Mapa final'!$J$10="Muy Baja",'Mapa final'!$N$10="Moderado"),CONCATENATE("R",'Mapa final'!$A$10),"")</f>
        <v/>
      </c>
      <c r="W38" s="296"/>
      <c r="X38" s="296" t="str">
        <f>IF(AND('Mapa final'!$J$16="Muy Baja",'Mapa final'!$N$16="Moderado"),CONCATENATE("R",'Mapa final'!$A$16),"")</f>
        <v/>
      </c>
      <c r="Y38" s="296"/>
      <c r="Z38" s="296" t="str">
        <f>IF(AND('Mapa final'!$J$22="Muy Baja",'Mapa final'!$N$22="Moderado"),CONCATENATE("R",'Mapa final'!$A$22),"")</f>
        <v/>
      </c>
      <c r="AA38" s="297"/>
      <c r="AB38" s="313" t="str">
        <f>IF(AND('Mapa final'!$J$10="Muy Baja",'Mapa final'!$N$10="Mayor"),CONCATENATE("R",'Mapa final'!$A$10),"")</f>
        <v/>
      </c>
      <c r="AC38" s="314"/>
      <c r="AD38" s="314" t="str">
        <f>IF(AND('Mapa final'!$J$16="Muy Baja",'Mapa final'!$N$16="Mayor"),CONCATENATE("R",'Mapa final'!$A$16),"")</f>
        <v/>
      </c>
      <c r="AE38" s="314"/>
      <c r="AF38" s="314" t="str">
        <f>IF(AND('Mapa final'!$J$22="Muy Baja",'Mapa final'!$N$22="Mayor"),CONCATENATE("R",'Mapa final'!$A$22),"")</f>
        <v/>
      </c>
      <c r="AG38" s="315"/>
      <c r="AH38" s="304" t="str">
        <f>IF(AND('Mapa final'!$J$10="Muy Baja",'Mapa final'!$N$10="Catastrófico"),CONCATENATE("R",'Mapa final'!$A$10),"")</f>
        <v/>
      </c>
      <c r="AI38" s="305"/>
      <c r="AJ38" s="305" t="str">
        <f>IF(AND('Mapa final'!$J$16="Muy Baja",'Mapa final'!$N$16="Catastrófico"),CONCATENATE("R",'Mapa final'!$A$16),"")</f>
        <v/>
      </c>
      <c r="AK38" s="305"/>
      <c r="AL38" s="305" t="str">
        <f>IF(AND('Mapa final'!$J$22="Muy Baja",'Mapa final'!$N$22="Catastrófico"),CONCATENATE("R",'Mapa final'!$A$22),"")</f>
        <v/>
      </c>
      <c r="AM38" s="30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327"/>
      <c r="C39" s="327"/>
      <c r="D39" s="328"/>
      <c r="E39" s="320"/>
      <c r="F39" s="321"/>
      <c r="G39" s="321"/>
      <c r="H39" s="321"/>
      <c r="I39" s="322"/>
      <c r="J39" s="280"/>
      <c r="K39" s="281"/>
      <c r="L39" s="281"/>
      <c r="M39" s="281"/>
      <c r="N39" s="281"/>
      <c r="O39" s="282"/>
      <c r="P39" s="280"/>
      <c r="Q39" s="281"/>
      <c r="R39" s="281"/>
      <c r="S39" s="281"/>
      <c r="T39" s="281"/>
      <c r="U39" s="282"/>
      <c r="V39" s="289"/>
      <c r="W39" s="290"/>
      <c r="X39" s="290"/>
      <c r="Y39" s="290"/>
      <c r="Z39" s="290"/>
      <c r="AA39" s="291"/>
      <c r="AB39" s="307"/>
      <c r="AC39" s="308"/>
      <c r="AD39" s="308"/>
      <c r="AE39" s="308"/>
      <c r="AF39" s="308"/>
      <c r="AG39" s="309"/>
      <c r="AH39" s="298"/>
      <c r="AI39" s="299"/>
      <c r="AJ39" s="299"/>
      <c r="AK39" s="299"/>
      <c r="AL39" s="299"/>
      <c r="AM39" s="30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327"/>
      <c r="C40" s="327"/>
      <c r="D40" s="328"/>
      <c r="E40" s="320"/>
      <c r="F40" s="321"/>
      <c r="G40" s="321"/>
      <c r="H40" s="321"/>
      <c r="I40" s="322"/>
      <c r="J40" s="280" t="str">
        <f>IF(AND('Mapa final'!$J$28="Muy Baja",'Mapa final'!$N$28="Leve"),CONCATENATE("R",'Mapa final'!$A$28),"")</f>
        <v/>
      </c>
      <c r="K40" s="281"/>
      <c r="L40" s="281" t="str">
        <f>IF(AND('Mapa final'!$J$34="Muy Baja",'Mapa final'!$N$34="Leve"),CONCATENATE("R",'Mapa final'!$A$34),"")</f>
        <v/>
      </c>
      <c r="M40" s="281"/>
      <c r="N40" s="281" t="str">
        <f>IF(AND('Mapa final'!$J$40="Muy Baja",'Mapa final'!$N$40="Leve"),CONCATENATE("R",'Mapa final'!$A$40),"")</f>
        <v/>
      </c>
      <c r="O40" s="282"/>
      <c r="P40" s="280" t="str">
        <f>IF(AND('Mapa final'!$J$28="Muy Baja",'Mapa final'!$N$28="Menor"),CONCATENATE("R",'Mapa final'!$A$28),"")</f>
        <v/>
      </c>
      <c r="Q40" s="281"/>
      <c r="R40" s="281" t="str">
        <f>IF(AND('Mapa final'!$J$34="Muy Baja",'Mapa final'!$N$34="Menor"),CONCATENATE("R",'Mapa final'!$A$34),"")</f>
        <v/>
      </c>
      <c r="S40" s="281"/>
      <c r="T40" s="281" t="str">
        <f>IF(AND('Mapa final'!$J$40="Muy Baja",'Mapa final'!$N$40="Menor"),CONCATENATE("R",'Mapa final'!$A$40),"")</f>
        <v/>
      </c>
      <c r="U40" s="282"/>
      <c r="V40" s="289" t="str">
        <f>IF(AND('Mapa final'!$J$28="Muy Baja",'Mapa final'!$N$28="Moderado"),CONCATENATE("R",'Mapa final'!$A$28),"")</f>
        <v/>
      </c>
      <c r="W40" s="290"/>
      <c r="X40" s="290" t="str">
        <f>IF(AND('Mapa final'!$J$34="Muy Baja",'Mapa final'!$N$34="Moderado"),CONCATENATE("R",'Mapa final'!$A$34),"")</f>
        <v/>
      </c>
      <c r="Y40" s="290"/>
      <c r="Z40" s="290" t="str">
        <f>IF(AND('Mapa final'!$J$40="Muy Baja",'Mapa final'!$N$40="Moderado"),CONCATENATE("R",'Mapa final'!$A$40),"")</f>
        <v/>
      </c>
      <c r="AA40" s="291"/>
      <c r="AB40" s="307" t="str">
        <f>IF(AND('Mapa final'!$J$28="Muy Baja",'Mapa final'!$N$28="Mayor"),CONCATENATE("R",'Mapa final'!$A$28),"")</f>
        <v/>
      </c>
      <c r="AC40" s="308"/>
      <c r="AD40" s="308" t="str">
        <f>IF(AND('Mapa final'!$J$34="Muy Baja",'Mapa final'!$N$34="Mayor"),CONCATENATE("R",'Mapa final'!$A$34),"")</f>
        <v/>
      </c>
      <c r="AE40" s="308"/>
      <c r="AF40" s="308" t="str">
        <f>IF(AND('Mapa final'!$J$40="Muy Baja",'Mapa final'!$N$40="Mayor"),CONCATENATE("R",'Mapa final'!$A$40),"")</f>
        <v/>
      </c>
      <c r="AG40" s="309"/>
      <c r="AH40" s="298" t="str">
        <f>IF(AND('Mapa final'!$J$28="Muy Baja",'Mapa final'!$N$28="Catastrófico"),CONCATENATE("R",'Mapa final'!$A$28),"")</f>
        <v/>
      </c>
      <c r="AI40" s="299"/>
      <c r="AJ40" s="299" t="str">
        <f>IF(AND('Mapa final'!$J$34="Muy Baja",'Mapa final'!$N$34="Catastrófico"),CONCATENATE("R",'Mapa final'!$A$34),"")</f>
        <v/>
      </c>
      <c r="AK40" s="299"/>
      <c r="AL40" s="299" t="str">
        <f>IF(AND('Mapa final'!$J$40="Muy Baja",'Mapa final'!$N$40="Catastrófico"),CONCATENATE("R",'Mapa final'!$A$40),"")</f>
        <v/>
      </c>
      <c r="AM40" s="30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327"/>
      <c r="C41" s="327"/>
      <c r="D41" s="328"/>
      <c r="E41" s="320"/>
      <c r="F41" s="321"/>
      <c r="G41" s="321"/>
      <c r="H41" s="321"/>
      <c r="I41" s="322"/>
      <c r="J41" s="280"/>
      <c r="K41" s="281"/>
      <c r="L41" s="281"/>
      <c r="M41" s="281"/>
      <c r="N41" s="281"/>
      <c r="O41" s="282"/>
      <c r="P41" s="280"/>
      <c r="Q41" s="281"/>
      <c r="R41" s="281"/>
      <c r="S41" s="281"/>
      <c r="T41" s="281"/>
      <c r="U41" s="282"/>
      <c r="V41" s="289"/>
      <c r="W41" s="290"/>
      <c r="X41" s="290"/>
      <c r="Y41" s="290"/>
      <c r="Z41" s="290"/>
      <c r="AA41" s="291"/>
      <c r="AB41" s="307"/>
      <c r="AC41" s="308"/>
      <c r="AD41" s="308"/>
      <c r="AE41" s="308"/>
      <c r="AF41" s="308"/>
      <c r="AG41" s="309"/>
      <c r="AH41" s="298"/>
      <c r="AI41" s="299"/>
      <c r="AJ41" s="299"/>
      <c r="AK41" s="299"/>
      <c r="AL41" s="299"/>
      <c r="AM41" s="30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327"/>
      <c r="C42" s="327"/>
      <c r="D42" s="328"/>
      <c r="E42" s="320"/>
      <c r="F42" s="321"/>
      <c r="G42" s="321"/>
      <c r="H42" s="321"/>
      <c r="I42" s="322"/>
      <c r="J42" s="280" t="str">
        <f>IF(AND('Mapa final'!$J$46="Muy Baja",'Mapa final'!$N$46="Leve"),CONCATENATE("R",'Mapa final'!$A$46),"")</f>
        <v/>
      </c>
      <c r="K42" s="281"/>
      <c r="L42" s="281" t="str">
        <f>IF(AND('Mapa final'!$J$52="Muy Baja",'Mapa final'!$N$52="Leve"),CONCATENATE("R",'Mapa final'!$A$52),"")</f>
        <v/>
      </c>
      <c r="M42" s="281"/>
      <c r="N42" s="281" t="str">
        <f>IF(AND('Mapa final'!$J$58="Muy Baja",'Mapa final'!$N$58="Leve"),CONCATENATE("R",'Mapa final'!$A$58),"")</f>
        <v/>
      </c>
      <c r="O42" s="282"/>
      <c r="P42" s="280" t="str">
        <f>IF(AND('Mapa final'!$J$46="Muy Baja",'Mapa final'!$N$46="Menor"),CONCATENATE("R",'Mapa final'!$A$46),"")</f>
        <v/>
      </c>
      <c r="Q42" s="281"/>
      <c r="R42" s="281" t="str">
        <f>IF(AND('Mapa final'!$J$52="Muy Baja",'Mapa final'!$N$52="Menor"),CONCATENATE("R",'Mapa final'!$A$52),"")</f>
        <v/>
      </c>
      <c r="S42" s="281"/>
      <c r="T42" s="281" t="str">
        <f>IF(AND('Mapa final'!$J$58="Muy Baja",'Mapa final'!$N$58="Menor"),CONCATENATE("R",'Mapa final'!$A$58),"")</f>
        <v/>
      </c>
      <c r="U42" s="282"/>
      <c r="V42" s="289" t="str">
        <f>IF(AND('Mapa final'!$J$46="Muy Baja",'Mapa final'!$N$46="Moderado"),CONCATENATE("R",'Mapa final'!$A$46),"")</f>
        <v/>
      </c>
      <c r="W42" s="290"/>
      <c r="X42" s="290" t="str">
        <f>IF(AND('Mapa final'!$J$52="Muy Baja",'Mapa final'!$N$52="Moderado"),CONCATENATE("R",'Mapa final'!$A$52),"")</f>
        <v/>
      </c>
      <c r="Y42" s="290"/>
      <c r="Z42" s="290" t="str">
        <f>IF(AND('Mapa final'!$J$58="Muy Baja",'Mapa final'!$N$58="Moderado"),CONCATENATE("R",'Mapa final'!$A$58),"")</f>
        <v/>
      </c>
      <c r="AA42" s="291"/>
      <c r="AB42" s="307" t="str">
        <f>IF(AND('Mapa final'!$J$46="Muy Baja",'Mapa final'!$N$46="Mayor"),CONCATENATE("R",'Mapa final'!$A$46),"")</f>
        <v/>
      </c>
      <c r="AC42" s="308"/>
      <c r="AD42" s="308" t="str">
        <f>IF(AND('Mapa final'!$J$52="Muy Baja",'Mapa final'!$N$52="Mayor"),CONCATENATE("R",'Mapa final'!$A$52),"")</f>
        <v/>
      </c>
      <c r="AE42" s="308"/>
      <c r="AF42" s="308" t="str">
        <f>IF(AND('Mapa final'!$J$58="Muy Baja",'Mapa final'!$N$58="Mayor"),CONCATENATE("R",'Mapa final'!$A$58),"")</f>
        <v/>
      </c>
      <c r="AG42" s="309"/>
      <c r="AH42" s="298" t="str">
        <f>IF(AND('Mapa final'!$J$46="Muy Baja",'Mapa final'!$N$46="Catastrófico"),CONCATENATE("R",'Mapa final'!$A$46),"")</f>
        <v/>
      </c>
      <c r="AI42" s="299"/>
      <c r="AJ42" s="299" t="str">
        <f>IF(AND('Mapa final'!$J$52="Muy Baja",'Mapa final'!$N$52="Catastrófico"),CONCATENATE("R",'Mapa final'!$A$52),"")</f>
        <v/>
      </c>
      <c r="AK42" s="299"/>
      <c r="AL42" s="299" t="str">
        <f>IF(AND('Mapa final'!$J$58="Muy Baja",'Mapa final'!$N$58="Catastrófico"),CONCATENATE("R",'Mapa final'!$A$58),"")</f>
        <v/>
      </c>
      <c r="AM42" s="30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327"/>
      <c r="C43" s="327"/>
      <c r="D43" s="328"/>
      <c r="E43" s="320"/>
      <c r="F43" s="321"/>
      <c r="G43" s="321"/>
      <c r="H43" s="321"/>
      <c r="I43" s="322"/>
      <c r="J43" s="280"/>
      <c r="K43" s="281"/>
      <c r="L43" s="281"/>
      <c r="M43" s="281"/>
      <c r="N43" s="281"/>
      <c r="O43" s="282"/>
      <c r="P43" s="280"/>
      <c r="Q43" s="281"/>
      <c r="R43" s="281"/>
      <c r="S43" s="281"/>
      <c r="T43" s="281"/>
      <c r="U43" s="282"/>
      <c r="V43" s="289"/>
      <c r="W43" s="290"/>
      <c r="X43" s="290"/>
      <c r="Y43" s="290"/>
      <c r="Z43" s="290"/>
      <c r="AA43" s="291"/>
      <c r="AB43" s="307"/>
      <c r="AC43" s="308"/>
      <c r="AD43" s="308"/>
      <c r="AE43" s="308"/>
      <c r="AF43" s="308"/>
      <c r="AG43" s="309"/>
      <c r="AH43" s="298"/>
      <c r="AI43" s="299"/>
      <c r="AJ43" s="299"/>
      <c r="AK43" s="299"/>
      <c r="AL43" s="299"/>
      <c r="AM43" s="30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327"/>
      <c r="C44" s="327"/>
      <c r="D44" s="328"/>
      <c r="E44" s="320"/>
      <c r="F44" s="321"/>
      <c r="G44" s="321"/>
      <c r="H44" s="321"/>
      <c r="I44" s="322"/>
      <c r="J44" s="280" t="str">
        <f>IF(AND('Mapa final'!$J$64="Muy Baja",'Mapa final'!$N$64="Leve"),CONCATENATE("R",'Mapa final'!$A$64),"")</f>
        <v/>
      </c>
      <c r="K44" s="281"/>
      <c r="L44" s="281" t="str">
        <f>IF(AND('Mapa final'!$J$70="Muy Baja",'Mapa final'!$N$70="Leve"),CONCATENATE("R",'Mapa final'!$A$70),"")</f>
        <v/>
      </c>
      <c r="M44" s="281"/>
      <c r="N44" s="281" t="str">
        <f>IF(AND('Mapa final'!$J$76="Muy Baja",'Mapa final'!$N$76="Leve"),CONCATENATE("R",'Mapa final'!$A$76),"")</f>
        <v/>
      </c>
      <c r="O44" s="282"/>
      <c r="P44" s="280" t="str">
        <f>IF(AND('Mapa final'!$J$64="Muy Baja",'Mapa final'!$N$64="Menor"),CONCATENATE("R",'Mapa final'!$A$64),"")</f>
        <v/>
      </c>
      <c r="Q44" s="281"/>
      <c r="R44" s="281" t="str">
        <f>IF(AND('Mapa final'!$J$70="Muy Baja",'Mapa final'!$N$70="Menor"),CONCATENATE("R",'Mapa final'!$A$70),"")</f>
        <v/>
      </c>
      <c r="S44" s="281"/>
      <c r="T44" s="281" t="str">
        <f>IF(AND('Mapa final'!$J$76="Muy Baja",'Mapa final'!$N$76="Menor"),CONCATENATE("R",'Mapa final'!$A$76),"")</f>
        <v/>
      </c>
      <c r="U44" s="282"/>
      <c r="V44" s="289" t="str">
        <f>IF(AND('Mapa final'!$J$64="Muy Baja",'Mapa final'!$N$64="Moderado"),CONCATENATE("R",'Mapa final'!$A$64),"")</f>
        <v/>
      </c>
      <c r="W44" s="290"/>
      <c r="X44" s="290" t="str">
        <f>IF(AND('Mapa final'!$J$70="Muy Baja",'Mapa final'!$N$70="Moderado"),CONCATENATE("R",'Mapa final'!$A$70),"")</f>
        <v/>
      </c>
      <c r="Y44" s="290"/>
      <c r="Z44" s="290" t="str">
        <f>IF(AND('Mapa final'!$J$76="Muy Baja",'Mapa final'!$N$76="Moderado"),CONCATENATE("R",'Mapa final'!$A$76),"")</f>
        <v/>
      </c>
      <c r="AA44" s="291"/>
      <c r="AB44" s="307" t="str">
        <f>IF(AND('Mapa final'!$J$64="Muy Baja",'Mapa final'!$N$64="Mayor"),CONCATENATE("R",'Mapa final'!$A$64),"")</f>
        <v/>
      </c>
      <c r="AC44" s="308"/>
      <c r="AD44" s="308" t="str">
        <f>IF(AND('Mapa final'!$J$70="Muy Baja",'Mapa final'!$N$70="Mayor"),CONCATENATE("R",'Mapa final'!$A$70),"")</f>
        <v/>
      </c>
      <c r="AE44" s="308"/>
      <c r="AF44" s="308" t="str">
        <f>IF(AND('Mapa final'!$J$76="Muy Baja",'Mapa final'!$N$76="Mayor"),CONCATENATE("R",'Mapa final'!$A$76),"")</f>
        <v/>
      </c>
      <c r="AG44" s="309"/>
      <c r="AH44" s="298" t="str">
        <f>IF(AND('Mapa final'!$J$64="Muy Baja",'Mapa final'!$N$64="Catastrófico"),CONCATENATE("R",'Mapa final'!$A$64),"")</f>
        <v/>
      </c>
      <c r="AI44" s="299"/>
      <c r="AJ44" s="299" t="str">
        <f>IF(AND('Mapa final'!$J$70="Muy Baja",'Mapa final'!$N$70="Catastrófico"),CONCATENATE("R",'Mapa final'!$A$70),"")</f>
        <v/>
      </c>
      <c r="AK44" s="299"/>
      <c r="AL44" s="299" t="str">
        <f>IF(AND('Mapa final'!$J$76="Muy Baja",'Mapa final'!$N$76="Catastrófico"),CONCATENATE("R",'Mapa final'!$A$76),"")</f>
        <v/>
      </c>
      <c r="AM44" s="30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327"/>
      <c r="C45" s="327"/>
      <c r="D45" s="328"/>
      <c r="E45" s="323"/>
      <c r="F45" s="324"/>
      <c r="G45" s="324"/>
      <c r="H45" s="324"/>
      <c r="I45" s="325"/>
      <c r="J45" s="283"/>
      <c r="K45" s="284"/>
      <c r="L45" s="284"/>
      <c r="M45" s="284"/>
      <c r="N45" s="284"/>
      <c r="O45" s="285"/>
      <c r="P45" s="283"/>
      <c r="Q45" s="284"/>
      <c r="R45" s="284"/>
      <c r="S45" s="284"/>
      <c r="T45" s="284"/>
      <c r="U45" s="285"/>
      <c r="V45" s="292"/>
      <c r="W45" s="293"/>
      <c r="X45" s="293"/>
      <c r="Y45" s="293"/>
      <c r="Z45" s="293"/>
      <c r="AA45" s="294"/>
      <c r="AB45" s="310"/>
      <c r="AC45" s="311"/>
      <c r="AD45" s="311"/>
      <c r="AE45" s="311"/>
      <c r="AF45" s="311"/>
      <c r="AG45" s="312"/>
      <c r="AH45" s="301"/>
      <c r="AI45" s="302"/>
      <c r="AJ45" s="302"/>
      <c r="AK45" s="302"/>
      <c r="AL45" s="302"/>
      <c r="AM45" s="30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317" t="s">
        <v>107</v>
      </c>
      <c r="K46" s="318"/>
      <c r="L46" s="318"/>
      <c r="M46" s="318"/>
      <c r="N46" s="318"/>
      <c r="O46" s="319"/>
      <c r="P46" s="317" t="s">
        <v>106</v>
      </c>
      <c r="Q46" s="318"/>
      <c r="R46" s="318"/>
      <c r="S46" s="318"/>
      <c r="T46" s="318"/>
      <c r="U46" s="319"/>
      <c r="V46" s="317" t="s">
        <v>105</v>
      </c>
      <c r="W46" s="318"/>
      <c r="X46" s="318"/>
      <c r="Y46" s="318"/>
      <c r="Z46" s="318"/>
      <c r="AA46" s="319"/>
      <c r="AB46" s="317" t="s">
        <v>104</v>
      </c>
      <c r="AC46" s="326"/>
      <c r="AD46" s="318"/>
      <c r="AE46" s="318"/>
      <c r="AF46" s="318"/>
      <c r="AG46" s="319"/>
      <c r="AH46" s="317" t="s">
        <v>103</v>
      </c>
      <c r="AI46" s="318"/>
      <c r="AJ46" s="318"/>
      <c r="AK46" s="318"/>
      <c r="AL46" s="318"/>
      <c r="AM46" s="319"/>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320"/>
      <c r="K47" s="321"/>
      <c r="L47" s="321"/>
      <c r="M47" s="321"/>
      <c r="N47" s="321"/>
      <c r="O47" s="322"/>
      <c r="P47" s="320"/>
      <c r="Q47" s="321"/>
      <c r="R47" s="321"/>
      <c r="S47" s="321"/>
      <c r="T47" s="321"/>
      <c r="U47" s="322"/>
      <c r="V47" s="320"/>
      <c r="W47" s="321"/>
      <c r="X47" s="321"/>
      <c r="Y47" s="321"/>
      <c r="Z47" s="321"/>
      <c r="AA47" s="322"/>
      <c r="AB47" s="320"/>
      <c r="AC47" s="321"/>
      <c r="AD47" s="321"/>
      <c r="AE47" s="321"/>
      <c r="AF47" s="321"/>
      <c r="AG47" s="322"/>
      <c r="AH47" s="320"/>
      <c r="AI47" s="321"/>
      <c r="AJ47" s="321"/>
      <c r="AK47" s="321"/>
      <c r="AL47" s="321"/>
      <c r="AM47" s="322"/>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320"/>
      <c r="K48" s="321"/>
      <c r="L48" s="321"/>
      <c r="M48" s="321"/>
      <c r="N48" s="321"/>
      <c r="O48" s="322"/>
      <c r="P48" s="320"/>
      <c r="Q48" s="321"/>
      <c r="R48" s="321"/>
      <c r="S48" s="321"/>
      <c r="T48" s="321"/>
      <c r="U48" s="322"/>
      <c r="V48" s="320"/>
      <c r="W48" s="321"/>
      <c r="X48" s="321"/>
      <c r="Y48" s="321"/>
      <c r="Z48" s="321"/>
      <c r="AA48" s="322"/>
      <c r="AB48" s="320"/>
      <c r="AC48" s="321"/>
      <c r="AD48" s="321"/>
      <c r="AE48" s="321"/>
      <c r="AF48" s="321"/>
      <c r="AG48" s="322"/>
      <c r="AH48" s="320"/>
      <c r="AI48" s="321"/>
      <c r="AJ48" s="321"/>
      <c r="AK48" s="321"/>
      <c r="AL48" s="321"/>
      <c r="AM48" s="322"/>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320"/>
      <c r="K49" s="321"/>
      <c r="L49" s="321"/>
      <c r="M49" s="321"/>
      <c r="N49" s="321"/>
      <c r="O49" s="322"/>
      <c r="P49" s="320"/>
      <c r="Q49" s="321"/>
      <c r="R49" s="321"/>
      <c r="S49" s="321"/>
      <c r="T49" s="321"/>
      <c r="U49" s="322"/>
      <c r="V49" s="320"/>
      <c r="W49" s="321"/>
      <c r="X49" s="321"/>
      <c r="Y49" s="321"/>
      <c r="Z49" s="321"/>
      <c r="AA49" s="322"/>
      <c r="AB49" s="320"/>
      <c r="AC49" s="321"/>
      <c r="AD49" s="321"/>
      <c r="AE49" s="321"/>
      <c r="AF49" s="321"/>
      <c r="AG49" s="322"/>
      <c r="AH49" s="320"/>
      <c r="AI49" s="321"/>
      <c r="AJ49" s="321"/>
      <c r="AK49" s="321"/>
      <c r="AL49" s="321"/>
      <c r="AM49" s="322"/>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320"/>
      <c r="K50" s="321"/>
      <c r="L50" s="321"/>
      <c r="M50" s="321"/>
      <c r="N50" s="321"/>
      <c r="O50" s="322"/>
      <c r="P50" s="320"/>
      <c r="Q50" s="321"/>
      <c r="R50" s="321"/>
      <c r="S50" s="321"/>
      <c r="T50" s="321"/>
      <c r="U50" s="322"/>
      <c r="V50" s="320"/>
      <c r="W50" s="321"/>
      <c r="X50" s="321"/>
      <c r="Y50" s="321"/>
      <c r="Z50" s="321"/>
      <c r="AA50" s="322"/>
      <c r="AB50" s="320"/>
      <c r="AC50" s="321"/>
      <c r="AD50" s="321"/>
      <c r="AE50" s="321"/>
      <c r="AF50" s="321"/>
      <c r="AG50" s="322"/>
      <c r="AH50" s="320"/>
      <c r="AI50" s="321"/>
      <c r="AJ50" s="321"/>
      <c r="AK50" s="321"/>
      <c r="AL50" s="321"/>
      <c r="AM50" s="322"/>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323"/>
      <c r="K51" s="324"/>
      <c r="L51" s="324"/>
      <c r="M51" s="324"/>
      <c r="N51" s="324"/>
      <c r="O51" s="325"/>
      <c r="P51" s="323"/>
      <c r="Q51" s="324"/>
      <c r="R51" s="324"/>
      <c r="S51" s="324"/>
      <c r="T51" s="324"/>
      <c r="U51" s="325"/>
      <c r="V51" s="323"/>
      <c r="W51" s="324"/>
      <c r="X51" s="324"/>
      <c r="Y51" s="324"/>
      <c r="Z51" s="324"/>
      <c r="AA51" s="325"/>
      <c r="AB51" s="323"/>
      <c r="AC51" s="324"/>
      <c r="AD51" s="324"/>
      <c r="AE51" s="324"/>
      <c r="AF51" s="324"/>
      <c r="AG51" s="325"/>
      <c r="AH51" s="323"/>
      <c r="AI51" s="324"/>
      <c r="AJ51" s="324"/>
      <c r="AK51" s="324"/>
      <c r="AL51" s="324"/>
      <c r="AM51" s="325"/>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election activeCell="W26" sqref="W2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394" t="s">
        <v>149</v>
      </c>
      <c r="C2" s="395"/>
      <c r="D2" s="395"/>
      <c r="E2" s="395"/>
      <c r="F2" s="395"/>
      <c r="G2" s="395"/>
      <c r="H2" s="395"/>
      <c r="I2" s="395"/>
      <c r="J2" s="316" t="s">
        <v>2</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395"/>
      <c r="C3" s="395"/>
      <c r="D3" s="395"/>
      <c r="E3" s="395"/>
      <c r="F3" s="395"/>
      <c r="G3" s="395"/>
      <c r="H3" s="395"/>
      <c r="I3" s="395"/>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395"/>
      <c r="C4" s="395"/>
      <c r="D4" s="395"/>
      <c r="E4" s="395"/>
      <c r="F4" s="395"/>
      <c r="G4" s="395"/>
      <c r="H4" s="395"/>
      <c r="I4" s="395"/>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327" t="s">
        <v>4</v>
      </c>
      <c r="C6" s="327"/>
      <c r="D6" s="328"/>
      <c r="E6" s="365" t="s">
        <v>111</v>
      </c>
      <c r="F6" s="366"/>
      <c r="G6" s="366"/>
      <c r="H6" s="366"/>
      <c r="I6" s="367"/>
      <c r="J6" s="30" t="str">
        <f>IF(AND('Mapa final'!$AA$10="Muy Alta",'Mapa final'!$AC$10="Leve"),CONCATENATE("R1C",'Mapa final'!$Q$10),"")</f>
        <v/>
      </c>
      <c r="K6" s="31" t="str">
        <f>IF(AND('Mapa final'!$AA$11="Muy Alta",'Mapa final'!$AC$11="Leve"),CONCATENATE("R1C",'Mapa final'!$Q$11),"")</f>
        <v/>
      </c>
      <c r="L6" s="31" t="str">
        <f>IF(AND('Mapa final'!$AA$12="Muy Alta",'Mapa final'!$AC$12="Leve"),CONCATENATE("R1C",'Mapa final'!$Q$12),"")</f>
        <v/>
      </c>
      <c r="M6" s="31" t="str">
        <f>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IF(AND('Mapa final'!$AA$10="Muy Alta",'Mapa final'!$AC$10="Menor"),CONCATENATE("R1C",'Mapa final'!$Q$10),"")</f>
        <v/>
      </c>
      <c r="Q6" s="31" t="str">
        <f>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IF(AND('Mapa final'!$AA$10="Muy Alta",'Mapa final'!$AC$10="Moderado"),CONCATENATE("R1C",'Mapa final'!$Q$10),"")</f>
        <v/>
      </c>
      <c r="W6" s="31" t="str">
        <f>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IF(AND('Mapa final'!$AA$10="Muy Alta",'Mapa final'!$AC$10="Mayor"),CONCATENATE("R1C",'Mapa final'!$Q$10),"")</f>
        <v/>
      </c>
      <c r="AC6" s="31" t="str">
        <f>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IF(AND('Mapa final'!$AA$10="Muy Alta",'Mapa final'!$AC$10="Catastrófico"),CONCATENATE("R1C",'Mapa final'!$Q$10),"")</f>
        <v/>
      </c>
      <c r="AI6" s="34" t="str">
        <f>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7"/>
      <c r="AO6" s="385" t="s">
        <v>78</v>
      </c>
      <c r="AP6" s="386"/>
      <c r="AQ6" s="386"/>
      <c r="AR6" s="386"/>
      <c r="AS6" s="386"/>
      <c r="AT6" s="38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327"/>
      <c r="C7" s="327"/>
      <c r="D7" s="328"/>
      <c r="E7" s="368"/>
      <c r="F7" s="369"/>
      <c r="G7" s="369"/>
      <c r="H7" s="369"/>
      <c r="I7" s="370"/>
      <c r="J7" s="36" t="str">
        <f>IF(AND('Mapa final'!$AA$16="Muy Alta",'Mapa final'!$AC$16="Leve"),CONCATENATE("R2C",'Mapa final'!$Q$16),"")</f>
        <v/>
      </c>
      <c r="K7" s="37" t="str">
        <f>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IF(AND('Mapa final'!$AA$16="Muy Alta",'Mapa final'!$AC$16="Menor"),CONCATENATE("R2C",'Mapa final'!$Q$16),"")</f>
        <v/>
      </c>
      <c r="Q7" s="37" t="str">
        <f>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IF(AND('Mapa final'!$AA$16="Muy Alta",'Mapa final'!$AC$16="Moderado"),CONCATENATE("R2C",'Mapa final'!$Q$16),"")</f>
        <v/>
      </c>
      <c r="W7" s="37" t="str">
        <f>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IF(AND('Mapa final'!$AA$16="Muy Alta",'Mapa final'!$AC$16="Mayor"),CONCATENATE("R2C",'Mapa final'!$Q$16),"")</f>
        <v/>
      </c>
      <c r="AC7" s="37" t="str">
        <f>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IF(AND('Mapa final'!$AA$16="Muy Alta",'Mapa final'!$AC$16="Catastrófico"),CONCATENATE("R2C",'Mapa final'!$Q$16),"")</f>
        <v/>
      </c>
      <c r="AI7" s="40" t="str">
        <f>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7"/>
      <c r="AO7" s="388"/>
      <c r="AP7" s="389"/>
      <c r="AQ7" s="389"/>
      <c r="AR7" s="389"/>
      <c r="AS7" s="389"/>
      <c r="AT7" s="39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327"/>
      <c r="C8" s="327"/>
      <c r="D8" s="328"/>
      <c r="E8" s="368"/>
      <c r="F8" s="369"/>
      <c r="G8" s="369"/>
      <c r="H8" s="369"/>
      <c r="I8" s="370"/>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7"/>
      <c r="AO8" s="388"/>
      <c r="AP8" s="389"/>
      <c r="AQ8" s="389"/>
      <c r="AR8" s="389"/>
      <c r="AS8" s="389"/>
      <c r="AT8" s="39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327"/>
      <c r="C9" s="327"/>
      <c r="D9" s="328"/>
      <c r="E9" s="368"/>
      <c r="F9" s="369"/>
      <c r="G9" s="369"/>
      <c r="H9" s="369"/>
      <c r="I9" s="370"/>
      <c r="J9" s="36" t="str">
        <f>IF(AND('Mapa final'!$AA$28="Muy Alta",'Mapa final'!$AC$28="Leve"),CONCATENATE("R4C",'Mapa final'!$Q$28),"")</f>
        <v/>
      </c>
      <c r="K9" s="37" t="str">
        <f>IF(AND('Mapa final'!$AA$29="Muy Alta",'Mapa final'!$AC$29="Leve"),CONCATENATE("R4C",'Mapa final'!$Q$29),"")</f>
        <v/>
      </c>
      <c r="L9" s="37" t="str">
        <f>IF(AND('Mapa final'!$AA$30="Muy Alta",'Mapa final'!$AC$30="Leve"),CONCATENATE("R4C",'Mapa final'!$Q$30),"")</f>
        <v/>
      </c>
      <c r="M9" s="37" t="str">
        <f>IF(AND('Mapa final'!$AA$31="Muy Alta",'Mapa final'!$AC$31="Leve"),CONCATENATE("R4C",'Mapa final'!$Q$31),"")</f>
        <v/>
      </c>
      <c r="N9" s="37"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37" t="str">
        <f>IF(AND('Mapa final'!$AA$30="Muy Alta",'Mapa final'!$AC$30="Menor"),CONCATENATE("R4C",'Mapa final'!$Q$30),"")</f>
        <v/>
      </c>
      <c r="S9" s="37" t="str">
        <f>IF(AND('Mapa final'!$AA$31="Muy Alta",'Mapa final'!$AC$31="Menor"),CONCATENATE("R4C",'Mapa final'!$Q$31),"")</f>
        <v/>
      </c>
      <c r="T9" s="37"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37" t="str">
        <f>IF(AND('Mapa final'!$AA$30="Muy Alta",'Mapa final'!$AC$30="Moderado"),CONCATENATE("R4C",'Mapa final'!$Q$30),"")</f>
        <v/>
      </c>
      <c r="Y9" s="37" t="str">
        <f>IF(AND('Mapa final'!$AA$31="Muy Alta",'Mapa final'!$AC$31="Moderado"),CONCATENATE("R4C",'Mapa final'!$Q$31),"")</f>
        <v/>
      </c>
      <c r="Z9" s="37"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37" t="str">
        <f>IF(AND('Mapa final'!$AA$30="Muy Alta",'Mapa final'!$AC$30="Mayor"),CONCATENATE("R4C",'Mapa final'!$Q$30),"")</f>
        <v/>
      </c>
      <c r="AE9" s="37" t="str">
        <f>IF(AND('Mapa final'!$AA$31="Muy Alta",'Mapa final'!$AC$31="Mayor"),CONCATENATE("R4C",'Mapa final'!$Q$31),"")</f>
        <v/>
      </c>
      <c r="AF9" s="37"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7"/>
      <c r="AO9" s="388"/>
      <c r="AP9" s="389"/>
      <c r="AQ9" s="389"/>
      <c r="AR9" s="389"/>
      <c r="AS9" s="389"/>
      <c r="AT9" s="39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327"/>
      <c r="C10" s="327"/>
      <c r="D10" s="328"/>
      <c r="E10" s="368"/>
      <c r="F10" s="369"/>
      <c r="G10" s="369"/>
      <c r="H10" s="369"/>
      <c r="I10" s="370"/>
      <c r="J10" s="36" t="str">
        <f>IF(AND('Mapa final'!$AA$34="Muy Alta",'Mapa final'!$AC$34="Leve"),CONCATENATE("R5C",'Mapa final'!$Q$34),"")</f>
        <v/>
      </c>
      <c r="K10" s="37" t="str">
        <f>IF(AND('Mapa final'!$AA$35="Muy Alta",'Mapa final'!$AC$35="Leve"),CONCATENATE("R5C",'Mapa final'!$Q$35),"")</f>
        <v/>
      </c>
      <c r="L10" s="37" t="str">
        <f>IF(AND('Mapa final'!$AA$36="Muy Alta",'Mapa final'!$AC$36="Leve"),CONCATENATE("R5C",'Mapa final'!$Q$36),"")</f>
        <v/>
      </c>
      <c r="M10" s="37" t="str">
        <f>IF(AND('Mapa final'!$AA$37="Muy Alta",'Mapa final'!$AC$37="Leve"),CONCATENATE("R5C",'Mapa final'!$Q$37),"")</f>
        <v/>
      </c>
      <c r="N10" s="37"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37" t="str">
        <f>IF(AND('Mapa final'!$AA$36="Muy Alta",'Mapa final'!$AC$36="Menor"),CONCATENATE("R5C",'Mapa final'!$Q$36),"")</f>
        <v/>
      </c>
      <c r="S10" s="37" t="str">
        <f>IF(AND('Mapa final'!$AA$37="Muy Alta",'Mapa final'!$AC$37="Menor"),CONCATENATE("R5C",'Mapa final'!$Q$37),"")</f>
        <v/>
      </c>
      <c r="T10" s="37"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37" t="str">
        <f>IF(AND('Mapa final'!$AA$36="Muy Alta",'Mapa final'!$AC$36="Moderado"),CONCATENATE("R5C",'Mapa final'!$Q$36),"")</f>
        <v/>
      </c>
      <c r="Y10" s="37" t="str">
        <f>IF(AND('Mapa final'!$AA$37="Muy Alta",'Mapa final'!$AC$37="Moderado"),CONCATENATE("R5C",'Mapa final'!$Q$37),"")</f>
        <v/>
      </c>
      <c r="Z10" s="37"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37" t="str">
        <f>IF(AND('Mapa final'!$AA$36="Muy Alta",'Mapa final'!$AC$36="Mayor"),CONCATENATE("R5C",'Mapa final'!$Q$36),"")</f>
        <v/>
      </c>
      <c r="AE10" s="37" t="str">
        <f>IF(AND('Mapa final'!$AA$37="Muy Alta",'Mapa final'!$AC$37="Mayor"),CONCATENATE("R5C",'Mapa final'!$Q$37),"")</f>
        <v/>
      </c>
      <c r="AF10" s="37"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7"/>
      <c r="AO10" s="388"/>
      <c r="AP10" s="389"/>
      <c r="AQ10" s="389"/>
      <c r="AR10" s="389"/>
      <c r="AS10" s="389"/>
      <c r="AT10" s="39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327"/>
      <c r="C11" s="327"/>
      <c r="D11" s="328"/>
      <c r="E11" s="368"/>
      <c r="F11" s="369"/>
      <c r="G11" s="369"/>
      <c r="H11" s="369"/>
      <c r="I11" s="370"/>
      <c r="J11" s="36" t="str">
        <f>IF(AND('Mapa final'!$AA$40="Muy Alta",'Mapa final'!$AC$40="Leve"),CONCATENATE("R6C",'Mapa final'!$Q$40),"")</f>
        <v/>
      </c>
      <c r="K11" s="37" t="str">
        <f>IF(AND('Mapa final'!$AA$41="Muy Alta",'Mapa final'!$AC$41="Leve"),CONCATENATE("R6C",'Mapa final'!$Q$41),"")</f>
        <v/>
      </c>
      <c r="L11" s="37" t="str">
        <f>IF(AND('Mapa final'!$AA$42="Muy Alta",'Mapa final'!$AC$42="Leve"),CONCATENATE("R6C",'Mapa final'!$Q$42),"")</f>
        <v/>
      </c>
      <c r="M11" s="37" t="str">
        <f>IF(AND('Mapa final'!$AA$43="Muy Alta",'Mapa final'!$AC$43="Leve"),CONCATENATE("R6C",'Mapa final'!$Q$43),"")</f>
        <v/>
      </c>
      <c r="N11" s="37"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37" t="str">
        <f>IF(AND('Mapa final'!$AA$42="Muy Alta",'Mapa final'!$AC$42="Menor"),CONCATENATE("R6C",'Mapa final'!$Q$42),"")</f>
        <v/>
      </c>
      <c r="S11" s="37" t="str">
        <f>IF(AND('Mapa final'!$AA$43="Muy Alta",'Mapa final'!$AC$43="Menor"),CONCATENATE("R6C",'Mapa final'!$Q$43),"")</f>
        <v/>
      </c>
      <c r="T11" s="37"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37" t="str">
        <f>IF(AND('Mapa final'!$AA$42="Muy Alta",'Mapa final'!$AC$42="Moderado"),CONCATENATE("R6C",'Mapa final'!$Q$42),"")</f>
        <v/>
      </c>
      <c r="Y11" s="37" t="str">
        <f>IF(AND('Mapa final'!$AA$43="Muy Alta",'Mapa final'!$AC$43="Moderado"),CONCATENATE("R6C",'Mapa final'!$Q$43),"")</f>
        <v/>
      </c>
      <c r="Z11" s="37"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37" t="str">
        <f>IF(AND('Mapa final'!$AA$42="Muy Alta",'Mapa final'!$AC$42="Mayor"),CONCATENATE("R6C",'Mapa final'!$Q$42),"")</f>
        <v/>
      </c>
      <c r="AE11" s="37" t="str">
        <f>IF(AND('Mapa final'!$AA$43="Muy Alta",'Mapa final'!$AC$43="Mayor"),CONCATENATE("R6C",'Mapa final'!$Q$43),"")</f>
        <v/>
      </c>
      <c r="AF11" s="37"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7"/>
      <c r="AO11" s="388"/>
      <c r="AP11" s="389"/>
      <c r="AQ11" s="389"/>
      <c r="AR11" s="389"/>
      <c r="AS11" s="389"/>
      <c r="AT11" s="39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327"/>
      <c r="C12" s="327"/>
      <c r="D12" s="328"/>
      <c r="E12" s="368"/>
      <c r="F12" s="369"/>
      <c r="G12" s="369"/>
      <c r="H12" s="369"/>
      <c r="I12" s="370"/>
      <c r="J12" s="36" t="str">
        <f>IF(AND('Mapa final'!$AA$46="Muy Alta",'Mapa final'!$AC$46="Leve"),CONCATENATE("R7C",'Mapa final'!$Q$46),"")</f>
        <v/>
      </c>
      <c r="K12" s="37" t="str">
        <f>IF(AND('Mapa final'!$AA$47="Muy Alta",'Mapa final'!$AC$47="Leve"),CONCATENATE("R7C",'Mapa final'!$Q$47),"")</f>
        <v/>
      </c>
      <c r="L12" s="37" t="str">
        <f>IF(AND('Mapa final'!$AA$48="Muy Alta",'Mapa final'!$AC$48="Leve"),CONCATENATE("R7C",'Mapa final'!$Q$48),"")</f>
        <v/>
      </c>
      <c r="M12" s="37" t="str">
        <f>IF(AND('Mapa final'!$AA$49="Muy Alta",'Mapa final'!$AC$49="Leve"),CONCATENATE("R7C",'Mapa final'!$Q$49),"")</f>
        <v/>
      </c>
      <c r="N12" s="37"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37" t="str">
        <f>IF(AND('Mapa final'!$AA$48="Muy Alta",'Mapa final'!$AC$48="Menor"),CONCATENATE("R7C",'Mapa final'!$Q$48),"")</f>
        <v/>
      </c>
      <c r="S12" s="37" t="str">
        <f>IF(AND('Mapa final'!$AA$49="Muy Alta",'Mapa final'!$AC$49="Menor"),CONCATENATE("R7C",'Mapa final'!$Q$49),"")</f>
        <v/>
      </c>
      <c r="T12" s="37"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37" t="str">
        <f>IF(AND('Mapa final'!$AA$48="Muy Alta",'Mapa final'!$AC$48="Moderado"),CONCATENATE("R7C",'Mapa final'!$Q$48),"")</f>
        <v/>
      </c>
      <c r="Y12" s="37" t="str">
        <f>IF(AND('Mapa final'!$AA$49="Muy Alta",'Mapa final'!$AC$49="Moderado"),CONCATENATE("R7C",'Mapa final'!$Q$49),"")</f>
        <v/>
      </c>
      <c r="Z12" s="37"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37" t="str">
        <f>IF(AND('Mapa final'!$AA$48="Muy Alta",'Mapa final'!$AC$48="Mayor"),CONCATENATE("R7C",'Mapa final'!$Q$48),"")</f>
        <v/>
      </c>
      <c r="AE12" s="37" t="str">
        <f>IF(AND('Mapa final'!$AA$49="Muy Alta",'Mapa final'!$AC$49="Mayor"),CONCATENATE("R7C",'Mapa final'!$Q$49),"")</f>
        <v/>
      </c>
      <c r="AF12" s="37"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7"/>
      <c r="AO12" s="388"/>
      <c r="AP12" s="389"/>
      <c r="AQ12" s="389"/>
      <c r="AR12" s="389"/>
      <c r="AS12" s="389"/>
      <c r="AT12" s="39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327"/>
      <c r="C13" s="327"/>
      <c r="D13" s="328"/>
      <c r="E13" s="368"/>
      <c r="F13" s="369"/>
      <c r="G13" s="369"/>
      <c r="H13" s="369"/>
      <c r="I13" s="370"/>
      <c r="J13" s="36" t="str">
        <f>IF(AND('Mapa final'!$AA$52="Muy Alta",'Mapa final'!$AC$52="Leve"),CONCATENATE("R8C",'Mapa final'!$Q$52),"")</f>
        <v/>
      </c>
      <c r="K13" s="37" t="str">
        <f>IF(AND('Mapa final'!$AA$53="Muy Alta",'Mapa final'!$AC$53="Leve"),CONCATENATE("R8C",'Mapa final'!$Q$53),"")</f>
        <v/>
      </c>
      <c r="L13" s="37" t="str">
        <f>IF(AND('Mapa final'!$AA$54="Muy Alta",'Mapa final'!$AC$54="Leve"),CONCATENATE("R8C",'Mapa final'!$Q$54),"")</f>
        <v/>
      </c>
      <c r="M13" s="37" t="str">
        <f>IF(AND('Mapa final'!$AA$55="Muy Alta",'Mapa final'!$AC$55="Leve"),CONCATENATE("R8C",'Mapa final'!$Q$55),"")</f>
        <v/>
      </c>
      <c r="N13" s="37"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37" t="str">
        <f>IF(AND('Mapa final'!$AA$54="Muy Alta",'Mapa final'!$AC$54="Menor"),CONCATENATE("R8C",'Mapa final'!$Q$54),"")</f>
        <v/>
      </c>
      <c r="S13" s="37" t="str">
        <f>IF(AND('Mapa final'!$AA$55="Muy Alta",'Mapa final'!$AC$55="Menor"),CONCATENATE("R8C",'Mapa final'!$Q$55),"")</f>
        <v/>
      </c>
      <c r="T13" s="37"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37" t="str">
        <f>IF(AND('Mapa final'!$AA$54="Muy Alta",'Mapa final'!$AC$54="Moderado"),CONCATENATE("R8C",'Mapa final'!$Q$54),"")</f>
        <v/>
      </c>
      <c r="Y13" s="37" t="str">
        <f>IF(AND('Mapa final'!$AA$55="Muy Alta",'Mapa final'!$AC$55="Moderado"),CONCATENATE("R8C",'Mapa final'!$Q$55),"")</f>
        <v/>
      </c>
      <c r="Z13" s="37"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37" t="str">
        <f>IF(AND('Mapa final'!$AA$54="Muy Alta",'Mapa final'!$AC$54="Mayor"),CONCATENATE("R8C",'Mapa final'!$Q$54),"")</f>
        <v/>
      </c>
      <c r="AE13" s="37" t="str">
        <f>IF(AND('Mapa final'!$AA$55="Muy Alta",'Mapa final'!$AC$55="Mayor"),CONCATENATE("R8C",'Mapa final'!$Q$55),"")</f>
        <v/>
      </c>
      <c r="AF13" s="37"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7"/>
      <c r="AO13" s="388"/>
      <c r="AP13" s="389"/>
      <c r="AQ13" s="389"/>
      <c r="AR13" s="389"/>
      <c r="AS13" s="389"/>
      <c r="AT13" s="39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327"/>
      <c r="C14" s="327"/>
      <c r="D14" s="328"/>
      <c r="E14" s="368"/>
      <c r="F14" s="369"/>
      <c r="G14" s="369"/>
      <c r="H14" s="369"/>
      <c r="I14" s="370"/>
      <c r="J14" s="36" t="str">
        <f>IF(AND('Mapa final'!$AA$58="Muy Alta",'Mapa final'!$AC$58="Leve"),CONCATENATE("R9C",'Mapa final'!$Q$58),"")</f>
        <v/>
      </c>
      <c r="K14" s="37" t="str">
        <f>IF(AND('Mapa final'!$AA$59="Muy Alta",'Mapa final'!$AC$59="Leve"),CONCATENATE("R9C",'Mapa final'!$Q$59),"")</f>
        <v/>
      </c>
      <c r="L14" s="37" t="str">
        <f>IF(AND('Mapa final'!$AA$60="Muy Alta",'Mapa final'!$AC$60="Leve"),CONCATENATE("R9C",'Mapa final'!$Q$60),"")</f>
        <v/>
      </c>
      <c r="M14" s="37" t="str">
        <f>IF(AND('Mapa final'!$AA$61="Muy Alta",'Mapa final'!$AC$61="Leve"),CONCATENATE("R9C",'Mapa final'!$Q$61),"")</f>
        <v/>
      </c>
      <c r="N14" s="37"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37" t="str">
        <f>IF(AND('Mapa final'!$AA$60="Muy Alta",'Mapa final'!$AC$60="Menor"),CONCATENATE("R9C",'Mapa final'!$Q$60),"")</f>
        <v/>
      </c>
      <c r="S14" s="37" t="str">
        <f>IF(AND('Mapa final'!$AA$61="Muy Alta",'Mapa final'!$AC$61="Menor"),CONCATENATE("R9C",'Mapa final'!$Q$61),"")</f>
        <v/>
      </c>
      <c r="T14" s="37"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37" t="str">
        <f>IF(AND('Mapa final'!$AA$60="Muy Alta",'Mapa final'!$AC$60="Moderado"),CONCATENATE("R9C",'Mapa final'!$Q$60),"")</f>
        <v/>
      </c>
      <c r="Y14" s="37" t="str">
        <f>IF(AND('Mapa final'!$AA$61="Muy Alta",'Mapa final'!$AC$61="Moderado"),CONCATENATE("R9C",'Mapa final'!$Q$61),"")</f>
        <v/>
      </c>
      <c r="Z14" s="37"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37" t="str">
        <f>IF(AND('Mapa final'!$AA$60="Muy Alta",'Mapa final'!$AC$60="Mayor"),CONCATENATE("R9C",'Mapa final'!$Q$60),"")</f>
        <v/>
      </c>
      <c r="AE14" s="37" t="str">
        <f>IF(AND('Mapa final'!$AA$61="Muy Alta",'Mapa final'!$AC$61="Mayor"),CONCATENATE("R9C",'Mapa final'!$Q$61),"")</f>
        <v/>
      </c>
      <c r="AF14" s="37"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7"/>
      <c r="AO14" s="388"/>
      <c r="AP14" s="389"/>
      <c r="AQ14" s="389"/>
      <c r="AR14" s="389"/>
      <c r="AS14" s="389"/>
      <c r="AT14" s="39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327"/>
      <c r="C15" s="327"/>
      <c r="D15" s="328"/>
      <c r="E15" s="371"/>
      <c r="F15" s="372"/>
      <c r="G15" s="372"/>
      <c r="H15" s="372"/>
      <c r="I15" s="373"/>
      <c r="J15" s="42" t="str">
        <f>IF(AND('Mapa final'!$AA$64="Muy Alta",'Mapa final'!$AC$64="Leve"),CONCATENATE("R10C",'Mapa final'!$Q$64),"")</f>
        <v/>
      </c>
      <c r="K15" s="43" t="str">
        <f>IF(AND('Mapa final'!$AA$65="Muy Alta",'Mapa final'!$AC$65="Leve"),CONCATENATE("R10C",'Mapa final'!$Q$65),"")</f>
        <v/>
      </c>
      <c r="L15" s="43" t="str">
        <f>IF(AND('Mapa final'!$AA$66="Muy Alta",'Mapa final'!$AC$66="Leve"),CONCATENATE("R10C",'Mapa final'!$Q$66),"")</f>
        <v/>
      </c>
      <c r="M15" s="43" t="str">
        <f>IF(AND('Mapa final'!$AA$67="Muy Alta",'Mapa final'!$AC$67="Leve"),CONCATENATE("R10C",'Mapa final'!$Q$67),"")</f>
        <v/>
      </c>
      <c r="N15" s="43" t="str">
        <f>IF(AND('Mapa final'!$AA$68="Muy Alta",'Mapa final'!$AC$68="Leve"),CONCATENATE("R10C",'Mapa final'!$Q$68),"")</f>
        <v/>
      </c>
      <c r="O15" s="44"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2" t="str">
        <f>IF(AND('Mapa final'!$AA$64="Muy Alta",'Mapa final'!$AC$64="Moderado"),CONCATENATE("R10C",'Mapa final'!$Q$64),"")</f>
        <v/>
      </c>
      <c r="W15" s="43" t="str">
        <f>IF(AND('Mapa final'!$AA$65="Muy Alta",'Mapa final'!$AC$65="Moderado"),CONCATENATE("R10C",'Mapa final'!$Q$65),"")</f>
        <v/>
      </c>
      <c r="X15" s="43" t="str">
        <f>IF(AND('Mapa final'!$AA$66="Muy Alta",'Mapa final'!$AC$66="Moderado"),CONCATENATE("R10C",'Mapa final'!$Q$66),"")</f>
        <v/>
      </c>
      <c r="Y15" s="43" t="str">
        <f>IF(AND('Mapa final'!$AA$67="Muy Alta",'Mapa final'!$AC$67="Moderado"),CONCATENATE("R10C",'Mapa final'!$Q$67),"")</f>
        <v/>
      </c>
      <c r="Z15" s="43" t="str">
        <f>IF(AND('Mapa final'!$AA$68="Muy Alta",'Mapa final'!$AC$68="Moderado"),CONCATENATE("R10C",'Mapa final'!$Q$68),"")</f>
        <v/>
      </c>
      <c r="AA15" s="44"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5" t="str">
        <f>IF(AND('Mapa final'!$AA$64="Muy Alta",'Mapa final'!$AC$64="Catastrófico"),CONCATENATE("R10C",'Mapa final'!$Q$64),"")</f>
        <v/>
      </c>
      <c r="AI15" s="46" t="str">
        <f>IF(AND('Mapa final'!$AA$65="Muy Alta",'Mapa final'!$AC$65="Catastrófico"),CONCATENATE("R10C",'Mapa final'!$Q$65),"")</f>
        <v/>
      </c>
      <c r="AJ15" s="46" t="str">
        <f>IF(AND('Mapa final'!$AA$66="Muy Alta",'Mapa final'!$AC$66="Catastrófico"),CONCATENATE("R10C",'Mapa final'!$Q$66),"")</f>
        <v/>
      </c>
      <c r="AK15" s="46" t="str">
        <f>IF(AND('Mapa final'!$AA$67="Muy Alta",'Mapa final'!$AC$67="Catastrófico"),CONCATENATE("R10C",'Mapa final'!$Q$67),"")</f>
        <v/>
      </c>
      <c r="AL15" s="46" t="str">
        <f>IF(AND('Mapa final'!$AA$68="Muy Alta",'Mapa final'!$AC$68="Catastrófico"),CONCATENATE("R10C",'Mapa final'!$Q$68),"")</f>
        <v/>
      </c>
      <c r="AM15" s="47" t="str">
        <f>IF(AND('Mapa final'!$AA$69="Muy Alta",'Mapa final'!$AC$69="Catastrófico"),CONCATENATE("R10C",'Mapa final'!$Q$69),"")</f>
        <v/>
      </c>
      <c r="AN15" s="67"/>
      <c r="AO15" s="391"/>
      <c r="AP15" s="392"/>
      <c r="AQ15" s="392"/>
      <c r="AR15" s="392"/>
      <c r="AS15" s="392"/>
      <c r="AT15" s="39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327"/>
      <c r="C16" s="327"/>
      <c r="D16" s="328"/>
      <c r="E16" s="365" t="s">
        <v>110</v>
      </c>
      <c r="F16" s="366"/>
      <c r="G16" s="366"/>
      <c r="H16" s="366"/>
      <c r="I16" s="366"/>
      <c r="J16" s="48" t="str">
        <f>IF(AND('Mapa final'!$AA$10="Alta",'Mapa final'!$AC$10="Leve"),CONCATENATE("R1C",'Mapa final'!$Q$10),"")</f>
        <v/>
      </c>
      <c r="K16" s="49" t="str">
        <f>IF(AND('Mapa final'!$AA$11="Alta",'Mapa final'!$AC$11="Leve"),CONCATENATE("R1C",'Mapa final'!$Q$11),"")</f>
        <v/>
      </c>
      <c r="L16" s="49" t="str">
        <f>IF(AND('Mapa final'!$AA$12="Alta",'Mapa final'!$AC$12="Leve"),CONCATENATE("R1C",'Mapa final'!$Q$12),"")</f>
        <v/>
      </c>
      <c r="M16" s="49" t="str">
        <f>IF(AND('Mapa final'!$AA$13="Alta",'Mapa final'!$AC$13="Leve"),CONCATENATE("R1C",'Mapa final'!$Q$13),"")</f>
        <v/>
      </c>
      <c r="N16" s="49" t="str">
        <f>IF(AND('Mapa final'!$AA$14="Alta",'Mapa final'!$AC$14="Leve"),CONCATENATE("R1C",'Mapa final'!$Q$14),"")</f>
        <v/>
      </c>
      <c r="O16" s="50" t="str">
        <f>IF(AND('Mapa final'!$AA$15="Alta",'Mapa final'!$AC$15="Leve"),CONCATENATE("R1C",'Mapa final'!$Q$15),"")</f>
        <v/>
      </c>
      <c r="P16" s="48" t="str">
        <f>IF(AND('Mapa final'!$AA$10="Alta",'Mapa final'!$AC$10="Menor"),CONCATENATE("R1C",'Mapa final'!$Q$10),"")</f>
        <v/>
      </c>
      <c r="Q16" s="49" t="str">
        <f>IF(AND('Mapa final'!$AA$11="Alta",'Mapa final'!$AC$11="Menor"),CONCATENATE("R1C",'Mapa final'!$Q$11),"")</f>
        <v/>
      </c>
      <c r="R16" s="49" t="str">
        <f>IF(AND('Mapa final'!$AA$12="Alta",'Mapa final'!$AC$12="Menor"),CONCATENATE("R1C",'Mapa final'!$Q$12),"")</f>
        <v/>
      </c>
      <c r="S16" s="49" t="str">
        <f>IF(AND('Mapa final'!$AA$13="Alta",'Mapa final'!$AC$13="Menor"),CONCATENATE("R1C",'Mapa final'!$Q$13),"")</f>
        <v/>
      </c>
      <c r="T16" s="49" t="str">
        <f>IF(AND('Mapa final'!$AA$14="Alta",'Mapa final'!$AC$14="Menor"),CONCATENATE("R1C",'Mapa final'!$Q$14),"")</f>
        <v/>
      </c>
      <c r="U16" s="50" t="str">
        <f>IF(AND('Mapa final'!$AA$15="Alta",'Mapa final'!$AC$15="Menor"),CONCATENATE("R1C",'Mapa final'!$Q$15),"")</f>
        <v/>
      </c>
      <c r="V16" s="30" t="str">
        <f>IF(AND('Mapa final'!$AA$10="Alta",'Mapa final'!$AC$10="Moderado"),CONCATENATE("R1C",'Mapa final'!$Q$10),"")</f>
        <v/>
      </c>
      <c r="W16" s="31" t="str">
        <f>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IF(AND('Mapa final'!$AA$10="Alta",'Mapa final'!$AC$10="Mayor"),CONCATENATE("R1C",'Mapa final'!$Q$10),"")</f>
        <v/>
      </c>
      <c r="AC16" s="31" t="str">
        <f>IF(AND('Mapa final'!$AA$11="Alta",'Mapa final'!$AC$11="Mayor"),CONCATENATE("R1C",'Mapa final'!$Q$11),"")</f>
        <v/>
      </c>
      <c r="AD16" s="31" t="str">
        <f>IF(AND('Mapa final'!$AA$12="Alta",'Mapa final'!$AC$12="Mayor"),CONCATENATE("R1C",'Mapa final'!$Q$12),"")</f>
        <v/>
      </c>
      <c r="AE16" s="31" t="str">
        <f>IF(AND('Mapa final'!$AA$13="Alta",'Mapa final'!$AC$13="Mayor"),CONCATENATE("R1C",'Mapa final'!$Q$13),"")</f>
        <v/>
      </c>
      <c r="AF16" s="31" t="str">
        <f>IF(AND('Mapa final'!$AA$14="Alta",'Mapa final'!$AC$14="Mayor"),CONCATENATE("R1C",'Mapa final'!$Q$14),"")</f>
        <v/>
      </c>
      <c r="AG16" s="32" t="str">
        <f>IF(AND('Mapa final'!$AA$15="Alta",'Mapa final'!$AC$15="Mayor"),CONCATENATE("R1C",'Mapa final'!$Q$15),"")</f>
        <v/>
      </c>
      <c r="AH16" s="33" t="str">
        <f>IF(AND('Mapa final'!$AA$10="Alta",'Mapa final'!$AC$10="Catastrófico"),CONCATENATE("R1C",'Mapa final'!$Q$10),"")</f>
        <v/>
      </c>
      <c r="AI16" s="34" t="str">
        <f>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7"/>
      <c r="AO16" s="375" t="s">
        <v>79</v>
      </c>
      <c r="AP16" s="376"/>
      <c r="AQ16" s="376"/>
      <c r="AR16" s="376"/>
      <c r="AS16" s="376"/>
      <c r="AT16" s="37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327"/>
      <c r="C17" s="327"/>
      <c r="D17" s="328"/>
      <c r="E17" s="384"/>
      <c r="F17" s="369"/>
      <c r="G17" s="369"/>
      <c r="H17" s="369"/>
      <c r="I17" s="369"/>
      <c r="J17" s="51" t="str">
        <f>IF(AND('Mapa final'!$AA$16="Alta",'Mapa final'!$AC$16="Leve"),CONCATENATE("R2C",'Mapa final'!$Q$16),"")</f>
        <v/>
      </c>
      <c r="K17" s="52" t="str">
        <f>IF(AND('Mapa final'!$AA$17="Alta",'Mapa final'!$AC$17="Leve"),CONCATENATE("R2C",'Mapa final'!$Q$17),"")</f>
        <v/>
      </c>
      <c r="L17" s="52" t="str">
        <f>IF(AND('Mapa final'!$AA$18="Alta",'Mapa final'!$AC$18="Leve"),CONCATENATE("R2C",'Mapa final'!$Q$18),"")</f>
        <v/>
      </c>
      <c r="M17" s="52" t="str">
        <f>IF(AND('Mapa final'!$AA$19="Alta",'Mapa final'!$AC$19="Leve"),CONCATENATE("R2C",'Mapa final'!$Q$19),"")</f>
        <v/>
      </c>
      <c r="N17" s="52" t="str">
        <f>IF(AND('Mapa final'!$AA$20="Alta",'Mapa final'!$AC$20="Leve"),CONCATENATE("R2C",'Mapa final'!$Q$20),"")</f>
        <v/>
      </c>
      <c r="O17" s="53" t="str">
        <f>IF(AND('Mapa final'!$AA$21="Alta",'Mapa final'!$AC$21="Leve"),CONCATENATE("R2C",'Mapa final'!$Q$21),"")</f>
        <v/>
      </c>
      <c r="P17" s="51" t="str">
        <f>IF(AND('Mapa final'!$AA$16="Alta",'Mapa final'!$AC$16="Menor"),CONCATENATE("R2C",'Mapa final'!$Q$16),"")</f>
        <v/>
      </c>
      <c r="Q17" s="52" t="str">
        <f>IF(AND('Mapa final'!$AA$17="Alta",'Mapa final'!$AC$17="Menor"),CONCATENATE("R2C",'Mapa final'!$Q$17),"")</f>
        <v/>
      </c>
      <c r="R17" s="52" t="str">
        <f>IF(AND('Mapa final'!$AA$18="Alta",'Mapa final'!$AC$18="Menor"),CONCATENATE("R2C",'Mapa final'!$Q$18),"")</f>
        <v/>
      </c>
      <c r="S17" s="52" t="str">
        <f>IF(AND('Mapa final'!$AA$19="Alta",'Mapa final'!$AC$19="Menor"),CONCATENATE("R2C",'Mapa final'!$Q$19),"")</f>
        <v/>
      </c>
      <c r="T17" s="52" t="str">
        <f>IF(AND('Mapa final'!$AA$20="Alta",'Mapa final'!$AC$20="Menor"),CONCATENATE("R2C",'Mapa final'!$Q$20),"")</f>
        <v/>
      </c>
      <c r="U17" s="53" t="str">
        <f>IF(AND('Mapa final'!$AA$21="Alta",'Mapa final'!$AC$21="Menor"),CONCATENATE("R2C",'Mapa final'!$Q$21),"")</f>
        <v/>
      </c>
      <c r="V17" s="36" t="str">
        <f>IF(AND('Mapa final'!$AA$16="Alta",'Mapa final'!$AC$16="Moderado"),CONCATENATE("R2C",'Mapa final'!$Q$16),"")</f>
        <v/>
      </c>
      <c r="W17" s="37" t="str">
        <f>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IF(AND('Mapa final'!$AA$16="Alta",'Mapa final'!$AC$16="Mayor"),CONCATENATE("R2C",'Mapa final'!$Q$16),"")</f>
        <v/>
      </c>
      <c r="AC17" s="37" t="str">
        <f>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IF(AND('Mapa final'!$AA$16="Alta",'Mapa final'!$AC$16="Catastrófico"),CONCATENATE("R2C",'Mapa final'!$Q$16),"")</f>
        <v/>
      </c>
      <c r="AI17" s="40" t="str">
        <f>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7"/>
      <c r="AO17" s="378"/>
      <c r="AP17" s="379"/>
      <c r="AQ17" s="379"/>
      <c r="AR17" s="379"/>
      <c r="AS17" s="379"/>
      <c r="AT17" s="380"/>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327"/>
      <c r="C18" s="327"/>
      <c r="D18" s="328"/>
      <c r="E18" s="368"/>
      <c r="F18" s="369"/>
      <c r="G18" s="369"/>
      <c r="H18" s="369"/>
      <c r="I18" s="369"/>
      <c r="J18" s="51" t="str">
        <f>IF(AND('Mapa final'!$AA$22="Alta",'Mapa final'!$AC$22="Leve"),CONCATENATE("R3C",'Mapa final'!$Q$22),"")</f>
        <v/>
      </c>
      <c r="K18" s="52" t="str">
        <f>IF(AND('Mapa final'!$AA$23="Alta",'Mapa final'!$AC$23="Leve"),CONCATENATE("R3C",'Mapa final'!$Q$23),"")</f>
        <v/>
      </c>
      <c r="L18" s="52" t="str">
        <f>IF(AND('Mapa final'!$AA$24="Alta",'Mapa final'!$AC$24="Leve"),CONCATENATE("R3C",'Mapa final'!$Q$24),"")</f>
        <v/>
      </c>
      <c r="M18" s="52" t="str">
        <f>IF(AND('Mapa final'!$AA$25="Alta",'Mapa final'!$AC$25="Leve"),CONCATENATE("R3C",'Mapa final'!$Q$25),"")</f>
        <v/>
      </c>
      <c r="N18" s="52" t="str">
        <f>IF(AND('Mapa final'!$AA$26="Alta",'Mapa final'!$AC$26="Leve"),CONCATENATE("R3C",'Mapa final'!$Q$26),"")</f>
        <v/>
      </c>
      <c r="O18" s="53" t="str">
        <f>IF(AND('Mapa final'!$AA$27="Alta",'Mapa final'!$AC$27="Leve"),CONCATENATE("R3C",'Mapa final'!$Q$27),"")</f>
        <v/>
      </c>
      <c r="P18" s="51" t="str">
        <f>IF(AND('Mapa final'!$AA$22="Alta",'Mapa final'!$AC$22="Menor"),CONCATENATE("R3C",'Mapa final'!$Q$22),"")</f>
        <v/>
      </c>
      <c r="Q18" s="52" t="str">
        <f>IF(AND('Mapa final'!$AA$23="Alta",'Mapa final'!$AC$23="Menor"),CONCATENATE("R3C",'Mapa final'!$Q$23),"")</f>
        <v/>
      </c>
      <c r="R18" s="52" t="str">
        <f>IF(AND('Mapa final'!$AA$24="Alta",'Mapa final'!$AC$24="Menor"),CONCATENATE("R3C",'Mapa final'!$Q$24),"")</f>
        <v/>
      </c>
      <c r="S18" s="52" t="str">
        <f>IF(AND('Mapa final'!$AA$25="Alta",'Mapa final'!$AC$25="Menor"),CONCATENATE("R3C",'Mapa final'!$Q$25),"")</f>
        <v/>
      </c>
      <c r="T18" s="52" t="str">
        <f>IF(AND('Mapa final'!$AA$26="Alta",'Mapa final'!$AC$26="Menor"),CONCATENATE("R3C",'Mapa final'!$Q$26),"")</f>
        <v/>
      </c>
      <c r="U18" s="53"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7"/>
      <c r="AO18" s="378"/>
      <c r="AP18" s="379"/>
      <c r="AQ18" s="379"/>
      <c r="AR18" s="379"/>
      <c r="AS18" s="379"/>
      <c r="AT18" s="380"/>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327"/>
      <c r="C19" s="327"/>
      <c r="D19" s="328"/>
      <c r="E19" s="368"/>
      <c r="F19" s="369"/>
      <c r="G19" s="369"/>
      <c r="H19" s="369"/>
      <c r="I19" s="369"/>
      <c r="J19" s="51" t="str">
        <f>IF(AND('Mapa final'!$AA$28="Alta",'Mapa final'!$AC$28="Leve"),CONCATENATE("R4C",'Mapa final'!$Q$28),"")</f>
        <v/>
      </c>
      <c r="K19" s="52" t="str">
        <f>IF(AND('Mapa final'!$AA$29="Alta",'Mapa final'!$AC$29="Leve"),CONCATENATE("R4C",'Mapa final'!$Q$29),"")</f>
        <v/>
      </c>
      <c r="L19" s="52" t="str">
        <f>IF(AND('Mapa final'!$AA$30="Alta",'Mapa final'!$AC$30="Leve"),CONCATENATE("R4C",'Mapa final'!$Q$30),"")</f>
        <v/>
      </c>
      <c r="M19" s="52" t="str">
        <f>IF(AND('Mapa final'!$AA$31="Alta",'Mapa final'!$AC$31="Leve"),CONCATENATE("R4C",'Mapa final'!$Q$31),"")</f>
        <v/>
      </c>
      <c r="N19" s="52" t="str">
        <f>IF(AND('Mapa final'!$AA$32="Alta",'Mapa final'!$AC$32="Leve"),CONCATENATE("R4C",'Mapa final'!$Q$32),"")</f>
        <v/>
      </c>
      <c r="O19" s="53" t="str">
        <f>IF(AND('Mapa final'!$AA$33="Alta",'Mapa final'!$AC$33="Leve"),CONCATENATE("R4C",'Mapa final'!$Q$33),"")</f>
        <v/>
      </c>
      <c r="P19" s="51" t="str">
        <f>IF(AND('Mapa final'!$AA$28="Alta",'Mapa final'!$AC$28="Menor"),CONCATENATE("R4C",'Mapa final'!$Q$28),"")</f>
        <v/>
      </c>
      <c r="Q19" s="52" t="str">
        <f>IF(AND('Mapa final'!$AA$29="Alta",'Mapa final'!$AC$29="Menor"),CONCATENATE("R4C",'Mapa final'!$Q$29),"")</f>
        <v/>
      </c>
      <c r="R19" s="52" t="str">
        <f>IF(AND('Mapa final'!$AA$30="Alta",'Mapa final'!$AC$30="Menor"),CONCATENATE("R4C",'Mapa final'!$Q$30),"")</f>
        <v/>
      </c>
      <c r="S19" s="52" t="str">
        <f>IF(AND('Mapa final'!$AA$31="Alta",'Mapa final'!$AC$31="Menor"),CONCATENATE("R4C",'Mapa final'!$Q$31),"")</f>
        <v/>
      </c>
      <c r="T19" s="52" t="str">
        <f>IF(AND('Mapa final'!$AA$32="Alta",'Mapa final'!$AC$32="Menor"),CONCATENATE("R4C",'Mapa final'!$Q$32),"")</f>
        <v/>
      </c>
      <c r="U19" s="53"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37" t="str">
        <f>IF(AND('Mapa final'!$AA$30="Alta",'Mapa final'!$AC$30="Moderado"),CONCATENATE("R4C",'Mapa final'!$Q$30),"")</f>
        <v/>
      </c>
      <c r="Y19" s="37" t="str">
        <f>IF(AND('Mapa final'!$AA$31="Alta",'Mapa final'!$AC$31="Moderado"),CONCATENATE("R4C",'Mapa final'!$Q$31),"")</f>
        <v/>
      </c>
      <c r="Z19" s="37"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37" t="str">
        <f>IF(AND('Mapa final'!$AA$30="Alta",'Mapa final'!$AC$30="Mayor"),CONCATENATE("R4C",'Mapa final'!$Q$30),"")</f>
        <v/>
      </c>
      <c r="AE19" s="37" t="str">
        <f>IF(AND('Mapa final'!$AA$31="Alta",'Mapa final'!$AC$31="Mayor"),CONCATENATE("R4C",'Mapa final'!$Q$31),"")</f>
        <v/>
      </c>
      <c r="AF19" s="37"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7"/>
      <c r="AO19" s="378"/>
      <c r="AP19" s="379"/>
      <c r="AQ19" s="379"/>
      <c r="AR19" s="379"/>
      <c r="AS19" s="379"/>
      <c r="AT19" s="380"/>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327"/>
      <c r="C20" s="327"/>
      <c r="D20" s="328"/>
      <c r="E20" s="368"/>
      <c r="F20" s="369"/>
      <c r="G20" s="369"/>
      <c r="H20" s="369"/>
      <c r="I20" s="369"/>
      <c r="J20" s="51" t="str">
        <f>IF(AND('Mapa final'!$AA$34="Alta",'Mapa final'!$AC$34="Leve"),CONCATENATE("R5C",'Mapa final'!$Q$34),"")</f>
        <v/>
      </c>
      <c r="K20" s="52" t="str">
        <f>IF(AND('Mapa final'!$AA$35="Alta",'Mapa final'!$AC$35="Leve"),CONCATENATE("R5C",'Mapa final'!$Q$35),"")</f>
        <v/>
      </c>
      <c r="L20" s="52" t="str">
        <f>IF(AND('Mapa final'!$AA$36="Alta",'Mapa final'!$AC$36="Leve"),CONCATENATE("R5C",'Mapa final'!$Q$36),"")</f>
        <v/>
      </c>
      <c r="M20" s="52" t="str">
        <f>IF(AND('Mapa final'!$AA$37="Alta",'Mapa final'!$AC$37="Leve"),CONCATENATE("R5C",'Mapa final'!$Q$37),"")</f>
        <v/>
      </c>
      <c r="N20" s="52" t="str">
        <f>IF(AND('Mapa final'!$AA$38="Alta",'Mapa final'!$AC$38="Leve"),CONCATENATE("R5C",'Mapa final'!$Q$38),"")</f>
        <v/>
      </c>
      <c r="O20" s="53" t="str">
        <f>IF(AND('Mapa final'!$AA$39="Alta",'Mapa final'!$AC$39="Leve"),CONCATENATE("R5C",'Mapa final'!$Q$39),"")</f>
        <v/>
      </c>
      <c r="P20" s="51" t="str">
        <f>IF(AND('Mapa final'!$AA$34="Alta",'Mapa final'!$AC$34="Menor"),CONCATENATE("R5C",'Mapa final'!$Q$34),"")</f>
        <v/>
      </c>
      <c r="Q20" s="52" t="str">
        <f>IF(AND('Mapa final'!$AA$35="Alta",'Mapa final'!$AC$35="Menor"),CONCATENATE("R5C",'Mapa final'!$Q$35),"")</f>
        <v/>
      </c>
      <c r="R20" s="52" t="str">
        <f>IF(AND('Mapa final'!$AA$36="Alta",'Mapa final'!$AC$36="Menor"),CONCATENATE("R5C",'Mapa final'!$Q$36),"")</f>
        <v/>
      </c>
      <c r="S20" s="52" t="str">
        <f>IF(AND('Mapa final'!$AA$37="Alta",'Mapa final'!$AC$37="Menor"),CONCATENATE("R5C",'Mapa final'!$Q$37),"")</f>
        <v/>
      </c>
      <c r="T20" s="52" t="str">
        <f>IF(AND('Mapa final'!$AA$38="Alta",'Mapa final'!$AC$38="Menor"),CONCATENATE("R5C",'Mapa final'!$Q$38),"")</f>
        <v/>
      </c>
      <c r="U20" s="53"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37" t="str">
        <f>IF(AND('Mapa final'!$AA$36="Alta",'Mapa final'!$AC$36="Moderado"),CONCATENATE("R5C",'Mapa final'!$Q$36),"")</f>
        <v/>
      </c>
      <c r="Y20" s="37" t="str">
        <f>IF(AND('Mapa final'!$AA$37="Alta",'Mapa final'!$AC$37="Moderado"),CONCATENATE("R5C",'Mapa final'!$Q$37),"")</f>
        <v/>
      </c>
      <c r="Z20" s="37"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37" t="str">
        <f>IF(AND('Mapa final'!$AA$36="Alta",'Mapa final'!$AC$36="Mayor"),CONCATENATE("R5C",'Mapa final'!$Q$36),"")</f>
        <v/>
      </c>
      <c r="AE20" s="37" t="str">
        <f>IF(AND('Mapa final'!$AA$37="Alta",'Mapa final'!$AC$37="Mayor"),CONCATENATE("R5C",'Mapa final'!$Q$37),"")</f>
        <v/>
      </c>
      <c r="AF20" s="37"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7"/>
      <c r="AO20" s="378"/>
      <c r="AP20" s="379"/>
      <c r="AQ20" s="379"/>
      <c r="AR20" s="379"/>
      <c r="AS20" s="379"/>
      <c r="AT20" s="380"/>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327"/>
      <c r="C21" s="327"/>
      <c r="D21" s="328"/>
      <c r="E21" s="368"/>
      <c r="F21" s="369"/>
      <c r="G21" s="369"/>
      <c r="H21" s="369"/>
      <c r="I21" s="369"/>
      <c r="J21" s="51" t="str">
        <f>IF(AND('Mapa final'!$AA$40="Alta",'Mapa final'!$AC$40="Leve"),CONCATENATE("R6C",'Mapa final'!$Q$40),"")</f>
        <v/>
      </c>
      <c r="K21" s="52" t="str">
        <f>IF(AND('Mapa final'!$AA$41="Alta",'Mapa final'!$AC$41="Leve"),CONCATENATE("R6C",'Mapa final'!$Q$41),"")</f>
        <v/>
      </c>
      <c r="L21" s="52" t="str">
        <f>IF(AND('Mapa final'!$AA$42="Alta",'Mapa final'!$AC$42="Leve"),CONCATENATE("R6C",'Mapa final'!$Q$42),"")</f>
        <v/>
      </c>
      <c r="M21" s="52" t="str">
        <f>IF(AND('Mapa final'!$AA$43="Alta",'Mapa final'!$AC$43="Leve"),CONCATENATE("R6C",'Mapa final'!$Q$43),"")</f>
        <v/>
      </c>
      <c r="N21" s="52" t="str">
        <f>IF(AND('Mapa final'!$AA$44="Alta",'Mapa final'!$AC$44="Leve"),CONCATENATE("R6C",'Mapa final'!$Q$44),"")</f>
        <v/>
      </c>
      <c r="O21" s="53" t="str">
        <f>IF(AND('Mapa final'!$AA$45="Alta",'Mapa final'!$AC$45="Leve"),CONCATENATE("R6C",'Mapa final'!$Q$45),"")</f>
        <v/>
      </c>
      <c r="P21" s="51" t="str">
        <f>IF(AND('Mapa final'!$AA$40="Alta",'Mapa final'!$AC$40="Menor"),CONCATENATE("R6C",'Mapa final'!$Q$40),"")</f>
        <v/>
      </c>
      <c r="Q21" s="52" t="str">
        <f>IF(AND('Mapa final'!$AA$41="Alta",'Mapa final'!$AC$41="Menor"),CONCATENATE("R6C",'Mapa final'!$Q$41),"")</f>
        <v/>
      </c>
      <c r="R21" s="52" t="str">
        <f>IF(AND('Mapa final'!$AA$42="Alta",'Mapa final'!$AC$42="Menor"),CONCATENATE("R6C",'Mapa final'!$Q$42),"")</f>
        <v/>
      </c>
      <c r="S21" s="52" t="str">
        <f>IF(AND('Mapa final'!$AA$43="Alta",'Mapa final'!$AC$43="Menor"),CONCATENATE("R6C",'Mapa final'!$Q$43),"")</f>
        <v/>
      </c>
      <c r="T21" s="52" t="str">
        <f>IF(AND('Mapa final'!$AA$44="Alta",'Mapa final'!$AC$44="Menor"),CONCATENATE("R6C",'Mapa final'!$Q$44),"")</f>
        <v/>
      </c>
      <c r="U21" s="53"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37" t="str">
        <f>IF(AND('Mapa final'!$AA$42="Alta",'Mapa final'!$AC$42="Moderado"),CONCATENATE("R6C",'Mapa final'!$Q$42),"")</f>
        <v/>
      </c>
      <c r="Y21" s="37" t="str">
        <f>IF(AND('Mapa final'!$AA$43="Alta",'Mapa final'!$AC$43="Moderado"),CONCATENATE("R6C",'Mapa final'!$Q$43),"")</f>
        <v/>
      </c>
      <c r="Z21" s="37"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37" t="str">
        <f>IF(AND('Mapa final'!$AA$42="Alta",'Mapa final'!$AC$42="Mayor"),CONCATENATE("R6C",'Mapa final'!$Q$42),"")</f>
        <v/>
      </c>
      <c r="AE21" s="37" t="str">
        <f>IF(AND('Mapa final'!$AA$43="Alta",'Mapa final'!$AC$43="Mayor"),CONCATENATE("R6C",'Mapa final'!$Q$43),"")</f>
        <v/>
      </c>
      <c r="AF21" s="37"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7"/>
      <c r="AO21" s="378"/>
      <c r="AP21" s="379"/>
      <c r="AQ21" s="379"/>
      <c r="AR21" s="379"/>
      <c r="AS21" s="379"/>
      <c r="AT21" s="38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327"/>
      <c r="C22" s="327"/>
      <c r="D22" s="328"/>
      <c r="E22" s="368"/>
      <c r="F22" s="369"/>
      <c r="G22" s="369"/>
      <c r="H22" s="369"/>
      <c r="I22" s="369"/>
      <c r="J22" s="51" t="str">
        <f>IF(AND('Mapa final'!$AA$46="Alta",'Mapa final'!$AC$46="Leve"),CONCATENATE("R7C",'Mapa final'!$Q$46),"")</f>
        <v/>
      </c>
      <c r="K22" s="52" t="str">
        <f>IF(AND('Mapa final'!$AA$47="Alta",'Mapa final'!$AC$47="Leve"),CONCATENATE("R7C",'Mapa final'!$Q$47),"")</f>
        <v/>
      </c>
      <c r="L22" s="52" t="str">
        <f>IF(AND('Mapa final'!$AA$48="Alta",'Mapa final'!$AC$48="Leve"),CONCATENATE("R7C",'Mapa final'!$Q$48),"")</f>
        <v/>
      </c>
      <c r="M22" s="52" t="str">
        <f>IF(AND('Mapa final'!$AA$49="Alta",'Mapa final'!$AC$49="Leve"),CONCATENATE("R7C",'Mapa final'!$Q$49),"")</f>
        <v/>
      </c>
      <c r="N22" s="52" t="str">
        <f>IF(AND('Mapa final'!$AA$50="Alta",'Mapa final'!$AC$50="Leve"),CONCATENATE("R7C",'Mapa final'!$Q$50),"")</f>
        <v/>
      </c>
      <c r="O22" s="53" t="str">
        <f>IF(AND('Mapa final'!$AA$51="Alta",'Mapa final'!$AC$51="Leve"),CONCATENATE("R7C",'Mapa final'!$Q$51),"")</f>
        <v/>
      </c>
      <c r="P22" s="51" t="str">
        <f>IF(AND('Mapa final'!$AA$46="Alta",'Mapa final'!$AC$46="Menor"),CONCATENATE("R7C",'Mapa final'!$Q$46),"")</f>
        <v/>
      </c>
      <c r="Q22" s="52" t="str">
        <f>IF(AND('Mapa final'!$AA$47="Alta",'Mapa final'!$AC$47="Menor"),CONCATENATE("R7C",'Mapa final'!$Q$47),"")</f>
        <v/>
      </c>
      <c r="R22" s="52" t="str">
        <f>IF(AND('Mapa final'!$AA$48="Alta",'Mapa final'!$AC$48="Menor"),CONCATENATE("R7C",'Mapa final'!$Q$48),"")</f>
        <v/>
      </c>
      <c r="S22" s="52" t="str">
        <f>IF(AND('Mapa final'!$AA$49="Alta",'Mapa final'!$AC$49="Menor"),CONCATENATE("R7C",'Mapa final'!$Q$49),"")</f>
        <v/>
      </c>
      <c r="T22" s="52" t="str">
        <f>IF(AND('Mapa final'!$AA$50="Alta",'Mapa final'!$AC$50="Menor"),CONCATENATE("R7C",'Mapa final'!$Q$50),"")</f>
        <v/>
      </c>
      <c r="U22" s="53"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37" t="str">
        <f>IF(AND('Mapa final'!$AA$48="Alta",'Mapa final'!$AC$48="Moderado"),CONCATENATE("R7C",'Mapa final'!$Q$48),"")</f>
        <v/>
      </c>
      <c r="Y22" s="37" t="str">
        <f>IF(AND('Mapa final'!$AA$49="Alta",'Mapa final'!$AC$49="Moderado"),CONCATENATE("R7C",'Mapa final'!$Q$49),"")</f>
        <v/>
      </c>
      <c r="Z22" s="37"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37" t="str">
        <f>IF(AND('Mapa final'!$AA$48="Alta",'Mapa final'!$AC$48="Mayor"),CONCATENATE("R7C",'Mapa final'!$Q$48),"")</f>
        <v/>
      </c>
      <c r="AE22" s="37" t="str">
        <f>IF(AND('Mapa final'!$AA$49="Alta",'Mapa final'!$AC$49="Mayor"),CONCATENATE("R7C",'Mapa final'!$Q$49),"")</f>
        <v/>
      </c>
      <c r="AF22" s="37"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7"/>
      <c r="AO22" s="378"/>
      <c r="AP22" s="379"/>
      <c r="AQ22" s="379"/>
      <c r="AR22" s="379"/>
      <c r="AS22" s="379"/>
      <c r="AT22" s="38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327"/>
      <c r="C23" s="327"/>
      <c r="D23" s="328"/>
      <c r="E23" s="368"/>
      <c r="F23" s="369"/>
      <c r="G23" s="369"/>
      <c r="H23" s="369"/>
      <c r="I23" s="369"/>
      <c r="J23" s="51" t="str">
        <f>IF(AND('Mapa final'!$AA$52="Alta",'Mapa final'!$AC$52="Leve"),CONCATENATE("R8C",'Mapa final'!$Q$52),"")</f>
        <v/>
      </c>
      <c r="K23" s="52" t="str">
        <f>IF(AND('Mapa final'!$AA$53="Alta",'Mapa final'!$AC$53="Leve"),CONCATENATE("R8C",'Mapa final'!$Q$53),"")</f>
        <v/>
      </c>
      <c r="L23" s="52" t="str">
        <f>IF(AND('Mapa final'!$AA$54="Alta",'Mapa final'!$AC$54="Leve"),CONCATENATE("R8C",'Mapa final'!$Q$54),"")</f>
        <v/>
      </c>
      <c r="M23" s="52" t="str">
        <f>IF(AND('Mapa final'!$AA$55="Alta",'Mapa final'!$AC$55="Leve"),CONCATENATE("R8C",'Mapa final'!$Q$55),"")</f>
        <v/>
      </c>
      <c r="N23" s="52" t="str">
        <f>IF(AND('Mapa final'!$AA$56="Alta",'Mapa final'!$AC$56="Leve"),CONCATENATE("R8C",'Mapa final'!$Q$56),"")</f>
        <v/>
      </c>
      <c r="O23" s="53" t="str">
        <f>IF(AND('Mapa final'!$AA$57="Alta",'Mapa final'!$AC$57="Leve"),CONCATENATE("R8C",'Mapa final'!$Q$57),"")</f>
        <v/>
      </c>
      <c r="P23" s="51" t="str">
        <f>IF(AND('Mapa final'!$AA$52="Alta",'Mapa final'!$AC$52="Menor"),CONCATENATE("R8C",'Mapa final'!$Q$52),"")</f>
        <v/>
      </c>
      <c r="Q23" s="52" t="str">
        <f>IF(AND('Mapa final'!$AA$53="Alta",'Mapa final'!$AC$53="Menor"),CONCATENATE("R8C",'Mapa final'!$Q$53),"")</f>
        <v/>
      </c>
      <c r="R23" s="52" t="str">
        <f>IF(AND('Mapa final'!$AA$54="Alta",'Mapa final'!$AC$54="Menor"),CONCATENATE("R8C",'Mapa final'!$Q$54),"")</f>
        <v/>
      </c>
      <c r="S23" s="52" t="str">
        <f>IF(AND('Mapa final'!$AA$55="Alta",'Mapa final'!$AC$55="Menor"),CONCATENATE("R8C",'Mapa final'!$Q$55),"")</f>
        <v/>
      </c>
      <c r="T23" s="52" t="str">
        <f>IF(AND('Mapa final'!$AA$56="Alta",'Mapa final'!$AC$56="Menor"),CONCATENATE("R8C",'Mapa final'!$Q$56),"")</f>
        <v/>
      </c>
      <c r="U23" s="53"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37" t="str">
        <f>IF(AND('Mapa final'!$AA$54="Alta",'Mapa final'!$AC$54="Moderado"),CONCATENATE("R8C",'Mapa final'!$Q$54),"")</f>
        <v/>
      </c>
      <c r="Y23" s="37" t="str">
        <f>IF(AND('Mapa final'!$AA$55="Alta",'Mapa final'!$AC$55="Moderado"),CONCATENATE("R8C",'Mapa final'!$Q$55),"")</f>
        <v/>
      </c>
      <c r="Z23" s="37"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37" t="str">
        <f>IF(AND('Mapa final'!$AA$54="Alta",'Mapa final'!$AC$54="Mayor"),CONCATENATE("R8C",'Mapa final'!$Q$54),"")</f>
        <v/>
      </c>
      <c r="AE23" s="37" t="str">
        <f>IF(AND('Mapa final'!$AA$55="Alta",'Mapa final'!$AC$55="Mayor"),CONCATENATE("R8C",'Mapa final'!$Q$55),"")</f>
        <v/>
      </c>
      <c r="AF23" s="37"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7"/>
      <c r="AO23" s="378"/>
      <c r="AP23" s="379"/>
      <c r="AQ23" s="379"/>
      <c r="AR23" s="379"/>
      <c r="AS23" s="379"/>
      <c r="AT23" s="38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327"/>
      <c r="C24" s="327"/>
      <c r="D24" s="328"/>
      <c r="E24" s="368"/>
      <c r="F24" s="369"/>
      <c r="G24" s="369"/>
      <c r="H24" s="369"/>
      <c r="I24" s="369"/>
      <c r="J24" s="51" t="str">
        <f>IF(AND('Mapa final'!$AA$58="Alta",'Mapa final'!$AC$58="Leve"),CONCATENATE("R9C",'Mapa final'!$Q$58),"")</f>
        <v/>
      </c>
      <c r="K24" s="52" t="str">
        <f>IF(AND('Mapa final'!$AA$59="Alta",'Mapa final'!$AC$59="Leve"),CONCATENATE("R9C",'Mapa final'!$Q$59),"")</f>
        <v/>
      </c>
      <c r="L24" s="52" t="str">
        <f>IF(AND('Mapa final'!$AA$60="Alta",'Mapa final'!$AC$60="Leve"),CONCATENATE("R9C",'Mapa final'!$Q$60),"")</f>
        <v/>
      </c>
      <c r="M24" s="52" t="str">
        <f>IF(AND('Mapa final'!$AA$61="Alta",'Mapa final'!$AC$61="Leve"),CONCATENATE("R9C",'Mapa final'!$Q$61),"")</f>
        <v/>
      </c>
      <c r="N24" s="52" t="str">
        <f>IF(AND('Mapa final'!$AA$62="Alta",'Mapa final'!$AC$62="Leve"),CONCATENATE("R9C",'Mapa final'!$Q$62),"")</f>
        <v/>
      </c>
      <c r="O24" s="53" t="str">
        <f>IF(AND('Mapa final'!$AA$63="Alta",'Mapa final'!$AC$63="Leve"),CONCATENATE("R9C",'Mapa final'!$Q$63),"")</f>
        <v/>
      </c>
      <c r="P24" s="51" t="str">
        <f>IF(AND('Mapa final'!$AA$58="Alta",'Mapa final'!$AC$58="Menor"),CONCATENATE("R9C",'Mapa final'!$Q$58),"")</f>
        <v/>
      </c>
      <c r="Q24" s="52" t="str">
        <f>IF(AND('Mapa final'!$AA$59="Alta",'Mapa final'!$AC$59="Menor"),CONCATENATE("R9C",'Mapa final'!$Q$59),"")</f>
        <v/>
      </c>
      <c r="R24" s="52" t="str">
        <f>IF(AND('Mapa final'!$AA$60="Alta",'Mapa final'!$AC$60="Menor"),CONCATENATE("R9C",'Mapa final'!$Q$60),"")</f>
        <v/>
      </c>
      <c r="S24" s="52" t="str">
        <f>IF(AND('Mapa final'!$AA$61="Alta",'Mapa final'!$AC$61="Menor"),CONCATENATE("R9C",'Mapa final'!$Q$61),"")</f>
        <v/>
      </c>
      <c r="T24" s="52" t="str">
        <f>IF(AND('Mapa final'!$AA$62="Alta",'Mapa final'!$AC$62="Menor"),CONCATENATE("R9C",'Mapa final'!$Q$62),"")</f>
        <v/>
      </c>
      <c r="U24" s="53"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37" t="str">
        <f>IF(AND('Mapa final'!$AA$60="Alta",'Mapa final'!$AC$60="Moderado"),CONCATENATE("R9C",'Mapa final'!$Q$60),"")</f>
        <v/>
      </c>
      <c r="Y24" s="37" t="str">
        <f>IF(AND('Mapa final'!$AA$61="Alta",'Mapa final'!$AC$61="Moderado"),CONCATENATE("R9C",'Mapa final'!$Q$61),"")</f>
        <v/>
      </c>
      <c r="Z24" s="37"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37" t="str">
        <f>IF(AND('Mapa final'!$AA$60="Alta",'Mapa final'!$AC$60="Mayor"),CONCATENATE("R9C",'Mapa final'!$Q$60),"")</f>
        <v/>
      </c>
      <c r="AE24" s="37" t="str">
        <f>IF(AND('Mapa final'!$AA$61="Alta",'Mapa final'!$AC$61="Mayor"),CONCATENATE("R9C",'Mapa final'!$Q$61),"")</f>
        <v/>
      </c>
      <c r="AF24" s="37"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7"/>
      <c r="AO24" s="378"/>
      <c r="AP24" s="379"/>
      <c r="AQ24" s="379"/>
      <c r="AR24" s="379"/>
      <c r="AS24" s="379"/>
      <c r="AT24" s="38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327"/>
      <c r="C25" s="327"/>
      <c r="D25" s="328"/>
      <c r="E25" s="371"/>
      <c r="F25" s="372"/>
      <c r="G25" s="372"/>
      <c r="H25" s="372"/>
      <c r="I25" s="372"/>
      <c r="J25" s="54" t="str">
        <f>IF(AND('Mapa final'!$AA$64="Alta",'Mapa final'!$AC$64="Leve"),CONCATENATE("R10C",'Mapa final'!$Q$64),"")</f>
        <v/>
      </c>
      <c r="K25" s="55" t="str">
        <f>IF(AND('Mapa final'!$AA$65="Alta",'Mapa final'!$AC$65="Leve"),CONCATENATE("R10C",'Mapa final'!$Q$65),"")</f>
        <v/>
      </c>
      <c r="L25" s="55" t="str">
        <f>IF(AND('Mapa final'!$AA$66="Alta",'Mapa final'!$AC$66="Leve"),CONCATENATE("R10C",'Mapa final'!$Q$66),"")</f>
        <v/>
      </c>
      <c r="M25" s="55" t="str">
        <f>IF(AND('Mapa final'!$AA$67="Alta",'Mapa final'!$AC$67="Leve"),CONCATENATE("R10C",'Mapa final'!$Q$67),"")</f>
        <v/>
      </c>
      <c r="N25" s="55" t="str">
        <f>IF(AND('Mapa final'!$AA$68="Alta",'Mapa final'!$AC$68="Leve"),CONCATENATE("R10C",'Mapa final'!$Q$68),"")</f>
        <v/>
      </c>
      <c r="O25" s="56" t="str">
        <f>IF(AND('Mapa final'!$AA$69="Alta",'Mapa final'!$AC$69="Leve"),CONCATENATE("R10C",'Mapa final'!$Q$69),"")</f>
        <v/>
      </c>
      <c r="P25" s="54" t="str">
        <f>IF(AND('Mapa final'!$AA$64="Alta",'Mapa final'!$AC$64="Menor"),CONCATENATE("R10C",'Mapa final'!$Q$64),"")</f>
        <v/>
      </c>
      <c r="Q25" s="55" t="str">
        <f>IF(AND('Mapa final'!$AA$65="Alta",'Mapa final'!$AC$65="Menor"),CONCATENATE("R10C",'Mapa final'!$Q$65),"")</f>
        <v/>
      </c>
      <c r="R25" s="55" t="str">
        <f>IF(AND('Mapa final'!$AA$66="Alta",'Mapa final'!$AC$66="Menor"),CONCATENATE("R10C",'Mapa final'!$Q$66),"")</f>
        <v/>
      </c>
      <c r="S25" s="55" t="str">
        <f>IF(AND('Mapa final'!$AA$67="Alta",'Mapa final'!$AC$67="Menor"),CONCATENATE("R10C",'Mapa final'!$Q$67),"")</f>
        <v/>
      </c>
      <c r="T25" s="55" t="str">
        <f>IF(AND('Mapa final'!$AA$68="Alta",'Mapa final'!$AC$68="Menor"),CONCATENATE("R10C",'Mapa final'!$Q$68),"")</f>
        <v/>
      </c>
      <c r="U25" s="56" t="str">
        <f>IF(AND('Mapa final'!$AA$69="Alta",'Mapa final'!$AC$69="Menor"),CONCATENATE("R10C",'Mapa final'!$Q$69),"")</f>
        <v/>
      </c>
      <c r="V25" s="42" t="str">
        <f>IF(AND('Mapa final'!$AA$64="Alta",'Mapa final'!$AC$64="Moderado"),CONCATENATE("R10C",'Mapa final'!$Q$64),"")</f>
        <v/>
      </c>
      <c r="W25" s="43" t="str">
        <f>IF(AND('Mapa final'!$AA$65="Alta",'Mapa final'!$AC$65="Moderado"),CONCATENATE("R10C",'Mapa final'!$Q$65),"")</f>
        <v/>
      </c>
      <c r="X25" s="43" t="str">
        <f>IF(AND('Mapa final'!$AA$66="Alta",'Mapa final'!$AC$66="Moderado"),CONCATENATE("R10C",'Mapa final'!$Q$66),"")</f>
        <v/>
      </c>
      <c r="Y25" s="43" t="str">
        <f>IF(AND('Mapa final'!$AA$67="Alta",'Mapa final'!$AC$67="Moderado"),CONCATENATE("R10C",'Mapa final'!$Q$67),"")</f>
        <v/>
      </c>
      <c r="Z25" s="43" t="str">
        <f>IF(AND('Mapa final'!$AA$68="Alta",'Mapa final'!$AC$68="Moderado"),CONCATENATE("R10C",'Mapa final'!$Q$68),"")</f>
        <v/>
      </c>
      <c r="AA25" s="44" t="str">
        <f>IF(AND('Mapa final'!$AA$69="Alta",'Mapa final'!$AC$69="Moderado"),CONCATENATE("R10C",'Mapa final'!$Q$69),"")</f>
        <v/>
      </c>
      <c r="AB25" s="42" t="str">
        <f>IF(AND('Mapa final'!$AA$64="Alta",'Mapa final'!$AC$64="Mayor"),CONCATENATE("R10C",'Mapa final'!$Q$64),"")</f>
        <v/>
      </c>
      <c r="AC25" s="43" t="str">
        <f>IF(AND('Mapa final'!$AA$65="Alta",'Mapa final'!$AC$65="Mayor"),CONCATENATE("R10C",'Mapa final'!$Q$65),"")</f>
        <v/>
      </c>
      <c r="AD25" s="43" t="str">
        <f>IF(AND('Mapa final'!$AA$66="Alta",'Mapa final'!$AC$66="Mayor"),CONCATENATE("R10C",'Mapa final'!$Q$66),"")</f>
        <v/>
      </c>
      <c r="AE25" s="43" t="str">
        <f>IF(AND('Mapa final'!$AA$67="Alta",'Mapa final'!$AC$67="Mayor"),CONCATENATE("R10C",'Mapa final'!$Q$67),"")</f>
        <v/>
      </c>
      <c r="AF25" s="43" t="str">
        <f>IF(AND('Mapa final'!$AA$68="Alta",'Mapa final'!$AC$68="Mayor"),CONCATENATE("R10C",'Mapa final'!$Q$68),"")</f>
        <v/>
      </c>
      <c r="AG25" s="44" t="str">
        <f>IF(AND('Mapa final'!$AA$69="Alta",'Mapa final'!$AC$69="Mayor"),CONCATENATE("R10C",'Mapa final'!$Q$69),"")</f>
        <v/>
      </c>
      <c r="AH25" s="45" t="str">
        <f>IF(AND('Mapa final'!$AA$64="Alta",'Mapa final'!$AC$64="Catastrófico"),CONCATENATE("R10C",'Mapa final'!$Q$64),"")</f>
        <v/>
      </c>
      <c r="AI25" s="46" t="str">
        <f>IF(AND('Mapa final'!$AA$65="Alta",'Mapa final'!$AC$65="Catastrófico"),CONCATENATE("R10C",'Mapa final'!$Q$65),"")</f>
        <v/>
      </c>
      <c r="AJ25" s="46" t="str">
        <f>IF(AND('Mapa final'!$AA$66="Alta",'Mapa final'!$AC$66="Catastrófico"),CONCATENATE("R10C",'Mapa final'!$Q$66),"")</f>
        <v/>
      </c>
      <c r="AK25" s="46" t="str">
        <f>IF(AND('Mapa final'!$AA$67="Alta",'Mapa final'!$AC$67="Catastrófico"),CONCATENATE("R10C",'Mapa final'!$Q$67),"")</f>
        <v/>
      </c>
      <c r="AL25" s="46" t="str">
        <f>IF(AND('Mapa final'!$AA$68="Alta",'Mapa final'!$AC$68="Catastrófico"),CONCATENATE("R10C",'Mapa final'!$Q$68),"")</f>
        <v/>
      </c>
      <c r="AM25" s="47" t="str">
        <f>IF(AND('Mapa final'!$AA$69="Alta",'Mapa final'!$AC$69="Catastrófico"),CONCATENATE("R10C",'Mapa final'!$Q$69),"")</f>
        <v/>
      </c>
      <c r="AN25" s="67"/>
      <c r="AO25" s="381"/>
      <c r="AP25" s="382"/>
      <c r="AQ25" s="382"/>
      <c r="AR25" s="382"/>
      <c r="AS25" s="382"/>
      <c r="AT25" s="38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327"/>
      <c r="C26" s="327"/>
      <c r="D26" s="328"/>
      <c r="E26" s="365" t="s">
        <v>112</v>
      </c>
      <c r="F26" s="366"/>
      <c r="G26" s="366"/>
      <c r="H26" s="366"/>
      <c r="I26" s="367"/>
      <c r="J26" s="48" t="str">
        <f>IF(AND('Mapa final'!$AA$10="Media",'Mapa final'!$AC$10="Leve"),CONCATENATE("R1C",'Mapa final'!$Q$10),"")</f>
        <v/>
      </c>
      <c r="K26" s="49" t="str">
        <f>IF(AND('Mapa final'!$AA$11="Media",'Mapa final'!$AC$11="Leve"),CONCATENATE("R1C",'Mapa final'!$Q$11),"")</f>
        <v/>
      </c>
      <c r="L26" s="49" t="str">
        <f>IF(AND('Mapa final'!$AA$12="Media",'Mapa final'!$AC$12="Leve"),CONCATENATE("R1C",'Mapa final'!$Q$12),"")</f>
        <v/>
      </c>
      <c r="M26" s="49" t="str">
        <f>IF(AND('Mapa final'!$AA$13="Media",'Mapa final'!$AC$13="Leve"),CONCATENATE("R1C",'Mapa final'!$Q$13),"")</f>
        <v/>
      </c>
      <c r="N26" s="49" t="str">
        <f>IF(AND('Mapa final'!$AA$14="Media",'Mapa final'!$AC$14="Leve"),CONCATENATE("R1C",'Mapa final'!$Q$14),"")</f>
        <v/>
      </c>
      <c r="O26" s="50" t="str">
        <f>IF(AND('Mapa final'!$AA$15="Media",'Mapa final'!$AC$15="Leve"),CONCATENATE("R1C",'Mapa final'!$Q$15),"")</f>
        <v/>
      </c>
      <c r="P26" s="48" t="str">
        <f>IF(AND('Mapa final'!$AA$10="Media",'Mapa final'!$AC$10="Menor"),CONCATENATE("R1C",'Mapa final'!$Q$10),"")</f>
        <v/>
      </c>
      <c r="Q26" s="49" t="str">
        <f>IF(AND('Mapa final'!$AA$11="Media",'Mapa final'!$AC$11="Menor"),CONCATENATE("R1C",'Mapa final'!$Q$11),"")</f>
        <v/>
      </c>
      <c r="R26" s="49" t="str">
        <f>IF(AND('Mapa final'!$AA$12="Media",'Mapa final'!$AC$12="Menor"),CONCATENATE("R1C",'Mapa final'!$Q$12),"")</f>
        <v/>
      </c>
      <c r="S26" s="49" t="str">
        <f>IF(AND('Mapa final'!$AA$13="Media",'Mapa final'!$AC$13="Menor"),CONCATENATE("R1C",'Mapa final'!$Q$13),"")</f>
        <v/>
      </c>
      <c r="T26" s="49" t="str">
        <f>IF(AND('Mapa final'!$AA$14="Media",'Mapa final'!$AC$14="Menor"),CONCATENATE("R1C",'Mapa final'!$Q$14),"")</f>
        <v/>
      </c>
      <c r="U26" s="50" t="str">
        <f>IF(AND('Mapa final'!$AA$15="Media",'Mapa final'!$AC$15="Menor"),CONCATENATE("R1C",'Mapa final'!$Q$15),"")</f>
        <v/>
      </c>
      <c r="V26" s="48" t="str">
        <f>IF(AND('Mapa final'!$AA$10="Media",'Mapa final'!$AC$10="Moderado"),CONCATENATE("R1C",'Mapa final'!$Q$10),"")</f>
        <v>R1C1</v>
      </c>
      <c r="W26" s="49" t="str">
        <f>IF(AND('Mapa final'!$AA$11="Media",'Mapa final'!$AC$11="Moderado"),CONCATENATE("R1C",'Mapa final'!$Q$11),"")</f>
        <v>R1C2</v>
      </c>
      <c r="X26" s="49" t="str">
        <f>IF(AND('Mapa final'!$AA$12="Media",'Mapa final'!$AC$12="Moderado"),CONCATENATE("R1C",'Mapa final'!$Q$12),"")</f>
        <v>R1C3</v>
      </c>
      <c r="Y26" s="49" t="str">
        <f>IF(AND('Mapa final'!$AA$13="Media",'Mapa final'!$AC$13="Moderado"),CONCATENATE("R1C",'Mapa final'!$Q$13),"")</f>
        <v/>
      </c>
      <c r="Z26" s="49" t="str">
        <f>IF(AND('Mapa final'!$AA$14="Media",'Mapa final'!$AC$14="Moderado"),CONCATENATE("R1C",'Mapa final'!$Q$14),"")</f>
        <v/>
      </c>
      <c r="AA26" s="50" t="str">
        <f>IF(AND('Mapa final'!$AA$15="Media",'Mapa final'!$AC$15="Moderado"),CONCATENATE("R1C",'Mapa final'!$Q$15),"")</f>
        <v/>
      </c>
      <c r="AB26" s="30" t="str">
        <f>IF(AND('Mapa final'!$AA$10="Media",'Mapa final'!$AC$10="Mayor"),CONCATENATE("R1C",'Mapa final'!$Q$10),"")</f>
        <v/>
      </c>
      <c r="AC26" s="31" t="str">
        <f>IF(AND('Mapa final'!$AA$11="Media",'Mapa final'!$AC$11="Mayor"),CONCATENATE("R1C",'Mapa final'!$Q$11),"")</f>
        <v/>
      </c>
      <c r="AD26" s="31" t="str">
        <f>IF(AND('Mapa final'!$AA$12="Media",'Mapa final'!$AC$12="Mayor"),CONCATENATE("R1C",'Mapa final'!$Q$12),"")</f>
        <v/>
      </c>
      <c r="AE26" s="31" t="str">
        <f>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IF(AND('Mapa final'!$AA$10="Media",'Mapa final'!$AC$10="Catastrófico"),CONCATENATE("R1C",'Mapa final'!$Q$10),"")</f>
        <v/>
      </c>
      <c r="AI26" s="34" t="str">
        <f>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7"/>
      <c r="AO26" s="405" t="s">
        <v>80</v>
      </c>
      <c r="AP26" s="406"/>
      <c r="AQ26" s="406"/>
      <c r="AR26" s="406"/>
      <c r="AS26" s="406"/>
      <c r="AT26" s="40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327"/>
      <c r="C27" s="327"/>
      <c r="D27" s="328"/>
      <c r="E27" s="384"/>
      <c r="F27" s="369"/>
      <c r="G27" s="369"/>
      <c r="H27" s="369"/>
      <c r="I27" s="370"/>
      <c r="J27" s="51" t="str">
        <f>IF(AND('Mapa final'!$AA$16="Media",'Mapa final'!$AC$16="Leve"),CONCATENATE("R2C",'Mapa final'!$Q$16),"")</f>
        <v/>
      </c>
      <c r="K27" s="52" t="str">
        <f>IF(AND('Mapa final'!$AA$17="Media",'Mapa final'!$AC$17="Leve"),CONCATENATE("R2C",'Mapa final'!$Q$17),"")</f>
        <v/>
      </c>
      <c r="L27" s="52" t="str">
        <f>IF(AND('Mapa final'!$AA$18="Media",'Mapa final'!$AC$18="Leve"),CONCATENATE("R2C",'Mapa final'!$Q$18),"")</f>
        <v/>
      </c>
      <c r="M27" s="52" t="str">
        <f>IF(AND('Mapa final'!$AA$19="Media",'Mapa final'!$AC$19="Leve"),CONCATENATE("R2C",'Mapa final'!$Q$19),"")</f>
        <v/>
      </c>
      <c r="N27" s="52" t="str">
        <f>IF(AND('Mapa final'!$AA$20="Media",'Mapa final'!$AC$20="Leve"),CONCATENATE("R2C",'Mapa final'!$Q$20),"")</f>
        <v/>
      </c>
      <c r="O27" s="53" t="str">
        <f>IF(AND('Mapa final'!$AA$21="Media",'Mapa final'!$AC$21="Leve"),CONCATENATE("R2C",'Mapa final'!$Q$21),"")</f>
        <v/>
      </c>
      <c r="P27" s="51" t="str">
        <f>IF(AND('Mapa final'!$AA$16="Media",'Mapa final'!$AC$16="Menor"),CONCATENATE("R2C",'Mapa final'!$Q$16),"")</f>
        <v/>
      </c>
      <c r="Q27" s="52" t="str">
        <f>IF(AND('Mapa final'!$AA$17="Media",'Mapa final'!$AC$17="Menor"),CONCATENATE("R2C",'Mapa final'!$Q$17),"")</f>
        <v/>
      </c>
      <c r="R27" s="52" t="str">
        <f>IF(AND('Mapa final'!$AA$18="Media",'Mapa final'!$AC$18="Menor"),CONCATENATE("R2C",'Mapa final'!$Q$18),"")</f>
        <v/>
      </c>
      <c r="S27" s="52" t="str">
        <f>IF(AND('Mapa final'!$AA$19="Media",'Mapa final'!$AC$19="Menor"),CONCATENATE("R2C",'Mapa final'!$Q$19),"")</f>
        <v/>
      </c>
      <c r="T27" s="52" t="str">
        <f>IF(AND('Mapa final'!$AA$20="Media",'Mapa final'!$AC$20="Menor"),CONCATENATE("R2C",'Mapa final'!$Q$20),"")</f>
        <v/>
      </c>
      <c r="U27" s="53" t="str">
        <f>IF(AND('Mapa final'!$AA$21="Media",'Mapa final'!$AC$21="Menor"),CONCATENATE("R2C",'Mapa final'!$Q$21),"")</f>
        <v/>
      </c>
      <c r="V27" s="51" t="str">
        <f>IF(AND('Mapa final'!$AA$16="Media",'Mapa final'!$AC$16="Moderado"),CONCATENATE("R2C",'Mapa final'!$Q$16),"")</f>
        <v/>
      </c>
      <c r="W27" s="52" t="str">
        <f>IF(AND('Mapa final'!$AA$17="Media",'Mapa final'!$AC$17="Moderado"),CONCATENATE("R2C",'Mapa final'!$Q$17),"")</f>
        <v/>
      </c>
      <c r="X27" s="52" t="str">
        <f>IF(AND('Mapa final'!$AA$18="Media",'Mapa final'!$AC$18="Moderado"),CONCATENATE("R2C",'Mapa final'!$Q$18),"")</f>
        <v/>
      </c>
      <c r="Y27" s="52" t="str">
        <f>IF(AND('Mapa final'!$AA$19="Media",'Mapa final'!$AC$19="Moderado"),CONCATENATE("R2C",'Mapa final'!$Q$19),"")</f>
        <v/>
      </c>
      <c r="Z27" s="52" t="str">
        <f>IF(AND('Mapa final'!$AA$20="Media",'Mapa final'!$AC$20="Moderado"),CONCATENATE("R2C",'Mapa final'!$Q$20),"")</f>
        <v/>
      </c>
      <c r="AA27" s="53" t="str">
        <f>IF(AND('Mapa final'!$AA$21="Media",'Mapa final'!$AC$21="Moderado"),CONCATENATE("R2C",'Mapa final'!$Q$21),"")</f>
        <v/>
      </c>
      <c r="AB27" s="36" t="str">
        <f>IF(AND('Mapa final'!$AA$16="Media",'Mapa final'!$AC$16="Mayor"),CONCATENATE("R2C",'Mapa final'!$Q$16),"")</f>
        <v/>
      </c>
      <c r="AC27" s="37" t="str">
        <f>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IF(AND('Mapa final'!$AA$16="Media",'Mapa final'!$AC$16="Catastrófico"),CONCATENATE("R2C",'Mapa final'!$Q$16),"")</f>
        <v/>
      </c>
      <c r="AI27" s="40" t="str">
        <f>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7"/>
      <c r="AO27" s="408"/>
      <c r="AP27" s="409"/>
      <c r="AQ27" s="409"/>
      <c r="AR27" s="409"/>
      <c r="AS27" s="409"/>
      <c r="AT27" s="41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327"/>
      <c r="C28" s="327"/>
      <c r="D28" s="328"/>
      <c r="E28" s="368"/>
      <c r="F28" s="369"/>
      <c r="G28" s="369"/>
      <c r="H28" s="369"/>
      <c r="I28" s="370"/>
      <c r="J28" s="51" t="str">
        <f>IF(AND('Mapa final'!$AA$22="Media",'Mapa final'!$AC$22="Leve"),CONCATENATE("R3C",'Mapa final'!$Q$22),"")</f>
        <v/>
      </c>
      <c r="K28" s="52" t="str">
        <f>IF(AND('Mapa final'!$AA$23="Media",'Mapa final'!$AC$23="Leve"),CONCATENATE("R3C",'Mapa final'!$Q$23),"")</f>
        <v/>
      </c>
      <c r="L28" s="52" t="str">
        <f>IF(AND('Mapa final'!$AA$24="Media",'Mapa final'!$AC$24="Leve"),CONCATENATE("R3C",'Mapa final'!$Q$24),"")</f>
        <v/>
      </c>
      <c r="M28" s="52" t="str">
        <f>IF(AND('Mapa final'!$AA$25="Media",'Mapa final'!$AC$25="Leve"),CONCATENATE("R3C",'Mapa final'!$Q$25),"")</f>
        <v/>
      </c>
      <c r="N28" s="52" t="str">
        <f>IF(AND('Mapa final'!$AA$26="Media",'Mapa final'!$AC$26="Leve"),CONCATENATE("R3C",'Mapa final'!$Q$26),"")</f>
        <v/>
      </c>
      <c r="O28" s="53" t="str">
        <f>IF(AND('Mapa final'!$AA$27="Media",'Mapa final'!$AC$27="Leve"),CONCATENATE("R3C",'Mapa final'!$Q$27),"")</f>
        <v/>
      </c>
      <c r="P28" s="51" t="str">
        <f>IF(AND('Mapa final'!$AA$22="Media",'Mapa final'!$AC$22="Menor"),CONCATENATE("R3C",'Mapa final'!$Q$22),"")</f>
        <v/>
      </c>
      <c r="Q28" s="52" t="str">
        <f>IF(AND('Mapa final'!$AA$23="Media",'Mapa final'!$AC$23="Menor"),CONCATENATE("R3C",'Mapa final'!$Q$23),"")</f>
        <v/>
      </c>
      <c r="R28" s="52" t="str">
        <f>IF(AND('Mapa final'!$AA$24="Media",'Mapa final'!$AC$24="Menor"),CONCATENATE("R3C",'Mapa final'!$Q$24),"")</f>
        <v/>
      </c>
      <c r="S28" s="52" t="str">
        <f>IF(AND('Mapa final'!$AA$25="Media",'Mapa final'!$AC$25="Menor"),CONCATENATE("R3C",'Mapa final'!$Q$25),"")</f>
        <v/>
      </c>
      <c r="T28" s="52" t="str">
        <f>IF(AND('Mapa final'!$AA$26="Media",'Mapa final'!$AC$26="Menor"),CONCATENATE("R3C",'Mapa final'!$Q$26),"")</f>
        <v/>
      </c>
      <c r="U28" s="53" t="str">
        <f>IF(AND('Mapa final'!$AA$27="Media",'Mapa final'!$AC$27="Menor"),CONCATENATE("R3C",'Mapa final'!$Q$27),"")</f>
        <v/>
      </c>
      <c r="V28" s="51" t="str">
        <f>IF(AND('Mapa final'!$AA$22="Media",'Mapa final'!$AC$22="Moderado"),CONCATENATE("R3C",'Mapa final'!$Q$22),"")</f>
        <v/>
      </c>
      <c r="W28" s="52" t="str">
        <f>IF(AND('Mapa final'!$AA$23="Media",'Mapa final'!$AC$23="Moderado"),CONCATENATE("R3C",'Mapa final'!$Q$23),"")</f>
        <v/>
      </c>
      <c r="X28" s="52" t="str">
        <f>IF(AND('Mapa final'!$AA$24="Media",'Mapa final'!$AC$24="Moderado"),CONCATENATE("R3C",'Mapa final'!$Q$24),"")</f>
        <v/>
      </c>
      <c r="Y28" s="52" t="str">
        <f>IF(AND('Mapa final'!$AA$25="Media",'Mapa final'!$AC$25="Moderado"),CONCATENATE("R3C",'Mapa final'!$Q$25),"")</f>
        <v/>
      </c>
      <c r="Z28" s="52" t="str">
        <f>IF(AND('Mapa final'!$AA$26="Media",'Mapa final'!$AC$26="Moderado"),CONCATENATE("R3C",'Mapa final'!$Q$26),"")</f>
        <v/>
      </c>
      <c r="AA28" s="53"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7"/>
      <c r="AO28" s="408"/>
      <c r="AP28" s="409"/>
      <c r="AQ28" s="409"/>
      <c r="AR28" s="409"/>
      <c r="AS28" s="409"/>
      <c r="AT28" s="41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327"/>
      <c r="C29" s="327"/>
      <c r="D29" s="328"/>
      <c r="E29" s="368"/>
      <c r="F29" s="369"/>
      <c r="G29" s="369"/>
      <c r="H29" s="369"/>
      <c r="I29" s="370"/>
      <c r="J29" s="51" t="str">
        <f>IF(AND('Mapa final'!$AA$28="Media",'Mapa final'!$AC$28="Leve"),CONCATENATE("R4C",'Mapa final'!$Q$28),"")</f>
        <v/>
      </c>
      <c r="K29" s="52" t="str">
        <f>IF(AND('Mapa final'!$AA$29="Media",'Mapa final'!$AC$29="Leve"),CONCATENATE("R4C",'Mapa final'!$Q$29),"")</f>
        <v/>
      </c>
      <c r="L29" s="52" t="str">
        <f>IF(AND('Mapa final'!$AA$30="Media",'Mapa final'!$AC$30="Leve"),CONCATENATE("R4C",'Mapa final'!$Q$30),"")</f>
        <v/>
      </c>
      <c r="M29" s="52" t="str">
        <f>IF(AND('Mapa final'!$AA$31="Media",'Mapa final'!$AC$31="Leve"),CONCATENATE("R4C",'Mapa final'!$Q$31),"")</f>
        <v/>
      </c>
      <c r="N29" s="52" t="str">
        <f>IF(AND('Mapa final'!$AA$32="Media",'Mapa final'!$AC$32="Leve"),CONCATENATE("R4C",'Mapa final'!$Q$32),"")</f>
        <v/>
      </c>
      <c r="O29" s="53" t="str">
        <f>IF(AND('Mapa final'!$AA$33="Media",'Mapa final'!$AC$33="Leve"),CONCATENATE("R4C",'Mapa final'!$Q$33),"")</f>
        <v/>
      </c>
      <c r="P29" s="51" t="str">
        <f>IF(AND('Mapa final'!$AA$28="Media",'Mapa final'!$AC$28="Menor"),CONCATENATE("R4C",'Mapa final'!$Q$28),"")</f>
        <v/>
      </c>
      <c r="Q29" s="52" t="str">
        <f>IF(AND('Mapa final'!$AA$29="Media",'Mapa final'!$AC$29="Menor"),CONCATENATE("R4C",'Mapa final'!$Q$29),"")</f>
        <v/>
      </c>
      <c r="R29" s="52" t="str">
        <f>IF(AND('Mapa final'!$AA$30="Media",'Mapa final'!$AC$30="Menor"),CONCATENATE("R4C",'Mapa final'!$Q$30),"")</f>
        <v/>
      </c>
      <c r="S29" s="52" t="str">
        <f>IF(AND('Mapa final'!$AA$31="Media",'Mapa final'!$AC$31="Menor"),CONCATENATE("R4C",'Mapa final'!$Q$31),"")</f>
        <v/>
      </c>
      <c r="T29" s="52" t="str">
        <f>IF(AND('Mapa final'!$AA$32="Media",'Mapa final'!$AC$32="Menor"),CONCATENATE("R4C",'Mapa final'!$Q$32),"")</f>
        <v/>
      </c>
      <c r="U29" s="53" t="str">
        <f>IF(AND('Mapa final'!$AA$33="Media",'Mapa final'!$AC$33="Menor"),CONCATENATE("R4C",'Mapa final'!$Q$33),"")</f>
        <v/>
      </c>
      <c r="V29" s="51" t="str">
        <f>IF(AND('Mapa final'!$AA$28="Media",'Mapa final'!$AC$28="Moderado"),CONCATENATE("R4C",'Mapa final'!$Q$28),"")</f>
        <v/>
      </c>
      <c r="W29" s="52" t="str">
        <f>IF(AND('Mapa final'!$AA$29="Media",'Mapa final'!$AC$29="Moderado"),CONCATENATE("R4C",'Mapa final'!$Q$29),"")</f>
        <v/>
      </c>
      <c r="X29" s="52" t="str">
        <f>IF(AND('Mapa final'!$AA$30="Media",'Mapa final'!$AC$30="Moderado"),CONCATENATE("R4C",'Mapa final'!$Q$30),"")</f>
        <v/>
      </c>
      <c r="Y29" s="52" t="str">
        <f>IF(AND('Mapa final'!$AA$31="Media",'Mapa final'!$AC$31="Moderado"),CONCATENATE("R4C",'Mapa final'!$Q$31),"")</f>
        <v/>
      </c>
      <c r="Z29" s="52" t="str">
        <f>IF(AND('Mapa final'!$AA$32="Media",'Mapa final'!$AC$32="Moderado"),CONCATENATE("R4C",'Mapa final'!$Q$32),"")</f>
        <v/>
      </c>
      <c r="AA29" s="53"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37" t="str">
        <f>IF(AND('Mapa final'!$AA$30="Media",'Mapa final'!$AC$30="Mayor"),CONCATENATE("R4C",'Mapa final'!$Q$30),"")</f>
        <v/>
      </c>
      <c r="AE29" s="37" t="str">
        <f>IF(AND('Mapa final'!$AA$31="Media",'Mapa final'!$AC$31="Mayor"),CONCATENATE("R4C",'Mapa final'!$Q$31),"")</f>
        <v/>
      </c>
      <c r="AF29" s="37"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7"/>
      <c r="AO29" s="408"/>
      <c r="AP29" s="409"/>
      <c r="AQ29" s="409"/>
      <c r="AR29" s="409"/>
      <c r="AS29" s="409"/>
      <c r="AT29" s="41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327"/>
      <c r="C30" s="327"/>
      <c r="D30" s="328"/>
      <c r="E30" s="368"/>
      <c r="F30" s="369"/>
      <c r="G30" s="369"/>
      <c r="H30" s="369"/>
      <c r="I30" s="370"/>
      <c r="J30" s="51" t="str">
        <f>IF(AND('Mapa final'!$AA$34="Media",'Mapa final'!$AC$34="Leve"),CONCATENATE("R5C",'Mapa final'!$Q$34),"")</f>
        <v/>
      </c>
      <c r="K30" s="52" t="str">
        <f>IF(AND('Mapa final'!$AA$35="Media",'Mapa final'!$AC$35="Leve"),CONCATENATE("R5C",'Mapa final'!$Q$35),"")</f>
        <v/>
      </c>
      <c r="L30" s="52" t="str">
        <f>IF(AND('Mapa final'!$AA$36="Media",'Mapa final'!$AC$36="Leve"),CONCATENATE("R5C",'Mapa final'!$Q$36),"")</f>
        <v/>
      </c>
      <c r="M30" s="52" t="str">
        <f>IF(AND('Mapa final'!$AA$37="Media",'Mapa final'!$AC$37="Leve"),CONCATENATE("R5C",'Mapa final'!$Q$37),"")</f>
        <v/>
      </c>
      <c r="N30" s="52" t="str">
        <f>IF(AND('Mapa final'!$AA$38="Media",'Mapa final'!$AC$38="Leve"),CONCATENATE("R5C",'Mapa final'!$Q$38),"")</f>
        <v/>
      </c>
      <c r="O30" s="53" t="str">
        <f>IF(AND('Mapa final'!$AA$39="Media",'Mapa final'!$AC$39="Leve"),CONCATENATE("R5C",'Mapa final'!$Q$39),"")</f>
        <v/>
      </c>
      <c r="P30" s="51" t="str">
        <f>IF(AND('Mapa final'!$AA$34="Media",'Mapa final'!$AC$34="Menor"),CONCATENATE("R5C",'Mapa final'!$Q$34),"")</f>
        <v/>
      </c>
      <c r="Q30" s="52" t="str">
        <f>IF(AND('Mapa final'!$AA$35="Media",'Mapa final'!$AC$35="Menor"),CONCATENATE("R5C",'Mapa final'!$Q$35),"")</f>
        <v/>
      </c>
      <c r="R30" s="52" t="str">
        <f>IF(AND('Mapa final'!$AA$36="Media",'Mapa final'!$AC$36="Menor"),CONCATENATE("R5C",'Mapa final'!$Q$36),"")</f>
        <v/>
      </c>
      <c r="S30" s="52" t="str">
        <f>IF(AND('Mapa final'!$AA$37="Media",'Mapa final'!$AC$37="Menor"),CONCATENATE("R5C",'Mapa final'!$Q$37),"")</f>
        <v/>
      </c>
      <c r="T30" s="52" t="str">
        <f>IF(AND('Mapa final'!$AA$38="Media",'Mapa final'!$AC$38="Menor"),CONCATENATE("R5C",'Mapa final'!$Q$38),"")</f>
        <v/>
      </c>
      <c r="U30" s="53" t="str">
        <f>IF(AND('Mapa final'!$AA$39="Media",'Mapa final'!$AC$39="Menor"),CONCATENATE("R5C",'Mapa final'!$Q$39),"")</f>
        <v/>
      </c>
      <c r="V30" s="51" t="str">
        <f>IF(AND('Mapa final'!$AA$34="Media",'Mapa final'!$AC$34="Moderado"),CONCATENATE("R5C",'Mapa final'!$Q$34),"")</f>
        <v/>
      </c>
      <c r="W30" s="52" t="str">
        <f>IF(AND('Mapa final'!$AA$35="Media",'Mapa final'!$AC$35="Moderado"),CONCATENATE("R5C",'Mapa final'!$Q$35),"")</f>
        <v/>
      </c>
      <c r="X30" s="52" t="str">
        <f>IF(AND('Mapa final'!$AA$36="Media",'Mapa final'!$AC$36="Moderado"),CONCATENATE("R5C",'Mapa final'!$Q$36),"")</f>
        <v/>
      </c>
      <c r="Y30" s="52" t="str">
        <f>IF(AND('Mapa final'!$AA$37="Media",'Mapa final'!$AC$37="Moderado"),CONCATENATE("R5C",'Mapa final'!$Q$37),"")</f>
        <v/>
      </c>
      <c r="Z30" s="52" t="str">
        <f>IF(AND('Mapa final'!$AA$38="Media",'Mapa final'!$AC$38="Moderado"),CONCATENATE("R5C",'Mapa final'!$Q$38),"")</f>
        <v/>
      </c>
      <c r="AA30" s="53"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37" t="str">
        <f>IF(AND('Mapa final'!$AA$36="Media",'Mapa final'!$AC$36="Mayor"),CONCATENATE("R5C",'Mapa final'!$Q$36),"")</f>
        <v/>
      </c>
      <c r="AE30" s="37" t="str">
        <f>IF(AND('Mapa final'!$AA$37="Media",'Mapa final'!$AC$37="Mayor"),CONCATENATE("R5C",'Mapa final'!$Q$37),"")</f>
        <v/>
      </c>
      <c r="AF30" s="37"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7"/>
      <c r="AO30" s="408"/>
      <c r="AP30" s="409"/>
      <c r="AQ30" s="409"/>
      <c r="AR30" s="409"/>
      <c r="AS30" s="409"/>
      <c r="AT30" s="41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327"/>
      <c r="C31" s="327"/>
      <c r="D31" s="328"/>
      <c r="E31" s="368"/>
      <c r="F31" s="369"/>
      <c r="G31" s="369"/>
      <c r="H31" s="369"/>
      <c r="I31" s="370"/>
      <c r="J31" s="51" t="str">
        <f>IF(AND('Mapa final'!$AA$40="Media",'Mapa final'!$AC$40="Leve"),CONCATENATE("R6C",'Mapa final'!$Q$40),"")</f>
        <v/>
      </c>
      <c r="K31" s="52" t="str">
        <f>IF(AND('Mapa final'!$AA$41="Media",'Mapa final'!$AC$41="Leve"),CONCATENATE("R6C",'Mapa final'!$Q$41),"")</f>
        <v/>
      </c>
      <c r="L31" s="52" t="str">
        <f>IF(AND('Mapa final'!$AA$42="Media",'Mapa final'!$AC$42="Leve"),CONCATENATE("R6C",'Mapa final'!$Q$42),"")</f>
        <v/>
      </c>
      <c r="M31" s="52" t="str">
        <f>IF(AND('Mapa final'!$AA$43="Media",'Mapa final'!$AC$43="Leve"),CONCATENATE("R6C",'Mapa final'!$Q$43),"")</f>
        <v/>
      </c>
      <c r="N31" s="52" t="str">
        <f>IF(AND('Mapa final'!$AA$44="Media",'Mapa final'!$AC$44="Leve"),CONCATENATE("R6C",'Mapa final'!$Q$44),"")</f>
        <v/>
      </c>
      <c r="O31" s="53" t="str">
        <f>IF(AND('Mapa final'!$AA$45="Media",'Mapa final'!$AC$45="Leve"),CONCATENATE("R6C",'Mapa final'!$Q$45),"")</f>
        <v/>
      </c>
      <c r="P31" s="51" t="str">
        <f>IF(AND('Mapa final'!$AA$40="Media",'Mapa final'!$AC$40="Menor"),CONCATENATE("R6C",'Mapa final'!$Q$40),"")</f>
        <v/>
      </c>
      <c r="Q31" s="52" t="str">
        <f>IF(AND('Mapa final'!$AA$41="Media",'Mapa final'!$AC$41="Menor"),CONCATENATE("R6C",'Mapa final'!$Q$41),"")</f>
        <v/>
      </c>
      <c r="R31" s="52" t="str">
        <f>IF(AND('Mapa final'!$AA$42="Media",'Mapa final'!$AC$42="Menor"),CONCATENATE("R6C",'Mapa final'!$Q$42),"")</f>
        <v/>
      </c>
      <c r="S31" s="52" t="str">
        <f>IF(AND('Mapa final'!$AA$43="Media",'Mapa final'!$AC$43="Menor"),CONCATENATE("R6C",'Mapa final'!$Q$43),"")</f>
        <v/>
      </c>
      <c r="T31" s="52" t="str">
        <f>IF(AND('Mapa final'!$AA$44="Media",'Mapa final'!$AC$44="Menor"),CONCATENATE("R6C",'Mapa final'!$Q$44),"")</f>
        <v/>
      </c>
      <c r="U31" s="53" t="str">
        <f>IF(AND('Mapa final'!$AA$45="Media",'Mapa final'!$AC$45="Menor"),CONCATENATE("R6C",'Mapa final'!$Q$45),"")</f>
        <v/>
      </c>
      <c r="V31" s="51" t="str">
        <f>IF(AND('Mapa final'!$AA$40="Media",'Mapa final'!$AC$40="Moderado"),CONCATENATE("R6C",'Mapa final'!$Q$40),"")</f>
        <v/>
      </c>
      <c r="W31" s="52" t="str">
        <f>IF(AND('Mapa final'!$AA$41="Media",'Mapa final'!$AC$41="Moderado"),CONCATENATE("R6C",'Mapa final'!$Q$41),"")</f>
        <v/>
      </c>
      <c r="X31" s="52" t="str">
        <f>IF(AND('Mapa final'!$AA$42="Media",'Mapa final'!$AC$42="Moderado"),CONCATENATE("R6C",'Mapa final'!$Q$42),"")</f>
        <v/>
      </c>
      <c r="Y31" s="52" t="str">
        <f>IF(AND('Mapa final'!$AA$43="Media",'Mapa final'!$AC$43="Moderado"),CONCATENATE("R6C",'Mapa final'!$Q$43),"")</f>
        <v/>
      </c>
      <c r="Z31" s="52" t="str">
        <f>IF(AND('Mapa final'!$AA$44="Media",'Mapa final'!$AC$44="Moderado"),CONCATENATE("R6C",'Mapa final'!$Q$44),"")</f>
        <v/>
      </c>
      <c r="AA31" s="53"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37" t="str">
        <f>IF(AND('Mapa final'!$AA$42="Media",'Mapa final'!$AC$42="Mayor"),CONCATENATE("R6C",'Mapa final'!$Q$42),"")</f>
        <v/>
      </c>
      <c r="AE31" s="37" t="str">
        <f>IF(AND('Mapa final'!$AA$43="Media",'Mapa final'!$AC$43="Mayor"),CONCATENATE("R6C",'Mapa final'!$Q$43),"")</f>
        <v/>
      </c>
      <c r="AF31" s="37"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7"/>
      <c r="AO31" s="408"/>
      <c r="AP31" s="409"/>
      <c r="AQ31" s="409"/>
      <c r="AR31" s="409"/>
      <c r="AS31" s="409"/>
      <c r="AT31" s="41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327"/>
      <c r="C32" s="327"/>
      <c r="D32" s="328"/>
      <c r="E32" s="368"/>
      <c r="F32" s="369"/>
      <c r="G32" s="369"/>
      <c r="H32" s="369"/>
      <c r="I32" s="370"/>
      <c r="J32" s="51" t="str">
        <f>IF(AND('Mapa final'!$AA$46="Media",'Mapa final'!$AC$46="Leve"),CONCATENATE("R7C",'Mapa final'!$Q$46),"")</f>
        <v/>
      </c>
      <c r="K32" s="52" t="str">
        <f>IF(AND('Mapa final'!$AA$47="Media",'Mapa final'!$AC$47="Leve"),CONCATENATE("R7C",'Mapa final'!$Q$47),"")</f>
        <v/>
      </c>
      <c r="L32" s="52" t="str">
        <f>IF(AND('Mapa final'!$AA$48="Media",'Mapa final'!$AC$48="Leve"),CONCATENATE("R7C",'Mapa final'!$Q$48),"")</f>
        <v/>
      </c>
      <c r="M32" s="52" t="str">
        <f>IF(AND('Mapa final'!$AA$49="Media",'Mapa final'!$AC$49="Leve"),CONCATENATE("R7C",'Mapa final'!$Q$49),"")</f>
        <v/>
      </c>
      <c r="N32" s="52" t="str">
        <f>IF(AND('Mapa final'!$AA$50="Media",'Mapa final'!$AC$50="Leve"),CONCATENATE("R7C",'Mapa final'!$Q$50),"")</f>
        <v/>
      </c>
      <c r="O32" s="53" t="str">
        <f>IF(AND('Mapa final'!$AA$51="Media",'Mapa final'!$AC$51="Leve"),CONCATENATE("R7C",'Mapa final'!$Q$51),"")</f>
        <v/>
      </c>
      <c r="P32" s="51" t="str">
        <f>IF(AND('Mapa final'!$AA$46="Media",'Mapa final'!$AC$46="Menor"),CONCATENATE("R7C",'Mapa final'!$Q$46),"")</f>
        <v/>
      </c>
      <c r="Q32" s="52" t="str">
        <f>IF(AND('Mapa final'!$AA$47="Media",'Mapa final'!$AC$47="Menor"),CONCATENATE("R7C",'Mapa final'!$Q$47),"")</f>
        <v/>
      </c>
      <c r="R32" s="52" t="str">
        <f>IF(AND('Mapa final'!$AA$48="Media",'Mapa final'!$AC$48="Menor"),CONCATENATE("R7C",'Mapa final'!$Q$48),"")</f>
        <v/>
      </c>
      <c r="S32" s="52" t="str">
        <f>IF(AND('Mapa final'!$AA$49="Media",'Mapa final'!$AC$49="Menor"),CONCATENATE("R7C",'Mapa final'!$Q$49),"")</f>
        <v/>
      </c>
      <c r="T32" s="52" t="str">
        <f>IF(AND('Mapa final'!$AA$50="Media",'Mapa final'!$AC$50="Menor"),CONCATENATE("R7C",'Mapa final'!$Q$50),"")</f>
        <v/>
      </c>
      <c r="U32" s="53" t="str">
        <f>IF(AND('Mapa final'!$AA$51="Media",'Mapa final'!$AC$51="Menor"),CONCATENATE("R7C",'Mapa final'!$Q$51),"")</f>
        <v/>
      </c>
      <c r="V32" s="51" t="str">
        <f>IF(AND('Mapa final'!$AA$46="Media",'Mapa final'!$AC$46="Moderado"),CONCATENATE("R7C",'Mapa final'!$Q$46),"")</f>
        <v/>
      </c>
      <c r="W32" s="52" t="str">
        <f>IF(AND('Mapa final'!$AA$47="Media",'Mapa final'!$AC$47="Moderado"),CONCATENATE("R7C",'Mapa final'!$Q$47),"")</f>
        <v/>
      </c>
      <c r="X32" s="52" t="str">
        <f>IF(AND('Mapa final'!$AA$48="Media",'Mapa final'!$AC$48="Moderado"),CONCATENATE("R7C",'Mapa final'!$Q$48),"")</f>
        <v/>
      </c>
      <c r="Y32" s="52" t="str">
        <f>IF(AND('Mapa final'!$AA$49="Media",'Mapa final'!$AC$49="Moderado"),CONCATENATE("R7C",'Mapa final'!$Q$49),"")</f>
        <v/>
      </c>
      <c r="Z32" s="52" t="str">
        <f>IF(AND('Mapa final'!$AA$50="Media",'Mapa final'!$AC$50="Moderado"),CONCATENATE("R7C",'Mapa final'!$Q$50),"")</f>
        <v/>
      </c>
      <c r="AA32" s="53"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37" t="str">
        <f>IF(AND('Mapa final'!$AA$48="Media",'Mapa final'!$AC$48="Mayor"),CONCATENATE("R7C",'Mapa final'!$Q$48),"")</f>
        <v/>
      </c>
      <c r="AE32" s="37" t="str">
        <f>IF(AND('Mapa final'!$AA$49="Media",'Mapa final'!$AC$49="Mayor"),CONCATENATE("R7C",'Mapa final'!$Q$49),"")</f>
        <v/>
      </c>
      <c r="AF32" s="37"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7"/>
      <c r="AO32" s="408"/>
      <c r="AP32" s="409"/>
      <c r="AQ32" s="409"/>
      <c r="AR32" s="409"/>
      <c r="AS32" s="409"/>
      <c r="AT32" s="41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327"/>
      <c r="C33" s="327"/>
      <c r="D33" s="328"/>
      <c r="E33" s="368"/>
      <c r="F33" s="369"/>
      <c r="G33" s="369"/>
      <c r="H33" s="369"/>
      <c r="I33" s="370"/>
      <c r="J33" s="51" t="str">
        <f>IF(AND('Mapa final'!$AA$52="Media",'Mapa final'!$AC$52="Leve"),CONCATENATE("R8C",'Mapa final'!$Q$52),"")</f>
        <v/>
      </c>
      <c r="K33" s="52" t="str">
        <f>IF(AND('Mapa final'!$AA$53="Media",'Mapa final'!$AC$53="Leve"),CONCATENATE("R8C",'Mapa final'!$Q$53),"")</f>
        <v/>
      </c>
      <c r="L33" s="52" t="str">
        <f>IF(AND('Mapa final'!$AA$54="Media",'Mapa final'!$AC$54="Leve"),CONCATENATE("R8C",'Mapa final'!$Q$54),"")</f>
        <v/>
      </c>
      <c r="M33" s="52" t="str">
        <f>IF(AND('Mapa final'!$AA$55="Media",'Mapa final'!$AC$55="Leve"),CONCATENATE("R8C",'Mapa final'!$Q$55),"")</f>
        <v/>
      </c>
      <c r="N33" s="52" t="str">
        <f>IF(AND('Mapa final'!$AA$56="Media",'Mapa final'!$AC$56="Leve"),CONCATENATE("R8C",'Mapa final'!$Q$56),"")</f>
        <v/>
      </c>
      <c r="O33" s="53" t="str">
        <f>IF(AND('Mapa final'!$AA$57="Media",'Mapa final'!$AC$57="Leve"),CONCATENATE("R8C",'Mapa final'!$Q$57),"")</f>
        <v/>
      </c>
      <c r="P33" s="51" t="str">
        <f>IF(AND('Mapa final'!$AA$52="Media",'Mapa final'!$AC$52="Menor"),CONCATENATE("R8C",'Mapa final'!$Q$52),"")</f>
        <v/>
      </c>
      <c r="Q33" s="52" t="str">
        <f>IF(AND('Mapa final'!$AA$53="Media",'Mapa final'!$AC$53="Menor"),CONCATENATE("R8C",'Mapa final'!$Q$53),"")</f>
        <v/>
      </c>
      <c r="R33" s="52" t="str">
        <f>IF(AND('Mapa final'!$AA$54="Media",'Mapa final'!$AC$54="Menor"),CONCATENATE("R8C",'Mapa final'!$Q$54),"")</f>
        <v/>
      </c>
      <c r="S33" s="52" t="str">
        <f>IF(AND('Mapa final'!$AA$55="Media",'Mapa final'!$AC$55="Menor"),CONCATENATE("R8C",'Mapa final'!$Q$55),"")</f>
        <v/>
      </c>
      <c r="T33" s="52" t="str">
        <f>IF(AND('Mapa final'!$AA$56="Media",'Mapa final'!$AC$56="Menor"),CONCATENATE("R8C",'Mapa final'!$Q$56),"")</f>
        <v/>
      </c>
      <c r="U33" s="53" t="str">
        <f>IF(AND('Mapa final'!$AA$57="Media",'Mapa final'!$AC$57="Menor"),CONCATENATE("R8C",'Mapa final'!$Q$57),"")</f>
        <v/>
      </c>
      <c r="V33" s="51" t="str">
        <f>IF(AND('Mapa final'!$AA$52="Media",'Mapa final'!$AC$52="Moderado"),CONCATENATE("R8C",'Mapa final'!$Q$52),"")</f>
        <v/>
      </c>
      <c r="W33" s="52" t="str">
        <f>IF(AND('Mapa final'!$AA$53="Media",'Mapa final'!$AC$53="Moderado"),CONCATENATE("R8C",'Mapa final'!$Q$53),"")</f>
        <v/>
      </c>
      <c r="X33" s="52" t="str">
        <f>IF(AND('Mapa final'!$AA$54="Media",'Mapa final'!$AC$54="Moderado"),CONCATENATE("R8C",'Mapa final'!$Q$54),"")</f>
        <v/>
      </c>
      <c r="Y33" s="52" t="str">
        <f>IF(AND('Mapa final'!$AA$55="Media",'Mapa final'!$AC$55="Moderado"),CONCATENATE("R8C",'Mapa final'!$Q$55),"")</f>
        <v/>
      </c>
      <c r="Z33" s="52" t="str">
        <f>IF(AND('Mapa final'!$AA$56="Media",'Mapa final'!$AC$56="Moderado"),CONCATENATE("R8C",'Mapa final'!$Q$56),"")</f>
        <v/>
      </c>
      <c r="AA33" s="53"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37" t="str">
        <f>IF(AND('Mapa final'!$AA$54="Media",'Mapa final'!$AC$54="Mayor"),CONCATENATE("R8C",'Mapa final'!$Q$54),"")</f>
        <v/>
      </c>
      <c r="AE33" s="37" t="str">
        <f>IF(AND('Mapa final'!$AA$55="Media",'Mapa final'!$AC$55="Mayor"),CONCATENATE("R8C",'Mapa final'!$Q$55),"")</f>
        <v/>
      </c>
      <c r="AF33" s="37"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7"/>
      <c r="AO33" s="408"/>
      <c r="AP33" s="409"/>
      <c r="AQ33" s="409"/>
      <c r="AR33" s="409"/>
      <c r="AS33" s="409"/>
      <c r="AT33" s="41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327"/>
      <c r="C34" s="327"/>
      <c r="D34" s="328"/>
      <c r="E34" s="368"/>
      <c r="F34" s="369"/>
      <c r="G34" s="369"/>
      <c r="H34" s="369"/>
      <c r="I34" s="370"/>
      <c r="J34" s="51" t="str">
        <f>IF(AND('Mapa final'!$AA$58="Media",'Mapa final'!$AC$58="Leve"),CONCATENATE("R9C",'Mapa final'!$Q$58),"")</f>
        <v/>
      </c>
      <c r="K34" s="52" t="str">
        <f>IF(AND('Mapa final'!$AA$59="Media",'Mapa final'!$AC$59="Leve"),CONCATENATE("R9C",'Mapa final'!$Q$59),"")</f>
        <v/>
      </c>
      <c r="L34" s="52" t="str">
        <f>IF(AND('Mapa final'!$AA$60="Media",'Mapa final'!$AC$60="Leve"),CONCATENATE("R9C",'Mapa final'!$Q$60),"")</f>
        <v/>
      </c>
      <c r="M34" s="52" t="str">
        <f>IF(AND('Mapa final'!$AA$61="Media",'Mapa final'!$AC$61="Leve"),CONCATENATE("R9C",'Mapa final'!$Q$61),"")</f>
        <v/>
      </c>
      <c r="N34" s="52" t="str">
        <f>IF(AND('Mapa final'!$AA$62="Media",'Mapa final'!$AC$62="Leve"),CONCATENATE("R9C",'Mapa final'!$Q$62),"")</f>
        <v/>
      </c>
      <c r="O34" s="53" t="str">
        <f>IF(AND('Mapa final'!$AA$63="Media",'Mapa final'!$AC$63="Leve"),CONCATENATE("R9C",'Mapa final'!$Q$63),"")</f>
        <v/>
      </c>
      <c r="P34" s="51" t="str">
        <f>IF(AND('Mapa final'!$AA$58="Media",'Mapa final'!$AC$58="Menor"),CONCATENATE("R9C",'Mapa final'!$Q$58),"")</f>
        <v/>
      </c>
      <c r="Q34" s="52" t="str">
        <f>IF(AND('Mapa final'!$AA$59="Media",'Mapa final'!$AC$59="Menor"),CONCATENATE("R9C",'Mapa final'!$Q$59),"")</f>
        <v/>
      </c>
      <c r="R34" s="52" t="str">
        <f>IF(AND('Mapa final'!$AA$60="Media",'Mapa final'!$AC$60="Menor"),CONCATENATE("R9C",'Mapa final'!$Q$60),"")</f>
        <v/>
      </c>
      <c r="S34" s="52" t="str">
        <f>IF(AND('Mapa final'!$AA$61="Media",'Mapa final'!$AC$61="Menor"),CONCATENATE("R9C",'Mapa final'!$Q$61),"")</f>
        <v/>
      </c>
      <c r="T34" s="52" t="str">
        <f>IF(AND('Mapa final'!$AA$62="Media",'Mapa final'!$AC$62="Menor"),CONCATENATE("R9C",'Mapa final'!$Q$62),"")</f>
        <v/>
      </c>
      <c r="U34" s="53" t="str">
        <f>IF(AND('Mapa final'!$AA$63="Media",'Mapa final'!$AC$63="Menor"),CONCATENATE("R9C",'Mapa final'!$Q$63),"")</f>
        <v/>
      </c>
      <c r="V34" s="51" t="str">
        <f>IF(AND('Mapa final'!$AA$58="Media",'Mapa final'!$AC$58="Moderado"),CONCATENATE("R9C",'Mapa final'!$Q$58),"")</f>
        <v/>
      </c>
      <c r="W34" s="52" t="str">
        <f>IF(AND('Mapa final'!$AA$59="Media",'Mapa final'!$AC$59="Moderado"),CONCATENATE("R9C",'Mapa final'!$Q$59),"")</f>
        <v/>
      </c>
      <c r="X34" s="52" t="str">
        <f>IF(AND('Mapa final'!$AA$60="Media",'Mapa final'!$AC$60="Moderado"),CONCATENATE("R9C",'Mapa final'!$Q$60),"")</f>
        <v/>
      </c>
      <c r="Y34" s="52" t="str">
        <f>IF(AND('Mapa final'!$AA$61="Media",'Mapa final'!$AC$61="Moderado"),CONCATENATE("R9C",'Mapa final'!$Q$61),"")</f>
        <v/>
      </c>
      <c r="Z34" s="52" t="str">
        <f>IF(AND('Mapa final'!$AA$62="Media",'Mapa final'!$AC$62="Moderado"),CONCATENATE("R9C",'Mapa final'!$Q$62),"")</f>
        <v/>
      </c>
      <c r="AA34" s="53"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37" t="str">
        <f>IF(AND('Mapa final'!$AA$60="Media",'Mapa final'!$AC$60="Mayor"),CONCATENATE("R9C",'Mapa final'!$Q$60),"")</f>
        <v/>
      </c>
      <c r="AE34" s="37" t="str">
        <f>IF(AND('Mapa final'!$AA$61="Media",'Mapa final'!$AC$61="Mayor"),CONCATENATE("R9C",'Mapa final'!$Q$61),"")</f>
        <v/>
      </c>
      <c r="AF34" s="37"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7"/>
      <c r="AO34" s="408"/>
      <c r="AP34" s="409"/>
      <c r="AQ34" s="409"/>
      <c r="AR34" s="409"/>
      <c r="AS34" s="409"/>
      <c r="AT34" s="41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327"/>
      <c r="C35" s="327"/>
      <c r="D35" s="328"/>
      <c r="E35" s="371"/>
      <c r="F35" s="372"/>
      <c r="G35" s="372"/>
      <c r="H35" s="372"/>
      <c r="I35" s="373"/>
      <c r="J35" s="51" t="str">
        <f>IF(AND('Mapa final'!$AA$64="Media",'Mapa final'!$AC$64="Leve"),CONCATENATE("R10C",'Mapa final'!$Q$64),"")</f>
        <v/>
      </c>
      <c r="K35" s="52" t="str">
        <f>IF(AND('Mapa final'!$AA$65="Media",'Mapa final'!$AC$65="Leve"),CONCATENATE("R10C",'Mapa final'!$Q$65),"")</f>
        <v/>
      </c>
      <c r="L35" s="52" t="str">
        <f>IF(AND('Mapa final'!$AA$66="Media",'Mapa final'!$AC$66="Leve"),CONCATENATE("R10C",'Mapa final'!$Q$66),"")</f>
        <v/>
      </c>
      <c r="M35" s="52" t="str">
        <f>IF(AND('Mapa final'!$AA$67="Media",'Mapa final'!$AC$67="Leve"),CONCATENATE("R10C",'Mapa final'!$Q$67),"")</f>
        <v/>
      </c>
      <c r="N35" s="52" t="str">
        <f>IF(AND('Mapa final'!$AA$68="Media",'Mapa final'!$AC$68="Leve"),CONCATENATE("R10C",'Mapa final'!$Q$68),"")</f>
        <v/>
      </c>
      <c r="O35" s="53" t="str">
        <f>IF(AND('Mapa final'!$AA$69="Media",'Mapa final'!$AC$69="Leve"),CONCATENATE("R10C",'Mapa final'!$Q$69),"")</f>
        <v/>
      </c>
      <c r="P35" s="51" t="str">
        <f>IF(AND('Mapa final'!$AA$64="Media",'Mapa final'!$AC$64="Menor"),CONCATENATE("R10C",'Mapa final'!$Q$64),"")</f>
        <v/>
      </c>
      <c r="Q35" s="52" t="str">
        <f>IF(AND('Mapa final'!$AA$65="Media",'Mapa final'!$AC$65="Menor"),CONCATENATE("R10C",'Mapa final'!$Q$65),"")</f>
        <v/>
      </c>
      <c r="R35" s="52" t="str">
        <f>IF(AND('Mapa final'!$AA$66="Media",'Mapa final'!$AC$66="Menor"),CONCATENATE("R10C",'Mapa final'!$Q$66),"")</f>
        <v/>
      </c>
      <c r="S35" s="52" t="str">
        <f>IF(AND('Mapa final'!$AA$67="Media",'Mapa final'!$AC$67="Menor"),CONCATENATE("R10C",'Mapa final'!$Q$67),"")</f>
        <v/>
      </c>
      <c r="T35" s="52" t="str">
        <f>IF(AND('Mapa final'!$AA$68="Media",'Mapa final'!$AC$68="Menor"),CONCATENATE("R10C",'Mapa final'!$Q$68),"")</f>
        <v/>
      </c>
      <c r="U35" s="53" t="str">
        <f>IF(AND('Mapa final'!$AA$69="Media",'Mapa final'!$AC$69="Menor"),CONCATENATE("R10C",'Mapa final'!$Q$69),"")</f>
        <v/>
      </c>
      <c r="V35" s="51" t="str">
        <f>IF(AND('Mapa final'!$AA$64="Media",'Mapa final'!$AC$64="Moderado"),CONCATENATE("R10C",'Mapa final'!$Q$64),"")</f>
        <v/>
      </c>
      <c r="W35" s="52" t="str">
        <f>IF(AND('Mapa final'!$AA$65="Media",'Mapa final'!$AC$65="Moderado"),CONCATENATE("R10C",'Mapa final'!$Q$65),"")</f>
        <v/>
      </c>
      <c r="X35" s="52" t="str">
        <f>IF(AND('Mapa final'!$AA$66="Media",'Mapa final'!$AC$66="Moderado"),CONCATENATE("R10C",'Mapa final'!$Q$66),"")</f>
        <v/>
      </c>
      <c r="Y35" s="52" t="str">
        <f>IF(AND('Mapa final'!$AA$67="Media",'Mapa final'!$AC$67="Moderado"),CONCATENATE("R10C",'Mapa final'!$Q$67),"")</f>
        <v/>
      </c>
      <c r="Z35" s="52" t="str">
        <f>IF(AND('Mapa final'!$AA$68="Media",'Mapa final'!$AC$68="Moderado"),CONCATENATE("R10C",'Mapa final'!$Q$68),"")</f>
        <v/>
      </c>
      <c r="AA35" s="53" t="str">
        <f>IF(AND('Mapa final'!$AA$69="Media",'Mapa final'!$AC$69="Moderado"),CONCATENATE("R10C",'Mapa final'!$Q$69),"")</f>
        <v/>
      </c>
      <c r="AB35" s="42" t="str">
        <f>IF(AND('Mapa final'!$AA$64="Media",'Mapa final'!$AC$64="Mayor"),CONCATENATE("R10C",'Mapa final'!$Q$64),"")</f>
        <v/>
      </c>
      <c r="AC35" s="43" t="str">
        <f>IF(AND('Mapa final'!$AA$65="Media",'Mapa final'!$AC$65="Mayor"),CONCATENATE("R10C",'Mapa final'!$Q$65),"")</f>
        <v/>
      </c>
      <c r="AD35" s="43" t="str">
        <f>IF(AND('Mapa final'!$AA$66="Media",'Mapa final'!$AC$66="Mayor"),CONCATENATE("R10C",'Mapa final'!$Q$66),"")</f>
        <v/>
      </c>
      <c r="AE35" s="43" t="str">
        <f>IF(AND('Mapa final'!$AA$67="Media",'Mapa final'!$AC$67="Mayor"),CONCATENATE("R10C",'Mapa final'!$Q$67),"")</f>
        <v/>
      </c>
      <c r="AF35" s="43" t="str">
        <f>IF(AND('Mapa final'!$AA$68="Media",'Mapa final'!$AC$68="Mayor"),CONCATENATE("R10C",'Mapa final'!$Q$68),"")</f>
        <v/>
      </c>
      <c r="AG35" s="44" t="str">
        <f>IF(AND('Mapa final'!$AA$69="Media",'Mapa final'!$AC$69="Mayor"),CONCATENATE("R10C",'Mapa final'!$Q$69),"")</f>
        <v/>
      </c>
      <c r="AH35" s="45" t="str">
        <f>IF(AND('Mapa final'!$AA$64="Media",'Mapa final'!$AC$64="Catastrófico"),CONCATENATE("R10C",'Mapa final'!$Q$64),"")</f>
        <v/>
      </c>
      <c r="AI35" s="46" t="str">
        <f>IF(AND('Mapa final'!$AA$65="Media",'Mapa final'!$AC$65="Catastrófico"),CONCATENATE("R10C",'Mapa final'!$Q$65),"")</f>
        <v/>
      </c>
      <c r="AJ35" s="46" t="str">
        <f>IF(AND('Mapa final'!$AA$66="Media",'Mapa final'!$AC$66="Catastrófico"),CONCATENATE("R10C",'Mapa final'!$Q$66),"")</f>
        <v/>
      </c>
      <c r="AK35" s="46" t="str">
        <f>IF(AND('Mapa final'!$AA$67="Media",'Mapa final'!$AC$67="Catastrófico"),CONCATENATE("R10C",'Mapa final'!$Q$67),"")</f>
        <v/>
      </c>
      <c r="AL35" s="46" t="str">
        <f>IF(AND('Mapa final'!$AA$68="Media",'Mapa final'!$AC$68="Catastrófico"),CONCATENATE("R10C",'Mapa final'!$Q$68),"")</f>
        <v/>
      </c>
      <c r="AM35" s="47" t="str">
        <f>IF(AND('Mapa final'!$AA$69="Media",'Mapa final'!$AC$69="Catastrófico"),CONCATENATE("R10C",'Mapa final'!$Q$69),"")</f>
        <v/>
      </c>
      <c r="AN35" s="67"/>
      <c r="AO35" s="411"/>
      <c r="AP35" s="412"/>
      <c r="AQ35" s="412"/>
      <c r="AR35" s="412"/>
      <c r="AS35" s="412"/>
      <c r="AT35" s="41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327"/>
      <c r="C36" s="327"/>
      <c r="D36" s="328"/>
      <c r="E36" s="365" t="s">
        <v>109</v>
      </c>
      <c r="F36" s="366"/>
      <c r="G36" s="366"/>
      <c r="H36" s="366"/>
      <c r="I36" s="366"/>
      <c r="J36" s="57" t="str">
        <f>IF(AND('Mapa final'!$AA$10="Baja",'Mapa final'!$AC$10="Leve"),CONCATENATE("R1C",'Mapa final'!$Q$10),"")</f>
        <v/>
      </c>
      <c r="K36" s="58" t="str">
        <f>IF(AND('Mapa final'!$AA$11="Baja",'Mapa final'!$AC$11="Leve"),CONCATENATE("R1C",'Mapa final'!$Q$11),"")</f>
        <v/>
      </c>
      <c r="L36" s="58" t="str">
        <f>IF(AND('Mapa final'!$AA$12="Baja",'Mapa final'!$AC$12="Leve"),CONCATENATE("R1C",'Mapa final'!$Q$12),"")</f>
        <v/>
      </c>
      <c r="M36" s="58" t="str">
        <f>IF(AND('Mapa final'!$AA$13="Baja",'Mapa final'!$AC$13="Leve"),CONCATENATE("R1C",'Mapa final'!$Q$13),"")</f>
        <v/>
      </c>
      <c r="N36" s="58" t="str">
        <f>IF(AND('Mapa final'!$AA$14="Baja",'Mapa final'!$AC$14="Leve"),CONCATENATE("R1C",'Mapa final'!$Q$14),"")</f>
        <v/>
      </c>
      <c r="O36" s="59" t="str">
        <f>IF(AND('Mapa final'!$AA$15="Baja",'Mapa final'!$AC$15="Leve"),CONCATENATE("R1C",'Mapa final'!$Q$15),"")</f>
        <v/>
      </c>
      <c r="P36" s="48" t="str">
        <f>IF(AND('Mapa final'!$AA$10="Baja",'Mapa final'!$AC$10="Menor"),CONCATENATE("R1C",'Mapa final'!$Q$10),"")</f>
        <v/>
      </c>
      <c r="Q36" s="49" t="str">
        <f>IF(AND('Mapa final'!$AA$11="Baja",'Mapa final'!$AC$11="Menor"),CONCATENATE("R1C",'Mapa final'!$Q$11),"")</f>
        <v/>
      </c>
      <c r="R36" s="49" t="str">
        <f>IF(AND('Mapa final'!$AA$12="Baja",'Mapa final'!$AC$12="Menor"),CONCATENATE("R1C",'Mapa final'!$Q$12),"")</f>
        <v/>
      </c>
      <c r="S36" s="49" t="str">
        <f>IF(AND('Mapa final'!$AA$13="Baja",'Mapa final'!$AC$13="Menor"),CONCATENATE("R1C",'Mapa final'!$Q$13),"")</f>
        <v/>
      </c>
      <c r="T36" s="49" t="str">
        <f>IF(AND('Mapa final'!$AA$14="Baja",'Mapa final'!$AC$14="Menor"),CONCATENATE("R1C",'Mapa final'!$Q$14),"")</f>
        <v/>
      </c>
      <c r="U36" s="50" t="str">
        <f>IF(AND('Mapa final'!$AA$15="Baja",'Mapa final'!$AC$15="Menor"),CONCATENATE("R1C",'Mapa final'!$Q$15),"")</f>
        <v/>
      </c>
      <c r="V36" s="48" t="str">
        <f>IF(AND('Mapa final'!$AA$10="Baja",'Mapa final'!$AC$10="Moderado"),CONCATENATE("R1C",'Mapa final'!$Q$10),"")</f>
        <v/>
      </c>
      <c r="W36" s="49" t="str">
        <f>IF(AND('Mapa final'!$AA$11="Baja",'Mapa final'!$AC$11="Moderado"),CONCATENATE("R1C",'Mapa final'!$Q$11),"")</f>
        <v/>
      </c>
      <c r="X36" s="49" t="str">
        <f>IF(AND('Mapa final'!$AA$12="Baja",'Mapa final'!$AC$12="Moderado"),CONCATENATE("R1C",'Mapa final'!$Q$12),"")</f>
        <v/>
      </c>
      <c r="Y36" s="49" t="str">
        <f>IF(AND('Mapa final'!$AA$13="Baja",'Mapa final'!$AC$13="Moderado"),CONCATENATE("R1C",'Mapa final'!$Q$13),"")</f>
        <v/>
      </c>
      <c r="Z36" s="49" t="str">
        <f>IF(AND('Mapa final'!$AA$14="Baja",'Mapa final'!$AC$14="Moderado"),CONCATENATE("R1C",'Mapa final'!$Q$14),"")</f>
        <v/>
      </c>
      <c r="AA36" s="50" t="str">
        <f>IF(AND('Mapa final'!$AA$15="Baja",'Mapa final'!$AC$15="Moderado"),CONCATENATE("R1C",'Mapa final'!$Q$15),"")</f>
        <v/>
      </c>
      <c r="AB36" s="30" t="str">
        <f>IF(AND('Mapa final'!$AA$10="Baja",'Mapa final'!$AC$10="Mayor"),CONCATENATE("R1C",'Mapa final'!$Q$10),"")</f>
        <v/>
      </c>
      <c r="AC36" s="31" t="str">
        <f>IF(AND('Mapa final'!$AA$11="Baja",'Mapa final'!$AC$11="Mayor"),CONCATENATE("R1C",'Mapa final'!$Q$11),"")</f>
        <v/>
      </c>
      <c r="AD36" s="31" t="str">
        <f>IF(AND('Mapa final'!$AA$12="Baja",'Mapa final'!$AC$12="Mayor"),CONCATENATE("R1C",'Mapa final'!$Q$12),"")</f>
        <v/>
      </c>
      <c r="AE36" s="31" t="str">
        <f>IF(AND('Mapa final'!$AA$13="Baja",'Mapa final'!$AC$13="Mayor"),CONCATENATE("R1C",'Mapa final'!$Q$13),"")</f>
        <v/>
      </c>
      <c r="AF36" s="31" t="str">
        <f>IF(AND('Mapa final'!$AA$14="Baja",'Mapa final'!$AC$14="Mayor"),CONCATENATE("R1C",'Mapa final'!$Q$14),"")</f>
        <v/>
      </c>
      <c r="AG36" s="32" t="str">
        <f>IF(AND('Mapa final'!$AA$15="Baja",'Mapa final'!$AC$15="Mayor"),CONCATENATE("R1C",'Mapa final'!$Q$15),"")</f>
        <v/>
      </c>
      <c r="AH36" s="33" t="str">
        <f>IF(AND('Mapa final'!$AA$10="Baja",'Mapa final'!$AC$10="Catastrófico"),CONCATENATE("R1C",'Mapa final'!$Q$10),"")</f>
        <v/>
      </c>
      <c r="AI36" s="34" t="str">
        <f>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7"/>
      <c r="AO36" s="396" t="s">
        <v>81</v>
      </c>
      <c r="AP36" s="397"/>
      <c r="AQ36" s="397"/>
      <c r="AR36" s="397"/>
      <c r="AS36" s="397"/>
      <c r="AT36" s="39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327"/>
      <c r="C37" s="327"/>
      <c r="D37" s="328"/>
      <c r="E37" s="384"/>
      <c r="F37" s="369"/>
      <c r="G37" s="369"/>
      <c r="H37" s="369"/>
      <c r="I37" s="369"/>
      <c r="J37" s="60" t="str">
        <f>IF(AND('Mapa final'!$AA$16="Baja",'Mapa final'!$AC$16="Leve"),CONCATENATE("R2C",'Mapa final'!$Q$16),"")</f>
        <v/>
      </c>
      <c r="K37" s="61" t="str">
        <f>IF(AND('Mapa final'!$AA$17="Baja",'Mapa final'!$AC$17="Leve"),CONCATENATE("R2C",'Mapa final'!$Q$17),"")</f>
        <v/>
      </c>
      <c r="L37" s="61" t="str">
        <f>IF(AND('Mapa final'!$AA$18="Baja",'Mapa final'!$AC$18="Leve"),CONCATENATE("R2C",'Mapa final'!$Q$18),"")</f>
        <v/>
      </c>
      <c r="M37" s="61" t="str">
        <f>IF(AND('Mapa final'!$AA$19="Baja",'Mapa final'!$AC$19="Leve"),CONCATENATE("R2C",'Mapa final'!$Q$19),"")</f>
        <v/>
      </c>
      <c r="N37" s="61" t="str">
        <f>IF(AND('Mapa final'!$AA$20="Baja",'Mapa final'!$AC$20="Leve"),CONCATENATE("R2C",'Mapa final'!$Q$20),"")</f>
        <v/>
      </c>
      <c r="O37" s="62" t="str">
        <f>IF(AND('Mapa final'!$AA$21="Baja",'Mapa final'!$AC$21="Leve"),CONCATENATE("R2C",'Mapa final'!$Q$21),"")</f>
        <v/>
      </c>
      <c r="P37" s="51" t="str">
        <f>IF(AND('Mapa final'!$AA$16="Baja",'Mapa final'!$AC$16="Menor"),CONCATENATE("R2C",'Mapa final'!$Q$16),"")</f>
        <v/>
      </c>
      <c r="Q37" s="52" t="str">
        <f>IF(AND('Mapa final'!$AA$17="Baja",'Mapa final'!$AC$17="Menor"),CONCATENATE("R2C",'Mapa final'!$Q$17),"")</f>
        <v/>
      </c>
      <c r="R37" s="52" t="str">
        <f>IF(AND('Mapa final'!$AA$18="Baja",'Mapa final'!$AC$18="Menor"),CONCATENATE("R2C",'Mapa final'!$Q$18),"")</f>
        <v/>
      </c>
      <c r="S37" s="52" t="str">
        <f>IF(AND('Mapa final'!$AA$19="Baja",'Mapa final'!$AC$19="Menor"),CONCATENATE("R2C",'Mapa final'!$Q$19),"")</f>
        <v/>
      </c>
      <c r="T37" s="52" t="str">
        <f>IF(AND('Mapa final'!$AA$20="Baja",'Mapa final'!$AC$20="Menor"),CONCATENATE("R2C",'Mapa final'!$Q$20),"")</f>
        <v/>
      </c>
      <c r="U37" s="53" t="str">
        <f>IF(AND('Mapa final'!$AA$21="Baja",'Mapa final'!$AC$21="Menor"),CONCATENATE("R2C",'Mapa final'!$Q$21),"")</f>
        <v/>
      </c>
      <c r="V37" s="51" t="str">
        <f>IF(AND('Mapa final'!$AA$16="Baja",'Mapa final'!$AC$16="Moderado"),CONCATENATE("R2C",'Mapa final'!$Q$16),"")</f>
        <v/>
      </c>
      <c r="W37" s="52" t="str">
        <f>IF(AND('Mapa final'!$AA$17="Baja",'Mapa final'!$AC$17="Moderado"),CONCATENATE("R2C",'Mapa final'!$Q$17),"")</f>
        <v/>
      </c>
      <c r="X37" s="52" t="str">
        <f>IF(AND('Mapa final'!$AA$18="Baja",'Mapa final'!$AC$18="Moderado"),CONCATENATE("R2C",'Mapa final'!$Q$18),"")</f>
        <v/>
      </c>
      <c r="Y37" s="52" t="str">
        <f>IF(AND('Mapa final'!$AA$19="Baja",'Mapa final'!$AC$19="Moderado"),CONCATENATE("R2C",'Mapa final'!$Q$19),"")</f>
        <v/>
      </c>
      <c r="Z37" s="52" t="str">
        <f>IF(AND('Mapa final'!$AA$20="Baja",'Mapa final'!$AC$20="Moderado"),CONCATENATE("R2C",'Mapa final'!$Q$20),"")</f>
        <v/>
      </c>
      <c r="AA37" s="53" t="str">
        <f>IF(AND('Mapa final'!$AA$21="Baja",'Mapa final'!$AC$21="Moderado"),CONCATENATE("R2C",'Mapa final'!$Q$21),"")</f>
        <v/>
      </c>
      <c r="AB37" s="36" t="str">
        <f>IF(AND('Mapa final'!$AA$16="Baja",'Mapa final'!$AC$16="Mayor"),CONCATENATE("R2C",'Mapa final'!$Q$16),"")</f>
        <v/>
      </c>
      <c r="AC37" s="37" t="str">
        <f>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IF(AND('Mapa final'!$AA$16="Baja",'Mapa final'!$AC$16="Catastrófico"),CONCATENATE("R2C",'Mapa final'!$Q$16),"")</f>
        <v/>
      </c>
      <c r="AI37" s="40" t="str">
        <f>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7"/>
      <c r="AO37" s="399"/>
      <c r="AP37" s="400"/>
      <c r="AQ37" s="400"/>
      <c r="AR37" s="400"/>
      <c r="AS37" s="400"/>
      <c r="AT37" s="40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327"/>
      <c r="C38" s="327"/>
      <c r="D38" s="328"/>
      <c r="E38" s="368"/>
      <c r="F38" s="369"/>
      <c r="G38" s="369"/>
      <c r="H38" s="369"/>
      <c r="I38" s="369"/>
      <c r="J38" s="60" t="str">
        <f>IF(AND('Mapa final'!$AA$22="Baja",'Mapa final'!$AC$22="Leve"),CONCATENATE("R3C",'Mapa final'!$Q$22),"")</f>
        <v/>
      </c>
      <c r="K38" s="61" t="str">
        <f>IF(AND('Mapa final'!$AA$23="Baja",'Mapa final'!$AC$23="Leve"),CONCATENATE("R3C",'Mapa final'!$Q$23),"")</f>
        <v/>
      </c>
      <c r="L38" s="61" t="str">
        <f>IF(AND('Mapa final'!$AA$24="Baja",'Mapa final'!$AC$24="Leve"),CONCATENATE("R3C",'Mapa final'!$Q$24),"")</f>
        <v/>
      </c>
      <c r="M38" s="61" t="str">
        <f>IF(AND('Mapa final'!$AA$25="Baja",'Mapa final'!$AC$25="Leve"),CONCATENATE("R3C",'Mapa final'!$Q$25),"")</f>
        <v/>
      </c>
      <c r="N38" s="61" t="str">
        <f>IF(AND('Mapa final'!$AA$26="Baja",'Mapa final'!$AC$26="Leve"),CONCATENATE("R3C",'Mapa final'!$Q$26),"")</f>
        <v/>
      </c>
      <c r="O38" s="62" t="str">
        <f>IF(AND('Mapa final'!$AA$27="Baja",'Mapa final'!$AC$27="Leve"),CONCATENATE("R3C",'Mapa final'!$Q$27),"")</f>
        <v/>
      </c>
      <c r="P38" s="51" t="str">
        <f>IF(AND('Mapa final'!$AA$22="Baja",'Mapa final'!$AC$22="Menor"),CONCATENATE("R3C",'Mapa final'!$Q$22),"")</f>
        <v/>
      </c>
      <c r="Q38" s="52" t="str">
        <f>IF(AND('Mapa final'!$AA$23="Baja",'Mapa final'!$AC$23="Menor"),CONCATENATE("R3C",'Mapa final'!$Q$23),"")</f>
        <v/>
      </c>
      <c r="R38" s="52" t="str">
        <f>IF(AND('Mapa final'!$AA$24="Baja",'Mapa final'!$AC$24="Menor"),CONCATENATE("R3C",'Mapa final'!$Q$24),"")</f>
        <v/>
      </c>
      <c r="S38" s="52" t="str">
        <f>IF(AND('Mapa final'!$AA$25="Baja",'Mapa final'!$AC$25="Menor"),CONCATENATE("R3C",'Mapa final'!$Q$25),"")</f>
        <v/>
      </c>
      <c r="T38" s="52" t="str">
        <f>IF(AND('Mapa final'!$AA$26="Baja",'Mapa final'!$AC$26="Menor"),CONCATENATE("R3C",'Mapa final'!$Q$26),"")</f>
        <v/>
      </c>
      <c r="U38" s="53" t="str">
        <f>IF(AND('Mapa final'!$AA$27="Baja",'Mapa final'!$AC$27="Menor"),CONCATENATE("R3C",'Mapa final'!$Q$27),"")</f>
        <v/>
      </c>
      <c r="V38" s="51" t="str">
        <f>IF(AND('Mapa final'!$AA$22="Baja",'Mapa final'!$AC$22="Moderado"),CONCATENATE("R3C",'Mapa final'!$Q$22),"")</f>
        <v/>
      </c>
      <c r="W38" s="52" t="str">
        <f>IF(AND('Mapa final'!$AA$23="Baja",'Mapa final'!$AC$23="Moderado"),CONCATENATE("R3C",'Mapa final'!$Q$23),"")</f>
        <v/>
      </c>
      <c r="X38" s="52" t="str">
        <f>IF(AND('Mapa final'!$AA$24="Baja",'Mapa final'!$AC$24="Moderado"),CONCATENATE("R3C",'Mapa final'!$Q$24),"")</f>
        <v/>
      </c>
      <c r="Y38" s="52" t="str">
        <f>IF(AND('Mapa final'!$AA$25="Baja",'Mapa final'!$AC$25="Moderado"),CONCATENATE("R3C",'Mapa final'!$Q$25),"")</f>
        <v/>
      </c>
      <c r="Z38" s="52" t="str">
        <f>IF(AND('Mapa final'!$AA$26="Baja",'Mapa final'!$AC$26="Moderado"),CONCATENATE("R3C",'Mapa final'!$Q$26),"")</f>
        <v/>
      </c>
      <c r="AA38" s="53"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7"/>
      <c r="AO38" s="399"/>
      <c r="AP38" s="400"/>
      <c r="AQ38" s="400"/>
      <c r="AR38" s="400"/>
      <c r="AS38" s="400"/>
      <c r="AT38" s="40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327"/>
      <c r="C39" s="327"/>
      <c r="D39" s="328"/>
      <c r="E39" s="368"/>
      <c r="F39" s="369"/>
      <c r="G39" s="369"/>
      <c r="H39" s="369"/>
      <c r="I39" s="369"/>
      <c r="J39" s="60" t="str">
        <f>IF(AND('Mapa final'!$AA$28="Baja",'Mapa final'!$AC$28="Leve"),CONCATENATE("R4C",'Mapa final'!$Q$28),"")</f>
        <v/>
      </c>
      <c r="K39" s="61" t="str">
        <f>IF(AND('Mapa final'!$AA$29="Baja",'Mapa final'!$AC$29="Leve"),CONCATENATE("R4C",'Mapa final'!$Q$29),"")</f>
        <v/>
      </c>
      <c r="L39" s="61" t="str">
        <f>IF(AND('Mapa final'!$AA$30="Baja",'Mapa final'!$AC$30="Leve"),CONCATENATE("R4C",'Mapa final'!$Q$30),"")</f>
        <v/>
      </c>
      <c r="M39" s="61" t="str">
        <f>IF(AND('Mapa final'!$AA$31="Baja",'Mapa final'!$AC$31="Leve"),CONCATENATE("R4C",'Mapa final'!$Q$31),"")</f>
        <v/>
      </c>
      <c r="N39" s="61" t="str">
        <f>IF(AND('Mapa final'!$AA$32="Baja",'Mapa final'!$AC$32="Leve"),CONCATENATE("R4C",'Mapa final'!$Q$32),"")</f>
        <v/>
      </c>
      <c r="O39" s="62" t="str">
        <f>IF(AND('Mapa final'!$AA$33="Baja",'Mapa final'!$AC$33="Leve"),CONCATENATE("R4C",'Mapa final'!$Q$33),"")</f>
        <v/>
      </c>
      <c r="P39" s="51" t="str">
        <f>IF(AND('Mapa final'!$AA$28="Baja",'Mapa final'!$AC$28="Menor"),CONCATENATE("R4C",'Mapa final'!$Q$28),"")</f>
        <v/>
      </c>
      <c r="Q39" s="52" t="str">
        <f>IF(AND('Mapa final'!$AA$29="Baja",'Mapa final'!$AC$29="Menor"),CONCATENATE("R4C",'Mapa final'!$Q$29),"")</f>
        <v/>
      </c>
      <c r="R39" s="52" t="str">
        <f>IF(AND('Mapa final'!$AA$30="Baja",'Mapa final'!$AC$30="Menor"),CONCATENATE("R4C",'Mapa final'!$Q$30),"")</f>
        <v/>
      </c>
      <c r="S39" s="52" t="str">
        <f>IF(AND('Mapa final'!$AA$31="Baja",'Mapa final'!$AC$31="Menor"),CONCATENATE("R4C",'Mapa final'!$Q$31),"")</f>
        <v/>
      </c>
      <c r="T39" s="52" t="str">
        <f>IF(AND('Mapa final'!$AA$32="Baja",'Mapa final'!$AC$32="Menor"),CONCATENATE("R4C",'Mapa final'!$Q$32),"")</f>
        <v/>
      </c>
      <c r="U39" s="53" t="str">
        <f>IF(AND('Mapa final'!$AA$33="Baja",'Mapa final'!$AC$33="Menor"),CONCATENATE("R4C",'Mapa final'!$Q$33),"")</f>
        <v/>
      </c>
      <c r="V39" s="51" t="str">
        <f>IF(AND('Mapa final'!$AA$28="Baja",'Mapa final'!$AC$28="Moderado"),CONCATENATE("R4C",'Mapa final'!$Q$28),"")</f>
        <v/>
      </c>
      <c r="W39" s="52" t="str">
        <f>IF(AND('Mapa final'!$AA$29="Baja",'Mapa final'!$AC$29="Moderado"),CONCATENATE("R4C",'Mapa final'!$Q$29),"")</f>
        <v/>
      </c>
      <c r="X39" s="52" t="str">
        <f>IF(AND('Mapa final'!$AA$30="Baja",'Mapa final'!$AC$30="Moderado"),CONCATENATE("R4C",'Mapa final'!$Q$30),"")</f>
        <v/>
      </c>
      <c r="Y39" s="52" t="str">
        <f>IF(AND('Mapa final'!$AA$31="Baja",'Mapa final'!$AC$31="Moderado"),CONCATENATE("R4C",'Mapa final'!$Q$31),"")</f>
        <v/>
      </c>
      <c r="Z39" s="52" t="str">
        <f>IF(AND('Mapa final'!$AA$32="Baja",'Mapa final'!$AC$32="Moderado"),CONCATENATE("R4C",'Mapa final'!$Q$32),"")</f>
        <v/>
      </c>
      <c r="AA39" s="53"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7"/>
      <c r="AO39" s="399"/>
      <c r="AP39" s="400"/>
      <c r="AQ39" s="400"/>
      <c r="AR39" s="400"/>
      <c r="AS39" s="400"/>
      <c r="AT39" s="40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327"/>
      <c r="C40" s="327"/>
      <c r="D40" s="328"/>
      <c r="E40" s="368"/>
      <c r="F40" s="369"/>
      <c r="G40" s="369"/>
      <c r="H40" s="369"/>
      <c r="I40" s="369"/>
      <c r="J40" s="60" t="str">
        <f>IF(AND('Mapa final'!$AA$34="Baja",'Mapa final'!$AC$34="Leve"),CONCATENATE("R5C",'Mapa final'!$Q$34),"")</f>
        <v/>
      </c>
      <c r="K40" s="61" t="str">
        <f>IF(AND('Mapa final'!$AA$35="Baja",'Mapa final'!$AC$35="Leve"),CONCATENATE("R5C",'Mapa final'!$Q$35),"")</f>
        <v/>
      </c>
      <c r="L40" s="61" t="str">
        <f>IF(AND('Mapa final'!$AA$36="Baja",'Mapa final'!$AC$36="Leve"),CONCATENATE("R5C",'Mapa final'!$Q$36),"")</f>
        <v/>
      </c>
      <c r="M40" s="61" t="str">
        <f>IF(AND('Mapa final'!$AA$37="Baja",'Mapa final'!$AC$37="Leve"),CONCATENATE("R5C",'Mapa final'!$Q$37),"")</f>
        <v/>
      </c>
      <c r="N40" s="61" t="str">
        <f>IF(AND('Mapa final'!$AA$38="Baja",'Mapa final'!$AC$38="Leve"),CONCATENATE("R5C",'Mapa final'!$Q$38),"")</f>
        <v/>
      </c>
      <c r="O40" s="62" t="str">
        <f>IF(AND('Mapa final'!$AA$39="Baja",'Mapa final'!$AC$39="Leve"),CONCATENATE("R5C",'Mapa final'!$Q$39),"")</f>
        <v/>
      </c>
      <c r="P40" s="51" t="str">
        <f>IF(AND('Mapa final'!$AA$34="Baja",'Mapa final'!$AC$34="Menor"),CONCATENATE("R5C",'Mapa final'!$Q$34),"")</f>
        <v/>
      </c>
      <c r="Q40" s="52" t="str">
        <f>IF(AND('Mapa final'!$AA$35="Baja",'Mapa final'!$AC$35="Menor"),CONCATENATE("R5C",'Mapa final'!$Q$35),"")</f>
        <v/>
      </c>
      <c r="R40" s="52" t="str">
        <f>IF(AND('Mapa final'!$AA$36="Baja",'Mapa final'!$AC$36="Menor"),CONCATENATE("R5C",'Mapa final'!$Q$36),"")</f>
        <v/>
      </c>
      <c r="S40" s="52" t="str">
        <f>IF(AND('Mapa final'!$AA$37="Baja",'Mapa final'!$AC$37="Menor"),CONCATENATE("R5C",'Mapa final'!$Q$37),"")</f>
        <v/>
      </c>
      <c r="T40" s="52" t="str">
        <f>IF(AND('Mapa final'!$AA$38="Baja",'Mapa final'!$AC$38="Menor"),CONCATENATE("R5C",'Mapa final'!$Q$38),"")</f>
        <v/>
      </c>
      <c r="U40" s="53" t="str">
        <f>IF(AND('Mapa final'!$AA$39="Baja",'Mapa final'!$AC$39="Menor"),CONCATENATE("R5C",'Mapa final'!$Q$39),"")</f>
        <v/>
      </c>
      <c r="V40" s="51" t="str">
        <f>IF(AND('Mapa final'!$AA$34="Baja",'Mapa final'!$AC$34="Moderado"),CONCATENATE("R5C",'Mapa final'!$Q$34),"")</f>
        <v/>
      </c>
      <c r="W40" s="52" t="str">
        <f>IF(AND('Mapa final'!$AA$35="Baja",'Mapa final'!$AC$35="Moderado"),CONCATENATE("R5C",'Mapa final'!$Q$35),"")</f>
        <v/>
      </c>
      <c r="X40" s="52" t="str">
        <f>IF(AND('Mapa final'!$AA$36="Baja",'Mapa final'!$AC$36="Moderado"),CONCATENATE("R5C",'Mapa final'!$Q$36),"")</f>
        <v/>
      </c>
      <c r="Y40" s="52" t="str">
        <f>IF(AND('Mapa final'!$AA$37="Baja",'Mapa final'!$AC$37="Moderado"),CONCATENATE("R5C",'Mapa final'!$Q$37),"")</f>
        <v/>
      </c>
      <c r="Z40" s="52" t="str">
        <f>IF(AND('Mapa final'!$AA$38="Baja",'Mapa final'!$AC$38="Moderado"),CONCATENATE("R5C",'Mapa final'!$Q$38),"")</f>
        <v/>
      </c>
      <c r="AA40" s="53"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37" t="str">
        <f>IF(AND('Mapa final'!$AA$36="Baja",'Mapa final'!$AC$36="Mayor"),CONCATENATE("R5C",'Mapa final'!$Q$36),"")</f>
        <v/>
      </c>
      <c r="AE40" s="37" t="str">
        <f>IF(AND('Mapa final'!$AA$37="Baja",'Mapa final'!$AC$37="Mayor"),CONCATENATE("R5C",'Mapa final'!$Q$37),"")</f>
        <v/>
      </c>
      <c r="AF40" s="37"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7"/>
      <c r="AO40" s="399"/>
      <c r="AP40" s="400"/>
      <c r="AQ40" s="400"/>
      <c r="AR40" s="400"/>
      <c r="AS40" s="400"/>
      <c r="AT40" s="40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327"/>
      <c r="C41" s="327"/>
      <c r="D41" s="328"/>
      <c r="E41" s="368"/>
      <c r="F41" s="369"/>
      <c r="G41" s="369"/>
      <c r="H41" s="369"/>
      <c r="I41" s="369"/>
      <c r="J41" s="60" t="str">
        <f>IF(AND('Mapa final'!$AA$40="Baja",'Mapa final'!$AC$40="Leve"),CONCATENATE("R6C",'Mapa final'!$Q$40),"")</f>
        <v/>
      </c>
      <c r="K41" s="61" t="str">
        <f>IF(AND('Mapa final'!$AA$41="Baja",'Mapa final'!$AC$41="Leve"),CONCATENATE("R6C",'Mapa final'!$Q$41),"")</f>
        <v/>
      </c>
      <c r="L41" s="61" t="str">
        <f>IF(AND('Mapa final'!$AA$42="Baja",'Mapa final'!$AC$42="Leve"),CONCATENATE("R6C",'Mapa final'!$Q$42),"")</f>
        <v/>
      </c>
      <c r="M41" s="61" t="str">
        <f>IF(AND('Mapa final'!$AA$43="Baja",'Mapa final'!$AC$43="Leve"),CONCATENATE("R6C",'Mapa final'!$Q$43),"")</f>
        <v/>
      </c>
      <c r="N41" s="61" t="str">
        <f>IF(AND('Mapa final'!$AA$44="Baja",'Mapa final'!$AC$44="Leve"),CONCATENATE("R6C",'Mapa final'!$Q$44),"")</f>
        <v/>
      </c>
      <c r="O41" s="62" t="str">
        <f>IF(AND('Mapa final'!$AA$45="Baja",'Mapa final'!$AC$45="Leve"),CONCATENATE("R6C",'Mapa final'!$Q$45),"")</f>
        <v/>
      </c>
      <c r="P41" s="51" t="str">
        <f>IF(AND('Mapa final'!$AA$40="Baja",'Mapa final'!$AC$40="Menor"),CONCATENATE("R6C",'Mapa final'!$Q$40),"")</f>
        <v/>
      </c>
      <c r="Q41" s="52" t="str">
        <f>IF(AND('Mapa final'!$AA$41="Baja",'Mapa final'!$AC$41="Menor"),CONCATENATE("R6C",'Mapa final'!$Q$41),"")</f>
        <v/>
      </c>
      <c r="R41" s="52" t="str">
        <f>IF(AND('Mapa final'!$AA$42="Baja",'Mapa final'!$AC$42="Menor"),CONCATENATE("R6C",'Mapa final'!$Q$42),"")</f>
        <v/>
      </c>
      <c r="S41" s="52" t="str">
        <f>IF(AND('Mapa final'!$AA$43="Baja",'Mapa final'!$AC$43="Menor"),CONCATENATE("R6C",'Mapa final'!$Q$43),"")</f>
        <v/>
      </c>
      <c r="T41" s="52" t="str">
        <f>IF(AND('Mapa final'!$AA$44="Baja",'Mapa final'!$AC$44="Menor"),CONCATENATE("R6C",'Mapa final'!$Q$44),"")</f>
        <v/>
      </c>
      <c r="U41" s="53" t="str">
        <f>IF(AND('Mapa final'!$AA$45="Baja",'Mapa final'!$AC$45="Menor"),CONCATENATE("R6C",'Mapa final'!$Q$45),"")</f>
        <v/>
      </c>
      <c r="V41" s="51" t="str">
        <f>IF(AND('Mapa final'!$AA$40="Baja",'Mapa final'!$AC$40="Moderado"),CONCATENATE("R6C",'Mapa final'!$Q$40),"")</f>
        <v/>
      </c>
      <c r="W41" s="52" t="str">
        <f>IF(AND('Mapa final'!$AA$41="Baja",'Mapa final'!$AC$41="Moderado"),CONCATENATE("R6C",'Mapa final'!$Q$41),"")</f>
        <v/>
      </c>
      <c r="X41" s="52" t="str">
        <f>IF(AND('Mapa final'!$AA$42="Baja",'Mapa final'!$AC$42="Moderado"),CONCATENATE("R6C",'Mapa final'!$Q$42),"")</f>
        <v/>
      </c>
      <c r="Y41" s="52" t="str">
        <f>IF(AND('Mapa final'!$AA$43="Baja",'Mapa final'!$AC$43="Moderado"),CONCATENATE("R6C",'Mapa final'!$Q$43),"")</f>
        <v/>
      </c>
      <c r="Z41" s="52" t="str">
        <f>IF(AND('Mapa final'!$AA$44="Baja",'Mapa final'!$AC$44="Moderado"),CONCATENATE("R6C",'Mapa final'!$Q$44),"")</f>
        <v/>
      </c>
      <c r="AA41" s="53"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37" t="str">
        <f>IF(AND('Mapa final'!$AA$42="Baja",'Mapa final'!$AC$42="Mayor"),CONCATENATE("R6C",'Mapa final'!$Q$42),"")</f>
        <v/>
      </c>
      <c r="AE41" s="37" t="str">
        <f>IF(AND('Mapa final'!$AA$43="Baja",'Mapa final'!$AC$43="Mayor"),CONCATENATE("R6C",'Mapa final'!$Q$43),"")</f>
        <v/>
      </c>
      <c r="AF41" s="37"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7"/>
      <c r="AO41" s="399"/>
      <c r="AP41" s="400"/>
      <c r="AQ41" s="400"/>
      <c r="AR41" s="400"/>
      <c r="AS41" s="400"/>
      <c r="AT41" s="40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327"/>
      <c r="C42" s="327"/>
      <c r="D42" s="328"/>
      <c r="E42" s="368"/>
      <c r="F42" s="369"/>
      <c r="G42" s="369"/>
      <c r="H42" s="369"/>
      <c r="I42" s="369"/>
      <c r="J42" s="60" t="str">
        <f>IF(AND('Mapa final'!$AA$46="Baja",'Mapa final'!$AC$46="Leve"),CONCATENATE("R7C",'Mapa final'!$Q$46),"")</f>
        <v/>
      </c>
      <c r="K42" s="61" t="str">
        <f>IF(AND('Mapa final'!$AA$47="Baja",'Mapa final'!$AC$47="Leve"),CONCATENATE("R7C",'Mapa final'!$Q$47),"")</f>
        <v/>
      </c>
      <c r="L42" s="61" t="str">
        <f>IF(AND('Mapa final'!$AA$48="Baja",'Mapa final'!$AC$48="Leve"),CONCATENATE("R7C",'Mapa final'!$Q$48),"")</f>
        <v/>
      </c>
      <c r="M42" s="61" t="str">
        <f>IF(AND('Mapa final'!$AA$49="Baja",'Mapa final'!$AC$49="Leve"),CONCATENATE("R7C",'Mapa final'!$Q$49),"")</f>
        <v/>
      </c>
      <c r="N42" s="61" t="str">
        <f>IF(AND('Mapa final'!$AA$50="Baja",'Mapa final'!$AC$50="Leve"),CONCATENATE("R7C",'Mapa final'!$Q$50),"")</f>
        <v/>
      </c>
      <c r="O42" s="62" t="str">
        <f>IF(AND('Mapa final'!$AA$51="Baja",'Mapa final'!$AC$51="Leve"),CONCATENATE("R7C",'Mapa final'!$Q$51),"")</f>
        <v/>
      </c>
      <c r="P42" s="51" t="str">
        <f>IF(AND('Mapa final'!$AA$46="Baja",'Mapa final'!$AC$46="Menor"),CONCATENATE("R7C",'Mapa final'!$Q$46),"")</f>
        <v/>
      </c>
      <c r="Q42" s="52" t="str">
        <f>IF(AND('Mapa final'!$AA$47="Baja",'Mapa final'!$AC$47="Menor"),CONCATENATE("R7C",'Mapa final'!$Q$47),"")</f>
        <v/>
      </c>
      <c r="R42" s="52" t="str">
        <f>IF(AND('Mapa final'!$AA$48="Baja",'Mapa final'!$AC$48="Menor"),CONCATENATE("R7C",'Mapa final'!$Q$48),"")</f>
        <v/>
      </c>
      <c r="S42" s="52" t="str">
        <f>IF(AND('Mapa final'!$AA$49="Baja",'Mapa final'!$AC$49="Menor"),CONCATENATE("R7C",'Mapa final'!$Q$49),"")</f>
        <v/>
      </c>
      <c r="T42" s="52" t="str">
        <f>IF(AND('Mapa final'!$AA$50="Baja",'Mapa final'!$AC$50="Menor"),CONCATENATE("R7C",'Mapa final'!$Q$50),"")</f>
        <v/>
      </c>
      <c r="U42" s="53" t="str">
        <f>IF(AND('Mapa final'!$AA$51="Baja",'Mapa final'!$AC$51="Menor"),CONCATENATE("R7C",'Mapa final'!$Q$51),"")</f>
        <v/>
      </c>
      <c r="V42" s="51" t="str">
        <f>IF(AND('Mapa final'!$AA$46="Baja",'Mapa final'!$AC$46="Moderado"),CONCATENATE("R7C",'Mapa final'!$Q$46),"")</f>
        <v/>
      </c>
      <c r="W42" s="52" t="str">
        <f>IF(AND('Mapa final'!$AA$47="Baja",'Mapa final'!$AC$47="Moderado"),CONCATENATE("R7C",'Mapa final'!$Q$47),"")</f>
        <v/>
      </c>
      <c r="X42" s="52" t="str">
        <f>IF(AND('Mapa final'!$AA$48="Baja",'Mapa final'!$AC$48="Moderado"),CONCATENATE("R7C",'Mapa final'!$Q$48),"")</f>
        <v/>
      </c>
      <c r="Y42" s="52" t="str">
        <f>IF(AND('Mapa final'!$AA$49="Baja",'Mapa final'!$AC$49="Moderado"),CONCATENATE("R7C",'Mapa final'!$Q$49),"")</f>
        <v/>
      </c>
      <c r="Z42" s="52" t="str">
        <f>IF(AND('Mapa final'!$AA$50="Baja",'Mapa final'!$AC$50="Moderado"),CONCATENATE("R7C",'Mapa final'!$Q$50),"")</f>
        <v/>
      </c>
      <c r="AA42" s="53"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37" t="str">
        <f>IF(AND('Mapa final'!$AA$48="Baja",'Mapa final'!$AC$48="Mayor"),CONCATENATE("R7C",'Mapa final'!$Q$48),"")</f>
        <v/>
      </c>
      <c r="AE42" s="37" t="str">
        <f>IF(AND('Mapa final'!$AA$49="Baja",'Mapa final'!$AC$49="Mayor"),CONCATENATE("R7C",'Mapa final'!$Q$49),"")</f>
        <v/>
      </c>
      <c r="AF42" s="37"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7"/>
      <c r="AO42" s="399"/>
      <c r="AP42" s="400"/>
      <c r="AQ42" s="400"/>
      <c r="AR42" s="400"/>
      <c r="AS42" s="400"/>
      <c r="AT42" s="40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327"/>
      <c r="C43" s="327"/>
      <c r="D43" s="328"/>
      <c r="E43" s="368"/>
      <c r="F43" s="369"/>
      <c r="G43" s="369"/>
      <c r="H43" s="369"/>
      <c r="I43" s="369"/>
      <c r="J43" s="60" t="str">
        <f>IF(AND('Mapa final'!$AA$52="Baja",'Mapa final'!$AC$52="Leve"),CONCATENATE("R8C",'Mapa final'!$Q$52),"")</f>
        <v/>
      </c>
      <c r="K43" s="61" t="str">
        <f>IF(AND('Mapa final'!$AA$53="Baja",'Mapa final'!$AC$53="Leve"),CONCATENATE("R8C",'Mapa final'!$Q$53),"")</f>
        <v/>
      </c>
      <c r="L43" s="61" t="str">
        <f>IF(AND('Mapa final'!$AA$54="Baja",'Mapa final'!$AC$54="Leve"),CONCATENATE("R8C",'Mapa final'!$Q$54),"")</f>
        <v/>
      </c>
      <c r="M43" s="61" t="str">
        <f>IF(AND('Mapa final'!$AA$55="Baja",'Mapa final'!$AC$55="Leve"),CONCATENATE("R8C",'Mapa final'!$Q$55),"")</f>
        <v/>
      </c>
      <c r="N43" s="61" t="str">
        <f>IF(AND('Mapa final'!$AA$56="Baja",'Mapa final'!$AC$56="Leve"),CONCATENATE("R8C",'Mapa final'!$Q$56),"")</f>
        <v/>
      </c>
      <c r="O43" s="62" t="str">
        <f>IF(AND('Mapa final'!$AA$57="Baja",'Mapa final'!$AC$57="Leve"),CONCATENATE("R8C",'Mapa final'!$Q$57),"")</f>
        <v/>
      </c>
      <c r="P43" s="51" t="str">
        <f>IF(AND('Mapa final'!$AA$52="Baja",'Mapa final'!$AC$52="Menor"),CONCATENATE("R8C",'Mapa final'!$Q$52),"")</f>
        <v/>
      </c>
      <c r="Q43" s="52" t="str">
        <f>IF(AND('Mapa final'!$AA$53="Baja",'Mapa final'!$AC$53="Menor"),CONCATENATE("R8C",'Mapa final'!$Q$53),"")</f>
        <v/>
      </c>
      <c r="R43" s="52" t="str">
        <f>IF(AND('Mapa final'!$AA$54="Baja",'Mapa final'!$AC$54="Menor"),CONCATENATE("R8C",'Mapa final'!$Q$54),"")</f>
        <v/>
      </c>
      <c r="S43" s="52" t="str">
        <f>IF(AND('Mapa final'!$AA$55="Baja",'Mapa final'!$AC$55="Menor"),CONCATENATE("R8C",'Mapa final'!$Q$55),"")</f>
        <v/>
      </c>
      <c r="T43" s="52" t="str">
        <f>IF(AND('Mapa final'!$AA$56="Baja",'Mapa final'!$AC$56="Menor"),CONCATENATE("R8C",'Mapa final'!$Q$56),"")</f>
        <v/>
      </c>
      <c r="U43" s="53" t="str">
        <f>IF(AND('Mapa final'!$AA$57="Baja",'Mapa final'!$AC$57="Menor"),CONCATENATE("R8C",'Mapa final'!$Q$57),"")</f>
        <v/>
      </c>
      <c r="V43" s="51" t="str">
        <f>IF(AND('Mapa final'!$AA$52="Baja",'Mapa final'!$AC$52="Moderado"),CONCATENATE("R8C",'Mapa final'!$Q$52),"")</f>
        <v/>
      </c>
      <c r="W43" s="52" t="str">
        <f>IF(AND('Mapa final'!$AA$53="Baja",'Mapa final'!$AC$53="Moderado"),CONCATENATE("R8C",'Mapa final'!$Q$53),"")</f>
        <v/>
      </c>
      <c r="X43" s="52" t="str">
        <f>IF(AND('Mapa final'!$AA$54="Baja",'Mapa final'!$AC$54="Moderado"),CONCATENATE("R8C",'Mapa final'!$Q$54),"")</f>
        <v/>
      </c>
      <c r="Y43" s="52" t="str">
        <f>IF(AND('Mapa final'!$AA$55="Baja",'Mapa final'!$AC$55="Moderado"),CONCATENATE("R8C",'Mapa final'!$Q$55),"")</f>
        <v/>
      </c>
      <c r="Z43" s="52" t="str">
        <f>IF(AND('Mapa final'!$AA$56="Baja",'Mapa final'!$AC$56="Moderado"),CONCATENATE("R8C",'Mapa final'!$Q$56),"")</f>
        <v/>
      </c>
      <c r="AA43" s="53"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37" t="str">
        <f>IF(AND('Mapa final'!$AA$54="Baja",'Mapa final'!$AC$54="Mayor"),CONCATENATE("R8C",'Mapa final'!$Q$54),"")</f>
        <v/>
      </c>
      <c r="AE43" s="37" t="str">
        <f>IF(AND('Mapa final'!$AA$55="Baja",'Mapa final'!$AC$55="Mayor"),CONCATENATE("R8C",'Mapa final'!$Q$55),"")</f>
        <v/>
      </c>
      <c r="AF43" s="37"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7"/>
      <c r="AO43" s="399"/>
      <c r="AP43" s="400"/>
      <c r="AQ43" s="400"/>
      <c r="AR43" s="400"/>
      <c r="AS43" s="400"/>
      <c r="AT43" s="40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327"/>
      <c r="C44" s="327"/>
      <c r="D44" s="328"/>
      <c r="E44" s="368"/>
      <c r="F44" s="369"/>
      <c r="G44" s="369"/>
      <c r="H44" s="369"/>
      <c r="I44" s="369"/>
      <c r="J44" s="60" t="str">
        <f>IF(AND('Mapa final'!$AA$58="Baja",'Mapa final'!$AC$58="Leve"),CONCATENATE("R9C",'Mapa final'!$Q$58),"")</f>
        <v/>
      </c>
      <c r="K44" s="61" t="str">
        <f>IF(AND('Mapa final'!$AA$59="Baja",'Mapa final'!$AC$59="Leve"),CONCATENATE("R9C",'Mapa final'!$Q$59),"")</f>
        <v/>
      </c>
      <c r="L44" s="61" t="str">
        <f>IF(AND('Mapa final'!$AA$60="Baja",'Mapa final'!$AC$60="Leve"),CONCATENATE("R9C",'Mapa final'!$Q$60),"")</f>
        <v/>
      </c>
      <c r="M44" s="61" t="str">
        <f>IF(AND('Mapa final'!$AA$61="Baja",'Mapa final'!$AC$61="Leve"),CONCATENATE("R9C",'Mapa final'!$Q$61),"")</f>
        <v/>
      </c>
      <c r="N44" s="61" t="str">
        <f>IF(AND('Mapa final'!$AA$62="Baja",'Mapa final'!$AC$62="Leve"),CONCATENATE("R9C",'Mapa final'!$Q$62),"")</f>
        <v/>
      </c>
      <c r="O44" s="62" t="str">
        <f>IF(AND('Mapa final'!$AA$63="Baja",'Mapa final'!$AC$63="Leve"),CONCATENATE("R9C",'Mapa final'!$Q$63),"")</f>
        <v/>
      </c>
      <c r="P44" s="51" t="str">
        <f>IF(AND('Mapa final'!$AA$58="Baja",'Mapa final'!$AC$58="Menor"),CONCATENATE("R9C",'Mapa final'!$Q$58),"")</f>
        <v/>
      </c>
      <c r="Q44" s="52" t="str">
        <f>IF(AND('Mapa final'!$AA$59="Baja",'Mapa final'!$AC$59="Menor"),CONCATENATE("R9C",'Mapa final'!$Q$59),"")</f>
        <v/>
      </c>
      <c r="R44" s="52" t="str">
        <f>IF(AND('Mapa final'!$AA$60="Baja",'Mapa final'!$AC$60="Menor"),CONCATENATE("R9C",'Mapa final'!$Q$60),"")</f>
        <v/>
      </c>
      <c r="S44" s="52" t="str">
        <f>IF(AND('Mapa final'!$AA$61="Baja",'Mapa final'!$AC$61="Menor"),CONCATENATE("R9C",'Mapa final'!$Q$61),"")</f>
        <v/>
      </c>
      <c r="T44" s="52" t="str">
        <f>IF(AND('Mapa final'!$AA$62="Baja",'Mapa final'!$AC$62="Menor"),CONCATENATE("R9C",'Mapa final'!$Q$62),"")</f>
        <v/>
      </c>
      <c r="U44" s="53" t="str">
        <f>IF(AND('Mapa final'!$AA$63="Baja",'Mapa final'!$AC$63="Menor"),CONCATENATE("R9C",'Mapa final'!$Q$63),"")</f>
        <v/>
      </c>
      <c r="V44" s="51" t="str">
        <f>IF(AND('Mapa final'!$AA$58="Baja",'Mapa final'!$AC$58="Moderado"),CONCATENATE("R9C",'Mapa final'!$Q$58),"")</f>
        <v/>
      </c>
      <c r="W44" s="52" t="str">
        <f>IF(AND('Mapa final'!$AA$59="Baja",'Mapa final'!$AC$59="Moderado"),CONCATENATE("R9C",'Mapa final'!$Q$59),"")</f>
        <v/>
      </c>
      <c r="X44" s="52" t="str">
        <f>IF(AND('Mapa final'!$AA$60="Baja",'Mapa final'!$AC$60="Moderado"),CONCATENATE("R9C",'Mapa final'!$Q$60),"")</f>
        <v/>
      </c>
      <c r="Y44" s="52" t="str">
        <f>IF(AND('Mapa final'!$AA$61="Baja",'Mapa final'!$AC$61="Moderado"),CONCATENATE("R9C",'Mapa final'!$Q$61),"")</f>
        <v/>
      </c>
      <c r="Z44" s="52" t="str">
        <f>IF(AND('Mapa final'!$AA$62="Baja",'Mapa final'!$AC$62="Moderado"),CONCATENATE("R9C",'Mapa final'!$Q$62),"")</f>
        <v/>
      </c>
      <c r="AA44" s="53"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37" t="str">
        <f>IF(AND('Mapa final'!$AA$60="Baja",'Mapa final'!$AC$60="Mayor"),CONCATENATE("R9C",'Mapa final'!$Q$60),"")</f>
        <v/>
      </c>
      <c r="AE44" s="37" t="str">
        <f>IF(AND('Mapa final'!$AA$61="Baja",'Mapa final'!$AC$61="Mayor"),CONCATENATE("R9C",'Mapa final'!$Q$61),"")</f>
        <v/>
      </c>
      <c r="AF44" s="37"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7"/>
      <c r="AO44" s="399"/>
      <c r="AP44" s="400"/>
      <c r="AQ44" s="400"/>
      <c r="AR44" s="400"/>
      <c r="AS44" s="400"/>
      <c r="AT44" s="40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327"/>
      <c r="C45" s="327"/>
      <c r="D45" s="328"/>
      <c r="E45" s="371"/>
      <c r="F45" s="372"/>
      <c r="G45" s="372"/>
      <c r="H45" s="372"/>
      <c r="I45" s="372"/>
      <c r="J45" s="63" t="str">
        <f>IF(AND('Mapa final'!$AA$64="Baja",'Mapa final'!$AC$64="Leve"),CONCATENATE("R10C",'Mapa final'!$Q$64),"")</f>
        <v/>
      </c>
      <c r="K45" s="64" t="str">
        <f>IF(AND('Mapa final'!$AA$65="Baja",'Mapa final'!$AC$65="Leve"),CONCATENATE("R10C",'Mapa final'!$Q$65),"")</f>
        <v/>
      </c>
      <c r="L45" s="64" t="str">
        <f>IF(AND('Mapa final'!$AA$66="Baja",'Mapa final'!$AC$66="Leve"),CONCATENATE("R10C",'Mapa final'!$Q$66),"")</f>
        <v/>
      </c>
      <c r="M45" s="64" t="str">
        <f>IF(AND('Mapa final'!$AA$67="Baja",'Mapa final'!$AC$67="Leve"),CONCATENATE("R10C",'Mapa final'!$Q$67),"")</f>
        <v/>
      </c>
      <c r="N45" s="64" t="str">
        <f>IF(AND('Mapa final'!$AA$68="Baja",'Mapa final'!$AC$68="Leve"),CONCATENATE("R10C",'Mapa final'!$Q$68),"")</f>
        <v/>
      </c>
      <c r="O45" s="65" t="str">
        <f>IF(AND('Mapa final'!$AA$69="Baja",'Mapa final'!$AC$69="Leve"),CONCATENATE("R10C",'Mapa final'!$Q$69),"")</f>
        <v/>
      </c>
      <c r="P45" s="51" t="str">
        <f>IF(AND('Mapa final'!$AA$64="Baja",'Mapa final'!$AC$64="Menor"),CONCATENATE("R10C",'Mapa final'!$Q$64),"")</f>
        <v/>
      </c>
      <c r="Q45" s="52" t="str">
        <f>IF(AND('Mapa final'!$AA$65="Baja",'Mapa final'!$AC$65="Menor"),CONCATENATE("R10C",'Mapa final'!$Q$65),"")</f>
        <v/>
      </c>
      <c r="R45" s="52" t="str">
        <f>IF(AND('Mapa final'!$AA$66="Baja",'Mapa final'!$AC$66="Menor"),CONCATENATE("R10C",'Mapa final'!$Q$66),"")</f>
        <v/>
      </c>
      <c r="S45" s="52" t="str">
        <f>IF(AND('Mapa final'!$AA$67="Baja",'Mapa final'!$AC$67="Menor"),CONCATENATE("R10C",'Mapa final'!$Q$67),"")</f>
        <v/>
      </c>
      <c r="T45" s="52" t="str">
        <f>IF(AND('Mapa final'!$AA$68="Baja",'Mapa final'!$AC$68="Menor"),CONCATENATE("R10C",'Mapa final'!$Q$68),"")</f>
        <v/>
      </c>
      <c r="U45" s="53" t="str">
        <f>IF(AND('Mapa final'!$AA$69="Baja",'Mapa final'!$AC$69="Menor"),CONCATENATE("R10C",'Mapa final'!$Q$69),"")</f>
        <v/>
      </c>
      <c r="V45" s="54" t="str">
        <f>IF(AND('Mapa final'!$AA$64="Baja",'Mapa final'!$AC$64="Moderado"),CONCATENATE("R10C",'Mapa final'!$Q$64),"")</f>
        <v/>
      </c>
      <c r="W45" s="55" t="str">
        <f>IF(AND('Mapa final'!$AA$65="Baja",'Mapa final'!$AC$65="Moderado"),CONCATENATE("R10C",'Mapa final'!$Q$65),"")</f>
        <v/>
      </c>
      <c r="X45" s="55" t="str">
        <f>IF(AND('Mapa final'!$AA$66="Baja",'Mapa final'!$AC$66="Moderado"),CONCATENATE("R10C",'Mapa final'!$Q$66),"")</f>
        <v/>
      </c>
      <c r="Y45" s="55" t="str">
        <f>IF(AND('Mapa final'!$AA$67="Baja",'Mapa final'!$AC$67="Moderado"),CONCATENATE("R10C",'Mapa final'!$Q$67),"")</f>
        <v/>
      </c>
      <c r="Z45" s="55" t="str">
        <f>IF(AND('Mapa final'!$AA$68="Baja",'Mapa final'!$AC$68="Moderado"),CONCATENATE("R10C",'Mapa final'!$Q$68),"")</f>
        <v/>
      </c>
      <c r="AA45" s="56" t="str">
        <f>IF(AND('Mapa final'!$AA$69="Baja",'Mapa final'!$AC$69="Moderado"),CONCATENATE("R10C",'Mapa final'!$Q$69),"")</f>
        <v/>
      </c>
      <c r="AB45" s="42" t="str">
        <f>IF(AND('Mapa final'!$AA$64="Baja",'Mapa final'!$AC$64="Mayor"),CONCATENATE("R10C",'Mapa final'!$Q$64),"")</f>
        <v/>
      </c>
      <c r="AC45" s="43" t="str">
        <f>IF(AND('Mapa final'!$AA$65="Baja",'Mapa final'!$AC$65="Mayor"),CONCATENATE("R10C",'Mapa final'!$Q$65),"")</f>
        <v/>
      </c>
      <c r="AD45" s="43" t="str">
        <f>IF(AND('Mapa final'!$AA$66="Baja",'Mapa final'!$AC$66="Mayor"),CONCATENATE("R10C",'Mapa final'!$Q$66),"")</f>
        <v/>
      </c>
      <c r="AE45" s="43" t="str">
        <f>IF(AND('Mapa final'!$AA$67="Baja",'Mapa final'!$AC$67="Mayor"),CONCATENATE("R10C",'Mapa final'!$Q$67),"")</f>
        <v/>
      </c>
      <c r="AF45" s="43" t="str">
        <f>IF(AND('Mapa final'!$AA$68="Baja",'Mapa final'!$AC$68="Mayor"),CONCATENATE("R10C",'Mapa final'!$Q$68),"")</f>
        <v/>
      </c>
      <c r="AG45" s="44" t="str">
        <f>IF(AND('Mapa final'!$AA$69="Baja",'Mapa final'!$AC$69="Mayor"),CONCATENATE("R10C",'Mapa final'!$Q$69),"")</f>
        <v/>
      </c>
      <c r="AH45" s="45" t="str">
        <f>IF(AND('Mapa final'!$AA$64="Baja",'Mapa final'!$AC$64="Catastrófico"),CONCATENATE("R10C",'Mapa final'!$Q$64),"")</f>
        <v/>
      </c>
      <c r="AI45" s="46" t="str">
        <f>IF(AND('Mapa final'!$AA$65="Baja",'Mapa final'!$AC$65="Catastrófico"),CONCATENATE("R10C",'Mapa final'!$Q$65),"")</f>
        <v/>
      </c>
      <c r="AJ45" s="46" t="str">
        <f>IF(AND('Mapa final'!$AA$66="Baja",'Mapa final'!$AC$66="Catastrófico"),CONCATENATE("R10C",'Mapa final'!$Q$66),"")</f>
        <v/>
      </c>
      <c r="AK45" s="46" t="str">
        <f>IF(AND('Mapa final'!$AA$67="Baja",'Mapa final'!$AC$67="Catastrófico"),CONCATENATE("R10C",'Mapa final'!$Q$67),"")</f>
        <v/>
      </c>
      <c r="AL45" s="46" t="str">
        <f>IF(AND('Mapa final'!$AA$68="Baja",'Mapa final'!$AC$68="Catastrófico"),CONCATENATE("R10C",'Mapa final'!$Q$68),"")</f>
        <v/>
      </c>
      <c r="AM45" s="47" t="str">
        <f>IF(AND('Mapa final'!$AA$69="Baja",'Mapa final'!$AC$69="Catastrófico"),CONCATENATE("R10C",'Mapa final'!$Q$69),"")</f>
        <v/>
      </c>
      <c r="AN45" s="67"/>
      <c r="AO45" s="402"/>
      <c r="AP45" s="403"/>
      <c r="AQ45" s="403"/>
      <c r="AR45" s="403"/>
      <c r="AS45" s="403"/>
      <c r="AT45" s="404"/>
    </row>
    <row r="46" spans="1:80" ht="46.5" customHeight="1" x14ac:dyDescent="0.45">
      <c r="A46" s="67"/>
      <c r="B46" s="327"/>
      <c r="C46" s="327"/>
      <c r="D46" s="328"/>
      <c r="E46" s="365" t="s">
        <v>108</v>
      </c>
      <c r="F46" s="366"/>
      <c r="G46" s="366"/>
      <c r="H46" s="366"/>
      <c r="I46" s="367"/>
      <c r="J46" s="57" t="str">
        <f>IF(AND('Mapa final'!$AA$10="Muy Baja",'Mapa final'!$AC$10="Leve"),CONCATENATE("R1C",'Mapa final'!$Q$10),"")</f>
        <v/>
      </c>
      <c r="K46" s="58" t="str">
        <f>IF(AND('Mapa final'!$AA$11="Muy Baja",'Mapa final'!$AC$11="Leve"),CONCATENATE("R1C",'Mapa final'!$Q$11),"")</f>
        <v/>
      </c>
      <c r="L46" s="58" t="str">
        <f>IF(AND('Mapa final'!$AA$12="Muy Baja",'Mapa final'!$AC$12="Leve"),CONCATENATE("R1C",'Mapa final'!$Q$12),"")</f>
        <v/>
      </c>
      <c r="M46" s="58" t="str">
        <f>IF(AND('Mapa final'!$AA$13="Muy Baja",'Mapa final'!$AC$13="Leve"),CONCATENATE("R1C",'Mapa final'!$Q$13),"")</f>
        <v/>
      </c>
      <c r="N46" s="58" t="str">
        <f>IF(AND('Mapa final'!$AA$14="Muy Baja",'Mapa final'!$AC$14="Leve"),CONCATENATE("R1C",'Mapa final'!$Q$14),"")</f>
        <v/>
      </c>
      <c r="O46" s="59" t="str">
        <f>IF(AND('Mapa final'!$AA$15="Muy Baja",'Mapa final'!$AC$15="Leve"),CONCATENATE("R1C",'Mapa final'!$Q$15),"")</f>
        <v/>
      </c>
      <c r="P46" s="57" t="str">
        <f>IF(AND('Mapa final'!$AA$10="Muy Baja",'Mapa final'!$AC$10="Menor"),CONCATENATE("R1C",'Mapa final'!$Q$10),"")</f>
        <v/>
      </c>
      <c r="Q46" s="58" t="str">
        <f>IF(AND('Mapa final'!$AA$11="Muy Baja",'Mapa final'!$AC$11="Menor"),CONCATENATE("R1C",'Mapa final'!$Q$11),"")</f>
        <v/>
      </c>
      <c r="R46" s="58" t="str">
        <f>IF(AND('Mapa final'!$AA$12="Muy Baja",'Mapa final'!$AC$12="Menor"),CONCATENATE("R1C",'Mapa final'!$Q$12),"")</f>
        <v/>
      </c>
      <c r="S46" s="58" t="str">
        <f>IF(AND('Mapa final'!$AA$13="Muy Baja",'Mapa final'!$AC$13="Menor"),CONCATENATE("R1C",'Mapa final'!$Q$13),"")</f>
        <v/>
      </c>
      <c r="T46" s="58" t="str">
        <f>IF(AND('Mapa final'!$AA$14="Muy Baja",'Mapa final'!$AC$14="Menor"),CONCATENATE("R1C",'Mapa final'!$Q$14),"")</f>
        <v/>
      </c>
      <c r="U46" s="59" t="str">
        <f>IF(AND('Mapa final'!$AA$15="Muy Baja",'Mapa final'!$AC$15="Menor"),CONCATENATE("R1C",'Mapa final'!$Q$15),"")</f>
        <v/>
      </c>
      <c r="V46" s="48" t="str">
        <f>IF(AND('Mapa final'!$AA$10="Muy Baja",'Mapa final'!$AC$10="Moderado"),CONCATENATE("R1C",'Mapa final'!$Q$10),"")</f>
        <v/>
      </c>
      <c r="W46" s="66" t="str">
        <f>IF(AND('Mapa final'!$AA$11="Muy Baja",'Mapa final'!$AC$11="Moderado"),CONCATENATE("R1C",'Mapa final'!$Q$11),"")</f>
        <v/>
      </c>
      <c r="X46" s="49" t="str">
        <f>IF(AND('Mapa final'!$AA$12="Muy Baja",'Mapa final'!$AC$12="Moderado"),CONCATENATE("R1C",'Mapa final'!$Q$12),"")</f>
        <v/>
      </c>
      <c r="Y46" s="49" t="str">
        <f>IF(AND('Mapa final'!$AA$13="Muy Baja",'Mapa final'!$AC$13="Moderado"),CONCATENATE("R1C",'Mapa final'!$Q$13),"")</f>
        <v/>
      </c>
      <c r="Z46" s="49" t="str">
        <f>IF(AND('Mapa final'!$AA$14="Muy Baja",'Mapa final'!$AC$14="Moderado"),CONCATENATE("R1C",'Mapa final'!$Q$14),"")</f>
        <v/>
      </c>
      <c r="AA46" s="50" t="str">
        <f>IF(AND('Mapa final'!$AA$15="Muy Baja",'Mapa final'!$AC$15="Moderado"),CONCATENATE("R1C",'Mapa final'!$Q$15),"")</f>
        <v/>
      </c>
      <c r="AB46" s="30" t="str">
        <f>IF(AND('Mapa final'!$AA$10="Muy Baja",'Mapa final'!$AC$10="Mayor"),CONCATENATE("R1C",'Mapa final'!$Q$10),"")</f>
        <v/>
      </c>
      <c r="AC46" s="31" t="str">
        <f>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IF(AND('Mapa final'!$AA$10="Muy Baja",'Mapa final'!$AC$10="Catastrófico"),CONCATENATE("R1C",'Mapa final'!$Q$10),"")</f>
        <v/>
      </c>
      <c r="AI46" s="34" t="str">
        <f>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327"/>
      <c r="C47" s="327"/>
      <c r="D47" s="328"/>
      <c r="E47" s="384"/>
      <c r="F47" s="369"/>
      <c r="G47" s="369"/>
      <c r="H47" s="369"/>
      <c r="I47" s="370"/>
      <c r="J47" s="60" t="str">
        <f>IF(AND('Mapa final'!$AA$16="Muy Baja",'Mapa final'!$AC$16="Leve"),CONCATENATE("R2C",'Mapa final'!$Q$16),"")</f>
        <v/>
      </c>
      <c r="K47" s="61" t="str">
        <f>IF(AND('Mapa final'!$AA$17="Muy Baja",'Mapa final'!$AC$17="Leve"),CONCATENATE("R2C",'Mapa final'!$Q$17),"")</f>
        <v/>
      </c>
      <c r="L47" s="61" t="str">
        <f>IF(AND('Mapa final'!$AA$18="Muy Baja",'Mapa final'!$AC$18="Leve"),CONCATENATE("R2C",'Mapa final'!$Q$18),"")</f>
        <v/>
      </c>
      <c r="M47" s="61" t="str">
        <f>IF(AND('Mapa final'!$AA$19="Muy Baja",'Mapa final'!$AC$19="Leve"),CONCATENATE("R2C",'Mapa final'!$Q$19),"")</f>
        <v/>
      </c>
      <c r="N47" s="61" t="str">
        <f>IF(AND('Mapa final'!$AA$20="Muy Baja",'Mapa final'!$AC$20="Leve"),CONCATENATE("R2C",'Mapa final'!$Q$20),"")</f>
        <v/>
      </c>
      <c r="O47" s="62" t="str">
        <f>IF(AND('Mapa final'!$AA$21="Muy Baja",'Mapa final'!$AC$21="Leve"),CONCATENATE("R2C",'Mapa final'!$Q$21),"")</f>
        <v/>
      </c>
      <c r="P47" s="60" t="str">
        <f>IF(AND('Mapa final'!$AA$16="Muy Baja",'Mapa final'!$AC$16="Menor"),CONCATENATE("R2C",'Mapa final'!$Q$16),"")</f>
        <v/>
      </c>
      <c r="Q47" s="61" t="str">
        <f>IF(AND('Mapa final'!$AA$17="Muy Baja",'Mapa final'!$AC$17="Menor"),CONCATENATE("R2C",'Mapa final'!$Q$17),"")</f>
        <v/>
      </c>
      <c r="R47" s="61" t="str">
        <f>IF(AND('Mapa final'!$AA$18="Muy Baja",'Mapa final'!$AC$18="Menor"),CONCATENATE("R2C",'Mapa final'!$Q$18),"")</f>
        <v/>
      </c>
      <c r="S47" s="61" t="str">
        <f>IF(AND('Mapa final'!$AA$19="Muy Baja",'Mapa final'!$AC$19="Menor"),CONCATENATE("R2C",'Mapa final'!$Q$19),"")</f>
        <v/>
      </c>
      <c r="T47" s="61" t="str">
        <f>IF(AND('Mapa final'!$AA$20="Muy Baja",'Mapa final'!$AC$20="Menor"),CONCATENATE("R2C",'Mapa final'!$Q$20),"")</f>
        <v/>
      </c>
      <c r="U47" s="62" t="str">
        <f>IF(AND('Mapa final'!$AA$21="Muy Baja",'Mapa final'!$AC$21="Menor"),CONCATENATE("R2C",'Mapa final'!$Q$21),"")</f>
        <v/>
      </c>
      <c r="V47" s="51" t="str">
        <f>IF(AND('Mapa final'!$AA$16="Muy Baja",'Mapa final'!$AC$16="Moderado"),CONCATENATE("R2C",'Mapa final'!$Q$16),"")</f>
        <v/>
      </c>
      <c r="W47" s="52" t="str">
        <f>IF(AND('Mapa final'!$AA$17="Muy Baja",'Mapa final'!$AC$17="Moderado"),CONCATENATE("R2C",'Mapa final'!$Q$17),"")</f>
        <v/>
      </c>
      <c r="X47" s="52" t="str">
        <f>IF(AND('Mapa final'!$AA$18="Muy Baja",'Mapa final'!$AC$18="Moderado"),CONCATENATE("R2C",'Mapa final'!$Q$18),"")</f>
        <v/>
      </c>
      <c r="Y47" s="52" t="str">
        <f>IF(AND('Mapa final'!$AA$19="Muy Baja",'Mapa final'!$AC$19="Moderado"),CONCATENATE("R2C",'Mapa final'!$Q$19),"")</f>
        <v/>
      </c>
      <c r="Z47" s="52" t="str">
        <f>IF(AND('Mapa final'!$AA$20="Muy Baja",'Mapa final'!$AC$20="Moderado"),CONCATENATE("R2C",'Mapa final'!$Q$20),"")</f>
        <v/>
      </c>
      <c r="AA47" s="53" t="str">
        <f>IF(AND('Mapa final'!$AA$21="Muy Baja",'Mapa final'!$AC$21="Moderado"),CONCATENATE("R2C",'Mapa final'!$Q$21),"")</f>
        <v/>
      </c>
      <c r="AB47" s="36" t="str">
        <f>IF(AND('Mapa final'!$AA$16="Muy Baja",'Mapa final'!$AC$16="Mayor"),CONCATENATE("R2C",'Mapa final'!$Q$16),"")</f>
        <v/>
      </c>
      <c r="AC47" s="37" t="str">
        <f>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IF(AND('Mapa final'!$AA$16="Muy Baja",'Mapa final'!$AC$16="Catastrófico"),CONCATENATE("R2C",'Mapa final'!$Q$16),"")</f>
        <v/>
      </c>
      <c r="AI47" s="40" t="str">
        <f>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327"/>
      <c r="C48" s="327"/>
      <c r="D48" s="328"/>
      <c r="E48" s="384"/>
      <c r="F48" s="369"/>
      <c r="G48" s="369"/>
      <c r="H48" s="369"/>
      <c r="I48" s="370"/>
      <c r="J48" s="60" t="str">
        <f>IF(AND('Mapa final'!$AA$22="Muy Baja",'Mapa final'!$AC$22="Leve"),CONCATENATE("R3C",'Mapa final'!$Q$22),"")</f>
        <v/>
      </c>
      <c r="K48" s="61" t="str">
        <f>IF(AND('Mapa final'!$AA$23="Muy Baja",'Mapa final'!$AC$23="Leve"),CONCATENATE("R3C",'Mapa final'!$Q$23),"")</f>
        <v/>
      </c>
      <c r="L48" s="61" t="str">
        <f>IF(AND('Mapa final'!$AA$24="Muy Baja",'Mapa final'!$AC$24="Leve"),CONCATENATE("R3C",'Mapa final'!$Q$24),"")</f>
        <v/>
      </c>
      <c r="M48" s="61" t="str">
        <f>IF(AND('Mapa final'!$AA$25="Muy Baja",'Mapa final'!$AC$25="Leve"),CONCATENATE("R3C",'Mapa final'!$Q$25),"")</f>
        <v/>
      </c>
      <c r="N48" s="61" t="str">
        <f>IF(AND('Mapa final'!$AA$26="Muy Baja",'Mapa final'!$AC$26="Leve"),CONCATENATE("R3C",'Mapa final'!$Q$26),"")</f>
        <v/>
      </c>
      <c r="O48" s="62" t="str">
        <f>IF(AND('Mapa final'!$AA$27="Muy Baja",'Mapa final'!$AC$27="Leve"),CONCATENATE("R3C",'Mapa final'!$Q$27),"")</f>
        <v/>
      </c>
      <c r="P48" s="60" t="str">
        <f>IF(AND('Mapa final'!$AA$22="Muy Baja",'Mapa final'!$AC$22="Menor"),CONCATENATE("R3C",'Mapa final'!$Q$22),"")</f>
        <v/>
      </c>
      <c r="Q48" s="61" t="str">
        <f>IF(AND('Mapa final'!$AA$23="Muy Baja",'Mapa final'!$AC$23="Menor"),CONCATENATE("R3C",'Mapa final'!$Q$23),"")</f>
        <v/>
      </c>
      <c r="R48" s="61" t="str">
        <f>IF(AND('Mapa final'!$AA$24="Muy Baja",'Mapa final'!$AC$24="Menor"),CONCATENATE("R3C",'Mapa final'!$Q$24),"")</f>
        <v/>
      </c>
      <c r="S48" s="61" t="str">
        <f>IF(AND('Mapa final'!$AA$25="Muy Baja",'Mapa final'!$AC$25="Menor"),CONCATENATE("R3C",'Mapa final'!$Q$25),"")</f>
        <v/>
      </c>
      <c r="T48" s="61" t="str">
        <f>IF(AND('Mapa final'!$AA$26="Muy Baja",'Mapa final'!$AC$26="Menor"),CONCATENATE("R3C",'Mapa final'!$Q$26),"")</f>
        <v/>
      </c>
      <c r="U48" s="62" t="str">
        <f>IF(AND('Mapa final'!$AA$27="Muy Baja",'Mapa final'!$AC$27="Menor"),CONCATENATE("R3C",'Mapa final'!$Q$27),"")</f>
        <v/>
      </c>
      <c r="V48" s="51" t="str">
        <f>IF(AND('Mapa final'!$AA$22="Muy Baja",'Mapa final'!$AC$22="Moderado"),CONCATENATE("R3C",'Mapa final'!$Q$22),"")</f>
        <v/>
      </c>
      <c r="W48" s="52" t="str">
        <f>IF(AND('Mapa final'!$AA$23="Muy Baja",'Mapa final'!$AC$23="Moderado"),CONCATENATE("R3C",'Mapa final'!$Q$23),"")</f>
        <v/>
      </c>
      <c r="X48" s="52" t="str">
        <f>IF(AND('Mapa final'!$AA$24="Muy Baja",'Mapa final'!$AC$24="Moderado"),CONCATENATE("R3C",'Mapa final'!$Q$24),"")</f>
        <v/>
      </c>
      <c r="Y48" s="52" t="str">
        <f>IF(AND('Mapa final'!$AA$25="Muy Baja",'Mapa final'!$AC$25="Moderado"),CONCATENATE("R3C",'Mapa final'!$Q$25),"")</f>
        <v/>
      </c>
      <c r="Z48" s="52" t="str">
        <f>IF(AND('Mapa final'!$AA$26="Muy Baja",'Mapa final'!$AC$26="Moderado"),CONCATENATE("R3C",'Mapa final'!$Q$26),"")</f>
        <v/>
      </c>
      <c r="AA48" s="53"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327"/>
      <c r="C49" s="327"/>
      <c r="D49" s="328"/>
      <c r="E49" s="368"/>
      <c r="F49" s="369"/>
      <c r="G49" s="369"/>
      <c r="H49" s="369"/>
      <c r="I49" s="370"/>
      <c r="J49" s="60" t="str">
        <f>IF(AND('Mapa final'!$AA$28="Muy Baja",'Mapa final'!$AC$28="Leve"),CONCATENATE("R4C",'Mapa final'!$Q$28),"")</f>
        <v/>
      </c>
      <c r="K49" s="61" t="str">
        <f>IF(AND('Mapa final'!$AA$29="Muy Baja",'Mapa final'!$AC$29="Leve"),CONCATENATE("R4C",'Mapa final'!$Q$29),"")</f>
        <v/>
      </c>
      <c r="L49" s="61" t="str">
        <f>IF(AND('Mapa final'!$AA$30="Muy Baja",'Mapa final'!$AC$30="Leve"),CONCATENATE("R4C",'Mapa final'!$Q$30),"")</f>
        <v/>
      </c>
      <c r="M49" s="61" t="str">
        <f>IF(AND('Mapa final'!$AA$31="Muy Baja",'Mapa final'!$AC$31="Leve"),CONCATENATE("R4C",'Mapa final'!$Q$31),"")</f>
        <v/>
      </c>
      <c r="N49" s="61" t="str">
        <f>IF(AND('Mapa final'!$AA$32="Muy Baja",'Mapa final'!$AC$32="Leve"),CONCATENATE("R4C",'Mapa final'!$Q$32),"")</f>
        <v/>
      </c>
      <c r="O49" s="62" t="str">
        <f>IF(AND('Mapa final'!$AA$33="Muy Baja",'Mapa final'!$AC$33="Leve"),CONCATENATE("R4C",'Mapa final'!$Q$33),"")</f>
        <v/>
      </c>
      <c r="P49" s="60" t="str">
        <f>IF(AND('Mapa final'!$AA$28="Muy Baja",'Mapa final'!$AC$28="Menor"),CONCATENATE("R4C",'Mapa final'!$Q$28),"")</f>
        <v/>
      </c>
      <c r="Q49" s="61" t="str">
        <f>IF(AND('Mapa final'!$AA$29="Muy Baja",'Mapa final'!$AC$29="Menor"),CONCATENATE("R4C",'Mapa final'!$Q$29),"")</f>
        <v/>
      </c>
      <c r="R49" s="61" t="str">
        <f>IF(AND('Mapa final'!$AA$30="Muy Baja",'Mapa final'!$AC$30="Menor"),CONCATENATE("R4C",'Mapa final'!$Q$30),"")</f>
        <v/>
      </c>
      <c r="S49" s="61" t="str">
        <f>IF(AND('Mapa final'!$AA$31="Muy Baja",'Mapa final'!$AC$31="Menor"),CONCATENATE("R4C",'Mapa final'!$Q$31),"")</f>
        <v/>
      </c>
      <c r="T49" s="61" t="str">
        <f>IF(AND('Mapa final'!$AA$32="Muy Baja",'Mapa final'!$AC$32="Menor"),CONCATENATE("R4C",'Mapa final'!$Q$32),"")</f>
        <v/>
      </c>
      <c r="U49" s="62" t="str">
        <f>IF(AND('Mapa final'!$AA$33="Muy Baja",'Mapa final'!$AC$33="Menor"),CONCATENATE("R4C",'Mapa final'!$Q$33),"")</f>
        <v/>
      </c>
      <c r="V49" s="51" t="str">
        <f>IF(AND('Mapa final'!$AA$28="Muy Baja",'Mapa final'!$AC$28="Moderado"),CONCATENATE("R4C",'Mapa final'!$Q$28),"")</f>
        <v/>
      </c>
      <c r="W49" s="52" t="str">
        <f>IF(AND('Mapa final'!$AA$29="Muy Baja",'Mapa final'!$AC$29="Moderado"),CONCATENATE("R4C",'Mapa final'!$Q$29),"")</f>
        <v/>
      </c>
      <c r="X49" s="52" t="str">
        <f>IF(AND('Mapa final'!$AA$30="Muy Baja",'Mapa final'!$AC$30="Moderado"),CONCATENATE("R4C",'Mapa final'!$Q$30),"")</f>
        <v/>
      </c>
      <c r="Y49" s="52" t="str">
        <f>IF(AND('Mapa final'!$AA$31="Muy Baja",'Mapa final'!$AC$31="Moderado"),CONCATENATE("R4C",'Mapa final'!$Q$31),"")</f>
        <v/>
      </c>
      <c r="Z49" s="52" t="str">
        <f>IF(AND('Mapa final'!$AA$32="Muy Baja",'Mapa final'!$AC$32="Moderado"),CONCATENATE("R4C",'Mapa final'!$Q$32),"")</f>
        <v/>
      </c>
      <c r="AA49" s="53"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327"/>
      <c r="C50" s="327"/>
      <c r="D50" s="328"/>
      <c r="E50" s="368"/>
      <c r="F50" s="369"/>
      <c r="G50" s="369"/>
      <c r="H50" s="369"/>
      <c r="I50" s="370"/>
      <c r="J50" s="60" t="str">
        <f>IF(AND('Mapa final'!$AA$34="Muy Baja",'Mapa final'!$AC$34="Leve"),CONCATENATE("R5C",'Mapa final'!$Q$34),"")</f>
        <v/>
      </c>
      <c r="K50" s="61" t="str">
        <f>IF(AND('Mapa final'!$AA$35="Muy Baja",'Mapa final'!$AC$35="Leve"),CONCATENATE("R5C",'Mapa final'!$Q$35),"")</f>
        <v/>
      </c>
      <c r="L50" s="61" t="str">
        <f>IF(AND('Mapa final'!$AA$36="Muy Baja",'Mapa final'!$AC$36="Leve"),CONCATENATE("R5C",'Mapa final'!$Q$36),"")</f>
        <v/>
      </c>
      <c r="M50" s="61" t="str">
        <f>IF(AND('Mapa final'!$AA$37="Muy Baja",'Mapa final'!$AC$37="Leve"),CONCATENATE("R5C",'Mapa final'!$Q$37),"")</f>
        <v/>
      </c>
      <c r="N50" s="61" t="str">
        <f>IF(AND('Mapa final'!$AA$38="Muy Baja",'Mapa final'!$AC$38="Leve"),CONCATENATE("R5C",'Mapa final'!$Q$38),"")</f>
        <v/>
      </c>
      <c r="O50" s="62" t="str">
        <f>IF(AND('Mapa final'!$AA$39="Muy Baja",'Mapa final'!$AC$39="Leve"),CONCATENATE("R5C",'Mapa final'!$Q$39),"")</f>
        <v/>
      </c>
      <c r="P50" s="60" t="str">
        <f>IF(AND('Mapa final'!$AA$34="Muy Baja",'Mapa final'!$AC$34="Menor"),CONCATENATE("R5C",'Mapa final'!$Q$34),"")</f>
        <v/>
      </c>
      <c r="Q50" s="61" t="str">
        <f>IF(AND('Mapa final'!$AA$35="Muy Baja",'Mapa final'!$AC$35="Menor"),CONCATENATE("R5C",'Mapa final'!$Q$35),"")</f>
        <v/>
      </c>
      <c r="R50" s="61" t="str">
        <f>IF(AND('Mapa final'!$AA$36="Muy Baja",'Mapa final'!$AC$36="Menor"),CONCATENATE("R5C",'Mapa final'!$Q$36),"")</f>
        <v/>
      </c>
      <c r="S50" s="61" t="str">
        <f>IF(AND('Mapa final'!$AA$37="Muy Baja",'Mapa final'!$AC$37="Menor"),CONCATENATE("R5C",'Mapa final'!$Q$37),"")</f>
        <v/>
      </c>
      <c r="T50" s="61" t="str">
        <f>IF(AND('Mapa final'!$AA$38="Muy Baja",'Mapa final'!$AC$38="Menor"),CONCATENATE("R5C",'Mapa final'!$Q$38),"")</f>
        <v/>
      </c>
      <c r="U50" s="62" t="str">
        <f>IF(AND('Mapa final'!$AA$39="Muy Baja",'Mapa final'!$AC$39="Menor"),CONCATENATE("R5C",'Mapa final'!$Q$39),"")</f>
        <v/>
      </c>
      <c r="V50" s="51" t="str">
        <f>IF(AND('Mapa final'!$AA$34="Muy Baja",'Mapa final'!$AC$34="Moderado"),CONCATENATE("R5C",'Mapa final'!$Q$34),"")</f>
        <v/>
      </c>
      <c r="W50" s="52" t="str">
        <f>IF(AND('Mapa final'!$AA$35="Muy Baja",'Mapa final'!$AC$35="Moderado"),CONCATENATE("R5C",'Mapa final'!$Q$35),"")</f>
        <v/>
      </c>
      <c r="X50" s="52" t="str">
        <f>IF(AND('Mapa final'!$AA$36="Muy Baja",'Mapa final'!$AC$36="Moderado"),CONCATENATE("R5C",'Mapa final'!$Q$36),"")</f>
        <v/>
      </c>
      <c r="Y50" s="52" t="str">
        <f>IF(AND('Mapa final'!$AA$37="Muy Baja",'Mapa final'!$AC$37="Moderado"),CONCATENATE("R5C",'Mapa final'!$Q$37),"")</f>
        <v/>
      </c>
      <c r="Z50" s="52" t="str">
        <f>IF(AND('Mapa final'!$AA$38="Muy Baja",'Mapa final'!$AC$38="Moderado"),CONCATENATE("R5C",'Mapa final'!$Q$38),"")</f>
        <v/>
      </c>
      <c r="AA50" s="53"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37" t="str">
        <f>IF(AND('Mapa final'!$AA$36="Muy Baja",'Mapa final'!$AC$36="Mayor"),CONCATENATE("R5C",'Mapa final'!$Q$36),"")</f>
        <v/>
      </c>
      <c r="AE50" s="37" t="str">
        <f>IF(AND('Mapa final'!$AA$37="Muy Baja",'Mapa final'!$AC$37="Mayor"),CONCATENATE("R5C",'Mapa final'!$Q$37),"")</f>
        <v/>
      </c>
      <c r="AF50" s="37"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327"/>
      <c r="C51" s="327"/>
      <c r="D51" s="328"/>
      <c r="E51" s="368"/>
      <c r="F51" s="369"/>
      <c r="G51" s="369"/>
      <c r="H51" s="369"/>
      <c r="I51" s="370"/>
      <c r="J51" s="60" t="str">
        <f>IF(AND('Mapa final'!$AA$40="Muy Baja",'Mapa final'!$AC$40="Leve"),CONCATENATE("R6C",'Mapa final'!$Q$40),"")</f>
        <v/>
      </c>
      <c r="K51" s="61" t="str">
        <f>IF(AND('Mapa final'!$AA$41="Muy Baja",'Mapa final'!$AC$41="Leve"),CONCATENATE("R6C",'Mapa final'!$Q$41),"")</f>
        <v/>
      </c>
      <c r="L51" s="61" t="str">
        <f>IF(AND('Mapa final'!$AA$42="Muy Baja",'Mapa final'!$AC$42="Leve"),CONCATENATE("R6C",'Mapa final'!$Q$42),"")</f>
        <v/>
      </c>
      <c r="M51" s="61" t="str">
        <f>IF(AND('Mapa final'!$AA$43="Muy Baja",'Mapa final'!$AC$43="Leve"),CONCATENATE("R6C",'Mapa final'!$Q$43),"")</f>
        <v/>
      </c>
      <c r="N51" s="61" t="str">
        <f>IF(AND('Mapa final'!$AA$44="Muy Baja",'Mapa final'!$AC$44="Leve"),CONCATENATE("R6C",'Mapa final'!$Q$44),"")</f>
        <v/>
      </c>
      <c r="O51" s="62" t="str">
        <f>IF(AND('Mapa final'!$AA$45="Muy Baja",'Mapa final'!$AC$45="Leve"),CONCATENATE("R6C",'Mapa final'!$Q$45),"")</f>
        <v/>
      </c>
      <c r="P51" s="60" t="str">
        <f>IF(AND('Mapa final'!$AA$40="Muy Baja",'Mapa final'!$AC$40="Menor"),CONCATENATE("R6C",'Mapa final'!$Q$40),"")</f>
        <v/>
      </c>
      <c r="Q51" s="61" t="str">
        <f>IF(AND('Mapa final'!$AA$41="Muy Baja",'Mapa final'!$AC$41="Menor"),CONCATENATE("R6C",'Mapa final'!$Q$41),"")</f>
        <v/>
      </c>
      <c r="R51" s="61" t="str">
        <f>IF(AND('Mapa final'!$AA$42="Muy Baja",'Mapa final'!$AC$42="Menor"),CONCATENATE("R6C",'Mapa final'!$Q$42),"")</f>
        <v/>
      </c>
      <c r="S51" s="61" t="str">
        <f>IF(AND('Mapa final'!$AA$43="Muy Baja",'Mapa final'!$AC$43="Menor"),CONCATENATE("R6C",'Mapa final'!$Q$43),"")</f>
        <v/>
      </c>
      <c r="T51" s="61" t="str">
        <f>IF(AND('Mapa final'!$AA$44="Muy Baja",'Mapa final'!$AC$44="Menor"),CONCATENATE("R6C",'Mapa final'!$Q$44),"")</f>
        <v/>
      </c>
      <c r="U51" s="62" t="str">
        <f>IF(AND('Mapa final'!$AA$45="Muy Baja",'Mapa final'!$AC$45="Menor"),CONCATENATE("R6C",'Mapa final'!$Q$45),"")</f>
        <v/>
      </c>
      <c r="V51" s="51" t="str">
        <f>IF(AND('Mapa final'!$AA$40="Muy Baja",'Mapa final'!$AC$40="Moderado"),CONCATENATE("R6C",'Mapa final'!$Q$40),"")</f>
        <v/>
      </c>
      <c r="W51" s="52" t="str">
        <f>IF(AND('Mapa final'!$AA$41="Muy Baja",'Mapa final'!$AC$41="Moderado"),CONCATENATE("R6C",'Mapa final'!$Q$41),"")</f>
        <v/>
      </c>
      <c r="X51" s="52" t="str">
        <f>IF(AND('Mapa final'!$AA$42="Muy Baja",'Mapa final'!$AC$42="Moderado"),CONCATENATE("R6C",'Mapa final'!$Q$42),"")</f>
        <v/>
      </c>
      <c r="Y51" s="52" t="str">
        <f>IF(AND('Mapa final'!$AA$43="Muy Baja",'Mapa final'!$AC$43="Moderado"),CONCATENATE("R6C",'Mapa final'!$Q$43),"")</f>
        <v/>
      </c>
      <c r="Z51" s="52" t="str">
        <f>IF(AND('Mapa final'!$AA$44="Muy Baja",'Mapa final'!$AC$44="Moderado"),CONCATENATE("R6C",'Mapa final'!$Q$44),"")</f>
        <v/>
      </c>
      <c r="AA51" s="53"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37" t="str">
        <f>IF(AND('Mapa final'!$AA$42="Muy Baja",'Mapa final'!$AC$42="Mayor"),CONCATENATE("R6C",'Mapa final'!$Q$42),"")</f>
        <v/>
      </c>
      <c r="AE51" s="37" t="str">
        <f>IF(AND('Mapa final'!$AA$43="Muy Baja",'Mapa final'!$AC$43="Mayor"),CONCATENATE("R6C",'Mapa final'!$Q$43),"")</f>
        <v/>
      </c>
      <c r="AF51" s="37"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327"/>
      <c r="C52" s="327"/>
      <c r="D52" s="328"/>
      <c r="E52" s="368"/>
      <c r="F52" s="369"/>
      <c r="G52" s="369"/>
      <c r="H52" s="369"/>
      <c r="I52" s="370"/>
      <c r="J52" s="60" t="str">
        <f>IF(AND('Mapa final'!$AA$46="Muy Baja",'Mapa final'!$AC$46="Leve"),CONCATENATE("R7C",'Mapa final'!$Q$46),"")</f>
        <v/>
      </c>
      <c r="K52" s="61" t="str">
        <f>IF(AND('Mapa final'!$AA$47="Muy Baja",'Mapa final'!$AC$47="Leve"),CONCATENATE("R7C",'Mapa final'!$Q$47),"")</f>
        <v/>
      </c>
      <c r="L52" s="61" t="str">
        <f>IF(AND('Mapa final'!$AA$48="Muy Baja",'Mapa final'!$AC$48="Leve"),CONCATENATE("R7C",'Mapa final'!$Q$48),"")</f>
        <v/>
      </c>
      <c r="M52" s="61" t="str">
        <f>IF(AND('Mapa final'!$AA$49="Muy Baja",'Mapa final'!$AC$49="Leve"),CONCATENATE("R7C",'Mapa final'!$Q$49),"")</f>
        <v/>
      </c>
      <c r="N52" s="61" t="str">
        <f>IF(AND('Mapa final'!$AA$50="Muy Baja",'Mapa final'!$AC$50="Leve"),CONCATENATE("R7C",'Mapa final'!$Q$50),"")</f>
        <v/>
      </c>
      <c r="O52" s="62" t="str">
        <f>IF(AND('Mapa final'!$AA$51="Muy Baja",'Mapa final'!$AC$51="Leve"),CONCATENATE("R7C",'Mapa final'!$Q$51),"")</f>
        <v/>
      </c>
      <c r="P52" s="60" t="str">
        <f>IF(AND('Mapa final'!$AA$46="Muy Baja",'Mapa final'!$AC$46="Menor"),CONCATENATE("R7C",'Mapa final'!$Q$46),"")</f>
        <v/>
      </c>
      <c r="Q52" s="61" t="str">
        <f>IF(AND('Mapa final'!$AA$47="Muy Baja",'Mapa final'!$AC$47="Menor"),CONCATENATE("R7C",'Mapa final'!$Q$47),"")</f>
        <v/>
      </c>
      <c r="R52" s="61" t="str">
        <f>IF(AND('Mapa final'!$AA$48="Muy Baja",'Mapa final'!$AC$48="Menor"),CONCATENATE("R7C",'Mapa final'!$Q$48),"")</f>
        <v/>
      </c>
      <c r="S52" s="61" t="str">
        <f>IF(AND('Mapa final'!$AA$49="Muy Baja",'Mapa final'!$AC$49="Menor"),CONCATENATE("R7C",'Mapa final'!$Q$49),"")</f>
        <v/>
      </c>
      <c r="T52" s="61" t="str">
        <f>IF(AND('Mapa final'!$AA$50="Muy Baja",'Mapa final'!$AC$50="Menor"),CONCATENATE("R7C",'Mapa final'!$Q$50),"")</f>
        <v/>
      </c>
      <c r="U52" s="62" t="str">
        <f>IF(AND('Mapa final'!$AA$51="Muy Baja",'Mapa final'!$AC$51="Menor"),CONCATENATE("R7C",'Mapa final'!$Q$51),"")</f>
        <v/>
      </c>
      <c r="V52" s="51" t="str">
        <f>IF(AND('Mapa final'!$AA$46="Muy Baja",'Mapa final'!$AC$46="Moderado"),CONCATENATE("R7C",'Mapa final'!$Q$46),"")</f>
        <v/>
      </c>
      <c r="W52" s="52" t="str">
        <f>IF(AND('Mapa final'!$AA$47="Muy Baja",'Mapa final'!$AC$47="Moderado"),CONCATENATE("R7C",'Mapa final'!$Q$47),"")</f>
        <v/>
      </c>
      <c r="X52" s="52" t="str">
        <f>IF(AND('Mapa final'!$AA$48="Muy Baja",'Mapa final'!$AC$48="Moderado"),CONCATENATE("R7C",'Mapa final'!$Q$48),"")</f>
        <v/>
      </c>
      <c r="Y52" s="52" t="str">
        <f>IF(AND('Mapa final'!$AA$49="Muy Baja",'Mapa final'!$AC$49="Moderado"),CONCATENATE("R7C",'Mapa final'!$Q$49),"")</f>
        <v/>
      </c>
      <c r="Z52" s="52" t="str">
        <f>IF(AND('Mapa final'!$AA$50="Muy Baja",'Mapa final'!$AC$50="Moderado"),CONCATENATE("R7C",'Mapa final'!$Q$50),"")</f>
        <v/>
      </c>
      <c r="AA52" s="53"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37" t="str">
        <f>IF(AND('Mapa final'!$AA$48="Muy Baja",'Mapa final'!$AC$48="Mayor"),CONCATENATE("R7C",'Mapa final'!$Q$48),"")</f>
        <v/>
      </c>
      <c r="AE52" s="37" t="str">
        <f>IF(AND('Mapa final'!$AA$49="Muy Baja",'Mapa final'!$AC$49="Mayor"),CONCATENATE("R7C",'Mapa final'!$Q$49),"")</f>
        <v/>
      </c>
      <c r="AF52" s="37"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327"/>
      <c r="C53" s="327"/>
      <c r="D53" s="328"/>
      <c r="E53" s="368"/>
      <c r="F53" s="369"/>
      <c r="G53" s="369"/>
      <c r="H53" s="369"/>
      <c r="I53" s="370"/>
      <c r="J53" s="60" t="str">
        <f>IF(AND('Mapa final'!$AA$52="Muy Baja",'Mapa final'!$AC$52="Leve"),CONCATENATE("R8C",'Mapa final'!$Q$52),"")</f>
        <v/>
      </c>
      <c r="K53" s="61" t="str">
        <f>IF(AND('Mapa final'!$AA$53="Muy Baja",'Mapa final'!$AC$53="Leve"),CONCATENATE("R8C",'Mapa final'!$Q$53),"")</f>
        <v/>
      </c>
      <c r="L53" s="61" t="str">
        <f>IF(AND('Mapa final'!$AA$54="Muy Baja",'Mapa final'!$AC$54="Leve"),CONCATENATE("R8C",'Mapa final'!$Q$54),"")</f>
        <v/>
      </c>
      <c r="M53" s="61" t="str">
        <f>IF(AND('Mapa final'!$AA$55="Muy Baja",'Mapa final'!$AC$55="Leve"),CONCATENATE("R8C",'Mapa final'!$Q$55),"")</f>
        <v/>
      </c>
      <c r="N53" s="61" t="str">
        <f>IF(AND('Mapa final'!$AA$56="Muy Baja",'Mapa final'!$AC$56="Leve"),CONCATENATE("R8C",'Mapa final'!$Q$56),"")</f>
        <v/>
      </c>
      <c r="O53" s="62" t="str">
        <f>IF(AND('Mapa final'!$AA$57="Muy Baja",'Mapa final'!$AC$57="Leve"),CONCATENATE("R8C",'Mapa final'!$Q$57),"")</f>
        <v/>
      </c>
      <c r="P53" s="60" t="str">
        <f>IF(AND('Mapa final'!$AA$52="Muy Baja",'Mapa final'!$AC$52="Menor"),CONCATENATE("R8C",'Mapa final'!$Q$52),"")</f>
        <v/>
      </c>
      <c r="Q53" s="61" t="str">
        <f>IF(AND('Mapa final'!$AA$53="Muy Baja",'Mapa final'!$AC$53="Menor"),CONCATENATE("R8C",'Mapa final'!$Q$53),"")</f>
        <v/>
      </c>
      <c r="R53" s="61" t="str">
        <f>IF(AND('Mapa final'!$AA$54="Muy Baja",'Mapa final'!$AC$54="Menor"),CONCATENATE("R8C",'Mapa final'!$Q$54),"")</f>
        <v/>
      </c>
      <c r="S53" s="61" t="str">
        <f>IF(AND('Mapa final'!$AA$55="Muy Baja",'Mapa final'!$AC$55="Menor"),CONCATENATE("R8C",'Mapa final'!$Q$55),"")</f>
        <v/>
      </c>
      <c r="T53" s="61" t="str">
        <f>IF(AND('Mapa final'!$AA$56="Muy Baja",'Mapa final'!$AC$56="Menor"),CONCATENATE("R8C",'Mapa final'!$Q$56),"")</f>
        <v/>
      </c>
      <c r="U53" s="62" t="str">
        <f>IF(AND('Mapa final'!$AA$57="Muy Baja",'Mapa final'!$AC$57="Menor"),CONCATENATE("R8C",'Mapa final'!$Q$57),"")</f>
        <v/>
      </c>
      <c r="V53" s="51" t="str">
        <f>IF(AND('Mapa final'!$AA$52="Muy Baja",'Mapa final'!$AC$52="Moderado"),CONCATENATE("R8C",'Mapa final'!$Q$52),"")</f>
        <v/>
      </c>
      <c r="W53" s="52" t="str">
        <f>IF(AND('Mapa final'!$AA$53="Muy Baja",'Mapa final'!$AC$53="Moderado"),CONCATENATE("R8C",'Mapa final'!$Q$53),"")</f>
        <v/>
      </c>
      <c r="X53" s="52" t="str">
        <f>IF(AND('Mapa final'!$AA$54="Muy Baja",'Mapa final'!$AC$54="Moderado"),CONCATENATE("R8C",'Mapa final'!$Q$54),"")</f>
        <v/>
      </c>
      <c r="Y53" s="52" t="str">
        <f>IF(AND('Mapa final'!$AA$55="Muy Baja",'Mapa final'!$AC$55="Moderado"),CONCATENATE("R8C",'Mapa final'!$Q$55),"")</f>
        <v/>
      </c>
      <c r="Z53" s="52" t="str">
        <f>IF(AND('Mapa final'!$AA$56="Muy Baja",'Mapa final'!$AC$56="Moderado"),CONCATENATE("R8C",'Mapa final'!$Q$56),"")</f>
        <v/>
      </c>
      <c r="AA53" s="53"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37" t="str">
        <f>IF(AND('Mapa final'!$AA$54="Muy Baja",'Mapa final'!$AC$54="Mayor"),CONCATENATE("R8C",'Mapa final'!$Q$54),"")</f>
        <v/>
      </c>
      <c r="AE53" s="37" t="str">
        <f>IF(AND('Mapa final'!$AA$55="Muy Baja",'Mapa final'!$AC$55="Mayor"),CONCATENATE("R8C",'Mapa final'!$Q$55),"")</f>
        <v/>
      </c>
      <c r="AF53" s="37"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327"/>
      <c r="C54" s="327"/>
      <c r="D54" s="328"/>
      <c r="E54" s="368"/>
      <c r="F54" s="369"/>
      <c r="G54" s="369"/>
      <c r="H54" s="369"/>
      <c r="I54" s="370"/>
      <c r="J54" s="60" t="str">
        <f>IF(AND('Mapa final'!$AA$58="Muy Baja",'Mapa final'!$AC$58="Leve"),CONCATENATE("R9C",'Mapa final'!$Q$58),"")</f>
        <v/>
      </c>
      <c r="K54" s="61" t="str">
        <f>IF(AND('Mapa final'!$AA$59="Muy Baja",'Mapa final'!$AC$59="Leve"),CONCATENATE("R9C",'Mapa final'!$Q$59),"")</f>
        <v/>
      </c>
      <c r="L54" s="61" t="str">
        <f>IF(AND('Mapa final'!$AA$60="Muy Baja",'Mapa final'!$AC$60="Leve"),CONCATENATE("R9C",'Mapa final'!$Q$60),"")</f>
        <v/>
      </c>
      <c r="M54" s="61" t="str">
        <f>IF(AND('Mapa final'!$AA$61="Muy Baja",'Mapa final'!$AC$61="Leve"),CONCATENATE("R9C",'Mapa final'!$Q$61),"")</f>
        <v/>
      </c>
      <c r="N54" s="61" t="str">
        <f>IF(AND('Mapa final'!$AA$62="Muy Baja",'Mapa final'!$AC$62="Leve"),CONCATENATE("R9C",'Mapa final'!$Q$62),"")</f>
        <v/>
      </c>
      <c r="O54" s="62" t="str">
        <f>IF(AND('Mapa final'!$AA$63="Muy Baja",'Mapa final'!$AC$63="Leve"),CONCATENATE("R9C",'Mapa final'!$Q$63),"")</f>
        <v/>
      </c>
      <c r="P54" s="60" t="str">
        <f>IF(AND('Mapa final'!$AA$58="Muy Baja",'Mapa final'!$AC$58="Menor"),CONCATENATE("R9C",'Mapa final'!$Q$58),"")</f>
        <v/>
      </c>
      <c r="Q54" s="61" t="str">
        <f>IF(AND('Mapa final'!$AA$59="Muy Baja",'Mapa final'!$AC$59="Menor"),CONCATENATE("R9C",'Mapa final'!$Q$59),"")</f>
        <v/>
      </c>
      <c r="R54" s="61" t="str">
        <f>IF(AND('Mapa final'!$AA$60="Muy Baja",'Mapa final'!$AC$60="Menor"),CONCATENATE("R9C",'Mapa final'!$Q$60),"")</f>
        <v/>
      </c>
      <c r="S54" s="61" t="str">
        <f>IF(AND('Mapa final'!$AA$61="Muy Baja",'Mapa final'!$AC$61="Menor"),CONCATENATE("R9C",'Mapa final'!$Q$61),"")</f>
        <v/>
      </c>
      <c r="T54" s="61" t="str">
        <f>IF(AND('Mapa final'!$AA$62="Muy Baja",'Mapa final'!$AC$62="Menor"),CONCATENATE("R9C",'Mapa final'!$Q$62),"")</f>
        <v/>
      </c>
      <c r="U54" s="62" t="str">
        <f>IF(AND('Mapa final'!$AA$63="Muy Baja",'Mapa final'!$AC$63="Menor"),CONCATENATE("R9C",'Mapa final'!$Q$63),"")</f>
        <v/>
      </c>
      <c r="V54" s="51" t="str">
        <f>IF(AND('Mapa final'!$AA$58="Muy Baja",'Mapa final'!$AC$58="Moderado"),CONCATENATE("R9C",'Mapa final'!$Q$58),"")</f>
        <v/>
      </c>
      <c r="W54" s="52" t="str">
        <f>IF(AND('Mapa final'!$AA$59="Muy Baja",'Mapa final'!$AC$59="Moderado"),CONCATENATE("R9C",'Mapa final'!$Q$59),"")</f>
        <v/>
      </c>
      <c r="X54" s="52" t="str">
        <f>IF(AND('Mapa final'!$AA$60="Muy Baja",'Mapa final'!$AC$60="Moderado"),CONCATENATE("R9C",'Mapa final'!$Q$60),"")</f>
        <v/>
      </c>
      <c r="Y54" s="52" t="str">
        <f>IF(AND('Mapa final'!$AA$61="Muy Baja",'Mapa final'!$AC$61="Moderado"),CONCATENATE("R9C",'Mapa final'!$Q$61),"")</f>
        <v/>
      </c>
      <c r="Z54" s="52" t="str">
        <f>IF(AND('Mapa final'!$AA$62="Muy Baja",'Mapa final'!$AC$62="Moderado"),CONCATENATE("R9C",'Mapa final'!$Q$62),"")</f>
        <v/>
      </c>
      <c r="AA54" s="53"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37" t="str">
        <f>IF(AND('Mapa final'!$AA$60="Muy Baja",'Mapa final'!$AC$60="Mayor"),CONCATENATE("R9C",'Mapa final'!$Q$60),"")</f>
        <v/>
      </c>
      <c r="AE54" s="37" t="str">
        <f>IF(AND('Mapa final'!$AA$61="Muy Baja",'Mapa final'!$AC$61="Mayor"),CONCATENATE("R9C",'Mapa final'!$Q$61),"")</f>
        <v/>
      </c>
      <c r="AF54" s="37"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327"/>
      <c r="C55" s="327"/>
      <c r="D55" s="328"/>
      <c r="E55" s="371"/>
      <c r="F55" s="372"/>
      <c r="G55" s="372"/>
      <c r="H55" s="372"/>
      <c r="I55" s="373"/>
      <c r="J55" s="63" t="str">
        <f>IF(AND('Mapa final'!$AA$64="Muy Baja",'Mapa final'!$AC$64="Leve"),CONCATENATE("R10C",'Mapa final'!$Q$64),"")</f>
        <v/>
      </c>
      <c r="K55" s="64" t="str">
        <f>IF(AND('Mapa final'!$AA$65="Muy Baja",'Mapa final'!$AC$65="Leve"),CONCATENATE("R10C",'Mapa final'!$Q$65),"")</f>
        <v/>
      </c>
      <c r="L55" s="64" t="str">
        <f>IF(AND('Mapa final'!$AA$66="Muy Baja",'Mapa final'!$AC$66="Leve"),CONCATENATE("R10C",'Mapa final'!$Q$66),"")</f>
        <v/>
      </c>
      <c r="M55" s="64" t="str">
        <f>IF(AND('Mapa final'!$AA$67="Muy Baja",'Mapa final'!$AC$67="Leve"),CONCATENATE("R10C",'Mapa final'!$Q$67),"")</f>
        <v/>
      </c>
      <c r="N55" s="64" t="str">
        <f>IF(AND('Mapa final'!$AA$68="Muy Baja",'Mapa final'!$AC$68="Leve"),CONCATENATE("R10C",'Mapa final'!$Q$68),"")</f>
        <v/>
      </c>
      <c r="O55" s="65" t="str">
        <f>IF(AND('Mapa final'!$AA$69="Muy Baja",'Mapa final'!$AC$69="Leve"),CONCATENATE("R10C",'Mapa final'!$Q$69),"")</f>
        <v/>
      </c>
      <c r="P55" s="63" t="str">
        <f>IF(AND('Mapa final'!$AA$64="Muy Baja",'Mapa final'!$AC$64="Menor"),CONCATENATE("R10C",'Mapa final'!$Q$64),"")</f>
        <v/>
      </c>
      <c r="Q55" s="64" t="str">
        <f>IF(AND('Mapa final'!$AA$65="Muy Baja",'Mapa final'!$AC$65="Menor"),CONCATENATE("R10C",'Mapa final'!$Q$65),"")</f>
        <v/>
      </c>
      <c r="R55" s="64" t="str">
        <f>IF(AND('Mapa final'!$AA$66="Muy Baja",'Mapa final'!$AC$66="Menor"),CONCATENATE("R10C",'Mapa final'!$Q$66),"")</f>
        <v/>
      </c>
      <c r="S55" s="64" t="str">
        <f>IF(AND('Mapa final'!$AA$67="Muy Baja",'Mapa final'!$AC$67="Menor"),CONCATENATE("R10C",'Mapa final'!$Q$67),"")</f>
        <v/>
      </c>
      <c r="T55" s="64" t="str">
        <f>IF(AND('Mapa final'!$AA$68="Muy Baja",'Mapa final'!$AC$68="Menor"),CONCATENATE("R10C",'Mapa final'!$Q$68),"")</f>
        <v/>
      </c>
      <c r="U55" s="65" t="str">
        <f>IF(AND('Mapa final'!$AA$69="Muy Baja",'Mapa final'!$AC$69="Menor"),CONCATENATE("R10C",'Mapa final'!$Q$69),"")</f>
        <v/>
      </c>
      <c r="V55" s="54" t="str">
        <f>IF(AND('Mapa final'!$AA$64="Muy Baja",'Mapa final'!$AC$64="Moderado"),CONCATENATE("R10C",'Mapa final'!$Q$64),"")</f>
        <v/>
      </c>
      <c r="W55" s="55" t="str">
        <f>IF(AND('Mapa final'!$AA$65="Muy Baja",'Mapa final'!$AC$65="Moderado"),CONCATENATE("R10C",'Mapa final'!$Q$65),"")</f>
        <v/>
      </c>
      <c r="X55" s="55" t="str">
        <f>IF(AND('Mapa final'!$AA$66="Muy Baja",'Mapa final'!$AC$66="Moderado"),CONCATENATE("R10C",'Mapa final'!$Q$66),"")</f>
        <v/>
      </c>
      <c r="Y55" s="55" t="str">
        <f>IF(AND('Mapa final'!$AA$67="Muy Baja",'Mapa final'!$AC$67="Moderado"),CONCATENATE("R10C",'Mapa final'!$Q$67),"")</f>
        <v/>
      </c>
      <c r="Z55" s="55" t="str">
        <f>IF(AND('Mapa final'!$AA$68="Muy Baja",'Mapa final'!$AC$68="Moderado"),CONCATENATE("R10C",'Mapa final'!$Q$68),"")</f>
        <v/>
      </c>
      <c r="AA55" s="56" t="str">
        <f>IF(AND('Mapa final'!$AA$69="Muy Baja",'Mapa final'!$AC$69="Moderado"),CONCATENATE("R10C",'Mapa final'!$Q$69),"")</f>
        <v/>
      </c>
      <c r="AB55" s="42" t="str">
        <f>IF(AND('Mapa final'!$AA$64="Muy Baja",'Mapa final'!$AC$64="Mayor"),CONCATENATE("R10C",'Mapa final'!$Q$64),"")</f>
        <v/>
      </c>
      <c r="AC55" s="43" t="str">
        <f>IF(AND('Mapa final'!$AA$65="Muy Baja",'Mapa final'!$AC$65="Mayor"),CONCATENATE("R10C",'Mapa final'!$Q$65),"")</f>
        <v/>
      </c>
      <c r="AD55" s="43" t="str">
        <f>IF(AND('Mapa final'!$AA$66="Muy Baja",'Mapa final'!$AC$66="Mayor"),CONCATENATE("R10C",'Mapa final'!$Q$66),"")</f>
        <v/>
      </c>
      <c r="AE55" s="43" t="str">
        <f>IF(AND('Mapa final'!$AA$67="Muy Baja",'Mapa final'!$AC$67="Mayor"),CONCATENATE("R10C",'Mapa final'!$Q$67),"")</f>
        <v/>
      </c>
      <c r="AF55" s="43" t="str">
        <f>IF(AND('Mapa final'!$AA$68="Muy Baja",'Mapa final'!$AC$68="Mayor"),CONCATENATE("R10C",'Mapa final'!$Q$68),"")</f>
        <v/>
      </c>
      <c r="AG55" s="44" t="str">
        <f>IF(AND('Mapa final'!$AA$69="Muy Baja",'Mapa final'!$AC$69="Mayor"),CONCATENATE("R10C",'Mapa final'!$Q$69),"")</f>
        <v/>
      </c>
      <c r="AH55" s="45" t="str">
        <f>IF(AND('Mapa final'!$AA$64="Muy Baja",'Mapa final'!$AC$64="Catastrófico"),CONCATENATE("R10C",'Mapa final'!$Q$64),"")</f>
        <v/>
      </c>
      <c r="AI55" s="46" t="str">
        <f>IF(AND('Mapa final'!$AA$65="Muy Baja",'Mapa final'!$AC$65="Catastrófico"),CONCATENATE("R10C",'Mapa final'!$Q$65),"")</f>
        <v/>
      </c>
      <c r="AJ55" s="46" t="str">
        <f>IF(AND('Mapa final'!$AA$66="Muy Baja",'Mapa final'!$AC$66="Catastrófico"),CONCATENATE("R10C",'Mapa final'!$Q$66),"")</f>
        <v/>
      </c>
      <c r="AK55" s="46" t="str">
        <f>IF(AND('Mapa final'!$AA$67="Muy Baja",'Mapa final'!$AC$67="Catastrófico"),CONCATENATE("R10C",'Mapa final'!$Q$67),"")</f>
        <v/>
      </c>
      <c r="AL55" s="46" t="str">
        <f>IF(AND('Mapa final'!$AA$68="Muy Baja",'Mapa final'!$AC$68="Catastrófico"),CONCATENATE("R10C",'Mapa final'!$Q$68),"")</f>
        <v/>
      </c>
      <c r="AM55" s="47" t="str">
        <f>IF(AND('Mapa final'!$AA$69="Muy Baja",'Mapa final'!$AC$69="Catastrófico"),CONCATENATE("R10C",'Mapa final'!$Q$69),"")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365" t="s">
        <v>107</v>
      </c>
      <c r="K56" s="366"/>
      <c r="L56" s="366"/>
      <c r="M56" s="366"/>
      <c r="N56" s="366"/>
      <c r="O56" s="367"/>
      <c r="P56" s="365" t="s">
        <v>106</v>
      </c>
      <c r="Q56" s="366"/>
      <c r="R56" s="366"/>
      <c r="S56" s="366"/>
      <c r="T56" s="366"/>
      <c r="U56" s="367"/>
      <c r="V56" s="365" t="s">
        <v>105</v>
      </c>
      <c r="W56" s="366"/>
      <c r="X56" s="366"/>
      <c r="Y56" s="366"/>
      <c r="Z56" s="366"/>
      <c r="AA56" s="367"/>
      <c r="AB56" s="365" t="s">
        <v>104</v>
      </c>
      <c r="AC56" s="374"/>
      <c r="AD56" s="366"/>
      <c r="AE56" s="366"/>
      <c r="AF56" s="366"/>
      <c r="AG56" s="367"/>
      <c r="AH56" s="365" t="s">
        <v>103</v>
      </c>
      <c r="AI56" s="366"/>
      <c r="AJ56" s="366"/>
      <c r="AK56" s="366"/>
      <c r="AL56" s="366"/>
      <c r="AM56" s="3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368"/>
      <c r="K57" s="369"/>
      <c r="L57" s="369"/>
      <c r="M57" s="369"/>
      <c r="N57" s="369"/>
      <c r="O57" s="370"/>
      <c r="P57" s="368"/>
      <c r="Q57" s="369"/>
      <c r="R57" s="369"/>
      <c r="S57" s="369"/>
      <c r="T57" s="369"/>
      <c r="U57" s="370"/>
      <c r="V57" s="368"/>
      <c r="W57" s="369"/>
      <c r="X57" s="369"/>
      <c r="Y57" s="369"/>
      <c r="Z57" s="369"/>
      <c r="AA57" s="370"/>
      <c r="AB57" s="368"/>
      <c r="AC57" s="369"/>
      <c r="AD57" s="369"/>
      <c r="AE57" s="369"/>
      <c r="AF57" s="369"/>
      <c r="AG57" s="370"/>
      <c r="AH57" s="368"/>
      <c r="AI57" s="369"/>
      <c r="AJ57" s="369"/>
      <c r="AK57" s="369"/>
      <c r="AL57" s="369"/>
      <c r="AM57" s="370"/>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368"/>
      <c r="K58" s="369"/>
      <c r="L58" s="369"/>
      <c r="M58" s="369"/>
      <c r="N58" s="369"/>
      <c r="O58" s="370"/>
      <c r="P58" s="368"/>
      <c r="Q58" s="369"/>
      <c r="R58" s="369"/>
      <c r="S58" s="369"/>
      <c r="T58" s="369"/>
      <c r="U58" s="370"/>
      <c r="V58" s="368"/>
      <c r="W58" s="369"/>
      <c r="X58" s="369"/>
      <c r="Y58" s="369"/>
      <c r="Z58" s="369"/>
      <c r="AA58" s="370"/>
      <c r="AB58" s="368"/>
      <c r="AC58" s="369"/>
      <c r="AD58" s="369"/>
      <c r="AE58" s="369"/>
      <c r="AF58" s="369"/>
      <c r="AG58" s="370"/>
      <c r="AH58" s="368"/>
      <c r="AI58" s="369"/>
      <c r="AJ58" s="369"/>
      <c r="AK58" s="369"/>
      <c r="AL58" s="369"/>
      <c r="AM58" s="370"/>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368"/>
      <c r="K59" s="369"/>
      <c r="L59" s="369"/>
      <c r="M59" s="369"/>
      <c r="N59" s="369"/>
      <c r="O59" s="370"/>
      <c r="P59" s="368"/>
      <c r="Q59" s="369"/>
      <c r="R59" s="369"/>
      <c r="S59" s="369"/>
      <c r="T59" s="369"/>
      <c r="U59" s="370"/>
      <c r="V59" s="368"/>
      <c r="W59" s="369"/>
      <c r="X59" s="369"/>
      <c r="Y59" s="369"/>
      <c r="Z59" s="369"/>
      <c r="AA59" s="370"/>
      <c r="AB59" s="368"/>
      <c r="AC59" s="369"/>
      <c r="AD59" s="369"/>
      <c r="AE59" s="369"/>
      <c r="AF59" s="369"/>
      <c r="AG59" s="370"/>
      <c r="AH59" s="368"/>
      <c r="AI59" s="369"/>
      <c r="AJ59" s="369"/>
      <c r="AK59" s="369"/>
      <c r="AL59" s="369"/>
      <c r="AM59" s="370"/>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368"/>
      <c r="K60" s="369"/>
      <c r="L60" s="369"/>
      <c r="M60" s="369"/>
      <c r="N60" s="369"/>
      <c r="O60" s="370"/>
      <c r="P60" s="368"/>
      <c r="Q60" s="369"/>
      <c r="R60" s="369"/>
      <c r="S60" s="369"/>
      <c r="T60" s="369"/>
      <c r="U60" s="370"/>
      <c r="V60" s="368"/>
      <c r="W60" s="369"/>
      <c r="X60" s="369"/>
      <c r="Y60" s="369"/>
      <c r="Z60" s="369"/>
      <c r="AA60" s="370"/>
      <c r="AB60" s="368"/>
      <c r="AC60" s="369"/>
      <c r="AD60" s="369"/>
      <c r="AE60" s="369"/>
      <c r="AF60" s="369"/>
      <c r="AG60" s="370"/>
      <c r="AH60" s="368"/>
      <c r="AI60" s="369"/>
      <c r="AJ60" s="369"/>
      <c r="AK60" s="369"/>
      <c r="AL60" s="369"/>
      <c r="AM60" s="370"/>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371"/>
      <c r="K61" s="372"/>
      <c r="L61" s="372"/>
      <c r="M61" s="372"/>
      <c r="N61" s="372"/>
      <c r="O61" s="373"/>
      <c r="P61" s="371"/>
      <c r="Q61" s="372"/>
      <c r="R61" s="372"/>
      <c r="S61" s="372"/>
      <c r="T61" s="372"/>
      <c r="U61" s="373"/>
      <c r="V61" s="371"/>
      <c r="W61" s="372"/>
      <c r="X61" s="372"/>
      <c r="Y61" s="372"/>
      <c r="Z61" s="372"/>
      <c r="AA61" s="373"/>
      <c r="AB61" s="371"/>
      <c r="AC61" s="372"/>
      <c r="AD61" s="372"/>
      <c r="AE61" s="372"/>
      <c r="AF61" s="372"/>
      <c r="AG61" s="373"/>
      <c r="AH61" s="371"/>
      <c r="AI61" s="372"/>
      <c r="AJ61" s="372"/>
      <c r="AK61" s="372"/>
      <c r="AL61" s="372"/>
      <c r="AM61" s="373"/>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election activeCell="B8" sqref="B8"/>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414" t="s">
        <v>55</v>
      </c>
      <c r="C1" s="414"/>
      <c r="D1" s="414"/>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B8" sqref="B8"/>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415" t="s">
        <v>62</v>
      </c>
      <c r="C1" s="415"/>
      <c r="D1" s="415"/>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3" t="s">
        <v>56</v>
      </c>
      <c r="D3" s="123" t="s">
        <v>57</v>
      </c>
      <c r="E3" s="89"/>
      <c r="F3" s="89"/>
      <c r="G3" s="89"/>
      <c r="H3" s="89"/>
      <c r="I3" s="89"/>
      <c r="J3" s="89"/>
      <c r="K3" s="89"/>
      <c r="L3" s="89"/>
      <c r="M3" s="89"/>
      <c r="N3" s="89"/>
      <c r="O3" s="89"/>
      <c r="P3" s="89"/>
      <c r="Q3" s="89"/>
      <c r="R3" s="89"/>
      <c r="S3" s="89"/>
      <c r="T3" s="89"/>
      <c r="U3" s="89"/>
    </row>
    <row r="4" spans="1:21" ht="32.4" x14ac:dyDescent="0.3">
      <c r="A4" s="89" t="s">
        <v>82</v>
      </c>
      <c r="B4" s="124" t="s">
        <v>96</v>
      </c>
      <c r="C4" s="125" t="s">
        <v>205</v>
      </c>
      <c r="D4" s="126" t="s">
        <v>92</v>
      </c>
      <c r="E4" s="89"/>
      <c r="F4" s="89"/>
      <c r="G4" s="89"/>
      <c r="H4" s="89"/>
      <c r="I4" s="89"/>
      <c r="J4" s="89"/>
      <c r="K4" s="89"/>
      <c r="L4" s="89"/>
      <c r="M4" s="89"/>
      <c r="N4" s="89"/>
      <c r="O4" s="89"/>
      <c r="P4" s="89"/>
      <c r="Q4" s="89"/>
      <c r="R4" s="89"/>
      <c r="S4" s="89"/>
      <c r="T4" s="89"/>
      <c r="U4" s="89"/>
    </row>
    <row r="5" spans="1:21" ht="64.8" x14ac:dyDescent="0.3">
      <c r="A5" s="89" t="s">
        <v>83</v>
      </c>
      <c r="B5" s="127" t="s">
        <v>58</v>
      </c>
      <c r="C5" s="128" t="s">
        <v>206</v>
      </c>
      <c r="D5" s="129" t="s">
        <v>93</v>
      </c>
      <c r="E5" s="89"/>
      <c r="F5" s="89"/>
      <c r="G5" s="89"/>
      <c r="H5" s="89"/>
      <c r="I5" s="89"/>
      <c r="J5" s="89"/>
      <c r="K5" s="89"/>
      <c r="L5" s="89"/>
      <c r="M5" s="89"/>
      <c r="N5" s="89"/>
      <c r="O5" s="89"/>
      <c r="P5" s="89"/>
      <c r="Q5" s="89"/>
      <c r="R5" s="89"/>
      <c r="S5" s="89"/>
      <c r="T5" s="89"/>
      <c r="U5" s="89"/>
    </row>
    <row r="6" spans="1:21" ht="64.8" x14ac:dyDescent="0.3">
      <c r="A6" s="89" t="s">
        <v>80</v>
      </c>
      <c r="B6" s="130" t="s">
        <v>59</v>
      </c>
      <c r="C6" s="128" t="s">
        <v>210</v>
      </c>
      <c r="D6" s="129" t="s">
        <v>95</v>
      </c>
      <c r="E6" s="89"/>
      <c r="F6" s="89"/>
      <c r="G6" s="89"/>
      <c r="H6" s="89"/>
      <c r="I6" s="89"/>
      <c r="J6" s="89"/>
      <c r="K6" s="89"/>
      <c r="L6" s="89"/>
      <c r="M6" s="89"/>
      <c r="N6" s="89"/>
      <c r="O6" s="89"/>
      <c r="P6" s="89"/>
      <c r="Q6" s="89"/>
      <c r="R6" s="89"/>
      <c r="S6" s="89"/>
      <c r="T6" s="89"/>
      <c r="U6" s="89"/>
    </row>
    <row r="7" spans="1:21" ht="97.2" x14ac:dyDescent="0.3">
      <c r="A7" s="89" t="s">
        <v>7</v>
      </c>
      <c r="B7" s="131" t="s">
        <v>60</v>
      </c>
      <c r="C7" s="128" t="s">
        <v>211</v>
      </c>
      <c r="D7" s="129" t="s">
        <v>94</v>
      </c>
      <c r="E7" s="89"/>
      <c r="F7" s="89"/>
      <c r="G7" s="89"/>
      <c r="H7" s="89"/>
      <c r="I7" s="89"/>
      <c r="J7" s="89"/>
      <c r="K7" s="89"/>
      <c r="L7" s="89"/>
      <c r="M7" s="89"/>
      <c r="N7" s="89"/>
      <c r="O7" s="89"/>
      <c r="P7" s="89"/>
      <c r="Q7" s="89"/>
      <c r="R7" s="89"/>
      <c r="S7" s="89"/>
      <c r="T7" s="89"/>
      <c r="U7" s="89"/>
    </row>
    <row r="8" spans="1:21" ht="64.8" x14ac:dyDescent="0.3">
      <c r="A8" s="89" t="s">
        <v>84</v>
      </c>
      <c r="B8" s="132" t="s">
        <v>61</v>
      </c>
      <c r="C8" s="128" t="s">
        <v>207</v>
      </c>
      <c r="D8" s="129"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38"/>
      <c r="D9" s="138"/>
      <c r="E9" s="87"/>
      <c r="F9" s="87"/>
      <c r="G9" s="87"/>
      <c r="H9" s="87"/>
      <c r="I9" s="87"/>
      <c r="J9" s="87"/>
      <c r="K9" s="87"/>
      <c r="L9" s="87"/>
      <c r="M9" s="87"/>
      <c r="N9" s="87"/>
      <c r="O9" s="87"/>
      <c r="P9" s="87"/>
      <c r="Q9" s="87"/>
      <c r="R9" s="87"/>
      <c r="S9" s="87"/>
      <c r="T9" s="87"/>
      <c r="U9" s="87"/>
    </row>
    <row r="10" spans="1:21" s="23" customFormat="1" x14ac:dyDescent="0.3">
      <c r="A10" s="87"/>
      <c r="B10" s="139"/>
      <c r="C10" s="139"/>
      <c r="D10" s="139"/>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8"/>
      <c r="D22" s="138"/>
      <c r="E22" s="87"/>
      <c r="F22" s="87"/>
      <c r="G22" s="87"/>
      <c r="H22" s="87"/>
      <c r="I22" s="87"/>
      <c r="J22" s="87"/>
      <c r="K22" s="87"/>
      <c r="L22" s="87"/>
      <c r="M22" s="87"/>
      <c r="N22" s="87"/>
      <c r="O22" s="87"/>
    </row>
    <row r="23" spans="1:15" s="23" customFormat="1" ht="20.399999999999999" x14ac:dyDescent="0.3">
      <c r="A23" s="87"/>
      <c r="B23" s="87"/>
      <c r="C23" s="138"/>
      <c r="D23" s="138"/>
      <c r="E23" s="87"/>
      <c r="F23" s="87"/>
      <c r="G23" s="87"/>
      <c r="H23" s="87"/>
      <c r="I23" s="87"/>
      <c r="J23" s="87"/>
      <c r="K23" s="87"/>
      <c r="L23" s="87"/>
      <c r="M23" s="87"/>
      <c r="N23" s="87"/>
      <c r="O23" s="87"/>
    </row>
    <row r="24" spans="1:15" s="23" customFormat="1" ht="20.399999999999999" x14ac:dyDescent="0.3">
      <c r="A24" s="87"/>
      <c r="B24" s="87"/>
      <c r="C24" s="138"/>
      <c r="D24" s="138"/>
      <c r="E24" s="87"/>
      <c r="F24" s="87"/>
      <c r="G24" s="87"/>
      <c r="H24" s="87"/>
      <c r="I24" s="87"/>
      <c r="J24" s="87"/>
      <c r="K24" s="87"/>
      <c r="L24" s="87"/>
      <c r="M24" s="87"/>
      <c r="N24" s="87"/>
      <c r="O24" s="87"/>
    </row>
    <row r="25" spans="1:15" s="23" customFormat="1" ht="20.399999999999999" x14ac:dyDescent="0.3">
      <c r="A25" s="87"/>
      <c r="B25" s="87"/>
      <c r="C25" s="138"/>
      <c r="D25" s="138"/>
      <c r="E25" s="87"/>
      <c r="F25" s="87"/>
      <c r="G25" s="87"/>
      <c r="H25" s="87"/>
      <c r="I25" s="87"/>
      <c r="J25" s="87"/>
      <c r="K25" s="87"/>
      <c r="L25" s="87"/>
      <c r="M25" s="87"/>
      <c r="N25" s="87"/>
      <c r="O25" s="87"/>
    </row>
    <row r="26" spans="1:15" s="23" customFormat="1" ht="20.399999999999999" x14ac:dyDescent="0.3">
      <c r="A26" s="87"/>
      <c r="B26" s="87"/>
      <c r="C26" s="138"/>
      <c r="D26" s="138"/>
      <c r="E26" s="87"/>
      <c r="F26" s="87"/>
      <c r="G26" s="87"/>
      <c r="H26" s="87"/>
      <c r="I26" s="87"/>
      <c r="J26" s="87"/>
      <c r="K26" s="87"/>
      <c r="L26" s="87"/>
      <c r="M26" s="87"/>
      <c r="N26" s="87"/>
      <c r="O26" s="87"/>
    </row>
    <row r="27" spans="1:15" s="23" customFormat="1" ht="20.399999999999999" x14ac:dyDescent="0.3">
      <c r="A27" s="87"/>
      <c r="B27" s="87"/>
      <c r="C27" s="138"/>
      <c r="D27" s="138"/>
      <c r="E27" s="87"/>
      <c r="F27" s="87"/>
      <c r="G27" s="87"/>
      <c r="H27" s="87"/>
      <c r="I27" s="87"/>
      <c r="J27" s="87"/>
      <c r="K27" s="87"/>
      <c r="L27" s="87"/>
      <c r="M27" s="87"/>
      <c r="N27" s="87"/>
      <c r="O27" s="87"/>
    </row>
    <row r="28" spans="1:15" s="23" customFormat="1" ht="20.399999999999999" x14ac:dyDescent="0.3">
      <c r="A28" s="87"/>
      <c r="B28" s="87"/>
      <c r="C28" s="138"/>
      <c r="D28" s="138"/>
      <c r="E28" s="87"/>
      <c r="F28" s="87"/>
      <c r="G28" s="87"/>
      <c r="H28" s="87"/>
      <c r="I28" s="87"/>
      <c r="J28" s="87"/>
      <c r="K28" s="87"/>
      <c r="L28" s="87"/>
      <c r="M28" s="87"/>
      <c r="N28" s="87"/>
      <c r="O28" s="87"/>
    </row>
    <row r="29" spans="1:15" s="23" customFormat="1" ht="20.399999999999999" x14ac:dyDescent="0.3">
      <c r="A29" s="87"/>
      <c r="B29" s="87"/>
      <c r="C29" s="138"/>
      <c r="D29" s="138"/>
      <c r="E29" s="87"/>
      <c r="F29" s="87"/>
      <c r="G29" s="87"/>
      <c r="H29" s="87"/>
      <c r="I29" s="87"/>
      <c r="J29" s="87"/>
      <c r="K29" s="87"/>
      <c r="L29" s="87"/>
      <c r="M29" s="87"/>
      <c r="N29" s="87"/>
      <c r="O29" s="87"/>
    </row>
    <row r="30" spans="1:15" s="23" customFormat="1" ht="20.399999999999999" x14ac:dyDescent="0.3">
      <c r="A30" s="87"/>
      <c r="B30" s="87"/>
      <c r="C30" s="138"/>
      <c r="D30" s="138"/>
      <c r="E30" s="87"/>
      <c r="F30" s="87"/>
      <c r="G30" s="87"/>
      <c r="H30" s="87"/>
      <c r="I30" s="87"/>
      <c r="J30" s="87"/>
      <c r="K30" s="87"/>
      <c r="L30" s="87"/>
      <c r="M30" s="87"/>
      <c r="N30" s="87"/>
      <c r="O30" s="87"/>
    </row>
    <row r="31" spans="1:15" s="23" customFormat="1" ht="20.399999999999999" x14ac:dyDescent="0.3">
      <c r="A31" s="87"/>
      <c r="B31" s="87"/>
      <c r="C31" s="138"/>
      <c r="D31" s="138"/>
      <c r="E31" s="87"/>
      <c r="F31" s="87"/>
      <c r="G31" s="87"/>
      <c r="H31" s="87"/>
      <c r="I31" s="87"/>
      <c r="J31" s="87"/>
      <c r="K31" s="87"/>
      <c r="L31" s="87"/>
      <c r="M31" s="87"/>
      <c r="N31" s="87"/>
      <c r="O31" s="87"/>
    </row>
    <row r="32" spans="1:15" s="23" customFormat="1" ht="20.399999999999999" x14ac:dyDescent="0.3">
      <c r="A32" s="87"/>
      <c r="B32" s="87"/>
      <c r="C32" s="138"/>
      <c r="D32" s="138"/>
      <c r="E32" s="87"/>
      <c r="F32" s="87"/>
      <c r="G32" s="87"/>
      <c r="H32" s="87"/>
      <c r="I32" s="87"/>
      <c r="J32" s="87"/>
      <c r="K32" s="87"/>
      <c r="L32" s="87"/>
      <c r="M32" s="87"/>
      <c r="N32" s="87"/>
      <c r="O32" s="87"/>
    </row>
    <row r="33" spans="1:15" s="23" customFormat="1" ht="20.399999999999999" x14ac:dyDescent="0.3">
      <c r="A33" s="87"/>
      <c r="B33" s="87"/>
      <c r="C33" s="138"/>
      <c r="D33" s="138"/>
      <c r="E33" s="87"/>
      <c r="F33" s="87"/>
      <c r="G33" s="87"/>
      <c r="H33" s="87"/>
      <c r="I33" s="87"/>
      <c r="J33" s="87"/>
      <c r="K33" s="87"/>
      <c r="L33" s="87"/>
      <c r="M33" s="87"/>
      <c r="N33" s="87"/>
      <c r="O33" s="87"/>
    </row>
    <row r="34" spans="1:15" s="23" customFormat="1" ht="20.399999999999999" x14ac:dyDescent="0.3">
      <c r="A34" s="87"/>
      <c r="B34" s="87"/>
      <c r="C34" s="138"/>
      <c r="D34" s="138"/>
      <c r="E34" s="87"/>
      <c r="F34" s="87"/>
      <c r="G34" s="87"/>
      <c r="H34" s="87"/>
      <c r="I34" s="87"/>
      <c r="J34" s="87"/>
      <c r="K34" s="87"/>
      <c r="L34" s="87"/>
      <c r="M34" s="87"/>
      <c r="N34" s="87"/>
      <c r="O34" s="87"/>
    </row>
    <row r="35" spans="1:15" s="23" customFormat="1" ht="20.399999999999999" x14ac:dyDescent="0.3">
      <c r="A35" s="87"/>
      <c r="B35" s="87"/>
      <c r="C35" s="138"/>
      <c r="D35" s="138"/>
      <c r="E35" s="87"/>
      <c r="F35" s="87"/>
      <c r="G35" s="87"/>
      <c r="H35" s="87"/>
      <c r="I35" s="87"/>
      <c r="J35" s="87"/>
      <c r="K35" s="87"/>
      <c r="L35" s="87"/>
      <c r="M35" s="87"/>
      <c r="N35" s="87"/>
      <c r="O35" s="87"/>
    </row>
    <row r="36" spans="1:15" s="23" customFormat="1" ht="20.399999999999999" x14ac:dyDescent="0.3">
      <c r="A36" s="87"/>
      <c r="B36" s="87"/>
      <c r="C36" s="138"/>
      <c r="D36" s="138"/>
      <c r="E36" s="87"/>
      <c r="F36" s="87"/>
      <c r="G36" s="87"/>
      <c r="H36" s="87"/>
      <c r="I36" s="87"/>
      <c r="J36" s="87"/>
      <c r="K36" s="87"/>
      <c r="L36" s="87"/>
      <c r="M36" s="87"/>
      <c r="N36" s="87"/>
      <c r="O36" s="87"/>
    </row>
    <row r="37" spans="1:15" s="23" customFormat="1" ht="20.399999999999999" x14ac:dyDescent="0.3">
      <c r="A37" s="87"/>
      <c r="B37" s="87"/>
      <c r="C37" s="138"/>
      <c r="D37" s="138"/>
      <c r="E37" s="87"/>
      <c r="F37" s="87"/>
      <c r="G37" s="87"/>
      <c r="H37" s="87"/>
      <c r="I37" s="87"/>
      <c r="J37" s="87"/>
      <c r="K37" s="87"/>
      <c r="L37" s="87"/>
      <c r="M37" s="87"/>
      <c r="N37" s="87"/>
      <c r="O37" s="87"/>
    </row>
    <row r="38" spans="1:15" s="23" customFormat="1" ht="20.399999999999999" x14ac:dyDescent="0.3">
      <c r="A38" s="87"/>
      <c r="B38" s="87"/>
      <c r="C38" s="138"/>
      <c r="D38" s="138"/>
      <c r="E38" s="87"/>
      <c r="F38" s="87"/>
      <c r="G38" s="87"/>
      <c r="H38" s="87"/>
      <c r="I38" s="87"/>
      <c r="J38" s="87"/>
      <c r="K38" s="87"/>
      <c r="L38" s="87"/>
      <c r="M38" s="87"/>
      <c r="N38" s="87"/>
      <c r="O38" s="87"/>
    </row>
    <row r="39" spans="1:15" s="23" customFormat="1" ht="20.399999999999999" x14ac:dyDescent="0.3">
      <c r="A39" s="87"/>
      <c r="B39" s="87"/>
      <c r="C39" s="138"/>
      <c r="D39" s="138"/>
      <c r="E39" s="87"/>
      <c r="F39" s="87"/>
      <c r="G39" s="87"/>
      <c r="H39" s="87"/>
      <c r="I39" s="87"/>
      <c r="J39" s="87"/>
      <c r="K39" s="87"/>
      <c r="L39" s="87"/>
      <c r="M39" s="87"/>
      <c r="N39" s="87"/>
      <c r="O39" s="87"/>
    </row>
    <row r="40" spans="1:15" s="23" customFormat="1" ht="20.399999999999999" x14ac:dyDescent="0.3">
      <c r="A40" s="87"/>
      <c r="B40" s="87"/>
      <c r="C40" s="138"/>
      <c r="D40" s="138"/>
      <c r="E40" s="87"/>
      <c r="F40" s="87"/>
      <c r="G40" s="87"/>
      <c r="H40" s="87"/>
      <c r="I40" s="87"/>
      <c r="J40" s="87"/>
      <c r="K40" s="87"/>
      <c r="L40" s="87"/>
      <c r="M40" s="87"/>
      <c r="N40" s="87"/>
      <c r="O40" s="87"/>
    </row>
    <row r="41" spans="1:15" s="23" customFormat="1" ht="20.399999999999999" x14ac:dyDescent="0.3">
      <c r="A41" s="87"/>
      <c r="B41" s="87"/>
      <c r="C41" s="138"/>
      <c r="D41" s="138"/>
      <c r="E41" s="87"/>
      <c r="F41" s="87"/>
      <c r="G41" s="87"/>
      <c r="H41" s="87"/>
      <c r="I41" s="87"/>
      <c r="J41" s="87"/>
      <c r="K41" s="87"/>
      <c r="L41" s="87"/>
      <c r="M41" s="87"/>
      <c r="N41" s="87"/>
      <c r="O41" s="87"/>
    </row>
    <row r="42" spans="1:15" s="23" customFormat="1" ht="20.399999999999999" x14ac:dyDescent="0.3">
      <c r="A42" s="87"/>
      <c r="B42" s="87"/>
      <c r="C42" s="138"/>
      <c r="D42" s="138"/>
      <c r="E42" s="87"/>
      <c r="F42" s="87"/>
      <c r="G42" s="87"/>
      <c r="H42" s="87"/>
      <c r="I42" s="87"/>
      <c r="J42" s="87"/>
      <c r="K42" s="87"/>
      <c r="L42" s="87"/>
      <c r="M42" s="87"/>
      <c r="N42" s="87"/>
      <c r="O42" s="87"/>
    </row>
    <row r="43" spans="1:15" s="23" customFormat="1" ht="20.399999999999999" x14ac:dyDescent="0.3">
      <c r="A43" s="87"/>
      <c r="B43" s="87"/>
      <c r="C43" s="138"/>
      <c r="D43" s="138"/>
      <c r="E43" s="87"/>
      <c r="F43" s="87"/>
      <c r="G43" s="87"/>
      <c r="H43" s="87"/>
      <c r="I43" s="87"/>
      <c r="J43" s="87"/>
      <c r="K43" s="87"/>
      <c r="L43" s="87"/>
      <c r="M43" s="87"/>
      <c r="N43" s="87"/>
      <c r="O43" s="87"/>
    </row>
    <row r="44" spans="1:15" s="23" customFormat="1" ht="20.399999999999999" x14ac:dyDescent="0.3">
      <c r="A44" s="87"/>
      <c r="B44" s="87"/>
      <c r="C44" s="138"/>
      <c r="D44" s="138"/>
      <c r="E44" s="87"/>
      <c r="F44" s="87"/>
      <c r="G44" s="87"/>
      <c r="H44" s="87"/>
      <c r="I44" s="87"/>
      <c r="J44" s="87"/>
      <c r="K44" s="87"/>
      <c r="L44" s="87"/>
      <c r="M44" s="87"/>
      <c r="N44" s="87"/>
      <c r="O44" s="87"/>
    </row>
    <row r="45" spans="1:15" s="23" customFormat="1" ht="20.399999999999999" x14ac:dyDescent="0.3">
      <c r="A45" s="87"/>
      <c r="B45" s="87"/>
      <c r="C45" s="138"/>
      <c r="D45" s="138"/>
      <c r="E45" s="87"/>
      <c r="F45" s="87"/>
      <c r="G45" s="87"/>
      <c r="H45" s="87"/>
      <c r="I45" s="87"/>
      <c r="J45" s="87"/>
      <c r="K45" s="87"/>
      <c r="L45" s="87"/>
      <c r="M45" s="87"/>
      <c r="N45" s="87"/>
      <c r="O45" s="87"/>
    </row>
    <row r="46" spans="1:15" s="23" customFormat="1" ht="20.399999999999999" x14ac:dyDescent="0.3">
      <c r="A46" s="87"/>
      <c r="B46" s="87"/>
      <c r="C46" s="138"/>
      <c r="D46" s="138"/>
      <c r="E46" s="87"/>
      <c r="F46" s="87"/>
      <c r="G46" s="87"/>
      <c r="H46" s="87"/>
      <c r="I46" s="87"/>
      <c r="J46" s="87"/>
      <c r="K46" s="87"/>
      <c r="L46" s="87"/>
      <c r="M46" s="87"/>
      <c r="N46" s="87"/>
      <c r="O46" s="87"/>
    </row>
    <row r="47" spans="1:15" s="23" customFormat="1" ht="20.399999999999999" x14ac:dyDescent="0.3">
      <c r="A47" s="87"/>
      <c r="B47" s="87"/>
      <c r="C47" s="138"/>
      <c r="D47" s="138"/>
      <c r="E47" s="87"/>
      <c r="F47" s="87"/>
      <c r="G47" s="87"/>
      <c r="H47" s="87"/>
      <c r="I47" s="87"/>
      <c r="J47" s="87"/>
      <c r="K47" s="87"/>
      <c r="L47" s="87"/>
      <c r="M47" s="87"/>
      <c r="N47" s="87"/>
      <c r="O47" s="87"/>
    </row>
    <row r="48" spans="1:15" s="23" customFormat="1" ht="20.399999999999999" x14ac:dyDescent="0.3">
      <c r="A48" s="87"/>
      <c r="B48" s="87"/>
      <c r="C48" s="138"/>
      <c r="D48" s="138"/>
      <c r="E48" s="87"/>
      <c r="F48" s="87"/>
      <c r="G48" s="87"/>
      <c r="H48" s="87"/>
      <c r="I48" s="87"/>
      <c r="J48" s="87"/>
      <c r="K48" s="87"/>
      <c r="L48" s="87"/>
      <c r="M48" s="87"/>
      <c r="N48" s="87"/>
      <c r="O48" s="87"/>
    </row>
    <row r="49" spans="1:15" s="23" customFormat="1" ht="20.399999999999999" x14ac:dyDescent="0.3">
      <c r="A49" s="87"/>
      <c r="B49" s="87"/>
      <c r="C49" s="138"/>
      <c r="D49" s="138"/>
      <c r="E49" s="87"/>
      <c r="F49" s="87"/>
      <c r="G49" s="87"/>
      <c r="H49" s="87"/>
      <c r="I49" s="87"/>
      <c r="J49" s="87"/>
      <c r="K49" s="87"/>
      <c r="L49" s="87"/>
      <c r="M49" s="87"/>
      <c r="N49" s="87"/>
      <c r="O49" s="87"/>
    </row>
    <row r="50" spans="1:15" s="23" customFormat="1" ht="20.399999999999999" x14ac:dyDescent="0.3">
      <c r="A50" s="87"/>
      <c r="B50" s="87"/>
      <c r="C50" s="138"/>
      <c r="D50" s="138"/>
      <c r="E50" s="87"/>
      <c r="F50" s="87"/>
      <c r="G50" s="87"/>
      <c r="H50" s="87"/>
      <c r="I50" s="87"/>
      <c r="J50" s="87"/>
      <c r="K50" s="87"/>
      <c r="L50" s="87"/>
      <c r="M50" s="87"/>
      <c r="N50" s="87"/>
      <c r="O50" s="87"/>
    </row>
    <row r="51" spans="1:15" s="23" customFormat="1" ht="20.399999999999999" x14ac:dyDescent="0.3">
      <c r="A51" s="87"/>
      <c r="B51" s="87"/>
      <c r="C51" s="138"/>
      <c r="D51" s="138"/>
      <c r="E51" s="87"/>
      <c r="F51" s="87"/>
      <c r="G51" s="87"/>
      <c r="H51" s="87"/>
      <c r="I51" s="87"/>
      <c r="J51" s="87"/>
      <c r="K51" s="87"/>
      <c r="L51" s="87"/>
      <c r="M51" s="87"/>
      <c r="N51" s="87"/>
      <c r="O51" s="87"/>
    </row>
    <row r="52" spans="1:15" s="23" customFormat="1" ht="20.399999999999999" x14ac:dyDescent="0.3">
      <c r="A52" s="87"/>
      <c r="C52" s="140"/>
      <c r="D52" s="140"/>
    </row>
    <row r="53" spans="1:15" s="23" customFormat="1" ht="20.399999999999999" x14ac:dyDescent="0.3">
      <c r="A53" s="87"/>
      <c r="C53" s="140"/>
      <c r="D53" s="140"/>
    </row>
    <row r="54" spans="1:15" s="23" customFormat="1" ht="20.399999999999999" x14ac:dyDescent="0.3">
      <c r="A54" s="87"/>
      <c r="C54" s="140"/>
      <c r="D54" s="140"/>
    </row>
    <row r="55" spans="1:15" s="23" customFormat="1" ht="20.399999999999999" x14ac:dyDescent="0.3">
      <c r="A55" s="87"/>
      <c r="C55" s="140"/>
      <c r="D55" s="140"/>
    </row>
    <row r="56" spans="1:15" s="23" customFormat="1" ht="20.399999999999999" x14ac:dyDescent="0.3">
      <c r="A56" s="87"/>
      <c r="C56" s="140"/>
      <c r="D56" s="140"/>
    </row>
    <row r="57" spans="1:15" s="23" customFormat="1" ht="20.399999999999999" x14ac:dyDescent="0.3">
      <c r="A57" s="87"/>
      <c r="C57" s="140"/>
      <c r="D57" s="140"/>
    </row>
    <row r="58" spans="1:15" s="23" customFormat="1" ht="20.399999999999999" x14ac:dyDescent="0.3">
      <c r="A58" s="87"/>
      <c r="C58" s="140"/>
      <c r="D58" s="140"/>
    </row>
    <row r="59" spans="1:15" s="23" customFormat="1" ht="20.399999999999999" x14ac:dyDescent="0.3">
      <c r="A59" s="87"/>
      <c r="C59" s="140"/>
      <c r="D59" s="140"/>
    </row>
    <row r="60" spans="1:15" s="23" customFormat="1" ht="20.399999999999999" x14ac:dyDescent="0.3">
      <c r="A60" s="87"/>
      <c r="C60" s="140"/>
      <c r="D60" s="140"/>
    </row>
    <row r="61" spans="1:15" s="23" customFormat="1" ht="20.399999999999999" x14ac:dyDescent="0.3">
      <c r="A61" s="87"/>
      <c r="C61" s="140"/>
      <c r="D61" s="140"/>
    </row>
    <row r="62" spans="1:15" s="23" customFormat="1" ht="20.399999999999999" x14ac:dyDescent="0.3">
      <c r="A62" s="87"/>
      <c r="C62" s="140"/>
      <c r="D62" s="140"/>
    </row>
    <row r="63" spans="1:15" s="23" customFormat="1" ht="20.399999999999999" x14ac:dyDescent="0.3">
      <c r="A63" s="87"/>
      <c r="C63" s="140"/>
      <c r="D63" s="140"/>
    </row>
    <row r="64" spans="1:15" s="23" customFormat="1" ht="20.399999999999999" x14ac:dyDescent="0.3">
      <c r="A64" s="87"/>
      <c r="C64" s="140"/>
      <c r="D64" s="140"/>
    </row>
    <row r="65" spans="1:4" s="23" customFormat="1" ht="20.399999999999999" x14ac:dyDescent="0.3">
      <c r="A65" s="87"/>
      <c r="C65" s="140"/>
      <c r="D65" s="140"/>
    </row>
    <row r="66" spans="1:4" s="23" customFormat="1" ht="20.399999999999999" x14ac:dyDescent="0.3">
      <c r="A66" s="87"/>
      <c r="C66" s="140"/>
      <c r="D66" s="140"/>
    </row>
    <row r="67" spans="1:4" s="23" customFormat="1" ht="20.399999999999999" x14ac:dyDescent="0.3">
      <c r="A67" s="87"/>
      <c r="C67" s="140"/>
      <c r="D67" s="140"/>
    </row>
    <row r="68" spans="1:4" s="23" customFormat="1" ht="20.399999999999999" x14ac:dyDescent="0.3">
      <c r="A68" s="87"/>
      <c r="C68" s="140"/>
      <c r="D68" s="140"/>
    </row>
    <row r="69" spans="1:4" s="23" customFormat="1" ht="20.399999999999999" x14ac:dyDescent="0.3">
      <c r="A69" s="87"/>
      <c r="C69" s="140"/>
      <c r="D69" s="140"/>
    </row>
    <row r="70" spans="1:4" s="23" customFormat="1" ht="20.399999999999999" x14ac:dyDescent="0.3">
      <c r="A70" s="87"/>
      <c r="C70" s="140"/>
      <c r="D70" s="140"/>
    </row>
    <row r="71" spans="1:4" s="23" customFormat="1" ht="20.399999999999999" x14ac:dyDescent="0.3">
      <c r="A71" s="87"/>
      <c r="C71" s="140"/>
      <c r="D71" s="140"/>
    </row>
    <row r="72" spans="1:4" s="23" customFormat="1" ht="20.399999999999999" x14ac:dyDescent="0.3">
      <c r="A72" s="87"/>
      <c r="C72" s="140"/>
      <c r="D72" s="140"/>
    </row>
    <row r="73" spans="1:4" s="23" customFormat="1" ht="20.399999999999999" x14ac:dyDescent="0.3">
      <c r="A73" s="87"/>
      <c r="C73" s="140"/>
      <c r="D73" s="140"/>
    </row>
    <row r="74" spans="1:4" s="23" customFormat="1" ht="20.399999999999999" x14ac:dyDescent="0.3">
      <c r="A74" s="87"/>
      <c r="C74" s="140"/>
      <c r="D74" s="140"/>
    </row>
    <row r="75" spans="1:4" s="23" customFormat="1" ht="20.399999999999999" x14ac:dyDescent="0.3">
      <c r="A75" s="87"/>
      <c r="C75" s="140"/>
      <c r="D75" s="140"/>
    </row>
    <row r="76" spans="1:4" s="23" customFormat="1" ht="20.399999999999999" x14ac:dyDescent="0.3">
      <c r="A76" s="87"/>
      <c r="C76" s="140"/>
      <c r="D76" s="140"/>
    </row>
    <row r="77" spans="1:4" s="23" customFormat="1" ht="20.399999999999999" x14ac:dyDescent="0.3">
      <c r="A77" s="87"/>
      <c r="C77" s="140"/>
      <c r="D77" s="140"/>
    </row>
    <row r="78" spans="1:4" s="23" customFormat="1" ht="20.399999999999999" x14ac:dyDescent="0.3">
      <c r="A78" s="87"/>
      <c r="C78" s="140"/>
      <c r="D78" s="140"/>
    </row>
    <row r="79" spans="1:4" s="23" customFormat="1" ht="20.399999999999999" x14ac:dyDescent="0.3">
      <c r="A79" s="87"/>
      <c r="C79" s="140"/>
      <c r="D79" s="140"/>
    </row>
    <row r="80" spans="1:4" s="23" customFormat="1" ht="20.399999999999999" x14ac:dyDescent="0.3">
      <c r="A80" s="87"/>
      <c r="C80" s="140"/>
      <c r="D80" s="140"/>
    </row>
    <row r="81" spans="1:4" s="23" customFormat="1" ht="20.399999999999999" x14ac:dyDescent="0.3">
      <c r="A81" s="87"/>
      <c r="C81" s="140"/>
      <c r="D81" s="140"/>
    </row>
    <row r="82" spans="1:4" s="23" customFormat="1" ht="20.399999999999999" x14ac:dyDescent="0.3">
      <c r="A82" s="87"/>
      <c r="C82" s="140"/>
      <c r="D82" s="140"/>
    </row>
    <row r="83" spans="1:4" s="23" customFormat="1" ht="20.399999999999999" x14ac:dyDescent="0.3">
      <c r="A83" s="87"/>
      <c r="C83" s="140"/>
      <c r="D83" s="140"/>
    </row>
    <row r="84" spans="1:4" s="23" customFormat="1" ht="20.399999999999999" x14ac:dyDescent="0.3">
      <c r="A84" s="87"/>
      <c r="C84" s="140"/>
      <c r="D84" s="140"/>
    </row>
    <row r="85" spans="1:4" s="23" customFormat="1" ht="20.399999999999999" x14ac:dyDescent="0.3">
      <c r="A85" s="87"/>
      <c r="C85" s="140"/>
      <c r="D85" s="140"/>
    </row>
    <row r="86" spans="1:4" s="23" customFormat="1" ht="20.399999999999999" x14ac:dyDescent="0.3">
      <c r="A86" s="87"/>
      <c r="C86" s="140"/>
      <c r="D86" s="140"/>
    </row>
    <row r="87" spans="1:4" s="23" customFormat="1" ht="20.399999999999999" x14ac:dyDescent="0.3">
      <c r="A87" s="87"/>
      <c r="C87" s="140"/>
      <c r="D87" s="140"/>
    </row>
    <row r="88" spans="1:4" s="23" customFormat="1" ht="20.399999999999999" x14ac:dyDescent="0.3">
      <c r="A88" s="87"/>
      <c r="C88" s="140"/>
      <c r="D88" s="140"/>
    </row>
    <row r="89" spans="1:4" s="23" customFormat="1" ht="20.399999999999999" x14ac:dyDescent="0.3">
      <c r="A89" s="87"/>
      <c r="C89" s="140"/>
      <c r="D89" s="140"/>
    </row>
    <row r="90" spans="1:4" s="23" customFormat="1" ht="20.399999999999999" x14ac:dyDescent="0.3">
      <c r="A90" s="87"/>
      <c r="C90" s="140"/>
      <c r="D90" s="140"/>
    </row>
    <row r="91" spans="1:4" s="23" customFormat="1" ht="20.399999999999999" x14ac:dyDescent="0.3">
      <c r="A91" s="87"/>
      <c r="C91" s="140"/>
      <c r="D91" s="140"/>
    </row>
    <row r="92" spans="1:4" s="23" customFormat="1" ht="20.399999999999999" x14ac:dyDescent="0.3">
      <c r="A92" s="87"/>
      <c r="C92" s="140"/>
      <c r="D92" s="140"/>
    </row>
    <row r="93" spans="1:4" s="23" customFormat="1" ht="20.399999999999999" x14ac:dyDescent="0.3">
      <c r="A93" s="87"/>
      <c r="C93" s="140"/>
      <c r="D93" s="140"/>
    </row>
    <row r="94" spans="1:4" s="23" customFormat="1" ht="20.399999999999999" x14ac:dyDescent="0.3">
      <c r="A94" s="87"/>
      <c r="C94" s="140"/>
      <c r="D94" s="140"/>
    </row>
    <row r="95" spans="1:4" s="23" customFormat="1" ht="20.399999999999999" x14ac:dyDescent="0.3">
      <c r="A95" s="87"/>
      <c r="C95" s="140"/>
      <c r="D95" s="140"/>
    </row>
    <row r="96" spans="1:4" s="23" customFormat="1" ht="20.399999999999999" x14ac:dyDescent="0.3">
      <c r="A96" s="87"/>
      <c r="C96" s="140"/>
      <c r="D96" s="140"/>
    </row>
    <row r="97" spans="1:4" s="23" customFormat="1" ht="20.399999999999999" x14ac:dyDescent="0.3">
      <c r="A97" s="87"/>
      <c r="C97" s="140"/>
      <c r="D97" s="140"/>
    </row>
    <row r="98" spans="1:4" s="23" customFormat="1" ht="20.399999999999999" x14ac:dyDescent="0.3">
      <c r="A98" s="87"/>
      <c r="C98" s="140"/>
      <c r="D98" s="140"/>
    </row>
    <row r="99" spans="1:4" s="23" customFormat="1" ht="20.399999999999999" x14ac:dyDescent="0.3">
      <c r="A99" s="87"/>
      <c r="C99" s="140"/>
      <c r="D99" s="140"/>
    </row>
    <row r="100" spans="1:4" s="23" customFormat="1" ht="20.399999999999999" x14ac:dyDescent="0.3">
      <c r="A100" s="87"/>
      <c r="C100" s="140"/>
      <c r="D100" s="140"/>
    </row>
    <row r="101" spans="1:4" s="23" customFormat="1" ht="20.399999999999999" x14ac:dyDescent="0.3">
      <c r="A101" s="87"/>
      <c r="C101" s="140"/>
      <c r="D101" s="140"/>
    </row>
    <row r="102" spans="1:4" s="23" customFormat="1" ht="20.399999999999999" x14ac:dyDescent="0.3">
      <c r="A102" s="87"/>
      <c r="C102" s="140"/>
      <c r="D102" s="140"/>
    </row>
    <row r="103" spans="1:4" s="23" customFormat="1" ht="20.399999999999999" x14ac:dyDescent="0.3">
      <c r="A103" s="87"/>
      <c r="C103" s="140"/>
      <c r="D103" s="140"/>
    </row>
    <row r="104" spans="1:4" s="23" customFormat="1" ht="20.399999999999999" x14ac:dyDescent="0.3">
      <c r="A104" s="87"/>
      <c r="C104" s="140"/>
      <c r="D104" s="140"/>
    </row>
    <row r="105" spans="1:4" s="23" customFormat="1" ht="20.399999999999999" x14ac:dyDescent="0.3">
      <c r="A105" s="87"/>
      <c r="C105" s="140"/>
      <c r="D105" s="140"/>
    </row>
    <row r="106" spans="1:4" s="23" customFormat="1" ht="20.399999999999999" x14ac:dyDescent="0.3">
      <c r="A106" s="87"/>
      <c r="C106" s="140"/>
      <c r="D106" s="140"/>
    </row>
    <row r="107" spans="1:4" s="23" customFormat="1" ht="20.399999999999999" x14ac:dyDescent="0.3">
      <c r="A107" s="87"/>
      <c r="C107" s="140"/>
      <c r="D107" s="140"/>
    </row>
    <row r="108" spans="1:4" s="23" customFormat="1" ht="20.399999999999999" x14ac:dyDescent="0.3">
      <c r="A108" s="87"/>
      <c r="C108" s="140"/>
      <c r="D108" s="140"/>
    </row>
    <row r="109" spans="1:4" s="23" customFormat="1" ht="20.399999999999999" x14ac:dyDescent="0.3">
      <c r="A109" s="87"/>
      <c r="C109" s="140"/>
      <c r="D109" s="140"/>
    </row>
    <row r="110" spans="1:4" s="23" customFormat="1" ht="20.399999999999999" x14ac:dyDescent="0.3">
      <c r="A110" s="87"/>
      <c r="C110" s="140"/>
      <c r="D110" s="140"/>
    </row>
    <row r="111" spans="1:4" s="23" customFormat="1" ht="20.399999999999999" x14ac:dyDescent="0.3">
      <c r="A111" s="87"/>
      <c r="C111" s="140"/>
      <c r="D111" s="140"/>
    </row>
    <row r="112" spans="1:4" s="23" customFormat="1" ht="20.399999999999999" x14ac:dyDescent="0.3">
      <c r="A112" s="87"/>
      <c r="C112" s="140"/>
      <c r="D112" s="140"/>
    </row>
    <row r="113" spans="1:4" s="23" customFormat="1" ht="20.399999999999999" x14ac:dyDescent="0.3">
      <c r="A113" s="87"/>
      <c r="C113" s="140"/>
      <c r="D113" s="140"/>
    </row>
    <row r="114" spans="1:4" s="23" customFormat="1" ht="20.399999999999999" x14ac:dyDescent="0.3">
      <c r="A114" s="87"/>
      <c r="C114" s="140"/>
      <c r="D114" s="140"/>
    </row>
    <row r="115" spans="1:4" s="23" customFormat="1" ht="20.399999999999999" x14ac:dyDescent="0.3">
      <c r="A115" s="87"/>
      <c r="C115" s="140"/>
      <c r="D115" s="140"/>
    </row>
    <row r="116" spans="1:4" s="23" customFormat="1" ht="20.399999999999999" x14ac:dyDescent="0.3">
      <c r="A116" s="87"/>
      <c r="C116" s="140"/>
      <c r="D116" s="140"/>
    </row>
    <row r="117" spans="1:4" s="23" customFormat="1" ht="20.399999999999999" x14ac:dyDescent="0.3">
      <c r="A117" s="87"/>
      <c r="C117" s="140"/>
      <c r="D117" s="140"/>
    </row>
    <row r="118" spans="1:4" s="23" customFormat="1" ht="20.399999999999999" x14ac:dyDescent="0.3">
      <c r="A118" s="87"/>
      <c r="C118" s="140"/>
      <c r="D118" s="140"/>
    </row>
    <row r="119" spans="1:4" s="23" customFormat="1" ht="20.399999999999999" x14ac:dyDescent="0.3">
      <c r="A119" s="87"/>
      <c r="C119" s="140"/>
      <c r="D119" s="140"/>
    </row>
    <row r="120" spans="1:4" s="23" customFormat="1" ht="20.399999999999999" x14ac:dyDescent="0.3">
      <c r="A120" s="87"/>
      <c r="C120" s="140"/>
      <c r="D120" s="140"/>
    </row>
    <row r="121" spans="1:4" s="23" customFormat="1" ht="20.399999999999999" x14ac:dyDescent="0.3">
      <c r="A121" s="87"/>
      <c r="C121" s="140"/>
      <c r="D121" s="140"/>
    </row>
    <row r="122" spans="1:4" s="23" customFormat="1" ht="20.399999999999999" x14ac:dyDescent="0.3">
      <c r="A122" s="87"/>
      <c r="C122" s="140"/>
      <c r="D122" s="140"/>
    </row>
    <row r="123" spans="1:4" s="23" customFormat="1" ht="20.399999999999999" x14ac:dyDescent="0.3">
      <c r="A123" s="87"/>
      <c r="C123" s="140"/>
      <c r="D123" s="140"/>
    </row>
    <row r="124" spans="1:4" s="23" customFormat="1" ht="20.399999999999999" x14ac:dyDescent="0.3">
      <c r="A124" s="87"/>
      <c r="C124" s="140"/>
      <c r="D124" s="140"/>
    </row>
    <row r="125" spans="1:4" s="23" customFormat="1" ht="20.399999999999999" x14ac:dyDescent="0.3">
      <c r="A125" s="87"/>
      <c r="C125" s="140"/>
      <c r="D125" s="140"/>
    </row>
    <row r="126" spans="1:4" s="23" customFormat="1" ht="20.399999999999999" x14ac:dyDescent="0.3">
      <c r="A126" s="87"/>
      <c r="C126" s="140"/>
      <c r="D126" s="140"/>
    </row>
    <row r="127" spans="1:4" s="23" customFormat="1" ht="20.399999999999999" x14ac:dyDescent="0.3">
      <c r="A127" s="87"/>
      <c r="C127" s="140"/>
      <c r="D127" s="140"/>
    </row>
    <row r="128" spans="1:4" s="23" customFormat="1" ht="20.399999999999999" x14ac:dyDescent="0.3">
      <c r="A128" s="87"/>
      <c r="C128" s="140"/>
      <c r="D128" s="140"/>
    </row>
    <row r="129" spans="1:4" s="23" customFormat="1" ht="20.399999999999999" x14ac:dyDescent="0.3">
      <c r="A129" s="87"/>
      <c r="C129" s="140"/>
      <c r="D129" s="140"/>
    </row>
    <row r="130" spans="1:4" s="23" customFormat="1" ht="20.399999999999999" x14ac:dyDescent="0.3">
      <c r="A130" s="87"/>
      <c r="C130" s="140"/>
      <c r="D130" s="140"/>
    </row>
    <row r="131" spans="1:4" s="23" customFormat="1" ht="20.399999999999999" x14ac:dyDescent="0.3">
      <c r="A131" s="87"/>
      <c r="C131" s="140"/>
      <c r="D131" s="140"/>
    </row>
    <row r="132" spans="1:4" s="23" customFormat="1" ht="20.399999999999999" x14ac:dyDescent="0.3">
      <c r="A132" s="87"/>
      <c r="C132" s="140"/>
      <c r="D132" s="140"/>
    </row>
    <row r="133" spans="1:4" s="23" customFormat="1" ht="20.399999999999999" x14ac:dyDescent="0.3">
      <c r="A133" s="87"/>
      <c r="C133" s="140"/>
      <c r="D133" s="140"/>
    </row>
    <row r="134" spans="1:4" s="23" customFormat="1" ht="20.399999999999999" x14ac:dyDescent="0.3">
      <c r="A134" s="87"/>
      <c r="C134" s="140"/>
      <c r="D134" s="140"/>
    </row>
    <row r="135" spans="1:4" s="23" customFormat="1" ht="20.399999999999999" x14ac:dyDescent="0.3">
      <c r="A135" s="87"/>
      <c r="C135" s="140"/>
      <c r="D135" s="140"/>
    </row>
    <row r="136" spans="1:4" s="23" customFormat="1" ht="20.399999999999999" x14ac:dyDescent="0.3">
      <c r="A136" s="87"/>
      <c r="C136" s="140"/>
      <c r="D136" s="140"/>
    </row>
    <row r="137" spans="1:4" s="23" customFormat="1" ht="20.399999999999999" x14ac:dyDescent="0.3">
      <c r="A137" s="87"/>
      <c r="C137" s="140"/>
      <c r="D137" s="140"/>
    </row>
    <row r="138" spans="1:4" s="23" customFormat="1" ht="20.399999999999999" x14ac:dyDescent="0.3">
      <c r="A138" s="87"/>
      <c r="C138" s="140"/>
      <c r="D138" s="140"/>
    </row>
    <row r="139" spans="1:4" s="23" customFormat="1" ht="20.399999999999999" x14ac:dyDescent="0.3">
      <c r="A139" s="87"/>
      <c r="C139" s="140"/>
      <c r="D139" s="140"/>
    </row>
    <row r="140" spans="1:4" s="23" customFormat="1" ht="20.399999999999999" x14ac:dyDescent="0.3">
      <c r="A140" s="87"/>
      <c r="C140" s="140"/>
      <c r="D140" s="140"/>
    </row>
    <row r="141" spans="1:4" s="23" customFormat="1" ht="20.399999999999999" x14ac:dyDescent="0.3">
      <c r="A141" s="87"/>
      <c r="C141" s="140"/>
      <c r="D141" s="140"/>
    </row>
    <row r="142" spans="1:4" s="23" customFormat="1" ht="20.399999999999999" x14ac:dyDescent="0.3">
      <c r="A142" s="87"/>
      <c r="C142" s="140"/>
      <c r="D142" s="140"/>
    </row>
    <row r="143" spans="1:4" s="23" customFormat="1" ht="20.399999999999999" x14ac:dyDescent="0.3">
      <c r="A143" s="87"/>
      <c r="C143" s="140"/>
      <c r="D143" s="140"/>
    </row>
    <row r="144" spans="1:4" s="23" customFormat="1" ht="20.399999999999999" x14ac:dyDescent="0.3">
      <c r="A144" s="87"/>
      <c r="C144" s="140"/>
      <c r="D144" s="140"/>
    </row>
    <row r="145" spans="1:4" s="23" customFormat="1" ht="20.399999999999999" x14ac:dyDescent="0.3">
      <c r="A145" s="87"/>
      <c r="C145" s="140"/>
      <c r="D145" s="140"/>
    </row>
    <row r="146" spans="1:4" s="23" customFormat="1" ht="20.399999999999999" x14ac:dyDescent="0.3">
      <c r="A146" s="87"/>
      <c r="C146" s="140"/>
      <c r="D146" s="140"/>
    </row>
    <row r="147" spans="1:4" s="23" customFormat="1" ht="20.399999999999999" x14ac:dyDescent="0.3">
      <c r="A147" s="87"/>
      <c r="C147" s="140"/>
      <c r="D147" s="140"/>
    </row>
    <row r="148" spans="1:4" s="23" customFormat="1" ht="20.399999999999999" x14ac:dyDescent="0.3">
      <c r="A148" s="87"/>
      <c r="C148" s="140"/>
      <c r="D148" s="140"/>
    </row>
    <row r="149" spans="1:4" s="23" customFormat="1" ht="20.399999999999999" x14ac:dyDescent="0.3">
      <c r="A149" s="87"/>
      <c r="C149" s="140"/>
      <c r="D149" s="140"/>
    </row>
    <row r="150" spans="1:4" s="23" customFormat="1" ht="20.399999999999999" x14ac:dyDescent="0.3">
      <c r="A150" s="87"/>
      <c r="C150" s="140"/>
      <c r="D150" s="140"/>
    </row>
    <row r="151" spans="1:4" s="23" customFormat="1" ht="20.399999999999999" x14ac:dyDescent="0.3">
      <c r="A151" s="87"/>
      <c r="C151" s="140"/>
      <c r="D151" s="140"/>
    </row>
    <row r="152" spans="1:4" s="23" customFormat="1" ht="20.399999999999999" x14ac:dyDescent="0.3">
      <c r="A152" s="87"/>
      <c r="C152" s="140"/>
      <c r="D152" s="140"/>
    </row>
    <row r="153" spans="1:4" s="23" customFormat="1" ht="20.399999999999999" x14ac:dyDescent="0.3">
      <c r="A153" s="87"/>
      <c r="C153" s="140"/>
      <c r="D153" s="140"/>
    </row>
    <row r="154" spans="1:4" s="23" customFormat="1" ht="20.399999999999999" x14ac:dyDescent="0.3">
      <c r="A154" s="87"/>
      <c r="C154" s="140"/>
      <c r="D154" s="140"/>
    </row>
    <row r="155" spans="1:4" s="23" customFormat="1" ht="20.399999999999999" x14ac:dyDescent="0.3">
      <c r="A155" s="87"/>
      <c r="C155" s="140"/>
      <c r="D155" s="140"/>
    </row>
    <row r="156" spans="1:4" s="23" customFormat="1" ht="20.399999999999999" x14ac:dyDescent="0.3">
      <c r="A156" s="87"/>
      <c r="C156" s="140"/>
      <c r="D156" s="140"/>
    </row>
    <row r="157" spans="1:4" s="23" customFormat="1" ht="20.399999999999999" x14ac:dyDescent="0.3">
      <c r="A157" s="87"/>
      <c r="C157" s="140"/>
      <c r="D157" s="140"/>
    </row>
    <row r="158" spans="1:4" s="23" customFormat="1" ht="20.399999999999999" x14ac:dyDescent="0.3">
      <c r="A158" s="87"/>
      <c r="C158" s="140"/>
      <c r="D158" s="140"/>
    </row>
    <row r="159" spans="1:4" s="23" customFormat="1" ht="20.399999999999999" x14ac:dyDescent="0.3">
      <c r="A159" s="87"/>
      <c r="C159" s="140"/>
      <c r="D159" s="140"/>
    </row>
    <row r="160" spans="1:4" s="23" customFormat="1" ht="20.399999999999999" x14ac:dyDescent="0.3">
      <c r="A160" s="87"/>
      <c r="C160" s="140"/>
      <c r="D160" s="140"/>
    </row>
    <row r="161" spans="1:4" s="23" customFormat="1" ht="20.399999999999999" x14ac:dyDescent="0.3">
      <c r="A161" s="87"/>
      <c r="C161" s="140"/>
      <c r="D161" s="140"/>
    </row>
    <row r="162" spans="1:4" s="23" customFormat="1" ht="20.399999999999999" x14ac:dyDescent="0.3">
      <c r="A162" s="87"/>
      <c r="C162" s="140"/>
      <c r="D162" s="140"/>
    </row>
    <row r="163" spans="1:4" s="23" customFormat="1" ht="20.399999999999999" x14ac:dyDescent="0.3">
      <c r="A163" s="87"/>
      <c r="C163" s="140"/>
      <c r="D163" s="140"/>
    </row>
    <row r="164" spans="1:4" s="23" customFormat="1" ht="20.399999999999999" x14ac:dyDescent="0.3">
      <c r="A164" s="87"/>
      <c r="C164" s="140"/>
      <c r="D164" s="140"/>
    </row>
    <row r="165" spans="1:4" s="23" customFormat="1" ht="20.399999999999999" x14ac:dyDescent="0.3">
      <c r="A165" s="87"/>
      <c r="C165" s="140"/>
      <c r="D165" s="140"/>
    </row>
    <row r="166" spans="1:4" s="23" customFormat="1" ht="20.399999999999999" x14ac:dyDescent="0.3">
      <c r="A166" s="87"/>
      <c r="C166" s="140"/>
      <c r="D166" s="140"/>
    </row>
    <row r="167" spans="1:4" s="23" customFormat="1" ht="20.399999999999999" x14ac:dyDescent="0.3">
      <c r="A167" s="87"/>
      <c r="C167" s="140"/>
      <c r="D167" s="140"/>
    </row>
    <row r="168" spans="1:4" s="23" customFormat="1" ht="20.399999999999999" x14ac:dyDescent="0.3">
      <c r="A168" s="87"/>
      <c r="C168" s="140"/>
      <c r="D168" s="140"/>
    </row>
    <row r="169" spans="1:4" s="23" customFormat="1" ht="20.399999999999999" x14ac:dyDescent="0.3">
      <c r="A169" s="87"/>
      <c r="C169" s="140"/>
      <c r="D169" s="140"/>
    </row>
    <row r="170" spans="1:4" s="23" customFormat="1" ht="20.399999999999999" x14ac:dyDescent="0.3">
      <c r="A170" s="87"/>
      <c r="C170" s="140"/>
      <c r="D170" s="140"/>
    </row>
    <row r="171" spans="1:4" s="23" customFormat="1" ht="20.399999999999999" x14ac:dyDescent="0.3">
      <c r="A171" s="87"/>
      <c r="C171" s="140"/>
      <c r="D171" s="140"/>
    </row>
    <row r="172" spans="1:4" s="23" customFormat="1" ht="20.399999999999999" x14ac:dyDescent="0.3">
      <c r="A172" s="87"/>
      <c r="C172" s="140"/>
      <c r="D172" s="140"/>
    </row>
    <row r="173" spans="1:4" s="23" customFormat="1" ht="20.399999999999999" x14ac:dyDescent="0.3">
      <c r="A173" s="87"/>
      <c r="C173" s="140"/>
      <c r="D173" s="140"/>
    </row>
    <row r="174" spans="1:4" s="23" customFormat="1" ht="20.399999999999999" x14ac:dyDescent="0.3">
      <c r="A174" s="87"/>
      <c r="C174" s="140"/>
      <c r="D174" s="140"/>
    </row>
    <row r="175" spans="1:4" s="23" customFormat="1" ht="20.399999999999999" x14ac:dyDescent="0.3">
      <c r="A175" s="87"/>
      <c r="C175" s="140"/>
      <c r="D175" s="140"/>
    </row>
    <row r="176" spans="1:4" s="23" customFormat="1" ht="20.399999999999999" x14ac:dyDescent="0.3">
      <c r="A176" s="87"/>
      <c r="C176" s="140"/>
      <c r="D176" s="140"/>
    </row>
    <row r="177" spans="1:4" s="23" customFormat="1" ht="20.399999999999999" x14ac:dyDescent="0.3">
      <c r="A177" s="87"/>
      <c r="C177" s="140"/>
      <c r="D177" s="140"/>
    </row>
    <row r="178" spans="1:4" s="23" customFormat="1" ht="20.399999999999999" x14ac:dyDescent="0.3">
      <c r="A178" s="87"/>
      <c r="C178" s="140"/>
      <c r="D178" s="140"/>
    </row>
    <row r="179" spans="1:4" s="23" customFormat="1" ht="20.399999999999999" x14ac:dyDescent="0.3">
      <c r="A179" s="87"/>
      <c r="C179" s="140"/>
      <c r="D179" s="140"/>
    </row>
    <row r="180" spans="1:4" s="23" customFormat="1" ht="20.399999999999999" x14ac:dyDescent="0.3">
      <c r="A180" s="87"/>
      <c r="C180" s="140"/>
      <c r="D180" s="140"/>
    </row>
    <row r="181" spans="1:4" s="23" customFormat="1" ht="20.399999999999999" x14ac:dyDescent="0.3">
      <c r="A181" s="87"/>
      <c r="C181" s="140"/>
      <c r="D181" s="140"/>
    </row>
    <row r="182" spans="1:4" s="23" customFormat="1" ht="20.399999999999999" x14ac:dyDescent="0.3">
      <c r="A182" s="87"/>
      <c r="C182" s="140"/>
      <c r="D182" s="140"/>
    </row>
    <row r="183" spans="1:4" s="23" customFormat="1" ht="20.399999999999999" x14ac:dyDescent="0.3">
      <c r="A183" s="87"/>
      <c r="C183" s="140"/>
      <c r="D183" s="140"/>
    </row>
    <row r="184" spans="1:4" s="23" customFormat="1" ht="20.399999999999999" x14ac:dyDescent="0.3">
      <c r="A184" s="87"/>
      <c r="C184" s="140"/>
      <c r="D184" s="140"/>
    </row>
    <row r="185" spans="1:4" s="23" customFormat="1" ht="20.399999999999999" x14ac:dyDescent="0.3">
      <c r="A185" s="87"/>
      <c r="C185" s="140"/>
      <c r="D185" s="140"/>
    </row>
    <row r="186" spans="1:4" s="23" customFormat="1" ht="20.399999999999999" x14ac:dyDescent="0.3">
      <c r="A186" s="87"/>
      <c r="C186" s="140"/>
      <c r="D186" s="140"/>
    </row>
    <row r="187" spans="1:4" s="23" customFormat="1" ht="20.399999999999999" x14ac:dyDescent="0.3">
      <c r="A187" s="87"/>
      <c r="C187" s="140"/>
      <c r="D187" s="140"/>
    </row>
    <row r="188" spans="1:4" s="23" customFormat="1" ht="20.399999999999999" x14ac:dyDescent="0.3">
      <c r="A188" s="87"/>
      <c r="C188" s="140"/>
      <c r="D188" s="140"/>
    </row>
    <row r="189" spans="1:4" s="23" customFormat="1" ht="20.399999999999999" x14ac:dyDescent="0.3">
      <c r="A189" s="87"/>
      <c r="C189" s="140"/>
      <c r="D189" s="140"/>
    </row>
    <row r="190" spans="1:4" s="23" customFormat="1" ht="20.399999999999999" x14ac:dyDescent="0.3">
      <c r="A190" s="87"/>
      <c r="C190" s="140"/>
      <c r="D190" s="140"/>
    </row>
    <row r="191" spans="1:4" s="23" customFormat="1" ht="20.399999999999999" x14ac:dyDescent="0.3">
      <c r="A191" s="87"/>
      <c r="C191" s="140"/>
      <c r="D191" s="140"/>
    </row>
    <row r="192" spans="1:4" s="23" customFormat="1" ht="20.399999999999999" x14ac:dyDescent="0.3">
      <c r="A192" s="87"/>
      <c r="C192" s="140"/>
      <c r="D192" s="140"/>
    </row>
    <row r="193" spans="1:4" s="23" customFormat="1" ht="20.399999999999999" x14ac:dyDescent="0.3">
      <c r="A193" s="87"/>
      <c r="C193" s="140"/>
      <c r="D193" s="140"/>
    </row>
    <row r="194" spans="1:4" s="23" customFormat="1" ht="20.399999999999999" x14ac:dyDescent="0.3">
      <c r="A194" s="87"/>
      <c r="C194" s="140"/>
      <c r="D194" s="140"/>
    </row>
    <row r="195" spans="1:4" s="23" customFormat="1" ht="20.399999999999999" x14ac:dyDescent="0.3">
      <c r="A195" s="87"/>
      <c r="C195" s="140"/>
      <c r="D195" s="140"/>
    </row>
    <row r="196" spans="1:4" s="23" customFormat="1" ht="20.399999999999999" x14ac:dyDescent="0.3">
      <c r="A196" s="87"/>
      <c r="C196" s="140"/>
      <c r="D196" s="140"/>
    </row>
    <row r="197" spans="1:4" s="23" customFormat="1" ht="20.399999999999999" x14ac:dyDescent="0.3">
      <c r="A197" s="87"/>
      <c r="C197" s="140"/>
      <c r="D197" s="140"/>
    </row>
    <row r="198" spans="1:4" s="23" customFormat="1" ht="20.399999999999999" x14ac:dyDescent="0.3">
      <c r="A198" s="87"/>
      <c r="C198" s="140"/>
      <c r="D198" s="140"/>
    </row>
    <row r="199" spans="1:4" s="23" customFormat="1" ht="20.399999999999999" x14ac:dyDescent="0.3">
      <c r="A199" s="87"/>
      <c r="C199" s="140"/>
      <c r="D199" s="140"/>
    </row>
    <row r="200" spans="1:4" s="23" customFormat="1" ht="20.399999999999999" x14ac:dyDescent="0.3">
      <c r="A200" s="87"/>
      <c r="C200" s="140"/>
      <c r="D200" s="140"/>
    </row>
    <row r="201" spans="1:4" s="23" customFormat="1" ht="20.399999999999999" x14ac:dyDescent="0.3">
      <c r="A201" s="87"/>
      <c r="C201" s="140"/>
      <c r="D201" s="140"/>
    </row>
    <row r="202" spans="1:4" s="23" customFormat="1" ht="20.399999999999999" x14ac:dyDescent="0.3">
      <c r="A202" s="87"/>
      <c r="C202" s="140"/>
      <c r="D202" s="140"/>
    </row>
    <row r="203" spans="1:4" s="23" customFormat="1" ht="20.399999999999999" x14ac:dyDescent="0.3">
      <c r="A203" s="87"/>
      <c r="C203" s="140"/>
      <c r="D203" s="140"/>
    </row>
    <row r="204" spans="1:4" s="23" customFormat="1" ht="20.399999999999999" x14ac:dyDescent="0.3">
      <c r="A204" s="87"/>
      <c r="C204" s="140"/>
      <c r="D204" s="140"/>
    </row>
    <row r="205" spans="1:4" s="23" customFormat="1" ht="20.399999999999999" x14ac:dyDescent="0.3">
      <c r="A205" s="87"/>
      <c r="C205" s="140"/>
      <c r="D205" s="140"/>
    </row>
    <row r="206" spans="1:4" s="23" customFormat="1" ht="20.399999999999999" x14ac:dyDescent="0.3">
      <c r="A206" s="87"/>
      <c r="C206" s="140"/>
      <c r="D206" s="140"/>
    </row>
    <row r="207" spans="1:4" s="23" customFormat="1" ht="20.399999999999999" x14ac:dyDescent="0.3">
      <c r="A207" s="87"/>
      <c r="C207" s="140"/>
      <c r="D207" s="140"/>
    </row>
    <row r="208" spans="1:4" s="23" customFormat="1" x14ac:dyDescent="0.3">
      <c r="A208" s="87"/>
    </row>
    <row r="209" spans="1:8" s="23" customFormat="1" ht="20.399999999999999" x14ac:dyDescent="0.3">
      <c r="A209" s="87"/>
      <c r="B209" s="141" t="s">
        <v>87</v>
      </c>
      <c r="C209" s="141" t="s">
        <v>140</v>
      </c>
      <c r="D209" s="142" t="s">
        <v>87</v>
      </c>
      <c r="E209" s="142" t="s">
        <v>140</v>
      </c>
    </row>
    <row r="210" spans="1:8" s="23" customFormat="1" ht="42" x14ac:dyDescent="0.4">
      <c r="A210" s="87"/>
      <c r="B210" s="143" t="s">
        <v>89</v>
      </c>
      <c r="C210" s="143"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3" t="s">
        <v>89</v>
      </c>
      <c r="C211" s="143" t="s">
        <v>206</v>
      </c>
      <c r="E211" s="23" t="s">
        <v>205</v>
      </c>
      <c r="F211" s="23" t="str">
        <f t="shared" ref="F211:F221" si="0">IF(NOT(ISBLANK(D211)),D211,IF(NOT(ISBLANK(E211)),"     "&amp;E211,FALSE))</f>
        <v xml:space="preserve">     Afectación menor a 200 SMLMV</v>
      </c>
    </row>
    <row r="212" spans="1:8" s="23" customFormat="1" ht="42" x14ac:dyDescent="0.4">
      <c r="A212" s="87"/>
      <c r="B212" s="143" t="s">
        <v>89</v>
      </c>
      <c r="C212" s="143" t="s">
        <v>210</v>
      </c>
      <c r="E212" s="23" t="s">
        <v>206</v>
      </c>
      <c r="F212" s="23" t="str">
        <f t="shared" si="0"/>
        <v xml:space="preserve">     Entre 200 y 1000 SMLMV</v>
      </c>
    </row>
    <row r="213" spans="1:8" s="23" customFormat="1" ht="42" x14ac:dyDescent="0.4">
      <c r="A213" s="87"/>
      <c r="B213" s="143" t="s">
        <v>89</v>
      </c>
      <c r="C213" s="143" t="s">
        <v>211</v>
      </c>
      <c r="E213" s="23" t="s">
        <v>210</v>
      </c>
      <c r="F213" s="23" t="str">
        <f t="shared" si="0"/>
        <v xml:space="preserve">     Entre 1000 y 5000 SMLMV </v>
      </c>
    </row>
    <row r="214" spans="1:8" s="23" customFormat="1" ht="42" x14ac:dyDescent="0.4">
      <c r="A214" s="87"/>
      <c r="B214" s="143" t="s">
        <v>89</v>
      </c>
      <c r="C214" s="143" t="s">
        <v>207</v>
      </c>
      <c r="E214" s="23" t="s">
        <v>211</v>
      </c>
      <c r="F214" s="23" t="str">
        <f t="shared" si="0"/>
        <v xml:space="preserve">     Entre 5000 y 10000 SMLMV</v>
      </c>
    </row>
    <row r="215" spans="1:8" s="23" customFormat="1" ht="21" x14ac:dyDescent="0.4">
      <c r="A215" s="87"/>
      <c r="B215" s="143" t="s">
        <v>57</v>
      </c>
      <c r="C215" s="143" t="s">
        <v>92</v>
      </c>
      <c r="E215" s="23" t="s">
        <v>207</v>
      </c>
      <c r="F215" s="23" t="str">
        <f t="shared" si="0"/>
        <v xml:space="preserve">     Mayor a 10000 SMLMV</v>
      </c>
    </row>
    <row r="216" spans="1:8" s="23" customFormat="1" ht="63" x14ac:dyDescent="0.4">
      <c r="A216" s="87"/>
      <c r="B216" s="143" t="s">
        <v>57</v>
      </c>
      <c r="C216" s="143" t="s">
        <v>93</v>
      </c>
      <c r="D216" s="23" t="s">
        <v>57</v>
      </c>
      <c r="F216" s="23" t="str">
        <f t="shared" si="0"/>
        <v>Pérdida Reputacional</v>
      </c>
    </row>
    <row r="217" spans="1:8" s="23" customFormat="1" ht="42" x14ac:dyDescent="0.4">
      <c r="A217" s="87"/>
      <c r="B217" s="143" t="s">
        <v>57</v>
      </c>
      <c r="C217" s="143" t="s">
        <v>95</v>
      </c>
      <c r="E217" s="23" t="s">
        <v>92</v>
      </c>
      <c r="F217" s="23" t="str">
        <f>IF(NOT(ISBLANK(D217)),D217,IF(NOT(ISBLANK(E217)),"     "&amp;E217,FALSE))</f>
        <v xml:space="preserve">     El riesgo afecta la imagen de alguna área de la organización</v>
      </c>
    </row>
    <row r="218" spans="1:8" s="23" customFormat="1" ht="63" x14ac:dyDescent="0.4">
      <c r="A218" s="87"/>
      <c r="B218" s="143" t="s">
        <v>57</v>
      </c>
      <c r="C218" s="143"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3" t="s">
        <v>57</v>
      </c>
      <c r="C219" s="143"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4" t="s">
        <v>141</v>
      </c>
    </row>
    <row r="224" spans="1:8" s="23" customFormat="1" x14ac:dyDescent="0.3">
      <c r="F224" s="144" t="s">
        <v>142</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7" workbookViewId="0">
      <selection activeCell="H13" sqref="H13"/>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416" t="s">
        <v>77</v>
      </c>
      <c r="C1" s="417"/>
      <c r="D1" s="417"/>
      <c r="E1" s="417"/>
      <c r="F1" s="418"/>
    </row>
    <row r="2" spans="2:6" ht="16.2" thickBot="1" x14ac:dyDescent="0.35">
      <c r="B2" s="73"/>
      <c r="C2" s="73"/>
      <c r="D2" s="73"/>
      <c r="E2" s="73"/>
      <c r="F2" s="73"/>
    </row>
    <row r="3" spans="2:6" ht="16.2" thickBot="1" x14ac:dyDescent="0.35">
      <c r="B3" s="420" t="s">
        <v>63</v>
      </c>
      <c r="C3" s="421"/>
      <c r="D3" s="421"/>
      <c r="E3" s="85" t="s">
        <v>64</v>
      </c>
      <c r="F3" s="86" t="s">
        <v>65</v>
      </c>
    </row>
    <row r="4" spans="2:6" ht="31.2" x14ac:dyDescent="0.3">
      <c r="B4" s="422" t="s">
        <v>66</v>
      </c>
      <c r="C4" s="424" t="s">
        <v>13</v>
      </c>
      <c r="D4" s="74" t="s">
        <v>14</v>
      </c>
      <c r="E4" s="75" t="s">
        <v>67</v>
      </c>
      <c r="F4" s="76">
        <v>0.25</v>
      </c>
    </row>
    <row r="5" spans="2:6" ht="46.8" x14ac:dyDescent="0.3">
      <c r="B5" s="423"/>
      <c r="C5" s="425"/>
      <c r="D5" s="77" t="s">
        <v>15</v>
      </c>
      <c r="E5" s="78" t="s">
        <v>68</v>
      </c>
      <c r="F5" s="79">
        <v>0.15</v>
      </c>
    </row>
    <row r="6" spans="2:6" ht="46.8" x14ac:dyDescent="0.3">
      <c r="B6" s="423"/>
      <c r="C6" s="425"/>
      <c r="D6" s="77" t="s">
        <v>16</v>
      </c>
      <c r="E6" s="78" t="s">
        <v>69</v>
      </c>
      <c r="F6" s="79">
        <v>0.1</v>
      </c>
    </row>
    <row r="7" spans="2:6" ht="62.4" x14ac:dyDescent="0.3">
      <c r="B7" s="423"/>
      <c r="C7" s="425" t="s">
        <v>17</v>
      </c>
      <c r="D7" s="77" t="s">
        <v>10</v>
      </c>
      <c r="E7" s="78" t="s">
        <v>70</v>
      </c>
      <c r="F7" s="79">
        <v>0.25</v>
      </c>
    </row>
    <row r="8" spans="2:6" ht="31.2" x14ac:dyDescent="0.3">
      <c r="B8" s="423"/>
      <c r="C8" s="425"/>
      <c r="D8" s="77" t="s">
        <v>9</v>
      </c>
      <c r="E8" s="78" t="s">
        <v>71</v>
      </c>
      <c r="F8" s="79">
        <v>0.15</v>
      </c>
    </row>
    <row r="9" spans="2:6" ht="46.8" x14ac:dyDescent="0.3">
      <c r="B9" s="423" t="s">
        <v>151</v>
      </c>
      <c r="C9" s="425" t="s">
        <v>18</v>
      </c>
      <c r="D9" s="77" t="s">
        <v>19</v>
      </c>
      <c r="E9" s="78" t="s">
        <v>72</v>
      </c>
      <c r="F9" s="80" t="s">
        <v>73</v>
      </c>
    </row>
    <row r="10" spans="2:6" ht="46.8" x14ac:dyDescent="0.3">
      <c r="B10" s="423"/>
      <c r="C10" s="425"/>
      <c r="D10" s="77" t="s">
        <v>20</v>
      </c>
      <c r="E10" s="78" t="s">
        <v>74</v>
      </c>
      <c r="F10" s="80" t="s">
        <v>73</v>
      </c>
    </row>
    <row r="11" spans="2:6" ht="46.8" x14ac:dyDescent="0.3">
      <c r="B11" s="423"/>
      <c r="C11" s="425" t="s">
        <v>21</v>
      </c>
      <c r="D11" s="77" t="s">
        <v>22</v>
      </c>
      <c r="E11" s="78" t="s">
        <v>75</v>
      </c>
      <c r="F11" s="80" t="s">
        <v>73</v>
      </c>
    </row>
    <row r="12" spans="2:6" ht="46.8" x14ac:dyDescent="0.3">
      <c r="B12" s="423"/>
      <c r="C12" s="425"/>
      <c r="D12" s="77" t="s">
        <v>23</v>
      </c>
      <c r="E12" s="78" t="s">
        <v>76</v>
      </c>
      <c r="F12" s="80" t="s">
        <v>73</v>
      </c>
    </row>
    <row r="13" spans="2:6" ht="31.2" x14ac:dyDescent="0.3">
      <c r="B13" s="423"/>
      <c r="C13" s="425" t="s">
        <v>24</v>
      </c>
      <c r="D13" s="77" t="s">
        <v>114</v>
      </c>
      <c r="E13" s="78" t="s">
        <v>117</v>
      </c>
      <c r="F13" s="80" t="s">
        <v>73</v>
      </c>
    </row>
    <row r="14" spans="2:6" ht="16.2" thickBot="1" x14ac:dyDescent="0.35">
      <c r="B14" s="426"/>
      <c r="C14" s="427"/>
      <c r="D14" s="81" t="s">
        <v>115</v>
      </c>
      <c r="E14" s="82" t="s">
        <v>116</v>
      </c>
      <c r="F14" s="83" t="s">
        <v>73</v>
      </c>
    </row>
    <row r="15" spans="2:6" ht="49.5" customHeight="1" x14ac:dyDescent="0.3">
      <c r="B15" s="419" t="s">
        <v>148</v>
      </c>
      <c r="C15" s="419"/>
      <c r="D15" s="419"/>
      <c r="E15" s="419"/>
      <c r="F15" s="419"/>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Maria Paula</cp:lastModifiedBy>
  <cp:lastPrinted>2020-05-13T01:12:22Z</cp:lastPrinted>
  <dcterms:created xsi:type="dcterms:W3CDTF">2020-03-24T23:12:47Z</dcterms:created>
  <dcterms:modified xsi:type="dcterms:W3CDTF">2023-09-05T16:36:29Z</dcterms:modified>
</cp:coreProperties>
</file>