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embeddings/oleObject6.bin" ContentType="application/vnd.openxmlformats-officedocument.oleObject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7.bin" ContentType="application/vnd.openxmlformats-officedocument.oleObject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embeddings/oleObject11.bin" ContentType="application/vnd.openxmlformats-officedocument.oleObject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embeddings/oleObject15.bin" ContentType="application/vnd.openxmlformats-officedocument.oleObject"/>
  <Override PartName="/xl/drawings/drawing9.xml" ContentType="application/vnd.openxmlformats-officedocument.drawing+xml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60\Desktop\Instrumentos de Planeación 2023 - cierre\PA para Contraloría\"/>
    </mc:Choice>
  </mc:AlternateContent>
  <bookViews>
    <workbookView xWindow="0" yWindow="0" windowWidth="21600" windowHeight="9630"/>
  </bookViews>
  <sheets>
    <sheet name="MUJER" sheetId="17" r:id="rId1"/>
    <sheet name="ETNIAS." sheetId="10" r:id="rId2"/>
    <sheet name="LUCHA CONTRA LA POBREZA" sheetId="11" r:id="rId3"/>
    <sheet name="ADULTO MAYOR" sheetId="12" r:id="rId4"/>
    <sheet name="DISCAPACIDAD" sheetId="13" r:id="rId5"/>
    <sheet name="HABITANTE DE CALLE" sheetId="24" r:id="rId6"/>
    <sheet name="VÍCTIMAS" sheetId="15" r:id="rId7"/>
    <sheet name="NNA" sheetId="21" r:id="rId8"/>
    <sheet name="JUVENTUD" sheetId="18" r:id="rId9"/>
    <sheet name="Hoja1" sheetId="27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10" l="1"/>
  <c r="R38" i="10"/>
  <c r="S19" i="13" l="1"/>
  <c r="S17" i="13"/>
  <c r="F45" i="18" l="1"/>
  <c r="F35" i="18"/>
  <c r="F46" i="18"/>
  <c r="G48" i="18"/>
  <c r="H48" i="18"/>
  <c r="I48" i="18"/>
  <c r="F47" i="18"/>
  <c r="G47" i="18"/>
  <c r="H47" i="18"/>
  <c r="I47" i="18"/>
  <c r="R46" i="21"/>
  <c r="G70" i="21"/>
  <c r="H70" i="21"/>
  <c r="I70" i="21"/>
  <c r="G69" i="21"/>
  <c r="H69" i="21"/>
  <c r="I69" i="21"/>
  <c r="F49" i="21"/>
  <c r="R45" i="21" s="1"/>
  <c r="F27" i="21"/>
  <c r="F67" i="21"/>
  <c r="F65" i="21"/>
  <c r="F61" i="21"/>
  <c r="R62" i="21" s="1"/>
  <c r="F53" i="21"/>
  <c r="F31" i="21"/>
  <c r="F29" i="21"/>
  <c r="F23" i="21"/>
  <c r="F19" i="21"/>
  <c r="F17" i="21"/>
  <c r="R63" i="21"/>
  <c r="F37" i="15"/>
  <c r="F29" i="15"/>
  <c r="F27" i="15"/>
  <c r="F23" i="15"/>
  <c r="F21" i="15"/>
  <c r="F21" i="24"/>
  <c r="R20" i="24" s="1"/>
  <c r="F26" i="24"/>
  <c r="G26" i="24"/>
  <c r="H26" i="24"/>
  <c r="I26" i="24"/>
  <c r="G25" i="24"/>
  <c r="H25" i="24"/>
  <c r="I25" i="24"/>
  <c r="E24" i="24"/>
  <c r="R24" i="24" s="1"/>
  <c r="L23" i="24"/>
  <c r="E23" i="24"/>
  <c r="R23" i="24" s="1"/>
  <c r="E22" i="24"/>
  <c r="L21" i="24"/>
  <c r="E20" i="24"/>
  <c r="L19" i="24"/>
  <c r="R18" i="24"/>
  <c r="E19" i="24"/>
  <c r="E18" i="24"/>
  <c r="L17" i="24"/>
  <c r="E17" i="24"/>
  <c r="R14" i="24"/>
  <c r="R13" i="24"/>
  <c r="E26" i="24" l="1"/>
  <c r="E21" i="24"/>
  <c r="M21" i="24" s="1"/>
  <c r="E25" i="24"/>
  <c r="F25" i="24"/>
  <c r="M19" i="24"/>
  <c r="R25" i="24"/>
  <c r="R21" i="24"/>
  <c r="M17" i="24"/>
  <c r="R19" i="24"/>
  <c r="M23" i="24"/>
  <c r="R26" i="24" l="1"/>
  <c r="I23" i="12" l="1"/>
  <c r="I27" i="12"/>
  <c r="I19" i="12"/>
  <c r="F23" i="12"/>
  <c r="F29" i="12"/>
  <c r="F29" i="11"/>
  <c r="F27" i="11"/>
  <c r="F19" i="11"/>
  <c r="F17" i="11"/>
  <c r="F42" i="10"/>
  <c r="G42" i="10"/>
  <c r="H42" i="10"/>
  <c r="I42" i="10"/>
  <c r="I41" i="10"/>
  <c r="F41" i="10"/>
  <c r="G41" i="10"/>
  <c r="H41" i="10"/>
  <c r="I39" i="17"/>
  <c r="I40" i="17"/>
  <c r="F40" i="17"/>
  <c r="G40" i="17"/>
  <c r="H40" i="17"/>
  <c r="F39" i="17"/>
  <c r="G39" i="17"/>
  <c r="H39" i="17"/>
  <c r="E23" i="17"/>
  <c r="L23" i="17"/>
  <c r="E24" i="17"/>
  <c r="E31" i="17"/>
  <c r="L31" i="17"/>
  <c r="R31" i="17"/>
  <c r="E32" i="17"/>
  <c r="R32" i="17"/>
  <c r="M23" i="17" l="1"/>
  <c r="M31" i="17"/>
  <c r="F36" i="18" l="1"/>
  <c r="F48" i="18" s="1"/>
  <c r="F18" i="15"/>
  <c r="F37" i="21" l="1"/>
  <c r="T71" i="21" l="1"/>
  <c r="F52" i="21" l="1"/>
  <c r="T32" i="12" l="1"/>
  <c r="U32" i="12"/>
  <c r="L21" i="17" l="1"/>
  <c r="F63" i="21" l="1"/>
  <c r="F41" i="21"/>
  <c r="F35" i="21"/>
  <c r="F33" i="21"/>
  <c r="F28" i="21" l="1"/>
  <c r="F34" i="21" l="1"/>
  <c r="F23" i="11" l="1"/>
  <c r="E17" i="11"/>
  <c r="F19" i="12" l="1"/>
  <c r="F25" i="12"/>
  <c r="I29" i="12" l="1"/>
  <c r="I21" i="12"/>
  <c r="F20" i="12" l="1"/>
  <c r="F30" i="15"/>
  <c r="F40" i="13" l="1"/>
  <c r="S46" i="18" l="1"/>
  <c r="W31" i="13"/>
  <c r="W26" i="13"/>
  <c r="S26" i="17" l="1"/>
  <c r="R34" i="17" l="1"/>
  <c r="E19" i="18" l="1"/>
  <c r="E21" i="18"/>
  <c r="E23" i="18"/>
  <c r="E25" i="18"/>
  <c r="E26" i="18"/>
  <c r="E27" i="18"/>
  <c r="E28" i="18"/>
  <c r="E29" i="18"/>
  <c r="E30" i="18"/>
  <c r="E31" i="18"/>
  <c r="E32" i="18"/>
  <c r="E33" i="18"/>
  <c r="E34" i="18"/>
  <c r="E35" i="18"/>
  <c r="E37" i="18"/>
  <c r="E38" i="18"/>
  <c r="E41" i="18"/>
  <c r="E42" i="18"/>
  <c r="E43" i="18"/>
  <c r="E44" i="18"/>
  <c r="E45" i="18"/>
  <c r="E46" i="18"/>
  <c r="E18" i="18"/>
  <c r="R32" i="18" l="1"/>
  <c r="R31" i="18"/>
  <c r="R33" i="18"/>
  <c r="E39" i="18"/>
  <c r="R38" i="18" s="1"/>
  <c r="E23" i="12"/>
  <c r="E24" i="12"/>
  <c r="E19" i="12"/>
  <c r="I25" i="12"/>
  <c r="F21" i="21" l="1"/>
  <c r="F69" i="21" s="1"/>
  <c r="E17" i="18"/>
  <c r="E47" i="18" s="1"/>
  <c r="R17" i="18" l="1"/>
  <c r="E40" i="18"/>
  <c r="R39" i="18" s="1"/>
  <c r="E36" i="18"/>
  <c r="R34" i="18" s="1"/>
  <c r="E20" i="18"/>
  <c r="R37" i="21"/>
  <c r="R30" i="21"/>
  <c r="R58" i="21"/>
  <c r="R60" i="21"/>
  <c r="F22" i="21" l="1"/>
  <c r="F70" i="21" s="1"/>
  <c r="R56" i="21"/>
  <c r="R17" i="21"/>
  <c r="R22" i="21"/>
  <c r="R42" i="15" l="1"/>
  <c r="R41" i="15"/>
  <c r="R40" i="15"/>
  <c r="R33" i="15"/>
  <c r="R31" i="15"/>
  <c r="R18" i="15"/>
  <c r="S38" i="15"/>
  <c r="R37" i="15"/>
  <c r="F44" i="15"/>
  <c r="R48" i="15" s="1"/>
  <c r="R28" i="15"/>
  <c r="R29" i="15"/>
  <c r="S18" i="15"/>
  <c r="X40" i="13"/>
  <c r="W24" i="13"/>
  <c r="W18" i="13" l="1"/>
  <c r="S18" i="11" l="1"/>
  <c r="S22" i="17" l="1"/>
  <c r="S40" i="17" s="1"/>
  <c r="R17" i="11" l="1"/>
  <c r="S27" i="12"/>
  <c r="R27" i="12"/>
  <c r="S23" i="12"/>
  <c r="R23" i="12"/>
  <c r="S17" i="12"/>
  <c r="R17" i="12"/>
  <c r="R31" i="12" l="1"/>
  <c r="E17" i="15"/>
  <c r="L17" i="15"/>
  <c r="R17" i="15"/>
  <c r="E18" i="15"/>
  <c r="E19" i="15"/>
  <c r="L19" i="15"/>
  <c r="M19" i="15"/>
  <c r="N19" i="15" s="1"/>
  <c r="E20" i="15"/>
  <c r="E21" i="15"/>
  <c r="L21" i="15"/>
  <c r="E22" i="15"/>
  <c r="M21" i="15" s="1"/>
  <c r="N21" i="15" s="1"/>
  <c r="E23" i="15"/>
  <c r="L23" i="15"/>
  <c r="E24" i="15"/>
  <c r="M23" i="15" s="1"/>
  <c r="N23" i="15" s="1"/>
  <c r="E25" i="15"/>
  <c r="L25" i="15"/>
  <c r="E26" i="15"/>
  <c r="E27" i="15"/>
  <c r="L27" i="15"/>
  <c r="E28" i="15"/>
  <c r="E29" i="15"/>
  <c r="L29" i="15"/>
  <c r="E30" i="15"/>
  <c r="M29" i="15" s="1"/>
  <c r="N29" i="15" s="1"/>
  <c r="R30" i="15"/>
  <c r="E31" i="15"/>
  <c r="L31" i="15"/>
  <c r="E32" i="15"/>
  <c r="R32" i="15"/>
  <c r="E33" i="15"/>
  <c r="L33" i="15"/>
  <c r="R34" i="15"/>
  <c r="E35" i="15"/>
  <c r="L35" i="15"/>
  <c r="E37" i="15"/>
  <c r="L37" i="15"/>
  <c r="E39" i="15"/>
  <c r="L39" i="15"/>
  <c r="R39" i="15"/>
  <c r="E40" i="15"/>
  <c r="M39" i="15" s="1"/>
  <c r="E41" i="15"/>
  <c r="L41" i="15"/>
  <c r="E42" i="15"/>
  <c r="E43" i="15"/>
  <c r="L43" i="15"/>
  <c r="E44" i="15"/>
  <c r="E45" i="15"/>
  <c r="L45" i="15"/>
  <c r="E46" i="15"/>
  <c r="E47" i="15"/>
  <c r="L47" i="15"/>
  <c r="R47" i="15"/>
  <c r="E48" i="15"/>
  <c r="F49" i="15"/>
  <c r="G49" i="15"/>
  <c r="H49" i="15"/>
  <c r="I49" i="15"/>
  <c r="F50" i="15"/>
  <c r="G50" i="15"/>
  <c r="H50" i="15"/>
  <c r="I50" i="15"/>
  <c r="E17" i="13"/>
  <c r="L17" i="13"/>
  <c r="W17" i="13"/>
  <c r="E18" i="13"/>
  <c r="E19" i="13"/>
  <c r="L19" i="13"/>
  <c r="E20" i="13"/>
  <c r="E21" i="13"/>
  <c r="L21" i="13"/>
  <c r="E22" i="13"/>
  <c r="E23" i="13"/>
  <c r="L23" i="13"/>
  <c r="W23" i="13"/>
  <c r="E25" i="13"/>
  <c r="L25" i="13"/>
  <c r="W25" i="13"/>
  <c r="E26" i="13"/>
  <c r="E27" i="13"/>
  <c r="L27" i="13"/>
  <c r="E28" i="13"/>
  <c r="E29" i="13"/>
  <c r="L29" i="13"/>
  <c r="W29" i="13"/>
  <c r="E30" i="13"/>
  <c r="W30" i="13"/>
  <c r="E31" i="13"/>
  <c r="L31" i="13"/>
  <c r="E32" i="13"/>
  <c r="E33" i="13"/>
  <c r="L33" i="13"/>
  <c r="W33" i="13"/>
  <c r="E34" i="13"/>
  <c r="W34" i="13"/>
  <c r="E35" i="13"/>
  <c r="L35" i="13"/>
  <c r="E36" i="13"/>
  <c r="E37" i="13"/>
  <c r="L37" i="13"/>
  <c r="W37" i="13"/>
  <c r="W38" i="13"/>
  <c r="F39" i="13"/>
  <c r="G39" i="13"/>
  <c r="H39" i="13"/>
  <c r="I39" i="13"/>
  <c r="X39" i="13"/>
  <c r="G40" i="13"/>
  <c r="H40" i="13"/>
  <c r="I40" i="13"/>
  <c r="E17" i="12"/>
  <c r="L17" i="12"/>
  <c r="R18" i="12"/>
  <c r="L19" i="12"/>
  <c r="E20" i="12"/>
  <c r="R20" i="12"/>
  <c r="E21" i="12"/>
  <c r="L21" i="12"/>
  <c r="E22" i="12"/>
  <c r="L23" i="12"/>
  <c r="R24" i="12"/>
  <c r="E25" i="12"/>
  <c r="L25" i="12"/>
  <c r="E26" i="12"/>
  <c r="E27" i="12"/>
  <c r="L27" i="12"/>
  <c r="E28" i="12"/>
  <c r="E29" i="12"/>
  <c r="L29" i="12"/>
  <c r="F30" i="12"/>
  <c r="F32" i="12" s="1"/>
  <c r="F31" i="12"/>
  <c r="G31" i="12"/>
  <c r="H31" i="12"/>
  <c r="I31" i="12"/>
  <c r="S31" i="12"/>
  <c r="G32" i="12"/>
  <c r="H32" i="12"/>
  <c r="L17" i="11"/>
  <c r="E18" i="11"/>
  <c r="R18" i="11"/>
  <c r="E19" i="11"/>
  <c r="L19" i="11"/>
  <c r="E20" i="11"/>
  <c r="E21" i="11"/>
  <c r="L21" i="11"/>
  <c r="E22" i="11"/>
  <c r="E23" i="11"/>
  <c r="L23" i="11"/>
  <c r="R23" i="11"/>
  <c r="E24" i="11"/>
  <c r="R24" i="11"/>
  <c r="E25" i="11"/>
  <c r="L25" i="11"/>
  <c r="E26" i="11"/>
  <c r="R26" i="11"/>
  <c r="E27" i="11"/>
  <c r="L27" i="11"/>
  <c r="R27" i="11"/>
  <c r="E28" i="11"/>
  <c r="R28" i="11"/>
  <c r="E29" i="11"/>
  <c r="L29" i="11"/>
  <c r="R29" i="11"/>
  <c r="E30" i="11"/>
  <c r="F31" i="11"/>
  <c r="G31" i="11"/>
  <c r="H31" i="11"/>
  <c r="I31" i="11"/>
  <c r="F32" i="11"/>
  <c r="G32" i="11"/>
  <c r="H32" i="11"/>
  <c r="I32" i="11"/>
  <c r="E17" i="10"/>
  <c r="L17" i="10"/>
  <c r="R17" i="10"/>
  <c r="E18" i="10"/>
  <c r="R18" i="10"/>
  <c r="E19" i="10"/>
  <c r="L19" i="10"/>
  <c r="E20" i="10"/>
  <c r="E21" i="10"/>
  <c r="L21" i="10"/>
  <c r="E22" i="10"/>
  <c r="E23" i="10"/>
  <c r="L23" i="10"/>
  <c r="E24" i="10"/>
  <c r="E25" i="10"/>
  <c r="L25" i="10"/>
  <c r="M25" i="10"/>
  <c r="E26" i="10"/>
  <c r="E27" i="10"/>
  <c r="L27" i="10"/>
  <c r="R27" i="10"/>
  <c r="E28" i="10"/>
  <c r="R28" i="10"/>
  <c r="E29" i="10"/>
  <c r="L29" i="10"/>
  <c r="E30" i="10"/>
  <c r="E31" i="10"/>
  <c r="L31" i="10"/>
  <c r="R31" i="10"/>
  <c r="E32" i="10"/>
  <c r="R32" i="10"/>
  <c r="E33" i="10"/>
  <c r="L33" i="10"/>
  <c r="E34" i="10"/>
  <c r="E35" i="10"/>
  <c r="L35" i="10"/>
  <c r="E36" i="10"/>
  <c r="M35" i="10" s="1"/>
  <c r="E37" i="10"/>
  <c r="L37" i="10"/>
  <c r="E38" i="10"/>
  <c r="E39" i="10"/>
  <c r="L39" i="10"/>
  <c r="E40" i="10"/>
  <c r="M39" i="10" l="1"/>
  <c r="M47" i="15"/>
  <c r="N47" i="15" s="1"/>
  <c r="M17" i="15"/>
  <c r="M19" i="10"/>
  <c r="N19" i="10" s="1"/>
  <c r="M27" i="15"/>
  <c r="N27" i="15" s="1"/>
  <c r="M27" i="10"/>
  <c r="M19" i="13"/>
  <c r="E41" i="10"/>
  <c r="M25" i="13"/>
  <c r="N25" i="13" s="1"/>
  <c r="M33" i="13"/>
  <c r="N33" i="13" s="1"/>
  <c r="M27" i="13"/>
  <c r="N27" i="13" s="1"/>
  <c r="M31" i="13"/>
  <c r="N31" i="13" s="1"/>
  <c r="M27" i="12"/>
  <c r="M29" i="11"/>
  <c r="M27" i="11"/>
  <c r="N27" i="11" s="1"/>
  <c r="E42" i="10"/>
  <c r="M33" i="10"/>
  <c r="N33" i="10" s="1"/>
  <c r="M37" i="10"/>
  <c r="N37" i="10" s="1"/>
  <c r="M21" i="10"/>
  <c r="M31" i="15"/>
  <c r="N25" i="10"/>
  <c r="M23" i="10"/>
  <c r="N23" i="10" s="1"/>
  <c r="N19" i="13"/>
  <c r="R28" i="12"/>
  <c r="N27" i="12"/>
  <c r="M31" i="10"/>
  <c r="N31" i="10" s="1"/>
  <c r="R41" i="10"/>
  <c r="R31" i="11"/>
  <c r="M25" i="11"/>
  <c r="M23" i="11"/>
  <c r="N23" i="11" s="1"/>
  <c r="M21" i="12"/>
  <c r="N21" i="12" s="1"/>
  <c r="R49" i="15"/>
  <c r="M43" i="15"/>
  <c r="N43" i="15" s="1"/>
  <c r="M45" i="15"/>
  <c r="N45" i="15" s="1"/>
  <c r="M41" i="15"/>
  <c r="N41" i="15" s="1"/>
  <c r="E36" i="15"/>
  <c r="M35" i="15" s="1"/>
  <c r="N35" i="15" s="1"/>
  <c r="R38" i="15"/>
  <c r="E34" i="15"/>
  <c r="M33" i="15" s="1"/>
  <c r="R35" i="15"/>
  <c r="R50" i="15" s="1"/>
  <c r="M29" i="13"/>
  <c r="R32" i="11"/>
  <c r="M35" i="13"/>
  <c r="N35" i="13" s="1"/>
  <c r="M21" i="13"/>
  <c r="N21" i="13" s="1"/>
  <c r="E39" i="13"/>
  <c r="W39" i="13"/>
  <c r="E31" i="12"/>
  <c r="M25" i="12"/>
  <c r="N25" i="12" s="1"/>
  <c r="M17" i="11"/>
  <c r="N17" i="11" s="1"/>
  <c r="M19" i="11"/>
  <c r="N19" i="11" s="1"/>
  <c r="E31" i="11"/>
  <c r="M29" i="10"/>
  <c r="N29" i="10" s="1"/>
  <c r="E49" i="15"/>
  <c r="M25" i="15"/>
  <c r="N25" i="15" s="1"/>
  <c r="E32" i="11"/>
  <c r="R42" i="10"/>
  <c r="N39" i="10"/>
  <c r="E30" i="12"/>
  <c r="M29" i="12" s="1"/>
  <c r="N29" i="12" s="1"/>
  <c r="S28" i="12"/>
  <c r="R32" i="12"/>
  <c r="M23" i="12"/>
  <c r="N23" i="12" s="1"/>
  <c r="S24" i="12"/>
  <c r="I32" i="12"/>
  <c r="M19" i="12"/>
  <c r="N19" i="12" s="1"/>
  <c r="E18" i="12"/>
  <c r="M17" i="12" s="1"/>
  <c r="N17" i="12" s="1"/>
  <c r="S18" i="12"/>
  <c r="N17" i="15"/>
  <c r="E38" i="15"/>
  <c r="M37" i="15" s="1"/>
  <c r="N37" i="15" s="1"/>
  <c r="E38" i="13"/>
  <c r="M37" i="13" s="1"/>
  <c r="N37" i="13" s="1"/>
  <c r="W32" i="13"/>
  <c r="W40" i="13" s="1"/>
  <c r="E24" i="13"/>
  <c r="M23" i="13" s="1"/>
  <c r="N23" i="13" s="1"/>
  <c r="M17" i="13"/>
  <c r="N17" i="13" s="1"/>
  <c r="M21" i="11"/>
  <c r="N21" i="11" s="1"/>
  <c r="N27" i="10"/>
  <c r="M17" i="10"/>
  <c r="N17" i="10" s="1"/>
  <c r="S32" i="12" l="1"/>
  <c r="E32" i="12"/>
  <c r="E50" i="15"/>
  <c r="E40" i="13"/>
  <c r="E18" i="21" l="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70" i="21" l="1"/>
  <c r="R41" i="18"/>
  <c r="R43" i="18" l="1"/>
  <c r="R55" i="21"/>
  <c r="R53" i="21"/>
  <c r="R18" i="21"/>
  <c r="R69" i="21"/>
  <c r="R68" i="21"/>
  <c r="R67" i="21"/>
  <c r="R66" i="21"/>
  <c r="R64" i="21"/>
  <c r="R59" i="21"/>
  <c r="R57" i="21"/>
  <c r="R54" i="21"/>
  <c r="R44" i="21"/>
  <c r="R43" i="21"/>
  <c r="R38" i="21"/>
  <c r="R36" i="21"/>
  <c r="R34" i="21"/>
  <c r="R33" i="21"/>
  <c r="S37" i="21"/>
  <c r="R35" i="21"/>
  <c r="R29" i="21"/>
  <c r="R23" i="21"/>
  <c r="R21" i="21"/>
  <c r="M25" i="21"/>
  <c r="L25" i="21"/>
  <c r="L57" i="21"/>
  <c r="R42" i="18"/>
  <c r="E22" i="18" l="1"/>
  <c r="E48" i="18" s="1"/>
  <c r="R70" i="21"/>
  <c r="N25" i="21"/>
  <c r="M57" i="21"/>
  <c r="N57" i="21" s="1"/>
  <c r="R18" i="18" l="1"/>
  <c r="L37" i="18"/>
  <c r="M37" i="18" l="1"/>
  <c r="N37" i="18" s="1"/>
  <c r="L19" i="18" l="1"/>
  <c r="M43" i="18"/>
  <c r="L43" i="18"/>
  <c r="R37" i="17"/>
  <c r="R35" i="17"/>
  <c r="R33" i="17"/>
  <c r="R25" i="17"/>
  <c r="R21" i="17"/>
  <c r="R15" i="17"/>
  <c r="R19" i="17"/>
  <c r="E18" i="17"/>
  <c r="E19" i="17"/>
  <c r="E20" i="17"/>
  <c r="E21" i="17"/>
  <c r="E22" i="17"/>
  <c r="E25" i="17"/>
  <c r="E26" i="17"/>
  <c r="E27" i="17"/>
  <c r="E28" i="17"/>
  <c r="E29" i="17"/>
  <c r="E30" i="17"/>
  <c r="E33" i="17"/>
  <c r="E34" i="17"/>
  <c r="E35" i="17"/>
  <c r="E36" i="17"/>
  <c r="E37" i="17"/>
  <c r="E38" i="17"/>
  <c r="R26" i="17"/>
  <c r="E40" i="17" l="1"/>
  <c r="N43" i="18"/>
  <c r="R39" i="17"/>
  <c r="M19" i="18"/>
  <c r="N19" i="18" s="1"/>
  <c r="L39" i="21"/>
  <c r="M39" i="21" l="1"/>
  <c r="N39" i="21" s="1"/>
  <c r="R24" i="21" l="1"/>
  <c r="E17" i="21" l="1"/>
  <c r="E69" i="21" s="1"/>
  <c r="L17" i="21"/>
  <c r="L19" i="21"/>
  <c r="L21" i="21"/>
  <c r="L23" i="21"/>
  <c r="L27" i="21"/>
  <c r="L29" i="21"/>
  <c r="L31" i="21"/>
  <c r="L33" i="21"/>
  <c r="L35" i="21"/>
  <c r="L37" i="21"/>
  <c r="L41" i="21"/>
  <c r="L43" i="21"/>
  <c r="L45" i="21"/>
  <c r="L47" i="21"/>
  <c r="L49" i="21"/>
  <c r="L51" i="21"/>
  <c r="L53" i="21"/>
  <c r="L55" i="21"/>
  <c r="L59" i="21"/>
  <c r="L61" i="21"/>
  <c r="L63" i="21"/>
  <c r="L65" i="21"/>
  <c r="R65" i="21"/>
  <c r="R71" i="21" s="1"/>
  <c r="L67" i="21"/>
  <c r="M59" i="21" l="1"/>
  <c r="N59" i="21" s="1"/>
  <c r="M53" i="21"/>
  <c r="N53" i="21" s="1"/>
  <c r="M65" i="21"/>
  <c r="N65" i="21" s="1"/>
  <c r="M17" i="21"/>
  <c r="N17" i="21" s="1"/>
  <c r="M21" i="21"/>
  <c r="N21" i="21" s="1"/>
  <c r="M33" i="21"/>
  <c r="N33" i="21" s="1"/>
  <c r="M37" i="21"/>
  <c r="N37" i="21" s="1"/>
  <c r="M63" i="21"/>
  <c r="N63" i="21" s="1"/>
  <c r="M51" i="21"/>
  <c r="N51" i="21" s="1"/>
  <c r="M49" i="21"/>
  <c r="N49" i="21" s="1"/>
  <c r="M41" i="21"/>
  <c r="N41" i="21" s="1"/>
  <c r="M31" i="21"/>
  <c r="N31" i="21" s="1"/>
  <c r="M29" i="21"/>
  <c r="N29" i="21" s="1"/>
  <c r="M23" i="21"/>
  <c r="N23" i="21" s="1"/>
  <c r="M55" i="21"/>
  <c r="N55" i="21" s="1"/>
  <c r="M45" i="21"/>
  <c r="N45" i="21" s="1"/>
  <c r="M19" i="21"/>
  <c r="N19" i="21" s="1"/>
  <c r="M47" i="21"/>
  <c r="N47" i="21" s="1"/>
  <c r="M43" i="21"/>
  <c r="N43" i="21" s="1"/>
  <c r="M35" i="21"/>
  <c r="M27" i="21"/>
  <c r="N27" i="21" s="1"/>
  <c r="M67" i="21"/>
  <c r="N67" i="21" s="1"/>
  <c r="M61" i="21"/>
  <c r="N61" i="21" s="1"/>
  <c r="R38" i="17" l="1"/>
  <c r="L37" i="17"/>
  <c r="R36" i="17"/>
  <c r="M35" i="17"/>
  <c r="L35" i="17"/>
  <c r="L33" i="17"/>
  <c r="L29" i="17"/>
  <c r="L27" i="17"/>
  <c r="L25" i="17"/>
  <c r="R22" i="17"/>
  <c r="M21" i="17"/>
  <c r="R20" i="17"/>
  <c r="M19" i="17"/>
  <c r="L19" i="17"/>
  <c r="L17" i="17"/>
  <c r="E17" i="17"/>
  <c r="E39" i="17" s="1"/>
  <c r="R16" i="17"/>
  <c r="R40" i="17" l="1"/>
  <c r="M27" i="17"/>
  <c r="N27" i="17" s="1"/>
  <c r="M37" i="17"/>
  <c r="N37" i="17" s="1"/>
  <c r="M25" i="17"/>
  <c r="N25" i="17" s="1"/>
  <c r="M33" i="17"/>
  <c r="N33" i="17" s="1"/>
  <c r="M17" i="17"/>
  <c r="M29" i="17"/>
  <c r="N29" i="17" s="1"/>
  <c r="N21" i="17"/>
  <c r="R44" i="18" l="1"/>
  <c r="L45" i="18"/>
  <c r="L41" i="18"/>
  <c r="L39" i="18"/>
  <c r="L35" i="18"/>
  <c r="L33" i="18"/>
  <c r="L31" i="18"/>
  <c r="L29" i="18"/>
  <c r="L27" i="18"/>
  <c r="L25" i="18"/>
  <c r="L23" i="18"/>
  <c r="L21" i="18"/>
  <c r="L17" i="18"/>
  <c r="R45" i="18" l="1"/>
  <c r="M41" i="18"/>
  <c r="N41" i="18" s="1"/>
  <c r="M35" i="18"/>
  <c r="N35" i="18" s="1"/>
  <c r="M29" i="18"/>
  <c r="N29" i="18" s="1"/>
  <c r="M27" i="18"/>
  <c r="M25" i="18"/>
  <c r="N25" i="18" s="1"/>
  <c r="M23" i="18"/>
  <c r="N23" i="18" s="1"/>
  <c r="M39" i="18"/>
  <c r="N39" i="18" s="1"/>
  <c r="M21" i="18"/>
  <c r="N21" i="18" s="1"/>
  <c r="M33" i="18"/>
  <c r="N33" i="18" s="1"/>
  <c r="M45" i="18"/>
  <c r="N45" i="18" s="1"/>
  <c r="M31" i="18"/>
  <c r="N31" i="18" s="1"/>
  <c r="M17" i="18"/>
  <c r="N17" i="18" s="1"/>
  <c r="R46" i="18" l="1"/>
</calcChain>
</file>

<file path=xl/comments1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Mesas de trabajo 
solicitudes a secretarias y sus respuestas
JAIME LOAIZA</t>
        </r>
      </text>
    </comment>
    <comment ref="A19" authorId="0" shapeId="0">
      <text>
        <r>
          <rPr>
            <sz val="9"/>
            <color indexed="81"/>
            <rFont val="Tahoma"/>
            <family val="2"/>
          </rPr>
          <t xml:space="preserve">Asistir a las asambleas y llevar oferta.
Cronograma que se debe de acordar con los gobernadores
KAREN PEREZ: Debe de coordinar esto
-Cleisser Cuero
-Jeimmy Acosta
-Mauricio Castro
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-Taller de alfarería
-Mesas de trabajo con los gobernadores
- Dotacion indigena- carpas,sillas..
PERSONAL ALFARERIA
CLEISSER CUERO Y KAREN -  Deben de coordinar y llevar el control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Celebraciones con la comunidad indigena</t>
        </r>
        <r>
          <rPr>
            <sz val="9"/>
            <color indexed="81"/>
            <rFont val="Tahoma"/>
            <family val="2"/>
          </rPr>
          <t xml:space="preserve">
-Posesion de los gobernadores
-Dia de los pueblos indigenas
-Dia de la mujer indigena
KAREN PEREZ - Llevar el control de las actas, asistencias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>Coordinar con Jorge e ICBF - Intervención a los embera.
CLEISSER CUERO- Responsable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 xml:space="preserve">Eventos con comunidad etnica, tener en cuenta el contrato de logistica para su control. Aca se describen solo las actividades de pueblos </t>
        </r>
        <r>
          <rPr>
            <b/>
            <sz val="9"/>
            <color indexed="81"/>
            <rFont val="Tahoma"/>
            <family val="2"/>
          </rPr>
          <t>NARP</t>
        </r>
        <r>
          <rPr>
            <sz val="9"/>
            <color indexed="81"/>
            <rFont val="Tahoma"/>
            <family val="2"/>
          </rPr>
          <t xml:space="preserve"> y </t>
        </r>
        <r>
          <rPr>
            <b/>
            <sz val="9"/>
            <color indexed="81"/>
            <rFont val="Tahoma"/>
            <family val="2"/>
          </rPr>
          <t xml:space="preserve">ROM. </t>
        </r>
        <r>
          <rPr>
            <sz val="9"/>
            <color indexed="81"/>
            <rFont val="Tahoma"/>
            <family val="2"/>
          </rPr>
          <t>Los eventos indigenas se reportan en meta 1
-Dia de la Afrocolombianidad
-Dia de los pueblos gitanos</t>
        </r>
      </text>
    </comment>
    <comment ref="A31" authorId="0" shapeId="0">
      <text>
        <r>
          <rPr>
            <sz val="9"/>
            <color indexed="81"/>
            <rFont val="Tahoma"/>
            <family val="2"/>
          </rPr>
          <t>Esto debe irse reportando conforme el cronograma que se tiene para la formulacion
MAURICIO CASTRO Y JHON JAIRO</t>
        </r>
      </text>
    </comment>
    <comment ref="A35" authorId="0" shapeId="0">
      <text>
        <r>
          <rPr>
            <sz val="9"/>
            <color indexed="81"/>
            <rFont val="Tahoma"/>
            <family val="2"/>
          </rPr>
          <t>-Evento de socialización principal
-Socializacion con organizaciones
-Ronda de medios
-Socializacion en universidades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Proyectos productivos</t>
        </r>
        <r>
          <rPr>
            <sz val="9"/>
            <color indexed="81"/>
            <rFont val="Tahoma"/>
            <family val="2"/>
          </rPr>
          <t xml:space="preserve"> 
CLEISER CUERO diseña la estrategia y hace seguimiento a la implementacion
HANNIA LONDOÑO: Realiza el proceso contractual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>Informes de meta que se reportan a Planeación.</t>
        </r>
        <r>
          <rPr>
            <sz val="9"/>
            <color indexed="81"/>
            <rFont val="Tahoma"/>
            <family val="2"/>
          </rPr>
          <t xml:space="preserve"> 
CLEISSER CUERO: proyecta informes</t>
        </r>
      </text>
    </comment>
  </commentList>
</comments>
</file>

<file path=xl/comments2.xml><?xml version="1.0" encoding="utf-8"?>
<comments xmlns="http://schemas.openxmlformats.org/spreadsheetml/2006/main">
  <authors>
    <author>EQUIPO-17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Asistencia externa en la atencion de la Casa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Alcaldias al Barrio, ofertas institucionales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 xml:space="preserve">EQUIPO-
</t>
        </r>
        <r>
          <rPr>
            <sz val="9"/>
            <color indexed="81"/>
            <rFont val="Tahoma"/>
            <family val="2"/>
          </rPr>
          <t xml:space="preserve">cursos en areas productivas y emprendimiento a cargo de los contratistas
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1. Dia de la mujer
2. Dia de la familia
3. Dia de la madre lider
4. Rendicion de cuentas, Encuentro folclorico.
5. Fin de año</t>
        </r>
      </text>
    </comment>
  </commentList>
</comments>
</file>

<file path=xl/comments3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Trabajo con Asociaciones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DOTACION $400, PERSONAL $110, AUX FUNERARIOS 40
Actividades con keralty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Alcaldias al barrio, ofertas institucionales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MANTENIMIENTO $300 LOGISTICA$86 
PERSONAL $100 , semanal debe de entregar reporte de las actividades en los centros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 xml:space="preserve">Informes psicosociales que generaron los ingresos al CBA
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>Los que tienen asignada esta actividad, deben de generar mesas de trabajo con el equipo, liderar temas que contribuyan al seguimiento de estos objeticos, generar actas e informes</t>
        </r>
      </text>
    </comment>
  </commentList>
</comments>
</file>

<file path=xl/comments4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Proyectos productivos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Logistica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Taller de lengua de señas 
Taller de braile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Atencion integral externa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Batuta los domingos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Intervenciones psicosociales, para mercados, eventuales peticiones, acciones de tutela, etc...</t>
        </r>
      </text>
    </comment>
  </commentList>
</comments>
</file>

<file path=xl/comments5.xml><?xml version="1.0" encoding="utf-8"?>
<comments xmlns="http://schemas.openxmlformats.org/spreadsheetml/2006/main">
  <authors>
    <author>EQUIPO-17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Activacion de 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Consumo responsable</t>
        </r>
      </text>
    </comment>
  </commentList>
</comments>
</file>

<file path=xl/comments6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Contrato de alojamiento, kits y personal
ABOGADO JUAN CARLOS GIL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Atencion en la oficina  de la UAO
Asistencia externa</t>
        </r>
      </text>
    </comment>
  </commentList>
</comments>
</file>

<file path=xl/sharedStrings.xml><?xml version="1.0" encoding="utf-8"?>
<sst xmlns="http://schemas.openxmlformats.org/spreadsheetml/2006/main" count="1438" uniqueCount="487">
  <si>
    <t>E</t>
  </si>
  <si>
    <t>P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</si>
  <si>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</si>
  <si>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</si>
  <si>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</si>
  <si>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</si>
  <si>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</si>
  <si>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</si>
  <si>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</si>
  <si>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</si>
  <si>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</si>
  <si>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</si>
  <si>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</si>
  <si>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</si>
  <si>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</si>
  <si>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</si>
  <si>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</si>
  <si>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</si>
  <si>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</si>
  <si>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</si>
  <si>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</si>
  <si>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</si>
  <si>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</si>
  <si>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</si>
  <si>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</si>
  <si>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</si>
  <si>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</si>
  <si>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</si>
  <si>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</si>
  <si>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</si>
  <si>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</si>
  <si>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</si>
  <si>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</t>
  </si>
  <si>
    <t>SOCIOCULTURAL</t>
  </si>
  <si>
    <t>Estrategia implementada</t>
  </si>
  <si>
    <t>Política pública implementada</t>
  </si>
  <si>
    <t>VIBRA CON INCLUSION Y DIVERSIDAD</t>
  </si>
  <si>
    <t xml:space="preserve">INCLUSION SOCIAL Y PRODUCTIVA PARA LA POBLACION EN SITUACION DE VULNERABILIDAD   </t>
  </si>
  <si>
    <t>FORTALECIMIENTO DE LA DIVERSIDAD ETNICA Y CULTURAL EN EL MUNICIPIO DE IBAGUÉ</t>
  </si>
  <si>
    <t>p</t>
  </si>
  <si>
    <t>Atención Integral y orientación brindada</t>
  </si>
  <si>
    <t>Personas beneficiadas</t>
  </si>
  <si>
    <t>Eventos y/o socializaciones realizadas</t>
  </si>
  <si>
    <t>Fortalecimiento y seguimiento a proyectos productivos brindado</t>
  </si>
  <si>
    <t>Número de población atendida</t>
  </si>
  <si>
    <t>Política pública aprobada e implementada</t>
  </si>
  <si>
    <t xml:space="preserve">ATENCIÓN INTEGRAL DE POBLACIÓN EN CONDICION PERMANENTE DE DESPROTECCIÓN SOCIAL Y/O FAMILIAR.   </t>
  </si>
  <si>
    <t>COMPROMISO INTEGRAL DE LA MANO CON LOS ADULTOS MAYORES EN EL MUNICIPIO DE IBAGUÉ.</t>
  </si>
  <si>
    <t>Porcentaje de población atendida</t>
  </si>
  <si>
    <t>Número de comedores implementados</t>
  </si>
  <si>
    <t>Número de Adultos mayores beneficiados</t>
  </si>
  <si>
    <t>COMPROMISO DEL TERRITORIO INCLUYENTE CON LA DISCAPACIDAD EN EL MUNICIPIO DE IBAGUÉ</t>
  </si>
  <si>
    <t>1.1.3 Seguimiento y control a las unidades productivas para pérsonas con discapacidad, cuidadores y organización PcD</t>
  </si>
  <si>
    <t>6.1.3 Brindar atencion integral y orientacion a la poblacion con discapacidad que lo requiera mediante Asesorias juridicas, orientacion personalizada de sus necesidades.</t>
  </si>
  <si>
    <t>Número de Unidades productivas apoyadas</t>
  </si>
  <si>
    <t>Número de Personas con discapacidad beneficiadas</t>
  </si>
  <si>
    <t>Número de unidades productivas beneficiadas</t>
  </si>
  <si>
    <t>Número de programas implementados</t>
  </si>
  <si>
    <t>Número de personas beneficiadas</t>
  </si>
  <si>
    <t xml:space="preserve">No. de ayudas técnicas entregadas </t>
  </si>
  <si>
    <t>Política Pública actualizada e implementada</t>
  </si>
  <si>
    <t>Programa diseñado y ejecutado</t>
  </si>
  <si>
    <t>APOYO EN LA INCLUSIÓN SOCIAL AL HABITANTE DE CALLE EN EL MUNICIPIO DE IBAGUÉ.</t>
  </si>
  <si>
    <t>Politica  publica Formulada</t>
  </si>
  <si>
    <t>Plan de acción integral implementado</t>
  </si>
  <si>
    <t xml:space="preserve">Estrategia implementada </t>
  </si>
  <si>
    <t>Programa de Sensibilización  Implementado.</t>
  </si>
  <si>
    <t>COMPROMISO POR LA GARANTÍA DE LOS DERECHOS DE LAS VÍCTIMAS EN EL MUNICIPIO DE IBAGUÉ.</t>
  </si>
  <si>
    <t>Porcentaje de poblacion beneficiada</t>
  </si>
  <si>
    <t>Porcentaje de rutas actualizadas y con seguimiento</t>
  </si>
  <si>
    <t>Número de planes implementados</t>
  </si>
  <si>
    <t>CRARIV implementado</t>
  </si>
  <si>
    <t>Capacitaciones realizadas</t>
  </si>
  <si>
    <t>Mesa de participación de victimas apoyada</t>
  </si>
  <si>
    <t>Caracterización actualizada</t>
  </si>
  <si>
    <t>Eventos y/o conmemoraciones realizados</t>
  </si>
  <si>
    <t>Politica publica implementada</t>
  </si>
  <si>
    <t>Porcentaje de población beneficiada</t>
  </si>
  <si>
    <r>
      <rPr>
        <b/>
        <sz val="12"/>
        <color rgb="FF000000"/>
        <rFont val="Arial MT"/>
      </rPr>
      <t>META DE PRODUCTO No. 1</t>
    </r>
    <r>
      <rPr>
        <sz val="12"/>
        <color rgb="FF000000"/>
        <rFont val="Arial mt"/>
      </rPr>
      <t>: Implementar política pública Población Indígena</t>
    </r>
  </si>
  <si>
    <r>
      <rPr>
        <b/>
        <sz val="12"/>
        <color rgb="FF000000"/>
        <rFont val="Arial MT"/>
      </rPr>
      <t>META DE PRODUCTO No. 2</t>
    </r>
    <r>
      <rPr>
        <sz val="12"/>
        <color rgb="FF000000"/>
        <rFont val="Arial mt"/>
      </rPr>
      <t>: Estrategia para el fortalecimiento integral, asesoría la población étnica que resida en el municipio de Ibagué</t>
    </r>
  </si>
  <si>
    <r>
      <rPr>
        <b/>
        <sz val="12"/>
        <color rgb="FF000000"/>
        <rFont val="Arial MT"/>
      </rPr>
      <t>META DE PRODUCTO No. 3</t>
    </r>
    <r>
      <rPr>
        <sz val="12"/>
        <color rgb="FF000000"/>
        <rFont val="Arial mt"/>
      </rPr>
      <t xml:space="preserve">: Aprobar e implementar política pública de la población afrodescendiente </t>
    </r>
  </si>
  <si>
    <r>
      <rPr>
        <b/>
        <sz val="12"/>
        <color rgb="FF000000"/>
        <rFont val="Arial MT"/>
      </rPr>
      <t xml:space="preserve">META DE PRODUCTO No. 4: </t>
    </r>
    <r>
      <rPr>
        <sz val="12"/>
        <color rgb="FF000000"/>
        <rFont val="Arial mt"/>
      </rPr>
      <t>Implementación de una estrategia para el fortalecimiento del modelo intercultural y de capacidades para las comunidades étnicas del municipio de Ibagué</t>
    </r>
  </si>
  <si>
    <r>
      <rPr>
        <b/>
        <sz val="12"/>
        <rFont val="Arial MT"/>
      </rPr>
      <t>META DE RESULTADO No. 1</t>
    </r>
    <r>
      <rPr>
        <sz val="12"/>
        <rFont val="Arial MT"/>
      </rPr>
      <t>: Implementar un plan de acción integral para la población étnica del municipio de Ibagué</t>
    </r>
  </si>
  <si>
    <r>
      <rPr>
        <b/>
        <sz val="12"/>
        <rFont val="Arial MT"/>
      </rPr>
      <t>META DE RESULTADO No. 1</t>
    </r>
    <r>
      <rPr>
        <sz val="12"/>
        <rFont val="Arial MT"/>
      </rPr>
      <t>: Beneficiar 27.000 adultos
mayores en el marco de la implementación de la Política Pública.</t>
    </r>
  </si>
  <si>
    <r>
      <rPr>
        <b/>
        <sz val="12"/>
        <rFont val="Arial MT"/>
      </rPr>
      <t>META DE PRODUCTO No. 2</t>
    </r>
    <r>
      <rPr>
        <sz val="12"/>
        <rFont val="Arial MT"/>
      </rPr>
      <t>: Implementación de comedores comunitarios que beneficien a los adultos mayores del área urbana y rural del municipio de Ibagué.</t>
    </r>
  </si>
  <si>
    <r>
      <rPr>
        <b/>
        <sz val="12"/>
        <rFont val="Arial MT"/>
      </rPr>
      <t>META DE PRODUCTO No. 3</t>
    </r>
    <r>
      <rPr>
        <sz val="12"/>
        <rFont val="Arial MT"/>
      </rPr>
      <t>: Fortalecer los centros vida y/o centros de bienestar de adulto mayor</t>
    </r>
  </si>
  <si>
    <r>
      <rPr>
        <b/>
        <sz val="12"/>
        <rFont val="Arial MT"/>
      </rPr>
      <t xml:space="preserve">META DE PRODUCTO No. 1: </t>
    </r>
    <r>
      <rPr>
        <sz val="12"/>
        <rFont val="Arial MT"/>
      </rPr>
      <t>Atención y orientación con enfoque diferencial a los Adultos mayores del área urbana y rural priorizados</t>
    </r>
  </si>
  <si>
    <r>
      <rPr>
        <b/>
        <sz val="12"/>
        <rFont val="Arial MT"/>
      </rPr>
      <t>META DE RESULTADO No. 1:</t>
    </r>
    <r>
      <rPr>
        <sz val="12"/>
        <rFont val="Arial MT"/>
      </rPr>
      <t>Brindar Atención a 5.000 personas con discapacidad del área urbana y rural</t>
    </r>
  </si>
  <si>
    <r>
      <rPr>
        <b/>
        <sz val="12"/>
        <rFont val="Arial MT"/>
      </rPr>
      <t xml:space="preserve">META DE PRODUCTO No. 1: </t>
    </r>
    <r>
      <rPr>
        <sz val="12"/>
        <rFont val="Arial MT"/>
      </rPr>
      <t>Apoyo y seguimiento a unidades productivas para  personas con  discapacidad y/o sus cuidadores.</t>
    </r>
  </si>
  <si>
    <r>
      <rPr>
        <b/>
        <sz val="12"/>
        <rFont val="Arial MT"/>
      </rPr>
      <t>META DE PRODUCTO No.3</t>
    </r>
    <r>
      <rPr>
        <sz val="12"/>
        <rFont val="Arial MT"/>
      </rPr>
      <t>:Implementación y Desarrollo del programa lúdico deportivo para el manejo adecuado del tiempo libre dirigido a la población en condición de discapacidad.</t>
    </r>
  </si>
  <si>
    <r>
      <rPr>
        <b/>
        <sz val="12"/>
        <rFont val="Arial MT"/>
      </rPr>
      <t>META DE PRODUCTO No. 4:</t>
    </r>
    <r>
      <rPr>
        <sz val="12"/>
        <rFont val="Arial MT"/>
      </rPr>
      <t xml:space="preserve"> Atención integral y/o apoyo nutricional a  1.000 personas con discapacidad</t>
    </r>
  </si>
  <si>
    <r>
      <rPr>
        <b/>
        <sz val="12"/>
        <rFont val="Arial MT"/>
      </rPr>
      <t>META DE PRODUCTO No. 5:</t>
    </r>
    <r>
      <rPr>
        <sz val="12"/>
        <rFont val="Arial MT"/>
      </rPr>
      <t xml:space="preserve"> Apoyar a personas con discapacidad, con entrega de ayudas técnicas.</t>
    </r>
  </si>
  <si>
    <r>
      <rPr>
        <b/>
        <sz val="12"/>
        <rFont val="Arial MT"/>
      </rPr>
      <t>META DE PRODUCTO No. 6</t>
    </r>
    <r>
      <rPr>
        <sz val="12"/>
        <rFont val="Arial MT"/>
      </rPr>
      <t>: Actualizar e implementar la política pública de discapacidad del Municipio de Ibagué</t>
    </r>
  </si>
  <si>
    <r>
      <rPr>
        <b/>
        <sz val="12"/>
        <rFont val="Arial MT"/>
      </rPr>
      <t>META DE PRODUCTO No.7:</t>
    </r>
    <r>
      <rPr>
        <sz val="12"/>
        <rFont val="Arial MT"/>
      </rPr>
      <t xml:space="preserve"> Diseñar e Implementar un programa de Formación para el Desarrollo de Capacidades y la Transformación Social de la Población en Condición de Discapacidad, con el Propósito de Lograr su Inclusión Social y Productiva</t>
    </r>
  </si>
  <si>
    <t>MEJORAMIENTO EN LA LUCHA CONTRA LA POBREZA EN EL MUNICIPIO DE IBAGUE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</si>
  <si>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PLANEACION ESTRATEGICA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</si>
  <si>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</si>
  <si>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</si>
  <si>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ACCION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</si>
  <si>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</si>
  <si>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</si>
  <si>
    <r>
      <t>PROG</t>
    </r>
    <r>
      <rPr>
        <b/>
        <sz val="12"/>
        <rFont val="Arial"/>
        <family val="2"/>
      </rPr>
      <t xml:space="preserve">  EJEC</t>
    </r>
  </si>
  <si>
    <r>
      <rPr>
        <b/>
        <sz val="12"/>
        <rFont val="Arial"/>
        <family val="2"/>
      </rPr>
      <t xml:space="preserve">META DE RESULTADO NO. 1: </t>
    </r>
    <r>
      <rPr>
        <sz val="12"/>
        <rFont val="Arial"/>
        <family val="2"/>
      </rPr>
      <t>Beneficiar a 800 Habitantes de Calle con asistencia institucional</t>
    </r>
  </si>
  <si>
    <r>
      <rPr>
        <b/>
        <sz val="12"/>
        <rFont val="Arial"/>
        <family val="2"/>
      </rPr>
      <t>META DE PRODUCTO No. 1</t>
    </r>
    <r>
      <rPr>
        <sz val="12"/>
        <rFont val="Arial"/>
        <family val="2"/>
      </rPr>
      <t>: Formular e implementar la política pública de habitante de calle</t>
    </r>
  </si>
  <si>
    <r>
      <rPr>
        <b/>
        <sz val="12"/>
        <rFont val="Arial"/>
        <family val="2"/>
      </rPr>
      <t>META DE PRODUCTO No. 2</t>
    </r>
    <r>
      <rPr>
        <sz val="12"/>
        <rFont val="Arial"/>
        <family val="2"/>
      </rPr>
      <t>: Implementar Plan de Acción integral para los habitantes de calle</t>
    </r>
  </si>
  <si>
    <r>
      <rPr>
        <b/>
        <sz val="12"/>
        <rFont val="Arial"/>
        <family val="2"/>
      </rPr>
      <t>META DE PRODUCTO No. 3</t>
    </r>
    <r>
      <rPr>
        <sz val="12"/>
        <rFont val="Arial"/>
        <family val="2"/>
      </rPr>
      <t>: Implementar la estrategia de atención a los habitantes de calle con enfoque de resocialización.</t>
    </r>
  </si>
  <si>
    <r>
      <rPr>
        <b/>
        <sz val="12"/>
        <rFont val="Arial"/>
        <family val="2"/>
      </rPr>
      <t>META DE RESULTADO NO. 1</t>
    </r>
    <r>
      <rPr>
        <sz val="12"/>
        <rFont val="Arial"/>
        <family val="2"/>
      </rPr>
      <t>:Beneficiar a 400  habitantes de calle  (OSD 1, 2)</t>
    </r>
  </si>
  <si>
    <r>
      <rPr>
        <b/>
        <sz val="12"/>
        <rFont val="Arial"/>
        <family val="2"/>
      </rPr>
      <t>META DE PRODUCTO No. 4</t>
    </r>
    <r>
      <rPr>
        <sz val="12"/>
        <rFont val="Arial"/>
        <family val="2"/>
      </rPr>
      <t>:Realizar e implementar el programa de Sensibilización enfocadas a la prevención del consumo de sustancias psicoactivas, con actores sociales del municipio</t>
    </r>
  </si>
  <si>
    <t xml:space="preserve">Número de PcD beneficiadas </t>
  </si>
  <si>
    <t>Numero de Jornadas Realizadas</t>
  </si>
  <si>
    <t>Numero de Jornadas Realizadas.</t>
  </si>
  <si>
    <t>3.1.2 Beneficiar a personas con discapacidad mediante el suministro de ayudas tecnicas.</t>
  </si>
  <si>
    <t>Documento de diagnostico elaborado</t>
  </si>
  <si>
    <t>Numero de Jornadas realizadas</t>
  </si>
  <si>
    <t xml:space="preserve">3,1,1  Implementar comedores comunitarios para Beneficiar a los adultos mayores de la zona urbana y rural con la entrega de ayudas nutriocionales </t>
  </si>
  <si>
    <t>Numero de Eventos Realizados</t>
  </si>
  <si>
    <t>% de novedades Gestionadas</t>
  </si>
  <si>
    <t xml:space="preserve">3.1.1 Realizar valoracion a personas con discapacidad para la  entrega de  las ayudas tecnicas </t>
  </si>
  <si>
    <t>Número de valoraciones realizadas</t>
  </si>
  <si>
    <t>Numero de comedores comunitarios implementados</t>
  </si>
  <si>
    <t>% de entrega de auxilios funerarios</t>
  </si>
  <si>
    <t>7.1.2 Apoyar a la Mesa de participación de víctimas en su  funcionamiento y pago de incentivos</t>
  </si>
  <si>
    <t>% de personas beneficiadas</t>
  </si>
  <si>
    <r>
      <t xml:space="preserve">CODIGO PRESUPUESTAL:  </t>
    </r>
    <r>
      <rPr>
        <sz val="12"/>
        <rFont val="Arial"/>
        <family val="2"/>
      </rPr>
      <t xml:space="preserve">2113201010030302-01 211320201004-01  /  211320202007-01 /  211320202009-01      </t>
    </r>
    <r>
      <rPr>
        <b/>
        <sz val="12"/>
        <rFont val="Arial"/>
        <family val="2"/>
      </rPr>
      <t xml:space="preserve">  </t>
    </r>
  </si>
  <si>
    <r>
      <t xml:space="preserve">RUBRO: </t>
    </r>
    <r>
      <rPr>
        <sz val="12"/>
        <rFont val="Arial"/>
        <family val="2"/>
      </rPr>
      <t>COMPROMISO DEL TERRITORIO INCLUYENTE CON LA DISCAPACIDAD EN EL MUNICIPIO DE IBAGUE</t>
    </r>
  </si>
  <si>
    <r>
      <t xml:space="preserve">CODIGO PRESUPUESTAL:  </t>
    </r>
    <r>
      <rPr>
        <sz val="12"/>
        <rFont val="Arial"/>
        <family val="2"/>
      </rPr>
      <t>211320201004-01
211320202009-01</t>
    </r>
  </si>
  <si>
    <r>
      <t xml:space="preserve">Objetivos: </t>
    </r>
    <r>
      <rPr>
        <sz val="10"/>
        <rFont val="Arial"/>
        <family val="2"/>
      </rPr>
      <t>RESTABLECER EL ENFOQUE DE DERECHOS A LAS PERSONAS CON DISCAPACIDAD, RESALTANDO SUS CAPACIDADES DENTRO DE UNA SOCIEDAD DIVERSA COMO EN LA QUE VIVIMOS ACTUALMENTE, PRETENDIENDO QUE TODAS LAS ACCIONES VAYAN ENCAMINADAS A SUS DERECHOS COMO CIUDADANOS DENTRO DEL ESTADO COLOMBIANO, LOGRANDO EL RESTABLECIMIENTO DEL DERECHO A LA ACCESIBILIDAD EN TODO SENTIDO, LA PROMOCIÓN DEL EMPRENDIMIENTO Y LA INCLUSIÓN LABORAL DE LA POBLACIÓN, CON EL FIN DE TENER UNA SENSIBILIZACIÓN Y MAYOR TOMA DE CONCIENCIA POR APARTE DE LA POBLACIÓN DEL MUNICIPIO DE IBAGUÉ FRENTE A ESTA POBLACIÓN.</t>
    </r>
  </si>
  <si>
    <t>FUENTES DE FINANCIACION                             (EN MILES DE $)</t>
  </si>
  <si>
    <t>COSTO TOTAL (MILES DE PESOS)</t>
  </si>
  <si>
    <r>
      <t xml:space="preserve"> RUBRO: </t>
    </r>
    <r>
      <rPr>
        <sz val="12"/>
        <rFont val="Arial"/>
        <family val="2"/>
      </rPr>
      <t>APOYO EN LA INCLUSION SOCIAL AL HABITANTE DE CALLE EN EL MUNICIPIO DE IBAGUE</t>
    </r>
  </si>
  <si>
    <r>
      <t xml:space="preserve">CODIGO PRESUPUESTAL:     </t>
    </r>
    <r>
      <rPr>
        <sz val="12"/>
        <rFont val="Arial"/>
        <family val="2"/>
      </rPr>
      <t>211320202009-01</t>
    </r>
  </si>
  <si>
    <r>
      <t xml:space="preserve">RUBRO: </t>
    </r>
    <r>
      <rPr>
        <sz val="12"/>
        <rFont val="Arial"/>
        <family val="2"/>
      </rPr>
      <t>COMPROMISO INTEGRAL DE LA MANO CON LOS ADULTOS MAYORES EN EL MINICIPIO DE IBAGUE</t>
    </r>
  </si>
  <si>
    <r>
      <t xml:space="preserve">Objetivos: </t>
    </r>
    <r>
      <rPr>
        <sz val="11"/>
        <rFont val="Arial"/>
        <family val="2"/>
      </rPr>
      <t>DESARROLLAR ACTIVIDADES PERMANENTES DE ATENCIÓN INTEGRAL EN LAS ÁREAS DE MEDICINA, ENFERMERÍA, FISIOTERAPIA, PSICOLOGÍA, PSICOPEDAGOGÍA, EDUCACIÓN FÍSICA, ACTIVIDADES LÚDICAS RECREATIVAS Y CULTURALES QUE PROMUEVEN EL RECONOCIMIENTO SOCIAL, LA PERMANENCIA EN LA VIDA FAMILIAR Y LA PARTICIPACIÓN DEL ADULTO MAYOR DENTRO DE LA SOCIEDAD.</t>
    </r>
  </si>
  <si>
    <r>
      <t>RUBRO:</t>
    </r>
    <r>
      <rPr>
        <sz val="12"/>
        <rFont val="Arial"/>
        <family val="2"/>
      </rPr>
      <t xml:space="preserve"> COMPROMISO POR LA GARANTIA DE LOS DERECHOS DE LAS VICTIMAS EN EL MUNICIPIO DE IBAGUE</t>
    </r>
  </si>
  <si>
    <t>Mesa de vícitimas apoyada</t>
  </si>
  <si>
    <t>FUENTES DE FINANCIACION (EN MILES DE $)</t>
  </si>
  <si>
    <t>1.1.6 Beneficiar con asesoria jurídica al 100% de las  personas víctimas del conflcito armado que lo requieran.</t>
  </si>
  <si>
    <t>9.1.1 Realizar eventos de conmemoracion para las victimas de conflicto armando del municipio de ibague</t>
  </si>
  <si>
    <t>SECRETARÍA / ENTIDAD:  SECRETARÍA DE DESARROLLO SOCIAL COMUNITARIO      / GRUPO: DIRECCIÓN DE GRUPOS ETNICOS Y POBLACIÓN VULNERABLE</t>
  </si>
  <si>
    <t>número de mujeres madres cabezas de familia beneficiadas</t>
  </si>
  <si>
    <r>
      <rPr>
        <b/>
        <sz val="12"/>
        <rFont val="Calibri"/>
        <family val="2"/>
        <scheme val="minor"/>
      </rPr>
      <t>META DE PRODUCTO No. 10:</t>
    </r>
    <r>
      <rPr>
        <sz val="12"/>
        <rFont val="Calibri"/>
        <family val="2"/>
        <scheme val="minor"/>
      </rPr>
      <t xml:space="preserve">  Beneficiar a mujeres cabezas de familiar para que por medio de proyectos productivos reciban ayuda del ente público o privado para la ejecución de estos proyectos. (entrega de insumos)</t>
    </r>
  </si>
  <si>
    <r>
      <t xml:space="preserve">META DE RESULTADO No. 1: </t>
    </r>
    <r>
      <rPr>
        <sz val="12"/>
        <rFont val="Calibri"/>
        <family val="2"/>
        <scheme val="minor"/>
      </rPr>
      <t>Beneficiar a 14.000 mujeres y población LGBT con atención y orientación</t>
    </r>
  </si>
  <si>
    <t>mujeres cuidadoras de pcd beneficiadas</t>
  </si>
  <si>
    <r>
      <rPr>
        <b/>
        <sz val="12"/>
        <rFont val="Calibri"/>
        <family val="2"/>
        <scheme val="minor"/>
      </rPr>
      <t>META DE PRODUCTO No. 9:</t>
    </r>
    <r>
      <rPr>
        <sz val="12"/>
        <rFont val="Calibri"/>
        <family val="2"/>
        <scheme val="minor"/>
      </rPr>
      <t xml:space="preserve">  Beneficiar a mujeres cuidadoras de pcd mediante una estrategia de acción integral</t>
    </r>
  </si>
  <si>
    <r>
      <rPr>
        <b/>
        <sz val="12"/>
        <rFont val="Calibri"/>
        <family val="2"/>
        <scheme val="minor"/>
      </rPr>
      <t>META DE PRODUCTO No. 8:</t>
    </r>
    <r>
      <rPr>
        <sz val="12"/>
        <rFont val="Calibri"/>
        <family val="2"/>
        <scheme val="minor"/>
      </rPr>
      <t xml:space="preserve"> Implementar la política pública lgbti </t>
    </r>
  </si>
  <si>
    <t>casa de la mujer gestionada</t>
  </si>
  <si>
    <r>
      <rPr>
        <b/>
        <sz val="12"/>
        <rFont val="Calibri"/>
        <family val="2"/>
        <scheme val="minor"/>
      </rPr>
      <t>META DE PRODUCTO No. 7:</t>
    </r>
    <r>
      <rPr>
        <sz val="12"/>
        <rFont val="Calibri"/>
        <family val="2"/>
        <scheme val="minor"/>
      </rPr>
      <t xml:space="preserve"> Gestionar la casa de la mujer en el municipio de ibagué</t>
    </r>
  </si>
  <si>
    <t>ruta de atención implementada</t>
  </si>
  <si>
    <r>
      <rPr>
        <b/>
        <sz val="12"/>
        <rFont val="Calibri"/>
        <family val="2"/>
        <scheme val="minor"/>
      </rPr>
      <t>META DE PRODUCTO No. 6:</t>
    </r>
    <r>
      <rPr>
        <sz val="12"/>
        <rFont val="Calibri"/>
        <family val="2"/>
        <scheme val="minor"/>
      </rPr>
      <t xml:space="preserve"> Implementar 1 ruta de atención para mujeres victimas de todo tipo de violencia</t>
    </r>
  </si>
  <si>
    <r>
      <t xml:space="preserve">META DE PRODUCTO No. 5: </t>
    </r>
    <r>
      <rPr>
        <sz val="12"/>
        <rFont val="Calibri"/>
        <family val="2"/>
        <scheme val="minor"/>
      </rPr>
      <t>Implementar la estrategia de atención a las mujeres habitantes de calle.</t>
    </r>
  </si>
  <si>
    <r>
      <rPr>
        <b/>
        <sz val="12"/>
        <rFont val="Calibri"/>
        <family val="2"/>
        <scheme val="minor"/>
      </rPr>
      <t xml:space="preserve">META DE PRODUCTO No. 4: </t>
    </r>
    <r>
      <rPr>
        <sz val="12"/>
        <rFont val="Calibri"/>
        <family val="2"/>
        <scheme val="minor"/>
      </rPr>
      <t>Implementar la estrategia municipal para la prevención de la violencia de género y diversidad sexual priorizada</t>
    </r>
  </si>
  <si>
    <t>número de unidades productivas apoyadas</t>
  </si>
  <si>
    <r>
      <rPr>
        <b/>
        <sz val="12"/>
        <rFont val="Calibri"/>
        <family val="2"/>
        <scheme val="minor"/>
      </rPr>
      <t>META DE PRODUCTO No. 3:</t>
    </r>
    <r>
      <rPr>
        <sz val="12"/>
        <rFont val="Calibri"/>
        <family val="2"/>
        <scheme val="minor"/>
      </rPr>
      <t xml:space="preserve"> Promover estrategia para la inserción laboral y la generación de ingresos para las mujeres y la población lgbti</t>
    </r>
  </si>
  <si>
    <t>porcentaje de mujeres y población lgbti atendidas</t>
  </si>
  <si>
    <r>
      <rPr>
        <b/>
        <sz val="12"/>
        <rFont val="Calibri"/>
        <family val="2"/>
        <scheme val="minor"/>
      </rPr>
      <t xml:space="preserve">META DE PRODUCTO No. 2: </t>
    </r>
    <r>
      <rPr>
        <sz val="12"/>
        <rFont val="Calibri"/>
        <family val="2"/>
        <scheme val="minor"/>
      </rPr>
      <t>Atención integral y orientación a mujeres y población lgbti priorizada</t>
    </r>
  </si>
  <si>
    <t>Número de programas diseñados, actualizados e implementados</t>
  </si>
  <si>
    <r>
      <rPr>
        <b/>
        <sz val="12"/>
        <rFont val="Calibri"/>
        <family val="2"/>
        <scheme val="minor"/>
      </rPr>
      <t xml:space="preserve">META DE PRODUCTO No. 1: </t>
    </r>
    <r>
      <rPr>
        <sz val="12"/>
        <rFont val="Calibri"/>
        <family val="2"/>
        <scheme val="minor"/>
      </rPr>
      <t>Diseñar, actualizar e implementar programas de formación para el desarrollo de capacidades y la transformación social de las mujeres y la población sexualmente diversa del municipio.</t>
    </r>
  </si>
  <si>
    <t>No. De Boletines y/o informes publicados</t>
  </si>
  <si>
    <t>8.1.5 Generar boletines y/o informes con indicadores actualizados para ser publicados y fortalecer el Observatorio de los derechos de la Mujer y la Equidad de Género</t>
  </si>
  <si>
    <t>Ruta de atención implementada</t>
  </si>
  <si>
    <t>6.1.1 implementar una estrategia para sensibilización y prevención de la violencia de genero y diversidad sexual.</t>
  </si>
  <si>
    <t>No. De unidades productivas fortalecidas</t>
  </si>
  <si>
    <t xml:space="preserve">5.1.3 Fortalecer unidades productivas de mujeres vulnerables y población LGBTI. </t>
  </si>
  <si>
    <t>No. De eventos y/o conmemoraciones realizadas</t>
  </si>
  <si>
    <t>4.1.4 Realizar Eventos y/o conmemoraciones a la población LGBTI  del municipio de Ibague.</t>
  </si>
  <si>
    <t>4.1.3 Realizar Eventos y/o conmemoraciones a las Mujeres del municipio de Ibagué</t>
  </si>
  <si>
    <t>Porcentaje de población acompañada y asesorada que requierió el servicio.</t>
  </si>
  <si>
    <t>4.1.1 Acompañar y asesorar administrativa, psicológica y jurídicamente a las mujeres y población sexualmente diversa que requieran el servicio</t>
  </si>
  <si>
    <t>Estrategia de atención implementada</t>
  </si>
  <si>
    <t>3.1.2 Implementar estrategia para atender integralmente a las mujeres cuidadoras de PcD</t>
  </si>
  <si>
    <t>Plan de acción  implementado</t>
  </si>
  <si>
    <t>2.1.1  Implementar plan de acción de la politica publica de la poblacion LGBTIQ+</t>
  </si>
  <si>
    <t>No. De actividades administrativas y de gestión</t>
  </si>
  <si>
    <t>1.1.4 Actividades administrativas y de gestión de procesos de capacitación y formación.</t>
  </si>
  <si>
    <t>No. De capacitaciones realizadas</t>
  </si>
  <si>
    <t>1.1.1 Realizar  capacitaciones a mujeresy y población LGBTI en  areas productivas y no productivas.</t>
  </si>
  <si>
    <t>FORTALECIMIENTO A LA MUJER, EQUIDAD DE GÉNERO Y DIVERSIDAD SEXUAL EN EL MUNICIPIO DE IBAGUÉ.</t>
  </si>
  <si>
    <t xml:space="preserve">INCLUSION SOCIAL Y PRODUCTIVA PARA LA POBLACION EN SITUACION DE VULNERABILIDAD    </t>
  </si>
  <si>
    <t>VIBRA CON INCLUSIÓN Y DIVERSIDAD</t>
  </si>
  <si>
    <r>
      <t xml:space="preserve">Objetivos: </t>
    </r>
    <r>
      <rPr>
        <sz val="12"/>
        <rFont val="Arial"/>
        <family val="2"/>
      </rPr>
      <t>POTENCIAR EL PAPEL INTEGRAL DE LA MUJER IBAGUEREÑA, ATENDIENDO SUS INTERESES ESTRATÉGICOS Y NECESIDADES PRÁCTICAS A TRAVÉS DE LA PROMOCIÓN DE LA EQUIDAD DE GÉNERO Y EL FORTALECIMIENTO DE SU DESARROLLO INTEGRAL.</t>
    </r>
  </si>
  <si>
    <t>SECRETARÍA / ENTIDAD:  SECRETARÍA DE DESARROLLO SOCIAL COMUNITARIO      / GRUPO: MUJER GÉNERO Y DIVERSIDAD SEXUAL</t>
  </si>
  <si>
    <r>
      <rPr>
        <b/>
        <sz val="12"/>
        <rFont val="Calibri"/>
        <family val="2"/>
      </rPr>
      <t>META DE PRODUCTO NO. 17:</t>
    </r>
    <r>
      <rPr>
        <sz val="12"/>
        <rFont val="Calibri"/>
        <family val="2"/>
      </rPr>
      <t xml:space="preserve"> Implementar estrategia de formulación e implementación de la Ruta Integral de Atención de infancia y adolescencia.</t>
    </r>
  </si>
  <si>
    <r>
      <rPr>
        <b/>
        <sz val="12"/>
        <rFont val="Calibri"/>
        <family val="2"/>
      </rPr>
      <t>META DE RESULTADO NO. 1:</t>
    </r>
    <r>
      <rPr>
        <sz val="12"/>
        <rFont val="Calibri"/>
        <family val="2"/>
      </rPr>
      <t xml:space="preserve"> Implementar Red para la prevención, uso y abuso sexual de niños niñas y adolescentes</t>
    </r>
  </si>
  <si>
    <r>
      <t>META DE PRODUCTO NO. 16:</t>
    </r>
    <r>
      <rPr>
        <sz val="12"/>
        <rFont val="Calibri"/>
        <family val="2"/>
      </rPr>
      <t xml:space="preserve"> Implementar una estrategia de fortalecimiento de alianzas entre sector público, privado y la cooperación internacional en favor de los niños, niñas, adolescentes y las familias.</t>
    </r>
  </si>
  <si>
    <t>Número de comedores operando</t>
  </si>
  <si>
    <r>
      <t xml:space="preserve">META DE PRODUCTO NO. 15: </t>
    </r>
    <r>
      <rPr>
        <sz val="12"/>
        <rFont val="Calibri"/>
        <family val="2"/>
      </rPr>
      <t xml:space="preserve">Comedores para niños, niñas y adolescentes del área urbana y rural del municipio de Ibagué. (Cód KPT 4102001) </t>
    </r>
  </si>
  <si>
    <r>
      <rPr>
        <b/>
        <sz val="12"/>
        <rFont val="Calibri"/>
        <family val="2"/>
      </rPr>
      <t>META DE RESULTADO NO. 1:</t>
    </r>
    <r>
      <rPr>
        <sz val="12"/>
        <rFont val="Calibri"/>
        <family val="2"/>
      </rPr>
      <t xml:space="preserve"> Aumentar el apoyo nutricional a NNA </t>
    </r>
  </si>
  <si>
    <t>Número de Estrategia implementada</t>
  </si>
  <si>
    <r>
      <t xml:space="preserve">META DE PRODUCTO NO. 14: </t>
    </r>
    <r>
      <rPr>
        <sz val="12"/>
        <rFont val="Calibri"/>
        <family val="2"/>
      </rPr>
      <t xml:space="preserve">Implementar la estrategia orientada a la generación de habilidades de autoprotección y autocuidado, dirigidos en niños, niñas y adolescentes, con prioridad para la población especial y con enfoque diferencial (Cód KPT 4102001) </t>
    </r>
  </si>
  <si>
    <r>
      <rPr>
        <b/>
        <sz val="12"/>
        <rFont val="Calibri"/>
        <family val="2"/>
      </rPr>
      <t>META DE RESULTADO NO. 1</t>
    </r>
    <r>
      <rPr>
        <sz val="12"/>
        <rFont val="Calibri"/>
        <family val="2"/>
      </rPr>
      <t>: Disminuir la tasa de violencia contra niñas, niños y adolescentes (por cada 100.000 NNA entre 0 y 17 años)</t>
    </r>
  </si>
  <si>
    <r>
      <t xml:space="preserve">META DE PRODUCTO NO. 13: </t>
    </r>
    <r>
      <rPr>
        <sz val="12"/>
        <rFont val="Calibri"/>
        <family val="2"/>
      </rPr>
      <t xml:space="preserve">Implementar una estrategia orientada a la prevención del abuso explotación y comercio sexual de niños, niñas y adolescentes del municipio (Cód KPT 4102001) </t>
    </r>
  </si>
  <si>
    <t>Número de redes de apoyo fomentadas</t>
  </si>
  <si>
    <r>
      <t>META DE PRODUCTO No. 12:</t>
    </r>
    <r>
      <rPr>
        <sz val="12"/>
        <rFont val="Calibri"/>
        <family val="2"/>
      </rPr>
      <t xml:space="preserve"> Fomentar red de apoyo comunitaria y educativa para disminuir la violencia contra niños, niñas y adolescentes (Cód KPT 4102001)</t>
    </r>
    <r>
      <rPr>
        <b/>
        <sz val="12"/>
        <rFont val="Calibri"/>
        <family val="2"/>
      </rPr>
      <t xml:space="preserve"> </t>
    </r>
  </si>
  <si>
    <r>
      <rPr>
        <b/>
        <sz val="12"/>
        <rFont val="Calibri"/>
        <family val="2"/>
      </rPr>
      <t>META DE RESULTADO NO. 2</t>
    </r>
    <r>
      <rPr>
        <sz val="12"/>
        <rFont val="Calibri"/>
        <family val="2"/>
      </rPr>
      <t>: Implementar Red para la prevención, uso y abuso sexual de niños niñas y adolescentes</t>
    </r>
  </si>
  <si>
    <t>Número Hogar de paso implementado</t>
  </si>
  <si>
    <r>
      <t>META DE PRODUCTO No. 11:</t>
    </r>
    <r>
      <rPr>
        <sz val="12"/>
        <rFont val="Calibri"/>
        <family val="2"/>
      </rPr>
      <t xml:space="preserve"> Implementar Hogar paso</t>
    </r>
  </si>
  <si>
    <r>
      <t xml:space="preserve">META DE PRODUCTO No. 1O: </t>
    </r>
    <r>
      <rPr>
        <sz val="12"/>
        <rFont val="Calibri"/>
        <family val="2"/>
      </rPr>
      <t xml:space="preserve">Diseñar una estrategia de articulación interinstitucional para la Implementación de la modalidad guardería infantil nocturna en el municipio de Ibagué. Cód KPT 4102001) </t>
    </r>
  </si>
  <si>
    <r>
      <t xml:space="preserve">META DE RESULTADO NO. 2: </t>
    </r>
    <r>
      <rPr>
        <sz val="12"/>
        <rFont val="Calibri"/>
        <family val="2"/>
      </rPr>
      <t>Implementar una guardería infantil nocturna</t>
    </r>
  </si>
  <si>
    <t>Número de estrategia diseñada e implementada</t>
  </si>
  <si>
    <r>
      <t>META DE PRODUCTO No. 9:</t>
    </r>
    <r>
      <rPr>
        <sz val="12"/>
        <rFont val="Calibri"/>
        <family val="2"/>
      </rPr>
      <t xml:space="preserve"> Diseñar una estrategia orientada a garantizar el derecho a la identidad de niños, niñas y adolescentes del municipio (zona urbana/zona rural), que incluya mecanismos de sensibilización y comunicación, dirigidos a la comunidad frente a la expedición del documento de identidad. (Cód KPT 4102001) </t>
    </r>
  </si>
  <si>
    <r>
      <rPr>
        <b/>
        <sz val="12"/>
        <rFont val="Calibri"/>
        <family val="2"/>
      </rPr>
      <t>META DE RESULTADO NO. 2:</t>
    </r>
    <r>
      <rPr>
        <sz val="12"/>
        <rFont val="Calibri"/>
        <family val="2"/>
      </rPr>
      <t xml:space="preserve"> Aumentar el número de Niños y niñas menores de 1 año con registro civil por lugar de residencia</t>
    </r>
  </si>
  <si>
    <r>
      <rPr>
        <b/>
        <sz val="12"/>
        <rFont val="Calibri"/>
        <family val="2"/>
      </rPr>
      <t>META DE PRODUCTO No. 8:</t>
    </r>
    <r>
      <rPr>
        <sz val="12"/>
        <rFont val="Calibri"/>
        <family val="2"/>
      </rPr>
      <t xml:space="preserve"> Diseñar e implementar una estrategia para estimular el buen uso del tiempo libre y la práctica de actividades culturales, deportivas o lúdicas de niños, niñas y adolescentes en riesgo de trabajo infantil con enfoque étnico y diferencial. (Cód KPT 4102001) </t>
    </r>
  </si>
  <si>
    <r>
      <rPr>
        <b/>
        <sz val="12"/>
        <rFont val="Calibri"/>
        <family val="2"/>
      </rPr>
      <t xml:space="preserve">META DE RESULTADO NO. 3: </t>
    </r>
    <r>
      <rPr>
        <sz val="12"/>
        <rFont val="Calibri"/>
        <family val="2"/>
      </rPr>
      <t>Reducir la tasa de trabajo infantil a 4.1</t>
    </r>
  </si>
  <si>
    <r>
      <rPr>
        <b/>
        <sz val="12"/>
        <rFont val="Calibri"/>
        <family val="2"/>
      </rPr>
      <t>META DE PRODUCTO No. 7</t>
    </r>
    <r>
      <rPr>
        <sz val="12"/>
        <rFont val="Calibri"/>
        <family val="2"/>
      </rPr>
      <t xml:space="preserve">: Diseñar una estrategia de acompañamiento, fortalecimiento y cualificación de la mesa de participación de niños, niñas y adolescentes (Cód KPT 4102001) </t>
    </r>
  </si>
  <si>
    <t>Política Pública actualizada e implementada.</t>
  </si>
  <si>
    <r>
      <rPr>
        <b/>
        <sz val="12"/>
        <rFont val="Calibri"/>
        <family val="2"/>
      </rPr>
      <t>META DE PRODUCTO No. 6</t>
    </r>
    <r>
      <rPr>
        <sz val="12"/>
        <rFont val="Calibri"/>
        <family val="2"/>
      </rPr>
      <t xml:space="preserve">: Actualizar e Implementar la Política Pública de  infancia y adolescencia (Cód KPT 4102001) </t>
    </r>
  </si>
  <si>
    <r>
      <t>META DE RESULTADO NO. 2:</t>
    </r>
    <r>
      <rPr>
        <sz val="12"/>
        <rFont val="Calibri"/>
        <family val="2"/>
      </rPr>
      <t xml:space="preserve"> Implementar estrategia de formulación e implementación de la Ruta Integral de Atención de infancia y adolescencia.</t>
    </r>
  </si>
  <si>
    <t>Ruta Implementada</t>
  </si>
  <si>
    <r>
      <rPr>
        <b/>
        <sz val="12"/>
        <rFont val="Calibri"/>
        <family val="2"/>
      </rPr>
      <t>META DE PRODUCTO No. 5:</t>
    </r>
    <r>
      <rPr>
        <sz val="12"/>
        <rFont val="Calibri"/>
        <family val="2"/>
      </rPr>
      <t xml:space="preserve"> Diseñar e implementar la Ruta Integral de Atenciones de primera infancia, Infancia y Adolescencia con enfoque diferencial y étnico (Cód KPT 4102001) </t>
    </r>
  </si>
  <si>
    <t>Número de programa diseñado e implementado</t>
  </si>
  <si>
    <r>
      <t xml:space="preserve">META DE PRODUCTO No. 4 </t>
    </r>
    <r>
      <rPr>
        <sz val="12"/>
        <rFont val="Calibri"/>
        <family val="2"/>
      </rPr>
      <t>Diseñar e implementar un programa de fortalecimiento familiar para el cuidado y crianza  no violenta por parte de los cuidadores (Cód KPT 4102001)</t>
    </r>
  </si>
  <si>
    <t>Número de estrategia implementada</t>
  </si>
  <si>
    <r>
      <rPr>
        <b/>
        <sz val="12"/>
        <rFont val="Calibri"/>
        <family val="2"/>
      </rPr>
      <t>META DE PRODUCTO No. 3</t>
    </r>
    <r>
      <rPr>
        <sz val="12"/>
        <rFont val="Calibri"/>
        <family val="2"/>
      </rPr>
      <t>: Diseñar e implementar una estrategia de recreación dirigida a la primera infancia, infancia y adolescencia</t>
    </r>
  </si>
  <si>
    <t>No. de Estrategia implementada</t>
  </si>
  <si>
    <r>
      <rPr>
        <b/>
        <sz val="12"/>
        <rFont val="Calibri"/>
        <family val="2"/>
      </rPr>
      <t>META DE PRODUCTO No. 2:</t>
    </r>
    <r>
      <rPr>
        <sz val="12"/>
        <rFont val="Calibri"/>
        <family val="2"/>
      </rPr>
      <t xml:space="preserve"> Diseñar e implementar una estrategia enfocada en madres gestantes, lactantes y niños con alimentación complementaria.. </t>
    </r>
  </si>
  <si>
    <t xml:space="preserve">Política Pública formulada </t>
  </si>
  <si>
    <r>
      <rPr>
        <b/>
        <sz val="12"/>
        <rFont val="Calibri"/>
        <family val="2"/>
      </rPr>
      <t>META DE PRODUCTO No.1</t>
    </r>
    <r>
      <rPr>
        <sz val="12"/>
        <rFont val="Calibri"/>
        <family val="2"/>
      </rPr>
      <t xml:space="preserve">:Formular la Política Pública para el desarrollo integral de la primera infancia </t>
    </r>
  </si>
  <si>
    <r>
      <rPr>
        <b/>
        <sz val="12"/>
        <rFont val="Calibri"/>
        <family val="2"/>
      </rPr>
      <t xml:space="preserve">META DE RESULTADO NO. 1: </t>
    </r>
    <r>
      <rPr>
        <sz val="12"/>
        <rFont val="Calibri"/>
        <family val="2"/>
      </rPr>
      <t>10% de implementación de la Política Pública para el desarrollo integral de la primera infancia y fortalecimiento familiar</t>
    </r>
  </si>
  <si>
    <t>16.1.2 Realizar jornadas de sensibilización y capacitación orientadas a la prevención del abuso explotación y comercio sexual de niños, niñas y adolescentes del municipio</t>
  </si>
  <si>
    <t>Hogar de paso implementado</t>
  </si>
  <si>
    <t>14.1.3 Implementar el hogar de paso</t>
  </si>
  <si>
    <t>No. de beneficairios atendidos</t>
  </si>
  <si>
    <t>13.1.2 Beneficiar a niños y niñas, a través del programa de guardería nocturnas</t>
  </si>
  <si>
    <t>Campaña diseñada</t>
  </si>
  <si>
    <t xml:space="preserve">12.1.2 Realizar campañas de sensibilización sobre el derecho a la identidad </t>
  </si>
  <si>
    <t>Número de alianzas establecidas</t>
  </si>
  <si>
    <t>Número de actividades realizadas</t>
  </si>
  <si>
    <t>11.1.3 Realizar actividades educativas, pedagógicos, recreativas, culturales, de formación y/o capacitación dirigidas a niños, niñas y adolescentes del municipio</t>
  </si>
  <si>
    <t>No. de talleres realizados</t>
  </si>
  <si>
    <t>10.1.2 Realizar talleres, sobre la participación de niños niñas y adolecentes.</t>
  </si>
  <si>
    <t>9.1.2 Establecer alianzas con el sector público y el sector privado  para desarrollar acciones en favor del bienestar de los niños niñas y adolescentes del municipio en el marco de la implementación de la política pública de infancia.</t>
  </si>
  <si>
    <t>Política Pública actualizada</t>
  </si>
  <si>
    <t>9.1.1 Actualizar  la Política Pública de Infancia del municipio de Ibagué</t>
  </si>
  <si>
    <t>Ruta diseñada e implementada</t>
  </si>
  <si>
    <t>8.1.2 Diseñar e implementar la Ruta Integral de Atenciones  de primera infancia, Infancia y Adolescencia.</t>
  </si>
  <si>
    <t>8.1.1Establecer alianzas con el sector público y el sector privado  para el diseño y la implementación de la Ruta Integral de Atenciones</t>
  </si>
  <si>
    <t>7.1.4 Socializar y difundir la política pública de Primera Infancia</t>
  </si>
  <si>
    <t>Plan estratégico elaborado</t>
  </si>
  <si>
    <t>7.1.3 Elaborar el plan estrategico de la política Pública de Primera Infancia</t>
  </si>
  <si>
    <t>No. de alianzas realizadas</t>
  </si>
  <si>
    <t>5.1.6 Realizar talleres y/o capacitaciones y/o actividades psicosociales tanto a los beneficiarios del programa, como a su núcleo familia</t>
  </si>
  <si>
    <t>Número de visitas realizadas</t>
  </si>
  <si>
    <t>5.1.3 Realizar visitas de seguimiento a la prestación del servicio de los comedores comunitarios</t>
  </si>
  <si>
    <t>Número de NNA beneficiados</t>
  </si>
  <si>
    <t>5.1.2 Beneficiar a niños, niñas y adolescentes con  entrega de almuerzos calientes en el marco del programa comedores comunitarios</t>
  </si>
  <si>
    <t>4.1.1 Realizar campañas de sensibilización y capacitación orientadas a la generación de habilidades de autoprotección y autocuidado, dirigida a niños, niñas y adolescentes</t>
  </si>
  <si>
    <t>3.1.4 Realizar activiades de acompañamiento y seguimiento a las familias beneficiarias de la estrategia de fortalecimiento familiar.</t>
  </si>
  <si>
    <t>2.1.3 Realizar actividades recreativas en comunas y corregimientos del municipio</t>
  </si>
  <si>
    <t>No. de actividades realizadas</t>
  </si>
  <si>
    <t>1.1.2 Realizar actividades de acompañamiento asociado a la estrategia enfocada en madres gestantes y niños con alimentación complementaria</t>
  </si>
  <si>
    <r>
      <t xml:space="preserve">RUBRO: </t>
    </r>
    <r>
      <rPr>
        <sz val="12"/>
        <rFont val="Arial"/>
        <family val="2"/>
      </rPr>
      <t>FORTALECIMIENTO DE IBAGUE VIBRA CON NIÑAS, Y NIÑOS, PROTEGIDOS, SANOS Y FELICES EN EL MUNICIPIO DE IBAGUÉ</t>
    </r>
  </si>
  <si>
    <t>FORTALECIMIENTO DE IBAGUE VIBRA CON NIÑAS, Y NIÑOS, PROTEGIDOS, SANOS Y FELICES EN EL MUNICIPIO DE IBAGUÉ</t>
  </si>
  <si>
    <t>DESARROLLO INTEGRAL DE NIÑOS, NIÑAS, ADOLESCENTES Y SUS FAMILIAS</t>
  </si>
  <si>
    <t xml:space="preserve"> LA INFANCIA, LA ADOLESCENCIA Y LA JUVENTUD VIBRAN POR SUS DERECHOS</t>
  </si>
  <si>
    <r>
      <t xml:space="preserve">Objetivos: </t>
    </r>
    <r>
      <rPr>
        <sz val="12"/>
        <rFont val="Arial"/>
        <family val="2"/>
      </rPr>
      <t>PROMOVER LA AUTOGESTION Y AUTORREALIZACION DE LOS NNA ATRAVES DE ACTIVIDADES LUDICO PEDAGOGICAS -BENEFICIAR A NNA  EN LA SENSIBILIZACION Y FORMACION AYUDANDO A QUE TOMEN CONCIENCIA DE LA IMPORTANCIA DE LA ESCOLARIDAD Y CONSTRUCCION DE POREYECTO DE VIDA  ATRAVES DE ACTIVIDADES LUDICO-PEDAGOGICAS -LOGRAR LA PARTICIPACION DE LOS NNA EN LA SOCIEDAD Y EN LA TOMA DE DESICIONES DE LA GESTION LOCAL, HACIENDO USO DE SU LIBERTAD Y EL PLENO EJERCICIO DE SUS DERECHOS COMO CIUDADANOS- DISMINUIR EL PORCENTAJE DE NIÑOS Y NIÑAS EN SITUACION DE POBREZA EXTREMA- DISMINUIR LA TASA DE TRABAJO INFANTIL</t>
    </r>
  </si>
  <si>
    <t>SECRETARÍA / ENTIDAD:  SECRETARÍA DE DESARROLLO SOCIAL COMUNITARIO      / GRUPO: DIRECCIÓN DE INFANCIA ADOLESCENCIA Y JUVENTUD</t>
  </si>
  <si>
    <t>SECRETARÍA / ENTIDAD:  SECRETARÍA DE DESARROLLO SOCIAL COMUNITARIO      / GRUPO: JUVENTUD</t>
  </si>
  <si>
    <r>
      <t xml:space="preserve">Objetivos: </t>
    </r>
    <r>
      <rPr>
        <sz val="12"/>
        <rFont val="Arial"/>
        <family val="2"/>
      </rPr>
      <t>FORTALECER LAS RELACIONES CON LOS DISTINTOS GRUPOS JUVENILES DEL MUNICIPIO DE IBAGUÉ PARA DESARROLLAR CONJUNTAMENTE ACTIVIDADES QUE GARANTICEN EL BIENESTAR Y LA INCLUSIÓN DENTRO DE ESTE GRUPO DE POBLACIÓN.</t>
    </r>
  </si>
  <si>
    <t>FORTALECIMIENTO DE JOVENES QUE VIBRAN POR LA VIDA</t>
  </si>
  <si>
    <r>
      <t xml:space="preserve">RUBRO: </t>
    </r>
    <r>
      <rPr>
        <sz val="12"/>
        <rFont val="Arial"/>
        <family val="2"/>
      </rPr>
      <t>FORTALECIMIENTO DE JOVENES QUE VIBRAN POR LA VIDA</t>
    </r>
  </si>
  <si>
    <t>1.1.1 Realizar proceso de seguimiento a la implementación de la política Pública de Juventud</t>
  </si>
  <si>
    <t>proceso de seguimiento realizado</t>
  </si>
  <si>
    <t>No. de Actividades realizadas</t>
  </si>
  <si>
    <t>1.1.6 Realizar actividades culturales, artisticas y recreacionales para los jovenes.</t>
  </si>
  <si>
    <t>% Pobalción beneficiada</t>
  </si>
  <si>
    <t>1.1.9 Apoyar propuestas sociales-culturales de organizaciones juveniles (talleres,  campañas, sensibilización, estímulos)</t>
  </si>
  <si>
    <t>1.1.10 Realizar entrega de auxilios funerarios por demanda.</t>
  </si>
  <si>
    <t>2.1.2 Realizar talleres, foros, conversatorios, sobre la participación juvenil</t>
  </si>
  <si>
    <t>2.1.3 Apoyar logística y operativamente el funcionamiento del Consejo Municipal de Juventudes</t>
  </si>
  <si>
    <t>No. de acciones en apoyo al CMJ</t>
  </si>
  <si>
    <t>3.1.1 Realizar boletines con información relevante de temas de juventud del municipio.</t>
  </si>
  <si>
    <t>4.1.1 Acompañar y asesorar psicológica y jurídicamente a los jovenes del municipio</t>
  </si>
  <si>
    <t>5.1.2 Realizar jornadas de socialización de la Ruta de atención mental del municipio</t>
  </si>
  <si>
    <t>6.1.3 Vincular a jovenes a la estrategia ibagué y los jovenes construyen ciudad y territorio para el desarrollo de actividades artisticas, deportivas, culturales  etc. en comunas y corregimiento del  municipio</t>
  </si>
  <si>
    <t>No. de Jóvenes Vinculados</t>
  </si>
  <si>
    <r>
      <t>META DE RESULTADO No. 1:</t>
    </r>
    <r>
      <rPr>
        <sz val="12"/>
        <rFont val="Calibri"/>
        <family val="2"/>
        <scheme val="minor"/>
      </rPr>
      <t xml:space="preserve"> Aumentar al 40% de avance de la implementación de la política pública de juventud</t>
    </r>
  </si>
  <si>
    <r>
      <rPr>
        <b/>
        <sz val="12"/>
        <rFont val="Calibri"/>
        <family val="2"/>
        <scheme val="minor"/>
      </rPr>
      <t xml:space="preserve">META DE PRODUCTO No. 1: </t>
    </r>
    <r>
      <rPr>
        <sz val="12"/>
        <rFont val="Calibri"/>
        <family val="2"/>
        <scheme val="minor"/>
      </rPr>
      <t>Implementación y seguimiento de la Política Pública de Juventud (Acuerdo 016 de 2019)</t>
    </r>
  </si>
  <si>
    <t>Politica Publica implementada</t>
  </si>
  <si>
    <r>
      <rPr>
        <b/>
        <sz val="12"/>
        <rFont val="Calibri"/>
        <family val="2"/>
        <scheme val="minor"/>
      </rPr>
      <t xml:space="preserve">META DE PRODUCTO No. 2: </t>
    </r>
    <r>
      <rPr>
        <sz val="12"/>
        <rFont val="Calibri"/>
        <family val="2"/>
        <scheme val="minor"/>
      </rPr>
      <t>Implementar la estrategia orientada a la generación  de  habilidades de autoprotección y autocuidado, dirigidos a jóvenes con prioridad para la población especial y con enfoque diferencial</t>
    </r>
  </si>
  <si>
    <t>estrategia implementada</t>
  </si>
  <si>
    <r>
      <rPr>
        <b/>
        <sz val="12"/>
        <rFont val="Calibri"/>
        <family val="2"/>
        <scheme val="minor"/>
      </rPr>
      <t>META DE PRODUCTO No. 3:</t>
    </r>
    <r>
      <rPr>
        <sz val="12"/>
        <rFont val="Calibri"/>
        <family val="2"/>
        <scheme val="minor"/>
      </rPr>
      <t xml:space="preserve"> Implementar una estrategia de atención, orientación y seguimiento psicológico enfocada al fortalecimiento familiar y la prevención de conductas suicidas en niñas, niños y jóvenes. </t>
    </r>
  </si>
  <si>
    <t>No.  De estrategias implementadas</t>
  </si>
  <si>
    <r>
      <rPr>
        <b/>
        <sz val="12"/>
        <rFont val="Calibri"/>
        <family val="2"/>
        <scheme val="minor"/>
      </rPr>
      <t xml:space="preserve">META DE PRODUCTO No. 4: </t>
    </r>
    <r>
      <rPr>
        <sz val="12"/>
        <rFont val="Calibri"/>
        <family val="2"/>
        <scheme val="minor"/>
      </rPr>
      <t>Implementar y fortalecer la estrategia "Ibagué y los jóvenes construyen ciudad"</t>
    </r>
  </si>
  <si>
    <t xml:space="preserve">Número de jovenes vinculados </t>
  </si>
  <si>
    <r>
      <rPr>
        <b/>
        <sz val="12"/>
        <rFont val="Calibri"/>
        <family val="2"/>
        <scheme val="minor"/>
      </rPr>
      <t>META DE PRODUCTO No. 5:</t>
    </r>
    <r>
      <rPr>
        <sz val="12"/>
        <rFont val="Calibri"/>
        <family val="2"/>
        <scheme val="minor"/>
      </rPr>
      <t xml:space="preserve"> Crear el observatorio de juventudes que integre las caracterizaciones de la población juvenil del municipio de Ibagué.</t>
    </r>
  </si>
  <si>
    <t>Actualización Realizada</t>
  </si>
  <si>
    <r>
      <rPr>
        <b/>
        <sz val="12"/>
        <rFont val="Calibri"/>
        <family val="2"/>
        <scheme val="minor"/>
      </rPr>
      <t>META DE PRODUCTO No. 6:</t>
    </r>
    <r>
      <rPr>
        <sz val="12"/>
        <rFont val="Calibri"/>
        <family val="2"/>
        <scheme val="minor"/>
      </rPr>
      <t xml:space="preserve"> Fortalecer el Consejo Municipal de Juventudes</t>
    </r>
  </si>
  <si>
    <t>Consejo Municipal de Juventudes Fortalecido</t>
  </si>
  <si>
    <t>3.1.4 Aprobar el documento de la politica publica Afro, mediante la presentación ante el Concejo Municipal</t>
  </si>
  <si>
    <t xml:space="preserve">2.1.3 Realizar encuentros con la población étnica en expresión cultural, organizativa, participativa y de concertación. </t>
  </si>
  <si>
    <r>
      <t xml:space="preserve">CODIGO PRESUPUESTAL:    </t>
    </r>
    <r>
      <rPr>
        <sz val="12"/>
        <rFont val="Arial"/>
        <family val="2"/>
      </rPr>
      <t xml:space="preserve">211320202009-01  </t>
    </r>
    <r>
      <rPr>
        <b/>
        <sz val="12"/>
        <rFont val="Arial"/>
        <family val="2"/>
      </rPr>
      <t xml:space="preserve">     RUBRO: </t>
    </r>
    <r>
      <rPr>
        <sz val="12"/>
        <rFont val="Arial"/>
        <family val="2"/>
      </rPr>
      <t xml:space="preserve"> FORTALECIMIENTO DE LA DIVERSIDAD ETNICA Y CULTURAL EN EL MUNICIPIO DE IBAGUÉ </t>
    </r>
  </si>
  <si>
    <r>
      <rPr>
        <b/>
        <sz val="12"/>
        <rFont val="Arial"/>
        <family val="2"/>
      </rPr>
      <t>META DE PRODUCTO No. 4:</t>
    </r>
    <r>
      <rPr>
        <sz val="12"/>
        <rFont val="Arial"/>
        <family val="2"/>
      </rPr>
      <t xml:space="preserve">Fortalecimiento y seguimiento a iniciativas de proyectos productivos a personas del programa Familias en Acción y/o población vulnerable y/o en condición de pobreza, pobreza extrema y/o pobreza multidimensional </t>
    </r>
  </si>
  <si>
    <r>
      <rPr>
        <b/>
        <sz val="12"/>
        <rFont val="Arial"/>
        <family val="2"/>
      </rPr>
      <t>META DE RESULTADO No.1:</t>
    </r>
    <r>
      <rPr>
        <sz val="12"/>
        <rFont val="Arial"/>
        <family val="2"/>
      </rPr>
      <t xml:space="preserve"> Implementar Plan de acción integral para la población en condiciones de vulnerabilidad</t>
    </r>
  </si>
  <si>
    <t xml:space="preserve"> </t>
  </si>
  <si>
    <r>
      <rPr>
        <b/>
        <sz val="12"/>
        <rFont val="Arial"/>
        <family val="2"/>
      </rPr>
      <t xml:space="preserve">META DE PRODUCTO No. 3: </t>
    </r>
    <r>
      <rPr>
        <sz val="12"/>
        <rFont val="Arial"/>
        <family val="2"/>
      </rPr>
      <t>Realizar eventos y/o socializaciones anuales del programa familias en acción.</t>
    </r>
  </si>
  <si>
    <r>
      <rPr>
        <b/>
        <sz val="12"/>
        <rFont val="Arial"/>
        <family val="2"/>
      </rPr>
      <t xml:space="preserve">META DE PRODUCTO No. 2:  </t>
    </r>
    <r>
      <rPr>
        <sz val="12"/>
        <rFont val="Arial"/>
        <family val="2"/>
      </rPr>
      <t>Implementar procesos de formación en áreas productivas a personas del programa Familias en Acción y/o población vulnerable y/o en condición de pobreza, pobreza extrema y/o pobreza multidimensional.</t>
    </r>
  </si>
  <si>
    <r>
      <rPr>
        <b/>
        <sz val="12"/>
        <rFont val="Arial"/>
        <family val="2"/>
      </rPr>
      <t xml:space="preserve">META DE PRODUCTO No. 1: </t>
    </r>
    <r>
      <rPr>
        <sz val="12"/>
        <rFont val="Arial"/>
        <family val="2"/>
      </rPr>
      <t xml:space="preserve">Atención integral y orientación a las familias inscritas en el programa Familias en Acción y/o población vulnerable y/o en condición de pobreza, pobreza extrema y/o pobreza multidimensional </t>
    </r>
  </si>
  <si>
    <r>
      <t xml:space="preserve">Objetivos: </t>
    </r>
    <r>
      <rPr>
        <sz val="12"/>
        <rFont val="Arial"/>
        <family val="2"/>
      </rPr>
      <t>ARTICULAR LAS POLÍTICAS NACIONALES PARA LA SUPERACIÓN DE LA POBREZA Y FOCALIZACIÓN DE POBLACIONES VULNERABLES CON EL FIN DE DISMINUIR LOS DIFERENTES TIPOS DE POBREZA</t>
    </r>
  </si>
  <si>
    <t>% de atenciones y orientaciones  brindadas</t>
  </si>
  <si>
    <t>3.1.1. Realizar jornadas y/o campañas comunicacionales para la prevencion del consumo del alcohol y sustancias psicoactivas, minimizando los factores de riesgo con los diferentes actores sociales.</t>
  </si>
  <si>
    <t>5.1.3 Por demanda beneficiar a niñas, niños, adolescentes y jóvenes del municipio, a través de orientacion y atención intregral.</t>
  </si>
  <si>
    <t>% de actividades realizadas.</t>
  </si>
  <si>
    <t>2.1.1 Por solicitud de la poblacion victima del conflicto armado realizar actividades de acompañamiento a las rutas de atención.</t>
  </si>
  <si>
    <t>% de personas beneficiadas.</t>
  </si>
  <si>
    <t>% de Ayudadas de Inmediatez entregadas</t>
  </si>
  <si>
    <r>
      <t>PROG</t>
    </r>
    <r>
      <rPr>
        <b/>
        <sz val="11"/>
        <rFont val="Arial"/>
        <family val="2"/>
      </rPr>
      <t xml:space="preserve">  EJEC</t>
    </r>
  </si>
  <si>
    <r>
      <t xml:space="preserve">Objetivos: </t>
    </r>
    <r>
      <rPr>
        <sz val="10"/>
        <rFont val="Arial"/>
        <family val="2"/>
      </rPr>
      <t>ESTE PROGRAMA BUSCA GARANTIZAR LA ATENCIÓN Y DESARROLLO INTEGRAL DE LAS PERSONAS HABITANTES DE/EN CALLE, CON EQUIDAD E INCLUSIÓN SOCIAL, PROMOVIENDO UNA CULTURA DE RESPETO Y LA CORRESPONSABILIDAD DE LOS DIFERENTES ACTORES EN EL MUNICIPIO DE IBAGUÉ.</t>
    </r>
  </si>
  <si>
    <t>Numero de encuentros realizados</t>
  </si>
  <si>
    <t>% Población Atendida</t>
  </si>
  <si>
    <t>No. Campañas realizadas</t>
  </si>
  <si>
    <t>No. talleres realizados</t>
  </si>
  <si>
    <t xml:space="preserve">Numero de  socialización realizadas </t>
  </si>
  <si>
    <t>1.1.7 Beneficiar a los jovenes del  municipio  mediante  asesoría psicocial y jurídica según demanda del servicio</t>
  </si>
  <si>
    <t>No.Propuestas apoyadas</t>
  </si>
  <si>
    <t>No. de talleres,foros y conversatorios  realizadas</t>
  </si>
  <si>
    <r>
      <t xml:space="preserve">CODIGO BPPIM: </t>
    </r>
    <r>
      <rPr>
        <sz val="12"/>
        <rFont val="Arial"/>
        <family val="2"/>
      </rPr>
      <t>2020730010055</t>
    </r>
  </si>
  <si>
    <t>7.1.7 Beneficiar a NNA con la entrega de Auxilios funerarios según demanda del servicio</t>
  </si>
  <si>
    <t>% NNA  beneficiados</t>
  </si>
  <si>
    <r>
      <rPr>
        <b/>
        <sz val="12"/>
        <rFont val="Arial MT"/>
      </rPr>
      <t>META DE PRODUCTO No. 2: I</t>
    </r>
    <r>
      <rPr>
        <sz val="12"/>
        <rFont val="Arial MT"/>
      </rPr>
      <t>mplementar el Programa de Sensibilización y promoción de los DDHH y el desarrollo de capacidades educativas, culturales, para la población en condición de discapacidad.</t>
    </r>
  </si>
  <si>
    <t>1.1.4 Realizar actividades educativas, pedagógicos, de formación y/o capacitación dirigidas a jóvenes del municipio.</t>
  </si>
  <si>
    <t>1.1.3 Realizar jornadas de capacitación e higiene a la población habitante de calle</t>
  </si>
  <si>
    <t xml:space="preserve">META </t>
  </si>
  <si>
    <t xml:space="preserve">PROPIOS </t>
  </si>
  <si>
    <t>ESTAMPILLAS</t>
  </si>
  <si>
    <t>Número de jornadas realizadas</t>
  </si>
  <si>
    <t>2.1.2 Realizar jornadas de atención integral al habitante de calle, mediante actividades de prevención e intervención al goce efectivo de sus derechos y entrega de auxilios funerarios</t>
  </si>
  <si>
    <r>
      <t xml:space="preserve">Objetivos: </t>
    </r>
    <r>
      <rPr>
        <sz val="9.4"/>
        <rFont val="Arial"/>
        <family val="2"/>
      </rPr>
      <t>BRINDAR ASESORÍA, ACOMPAÑAMIENTO Y HACER SEGUIMIENTO A LOS PROGRAMAS Y ESTRATEGIAS QUE CONTRIBUYEN AL FORTALECIMIENTO DE LA INTEGRIDAD ÉTNICA, CULTURAL Y SOCIAL, ESTABLECIENDO  LAS GARANTÍAS Y  EL RESPETO DE LOS DERECHOS DESDE LO COLECTIVO E INDIVIDUAL, CON EL FIN DE VISIBILIZAR LA POBLACIÓN ÉTNICA QUE HABITA EN LA CIUDAD DE IBAGUÉ (INDÍGENAS, AFROS Y RROM)  CONTRIBUYENDO  LA PERVIVENCIA DE LOS MISMOS.</t>
    </r>
  </si>
  <si>
    <r>
      <t xml:space="preserve">FECHA DE PROGRAMACION: </t>
    </r>
    <r>
      <rPr>
        <sz val="12"/>
        <rFont val="Arial"/>
        <family val="2"/>
      </rPr>
      <t>ENERO 2023</t>
    </r>
  </si>
  <si>
    <r>
      <t>FECHA DE PROGRAMACION:</t>
    </r>
    <r>
      <rPr>
        <sz val="12"/>
        <rFont val="Arial"/>
        <family val="2"/>
      </rPr>
      <t xml:space="preserve"> ENERO 2023</t>
    </r>
  </si>
  <si>
    <t>2.1.1 Realizar talleres en DDHH, en normatividad y contenidos incluyentes y convencion de derechos de personas con discapacidad, dirigidas a personas con discapacidad cuidadores y poblacion en general.</t>
  </si>
  <si>
    <t>Número de talleres realizados</t>
  </si>
  <si>
    <t>4.1.6 Socializar en los diferentes espacios sociales, políticos y académicos de Ibagué, mediante medio físico y electrónico, estableciendo estrategias claras de difusión</t>
  </si>
  <si>
    <t>4.1.3 Fortalecer a organizaciones para que accedan a capital semilla</t>
  </si>
  <si>
    <t>10.1.5 Realizar el plan de acción de la política publica</t>
  </si>
  <si>
    <t>10.1.6 Socializar en los diferentes espacios sociales, políticos y académicos de Ibagué, mediante medio físico y electrónico, estableciendo estrategias claras de difusión</t>
  </si>
  <si>
    <t>7.1.1 Apoyar la participación de la mesa en los espacios institucionales</t>
  </si>
  <si>
    <t>8.1.2 Implementar la ruta de atención para protección de mujeres vícitma de todo tipo de violencia</t>
  </si>
  <si>
    <t>3.1.5 Realizar el plan de acción de la política publica</t>
  </si>
  <si>
    <t>1.1.3  Entrega de auxilios funerarios a la población vícitma que asi lo soliciten.</t>
  </si>
  <si>
    <t>Numero socializaciones realizadas</t>
  </si>
  <si>
    <t>plan de acción diseñado</t>
  </si>
  <si>
    <r>
      <t xml:space="preserve">RUBRO: </t>
    </r>
    <r>
      <rPr>
        <sz val="12"/>
        <rFont val="Arial"/>
        <family val="2"/>
      </rPr>
      <t>2113201010030302 - 211320201004 - 211320202007- 211320202009 MEJORAMIENTO EN LA LUCHA CONTRA LA POBREZA EN EL MUNICIPIO DE IBAGUE</t>
    </r>
  </si>
  <si>
    <r>
      <t xml:space="preserve">CODIGO PRESUPUESTAL: </t>
    </r>
    <r>
      <rPr>
        <sz val="12"/>
        <rFont val="Arial"/>
        <family val="2"/>
      </rPr>
      <t xml:space="preserve"> 211320202005-01
211320202009-01 /  211320202009-04 </t>
    </r>
    <r>
      <rPr>
        <b/>
        <sz val="12"/>
        <rFont val="Arial"/>
        <family val="2"/>
      </rPr>
      <t xml:space="preserve">   </t>
    </r>
  </si>
  <si>
    <r>
      <t xml:space="preserve">CODIGO PRESUPUESTAL: </t>
    </r>
    <r>
      <rPr>
        <sz val="12"/>
        <rFont val="Arial"/>
        <family val="2"/>
      </rPr>
      <t xml:space="preserve">     211320202009-01</t>
    </r>
  </si>
  <si>
    <t>6.1.2 Realizar acciones articuladas con entes del sector público y privado para beneficio de los niños, niñas, adolescentes y familias del municipio</t>
  </si>
  <si>
    <t>7.1.6 Reparar ámbitos y/o espacios culturales, recreativos y/o de atención integral para la primera infancia.</t>
  </si>
  <si>
    <t xml:space="preserve">Número de ambitos y/o  espacios reparados </t>
  </si>
  <si>
    <t>5.1.1 Diseñar la estrategia de atención, orientación y seguimiento psicológico.</t>
  </si>
  <si>
    <t>Estrategia diseñada</t>
  </si>
  <si>
    <t>Número de acciones realizadas</t>
  </si>
  <si>
    <t>3.1.2 Realizar acciones de articulación  que permitan la implementación del observatorio de juventudes</t>
  </si>
  <si>
    <t>Articulación realizada</t>
  </si>
  <si>
    <t>4.1.2 Realizar ejercicios de difusión de material POP, asociado a la generación de habilidades de autoprotección y autocuidado, dirigida a niños, niñas y adolescentes del municipioes</t>
  </si>
  <si>
    <t>,</t>
  </si>
  <si>
    <r>
      <t xml:space="preserve">CODIGO PRESUPUESTAL: </t>
    </r>
    <r>
      <rPr>
        <sz val="12"/>
        <rFont val="Arial"/>
        <family val="2"/>
      </rPr>
      <t xml:space="preserve"> 2113201010030302 /  211320202006
211320202009 / 211320202005 / 211320202008 / 211320202005</t>
    </r>
    <r>
      <rPr>
        <b/>
        <sz val="12"/>
        <rFont val="Arial"/>
        <family val="2"/>
      </rPr>
      <t xml:space="preserve">   </t>
    </r>
  </si>
  <si>
    <t>13.1.1 Articular con el sector público y el sector privado, acciones en favor del bienestar de los niños niñas y adolescentes del municipio.</t>
  </si>
  <si>
    <r>
      <t xml:space="preserve">CODIGO PRESUPUESTAL: </t>
    </r>
    <r>
      <rPr>
        <sz val="12"/>
        <rFont val="Arial"/>
        <family val="2"/>
      </rPr>
      <t xml:space="preserve">2113201010030302 / 211320201004 /211320202008 / 211320202009 / </t>
    </r>
  </si>
  <si>
    <t>% de entregas realizadas</t>
  </si>
  <si>
    <t>FUENTES DE FINANCIACION                             
(EN MILES DE $)</t>
  </si>
  <si>
    <t>COSTO TOTAL 
(MILES DE PESOS)</t>
  </si>
  <si>
    <t>FUENTES DE FINANCIACION 
(EN MILES DE $)</t>
  </si>
  <si>
    <t>1.1.1 Coordinar la implementación, evaluación y seguimiento de la Política Pública</t>
  </si>
  <si>
    <t>Politica Pública Implementada conforme el plan de accion aprobado</t>
  </si>
  <si>
    <t>1.1.3 Apoyar los procesos de participación de las comunidades Indígenas.</t>
  </si>
  <si>
    <t>Proceso de participación apoyado por comunidad</t>
  </si>
  <si>
    <t>4.1.1 Promover y fomentar acciones para la recuperación, fortalecimiento, protección y salvaguarda de las lenguas nativas y la tradición oral y escrita de los grupos étnicos</t>
  </si>
  <si>
    <t>PAGOS</t>
  </si>
  <si>
    <t>1.1.3 Gestionar novedades tipo 1 y tipo 2 a población vulnerable</t>
  </si>
  <si>
    <t>2.1.1 Realizar formacion en areas productivas y de emprendimiento a poblacion vulnerable como herramienta para el incremento de su productividad e independencia economica mediante la generacion de autoempleo.</t>
  </si>
  <si>
    <t>3.1.1 Apoyar y formular proyectos productivos a poblacion vulnerable</t>
  </si>
  <si>
    <t>4.1.2.  Apoyo logistico para realizacion de encuentros pedagogicos programa familias en accion.</t>
  </si>
  <si>
    <t xml:space="preserve">% de adultos mayores beneficiados </t>
  </si>
  <si>
    <t>Numero de adultos mayores beneficiados</t>
  </si>
  <si>
    <t>1.1.1 Por demanda brindar atención integral con enfoque étnico en los centros día y/o asociaciones mediante diferentes actividades para una ocupación adecuada del tiempo libre.</t>
  </si>
  <si>
    <t>4.1.1 Realizar un convenio de atención integral con personas de extra edad (mayores de 18 años) que apunten al desarrollo de habilidades para la vida.</t>
  </si>
  <si>
    <t>porcentaje de Unidades productivas con seguimiento</t>
  </si>
  <si>
    <t>1.1.2 Realizar entrega de unidades productivas a organizaciones, personas con discapacidad y cuidadores PcD urbanas y rurales.</t>
  </si>
  <si>
    <t>FUENTES DE FINANCIACION 
( EN MILES DE $)</t>
  </si>
  <si>
    <r>
      <rPr>
        <b/>
        <sz val="10"/>
        <rFont val="Arial MT"/>
      </rPr>
      <t>META DE PRODUCTO No. 10:</t>
    </r>
    <r>
      <rPr>
        <sz val="10"/>
        <rFont val="Arial MT"/>
      </rPr>
      <t xml:space="preserve"> Atención integral y orientación con enfoque diferencial y étnico a los niños, niñas, adolescentes y jóvenes víctima del conflicto armado</t>
    </r>
  </si>
  <si>
    <r>
      <t>META DE RESULTADO No. 1:</t>
    </r>
    <r>
      <rPr>
        <sz val="10"/>
        <rFont val="Arial MT"/>
      </rPr>
      <t xml:space="preserve"> Garantizar la asistencia, atención y orientación a la población víctima del conflicto armado en el municipio de Ibagué.</t>
    </r>
  </si>
  <si>
    <r>
      <t>META DE PRODUCTO N° 9</t>
    </r>
    <r>
      <rPr>
        <b/>
        <sz val="10"/>
        <rFont val="Arial MT"/>
      </rPr>
      <t xml:space="preserve"> </t>
    </r>
    <r>
      <rPr>
        <sz val="10"/>
        <rFont val="Arial MT"/>
      </rPr>
      <t>: Formular la politica publica de victimas del conflicto armado</t>
    </r>
  </si>
  <si>
    <r>
      <rPr>
        <b/>
        <sz val="10"/>
        <rFont val="Arial MT"/>
      </rPr>
      <t xml:space="preserve">META DE PRODUCTO No. 8: </t>
    </r>
    <r>
      <rPr>
        <sz val="10"/>
        <rFont val="Arial MT"/>
      </rPr>
      <t>Realizar 10 conmemoraciones y/o eventos a la población víctima del conflicto armado</t>
    </r>
  </si>
  <si>
    <r>
      <rPr>
        <b/>
        <sz val="10"/>
        <rFont val="Arial MT"/>
      </rPr>
      <t xml:space="preserve">META DE PRODUCTO No. 7: </t>
    </r>
    <r>
      <rPr>
        <sz val="10"/>
        <rFont val="Arial MT"/>
      </rPr>
      <t>Actualizar el proceso de caracterización de la población víctima del conflicto armado a través de la herramienta RNI-IGED con enfoque étnico y diferencia.</t>
    </r>
  </si>
  <si>
    <r>
      <rPr>
        <b/>
        <sz val="10"/>
        <color rgb="FF000000"/>
        <rFont val="Arial MT"/>
      </rPr>
      <t>META DE PRODUCTO No. 6:</t>
    </r>
    <r>
      <rPr>
        <sz val="10"/>
        <color rgb="FF000000"/>
        <rFont val="Arial MT"/>
      </rPr>
      <t xml:space="preserve"> Apoyo a la Mesa de participación de  víctimas en su conformación, funcionamiento y pago de incentivos, de acuerdo a la ley 1448/2011.</t>
    </r>
  </si>
  <si>
    <r>
      <rPr>
        <b/>
        <sz val="10"/>
        <color rgb="FF000000"/>
        <rFont val="Arial MT"/>
      </rPr>
      <t>META DE PRODUCTO No. 5</t>
    </r>
    <r>
      <rPr>
        <sz val="10"/>
        <color rgb="FF000000"/>
        <rFont val="Arial MT"/>
      </rPr>
      <t>: Estrategia para el fortalecimiento en capacidades de emprendimiento, áreas productivas, tecnología e innovación</t>
    </r>
  </si>
  <si>
    <r>
      <t xml:space="preserve">META DE PRODUCTO No. 4:  </t>
    </r>
    <r>
      <rPr>
        <sz val="10"/>
        <color rgb="FF000000"/>
        <rFont val="Arial MT"/>
      </rPr>
      <t>Implementar el  Centro Regional Para la atención y Reparación Integral a Victimas con enfoque étnico y diferencial</t>
    </r>
  </si>
  <si>
    <r>
      <rPr>
        <b/>
        <sz val="10"/>
        <color rgb="FF000000"/>
        <rFont val="Arial MT"/>
      </rPr>
      <t xml:space="preserve">META DE PRODUCTO No. 3: </t>
    </r>
    <r>
      <rPr>
        <sz val="10"/>
        <color rgb="FF000000"/>
        <rFont val="Arial MT"/>
      </rPr>
      <t xml:space="preserve">Implementación del plan de retorno y reubicación de la población víctima del conflicto armado </t>
    </r>
  </si>
  <si>
    <r>
      <rPr>
        <b/>
        <sz val="10"/>
        <rFont val="Arial MT"/>
      </rPr>
      <t xml:space="preserve">META DE PRODUCTO No. 2: </t>
    </r>
    <r>
      <rPr>
        <sz val="10"/>
        <rFont val="Arial MT"/>
      </rPr>
      <t>Actualización y seguimiento a las rutas de atención de población víctima del conflicto armado</t>
    </r>
  </si>
  <si>
    <r>
      <rPr>
        <b/>
        <sz val="10"/>
        <rFont val="Arial MT"/>
      </rPr>
      <t xml:space="preserve">META DE PRODUCTO No. 1: </t>
    </r>
    <r>
      <rPr>
        <sz val="10"/>
        <rFont val="Arial MT"/>
      </rPr>
      <t>Atención integral y orientación con enfoque diferencial y étnico a la población víctima del conflicto armado.</t>
    </r>
  </si>
  <si>
    <t>3.1.3 Articular con la unidad de victimas, Ministerio del Interior y Alcaldía para fortalecer el plan retorno.</t>
  </si>
  <si>
    <t>1.1.5 Apoyo psicosocial al 100% de las personas victimas del conflicto armado con enfoque etnico y diferencial.</t>
  </si>
  <si>
    <t>% de personas orientadas</t>
  </si>
  <si>
    <t>1.1.4 Orientar a la población victima según casos específicos de las personas para despejar sus preguntas</t>
  </si>
  <si>
    <r>
      <t xml:space="preserve">Objetivos: </t>
    </r>
    <r>
      <rPr>
        <sz val="9"/>
        <rFont val="Arial"/>
        <family val="2"/>
      </rPr>
      <t>REALIZAR Y COORDINAR DESDE EL ENTE TERRITORIAL DE FORMA ORDENADA Y EFICAZ LAS GESTIONES DE ATENCIÓN Y REPARACIÓN EN LA EJECUCIÓN E IMPLEMENTACIÓN DE LA POLÍTICA PUBLICA DE ATENCIÓN, ASISTENCIA Y REPARACIÓN INTEGRAL ENCAMINADA A SATISFACER LOS DERECHOS VERDAD, JUSTICIA Y REPARACIÓN</t>
    </r>
  </si>
  <si>
    <t>1.1.6 Realizar actividades y/o eventos, estrategias de comunicación para la población indigena.</t>
  </si>
  <si>
    <t>2.1.2 Brindar auxilios funerarios a personas de población étnica que lo requieran</t>
  </si>
  <si>
    <t>Un Documento aprobado</t>
  </si>
  <si>
    <t>Un Plan de accion realizado</t>
  </si>
  <si>
    <t>Número de Actividades de socialización realizadas</t>
  </si>
  <si>
    <t>4.1.2 Realizar seguimiento Monitoreo y reportes de Control al proyecto</t>
  </si>
  <si>
    <t>4.1.3 llevar a cabo eventos conmemorativos  del programa familias en accion.</t>
  </si>
  <si>
    <t>3.1.2 Realizar actividades de seguimiento y control al proyecto</t>
  </si>
  <si>
    <t>% de Atenciónes integrales brindadas</t>
  </si>
  <si>
    <t xml:space="preserve">No. de actividades realizadas </t>
  </si>
  <si>
    <t>No. de ejercicios de difusión realizados</t>
  </si>
  <si>
    <t>No. Campaña realizada</t>
  </si>
  <si>
    <t>No. Jornadas realizadas</t>
  </si>
  <si>
    <t>17.1.1 Llevar a cabo ejercios de difusion  de la Ruta Integral de Atenciones</t>
  </si>
  <si>
    <t>No. Actividad de difusión realizadas</t>
  </si>
  <si>
    <t>No. de Boletines realizados</t>
  </si>
  <si>
    <t>No. de Jóvenes acompañados</t>
  </si>
  <si>
    <t>No. Jornadas de socializadión realizadas</t>
  </si>
  <si>
    <t xml:space="preserve">No. de actividades y/o conmemoraciones realizadas </t>
  </si>
  <si>
    <t xml:space="preserve">% de cumplimiento plan estratégico para restitucion de derechos de la población indígena </t>
  </si>
  <si>
    <t xml:space="preserve">% de población etnica beneficiada que solicite y cumpla con los requisitos para auxilios funerarios </t>
  </si>
  <si>
    <t xml:space="preserve">No. de personas  beneficiadas de los  encuentros de expresión cultural </t>
  </si>
  <si>
    <t xml:space="preserve">No. de reportes de seguimiento realizados </t>
  </si>
  <si>
    <t xml:space="preserve">% de Población vulnerable asesorada </t>
  </si>
  <si>
    <t>No. de Proyectos productivos apoyados</t>
  </si>
  <si>
    <t>% adultos mayores de los CBA beneficiados</t>
  </si>
  <si>
    <t>1.1.4 Realizar jornadas para postular, socializar e informar las fechas de pagos e inscripciones de adultos mayores priorizados, activos y bloqueados del programa adulto mayor Colombia mayor</t>
  </si>
  <si>
    <t>2.1.1 .Beneficiar Adultos Mayores a través de la operatividad de los centro día, centro día vida mediante dotaciones, entrega de refrigerios, desarrollo de actividades de ocupación del tiempo libre, huertas caseras, recreación y deporte del municipio de ibague</t>
  </si>
  <si>
    <t>1.1.4 Realizacion de eventos de comercializacion para la promocion de las unidades productivas</t>
  </si>
  <si>
    <t>Numero de eventos   realizados</t>
  </si>
  <si>
    <t xml:space="preserve">No. de planes retornos articulados </t>
  </si>
  <si>
    <t xml:space="preserve">No. de organizaciones capacitadas en capital semilla </t>
  </si>
  <si>
    <t xml:space="preserve">No. de mesas insterinstitucionales apoyadas </t>
  </si>
  <si>
    <t>% de población victima que solicita registro en el RNI-IGED</t>
  </si>
  <si>
    <t xml:space="preserve">% de cumplimiento plan de trabajo enfocado en recuperación de saberes </t>
  </si>
  <si>
    <t>1.1.5 Implementar un plan de trabajo que busque la recuperación de saberes, sus cosmovisiones, visiones de derecho, practicas y tradiciones mediante: talleres, mesas de trabajo, procesos participativos, entrevistas, etc.</t>
  </si>
  <si>
    <t>1.1.7 Diseñar e implementar paln estrategico para la restitución de derechos para población indígena</t>
  </si>
  <si>
    <t>3.1.6 Realizar actividades de socialización de la Política Pública en espacios sociales, políticos y académicos de Ibagué, mediante medio físico y electrónico, estableciendo estrategias claras de difusión.</t>
  </si>
  <si>
    <t>No. de acciones promovidas y/o fomentadas</t>
  </si>
  <si>
    <t>1.1.1 Realizar acompañamiento psicosocial y juridico para apoyar el componente de bienestar comunitario a la poblacion vulnerable atendida por demanda.</t>
  </si>
  <si>
    <t>1.1.4 Prestar apoyo y aseoria en los pagos de los incentivos correspondenientes a los periodos a poblacion vulnerable atendida por demanda</t>
  </si>
  <si>
    <t xml:space="preserve">No. de  beneficiarios con formación en áreas productivas </t>
  </si>
  <si>
    <t>1.1.3 .Beneficar a los adultos mayores a través de  eventos,  acompañamiento psicológico, asesoría jurídica, medica y tradicional, entrega de ayudas técnicas y/o dotaciones, jornadas de sensibilizacion sobre derechos, entrega de kits nutricionales y entrega de auxilios funerarios.</t>
  </si>
  <si>
    <t>2.1.2 Beneficiar Adulto Mayores a través del  restablecimiento de derechos a los adultos mayores en situación de abandono y/o indigencia en los CBA (Centros de Bienestar al Adulto Mayor)</t>
  </si>
  <si>
    <t>No. Actividades de seguimiento realizadas</t>
  </si>
  <si>
    <t>2.1.3 Apoyar los eventos a demanda que realice la Secretaria de desarrollo social con el servicio de interpretacion de lengua de señas que permita adaptar los contenidos de estos a las personas con discapacidad auditiva.</t>
  </si>
  <si>
    <t>% de eventos apoyados</t>
  </si>
  <si>
    <t>Convenio realizado</t>
  </si>
  <si>
    <t>5.1.2 Beneficiar a personas con discapacidad a través de promoción de espacios y encuentro en las ciclovias.</t>
  </si>
  <si>
    <t>7.1.3 Realizar mesas de trabajo interinstitucionales con las diferentes secretarias y entidades decentralizadas para la construccion de documento diagnostico de la politica púlica de disacapacidad</t>
  </si>
  <si>
    <t>1.1.2 Entrega de ayuda de inmediatez de kits nutricionales, kits de aseo conforme a la ley 1448 de 2011, en el alojamiento transitorio y alimentación según demanda del servicio</t>
  </si>
  <si>
    <t>8.1.2 Apoyar a la unidad de victimas con el registro de personas a través de la herramienta RNI-IGED.</t>
  </si>
  <si>
    <t>10.1.3 Realizar Socialización interinstitucional del documento de Política Pública de Víctimas del conflicto armado</t>
  </si>
  <si>
    <t>FUENTES DE FINANCIACION                          ( EN MILES DE $)</t>
  </si>
  <si>
    <t>15.1.2 Realizar campaña de sensibilización y capacitación para la prevención de la violencia, contra niños, niñas y adolescentes</t>
  </si>
  <si>
    <t>1.1.3 Llevar a cabo actividades de articulacion entre el sector público y el sector privado,en favor del bienestar de los jovenes del municipio.</t>
  </si>
  <si>
    <t xml:space="preserve">Número de eventos conmemorativos   realizados </t>
  </si>
  <si>
    <t>COSTO TOTAL   ( MILES DE PESOS)</t>
  </si>
  <si>
    <t>IBAGUÉ POR LA GARANTIA DE LOS DERECHOS DE LAS VICTIMAS</t>
  </si>
  <si>
    <t>% de actividades de difusión realizadas</t>
  </si>
  <si>
    <r>
      <rPr>
        <b/>
        <sz val="12"/>
        <rFont val="Calibri"/>
        <family val="2"/>
        <scheme val="minor"/>
      </rPr>
      <t>OBSERVACIONES:</t>
    </r>
    <r>
      <rPr>
        <sz val="12"/>
        <rFont val="Calibri"/>
        <family val="2"/>
        <scheme val="minor"/>
      </rPr>
      <t xml:space="preserve">
*A través del Decreto 0320 del 7 de junio de 2023, se llevó a cabo incorporación de recursos asociado al presente proyecto, por valor de $65.292.000
* Se trasladaron recursos por valor de $5.000.000 desde la actividad 4.1.3 hacia la actividad 4.1.1 con el fin de cumplir con las acciones de la misma.
*A través de Resolción 0455 del 20 de octubre de 2023 se incorporaron recursos al proyecto por valor de $19.261.667
*Se trasladan recursos por valor de $2.600.000 desde la actividad 1.1.1 hacia la actividad 1.1.4.
* A través del Resolución 498 del 16 de noviembre se realizó contracrédito al rubo asociado al presente proyecto por valor de $136.049.652
</t>
    </r>
  </si>
  <si>
    <r>
      <t xml:space="preserve">OBSERVACIONES:
</t>
    </r>
    <r>
      <rPr>
        <sz val="12"/>
        <rFont val="Calibri"/>
        <family val="2"/>
      </rPr>
      <t xml:space="preserve">*A través de Resolución 313 del 13 de septiembre de 2023, se llevó a cabo contracrédito al presente proyecto por valor de $40.000.000
*Se trasladaron recursos por valor de $5.000.000 desde la actividad 2.1.3 hacia la actividad 3.1.4
*Se trasladaron recursos por valor de $17.437.000 desde la actividad 2.1.3 hacia la actividad 3.1.4
*Se trasladaron recursos desde la actividad 4.1.1 por valor de $8.818.000 hacia la actividad 1.1.6; por valor de $2.126.667 hacia la actividad 1.1.7 y 
* A través del Resolución 498 del 16 de noviembre se realizó contracrédito al rubo asociado al presente proyecto por valor de $56.589.199 </t>
    </r>
  </si>
  <si>
    <r>
      <rPr>
        <b/>
        <sz val="12"/>
        <rFont val="Calibri"/>
        <family val="2"/>
        <scheme val="minor"/>
      </rPr>
      <t>OBSERVACIONES:</t>
    </r>
    <r>
      <rPr>
        <sz val="12"/>
        <rFont val="Calibri"/>
        <family val="2"/>
        <scheme val="minor"/>
      </rPr>
      <t xml:space="preserve">
*A través del Decreto 0293 del 29 de mayo de 2023, se llevó a cabo incorporación de recursos asociado al presente proyecto, por valor de $47.848.000
*A través del Decreto 0371 del 26 de junio de 2023, se llevó a cabo incorporación de recursos asociado al presente proyecto, por valor de $172.144.000
*A t</t>
    </r>
    <r>
      <rPr>
        <sz val="12"/>
        <color theme="1"/>
        <rFont val="Calibri"/>
        <family val="2"/>
        <scheme val="minor"/>
      </rPr>
      <t>ravés de Resolución 313 del 13 de septiembre de 2023, se llevó a cabo contracrédito al presente proyecto por valor de $80.000.000
* Se trasladaron recursos desde la actividad 3.1.1  hacia la actividad 1.1.1 por valor de $17.877.683; hacia la actividad 4.1.3 por $13.000.000
* A través del Resolución 498 del 16 de noviembre se realizó contracrédito al rubo asociado al presente proyecto por valor de $37.085.908 de las actividades 3.1.1 y 4.1.3</t>
    </r>
  </si>
  <si>
    <r>
      <t>OBSERVACIONES: 
*</t>
    </r>
    <r>
      <rPr>
        <sz val="12"/>
        <rFont val="Calibri"/>
        <family val="2"/>
      </rPr>
      <t xml:space="preserve">A través de Decreto 0175 del 21 de Marzo de 2023, se incorporaron recursos de estampillas  por valor de $2.904.897.672
*A través de Decreto 0495 del 1 de Octubre de 2023, se incorporaron recursos de estampillas  por valor de $1.704.000.000 
*Se llevó a cabo traslado de recursos propios por valor de $431.394.000desde la actividad  1.1.3  hacia la actividad 2.1.2, en aras de de cumplir con las acciones de la misma.
*Se llevó a cabo traslado de recursos propios por valor de $38.000.000desde la actividad  3.1.2  hacia la actividad 2.1.1, en aras de de cumplir con las acciones de la misma.
*Se llevó a cabo traslado de recursos propios por valor de $2.000.000desde la actividad  1.1.4  hacia la actividad 2.1.1, en aras de de cumplir con las acciones de la misma.
*Se llevó a cabo traslado de recursos de estampilla desde la actividad  3.1.1  hacia la actividad 1.1.3, 1.1.4 y 2.1.1 en aras de de cumplir con las acciones de la misma.
*A través de Resolción 0455 del 20 de octubre de 2023 se incorporaron recursos al proyecto por valor de $8.545.000
</t>
    </r>
  </si>
  <si>
    <r>
      <t>OBSERVACIONES:
*</t>
    </r>
    <r>
      <rPr>
        <sz val="12"/>
        <rFont val="Arial"/>
        <family val="2"/>
      </rPr>
      <t xml:space="preserve">Se realiza traslado de recursos por valor de $15.000.000 desde la actividad 1.1.1 hacia la actividad 2.1.2 para desarrollar lasactividades de la misma.
*A través del Resolución 498 del 16 de noviembre se realizó contracrédito  de recursos al  presente proyecto por valor de $195.851.000 .
</t>
    </r>
  </si>
  <si>
    <r>
      <t xml:space="preserve">OBSERVACIONES:
</t>
    </r>
    <r>
      <rPr>
        <sz val="12"/>
        <rFont val="Arial MT"/>
      </rPr>
      <t>Se llevó a cabo traslado de recursos de la actividad 4.1.3 hacia la actividad 1.1.5 por valor de $10.000.000;  de $15.000.000 hacia la actividad 7.1.1;  de $7000.000 hacia la actividad 7.1.2 para cumplir con las acciones de las mismas.
* Se trasladaron recursos desde la actividad 3.1.3  hacia la actividad 1.1.4 por valor de $3..440.000; hacia la actividad 1.1.5 por $1.510.000; hacia la actividad 2.1.1 por $800.000; hacia la actividad 7.1.2 por $10.251.000
* Se trasladaron recursos desde la actividad 8.1.  hacia la actividad 7.1.2 por $1.000.000</t>
    </r>
    <r>
      <rPr>
        <b/>
        <sz val="12"/>
        <rFont val="Arial MT"/>
      </rPr>
      <t xml:space="preserve">
</t>
    </r>
  </si>
  <si>
    <r>
      <t xml:space="preserve">
NOMBRE:  CAROLINA HURTADO BARRERA</t>
    </r>
    <r>
      <rPr>
        <sz val="12"/>
        <rFont val="Calibri"/>
        <family val="2"/>
        <scheme val="minor"/>
      </rPr>
      <t xml:space="preserve">
SECRETARIA DESARROLLO SOCIAL COMUNITARIO
</t>
    </r>
    <r>
      <rPr>
        <b/>
        <sz val="12"/>
        <rFont val="Calibri"/>
        <family val="2"/>
        <scheme val="minor"/>
      </rPr>
      <t xml:space="preserve">
FIRMA:________________________________
NOMBRE: SONIA ALEJANDRA VILLANUEVA</t>
    </r>
    <r>
      <rPr>
        <sz val="12"/>
        <rFont val="Calibri"/>
        <family val="2"/>
        <scheme val="minor"/>
      </rPr>
      <t xml:space="preserve">
DIRECTORA DE MUJER, GÉNERO Y DIVERSIDAD SEXUAL
</t>
    </r>
    <r>
      <rPr>
        <b/>
        <sz val="12"/>
        <rFont val="Calibri"/>
        <family val="2"/>
        <scheme val="minor"/>
      </rPr>
      <t xml:space="preserve">FIRMA:__________________________________
</t>
    </r>
  </si>
  <si>
    <r>
      <t xml:space="preserve">
</t>
    </r>
    <r>
      <rPr>
        <b/>
        <sz val="12"/>
        <rFont val="Calibri"/>
        <family val="2"/>
      </rPr>
      <t xml:space="preserve">NOMBRE:  CAROLINA HURTADO BARRERA
</t>
    </r>
    <r>
      <rPr>
        <sz val="12"/>
        <rFont val="Calibri"/>
        <family val="2"/>
      </rPr>
      <t xml:space="preserve">SECRETARIA DESARROLLO SOCIAL COMUNITARIO
</t>
    </r>
    <r>
      <rPr>
        <b/>
        <sz val="12"/>
        <rFont val="Calibri"/>
        <family val="2"/>
      </rPr>
      <t>FIRMA:________________________________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>NOMBRE: ELIANA DEL PILAR ROZO RODRIGUEZ</t>
    </r>
    <r>
      <rPr>
        <sz val="12"/>
        <rFont val="Calibri"/>
        <family val="2"/>
      </rPr>
      <t xml:space="preserve">
DIRECTOR  DE  GRUPOS ETNICOS Y POBLACIÓN VULNERABLE
</t>
    </r>
    <r>
      <rPr>
        <b/>
        <sz val="12"/>
        <rFont val="Calibri"/>
        <family val="2"/>
      </rPr>
      <t>FIRMA:__________________________________</t>
    </r>
  </si>
  <si>
    <r>
      <t xml:space="preserve">
</t>
    </r>
    <r>
      <rPr>
        <b/>
        <sz val="12"/>
        <rFont val="Arial"/>
        <family val="2"/>
      </rPr>
      <t xml:space="preserve">
NOMBRE:  CAROLINA HURTADO BARRERA
</t>
    </r>
    <r>
      <rPr>
        <sz val="12"/>
        <rFont val="Arial"/>
        <family val="2"/>
      </rPr>
      <t xml:space="preserve">SECRETARIA DESARROLLO SOCIAL COMUNITARIO
</t>
    </r>
    <r>
      <rPr>
        <b/>
        <sz val="12"/>
        <rFont val="Arial"/>
        <family val="2"/>
      </rPr>
      <t xml:space="preserve">
FIRMA:________________________________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NOMBRE: ELIANA DEL PILAR ROZO RODRIGUEZ</t>
    </r>
    <r>
      <rPr>
        <sz val="12"/>
        <rFont val="Arial"/>
        <family val="2"/>
      </rPr>
      <t xml:space="preserve">
DIRECTOR  DE  GRUPOS ETNICOS Y POBLACIÓN VULNERABLE
</t>
    </r>
    <r>
      <rPr>
        <b/>
        <sz val="12"/>
        <rFont val="Arial"/>
        <family val="2"/>
      </rPr>
      <t>FIRMA:_______________________________</t>
    </r>
  </si>
  <si>
    <r>
      <rPr>
        <b/>
        <sz val="12"/>
        <rFont val="Calibri"/>
        <family val="2"/>
      </rPr>
      <t xml:space="preserve">
NOMBRE:  CAROLINA HURTADO BARRERA
</t>
    </r>
    <r>
      <rPr>
        <sz val="12"/>
        <rFont val="Calibri"/>
        <family val="2"/>
      </rPr>
      <t xml:space="preserve">SECRETARIA DESARROLLO SOCIAL COMUNITARIO
</t>
    </r>
    <r>
      <rPr>
        <b/>
        <sz val="12"/>
        <rFont val="Calibri"/>
        <family val="2"/>
      </rPr>
      <t>FIRMA:________________________________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 xml:space="preserve">NOMBRE: ELIANA DEL PILAR ROZO RODRIGUEZ
</t>
    </r>
    <r>
      <rPr>
        <sz val="12"/>
        <rFont val="Calibri"/>
        <family val="2"/>
      </rPr>
      <t xml:space="preserve">DIRECTOR  DE  GRUPOS ETNICOS Y POBLACIÓN VULNERABLE
</t>
    </r>
    <r>
      <rPr>
        <b/>
        <sz val="12"/>
        <rFont val="Calibri"/>
        <family val="2"/>
      </rPr>
      <t xml:space="preserve">
FIRMA:__________________________________
</t>
    </r>
  </si>
  <si>
    <r>
      <rPr>
        <b/>
        <sz val="12"/>
        <rFont val="Calibri"/>
        <family val="2"/>
      </rPr>
      <t xml:space="preserve">
NOMBRE:  CAROLINA HURTADO BARRERA
</t>
    </r>
    <r>
      <rPr>
        <sz val="12"/>
        <rFont val="Calibri"/>
        <family val="2"/>
      </rPr>
      <t xml:space="preserve">SECRETARIA DESARROLLO SOCIAL COMUNITARIO
</t>
    </r>
    <r>
      <rPr>
        <b/>
        <sz val="12"/>
        <rFont val="Calibri"/>
        <family val="2"/>
      </rPr>
      <t>FIRMA:________________________________</t>
    </r>
    <r>
      <rPr>
        <sz val="12"/>
        <rFont val="Calibri"/>
        <family val="2"/>
      </rPr>
      <t xml:space="preserve">
NOMBRE: </t>
    </r>
    <r>
      <rPr>
        <b/>
        <sz val="12"/>
        <rFont val="Calibri"/>
        <family val="2"/>
      </rPr>
      <t>ELIANA DEL PILAR ROZO RODRIGUEZ</t>
    </r>
    <r>
      <rPr>
        <sz val="12"/>
        <rFont val="Calibri"/>
        <family val="2"/>
      </rPr>
      <t xml:space="preserve">
DIRECTOR  DE  GRUPOS ETNICOS Y POBLACIÓN VULNERABLE
</t>
    </r>
    <r>
      <rPr>
        <b/>
        <sz val="12"/>
        <rFont val="Calibri"/>
        <family val="2"/>
      </rPr>
      <t>FIRMA:__________________________________</t>
    </r>
    <r>
      <rPr>
        <sz val="12"/>
        <rFont val="Calibri"/>
        <family val="2"/>
      </rPr>
      <t xml:space="preserve">
</t>
    </r>
  </si>
  <si>
    <r>
      <rPr>
        <b/>
        <sz val="12"/>
        <rFont val="Arial"/>
        <family val="2"/>
      </rPr>
      <t xml:space="preserve">NOMBRE:  CAROLINA HURTADO BARRERA
</t>
    </r>
    <r>
      <rPr>
        <sz val="12"/>
        <rFont val="Arial"/>
        <family val="2"/>
      </rPr>
      <t>SECRETARIA DESARROLLO SOCIAL COMUNITARIO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 xml:space="preserve">FIRMA:________________________________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NOMBRE: ELIANA DEL PILAR ROZO RODRIGUEZ</t>
    </r>
    <r>
      <rPr>
        <sz val="12"/>
        <rFont val="Arial"/>
        <family val="2"/>
      </rPr>
      <t xml:space="preserve">
DIRECTOR  DE  GRUPOS ETNICOS Y POBLACIÓN VULNERABLE
</t>
    </r>
    <r>
      <rPr>
        <b/>
        <sz val="12"/>
        <rFont val="Arial"/>
        <family val="2"/>
      </rPr>
      <t>FIRMA:__________________________________</t>
    </r>
    <r>
      <rPr>
        <sz val="12"/>
        <rFont val="Arial"/>
        <family val="2"/>
      </rPr>
      <t xml:space="preserve">
</t>
    </r>
  </si>
  <si>
    <r>
      <t xml:space="preserve">
</t>
    </r>
    <r>
      <rPr>
        <b/>
        <sz val="12"/>
        <rFont val="Arial MT"/>
      </rPr>
      <t xml:space="preserve">
NOMBRE:  CAROLINA HURTADO BARRERA
</t>
    </r>
    <r>
      <rPr>
        <sz val="12"/>
        <rFont val="Arial MT"/>
      </rPr>
      <t xml:space="preserve">SECRETARIA DESARROLLO SOCIAL COMUNITARIO
</t>
    </r>
    <r>
      <rPr>
        <b/>
        <sz val="12"/>
        <rFont val="Arial MT"/>
      </rPr>
      <t xml:space="preserve">FIRMA:__________________________
</t>
    </r>
    <r>
      <rPr>
        <sz val="12"/>
        <rFont val="Arial MT"/>
      </rPr>
      <t xml:space="preserve">
</t>
    </r>
    <r>
      <rPr>
        <b/>
        <sz val="12"/>
        <rFont val="Arial MT"/>
      </rPr>
      <t xml:space="preserve">
NOMBRE: ELIANA DEL PILAR ROZO RODRIGUEZ
</t>
    </r>
    <r>
      <rPr>
        <sz val="12"/>
        <rFont val="Arial MT"/>
      </rPr>
      <t xml:space="preserve">DIRECTOR  DE  GRUPOS ETNICOS Y POBLACIÓN VULNERABLE
</t>
    </r>
    <r>
      <rPr>
        <b/>
        <sz val="12"/>
        <rFont val="Arial MT"/>
      </rPr>
      <t>FIRMA:_________________________</t>
    </r>
    <r>
      <rPr>
        <sz val="12"/>
        <rFont val="Arial MT"/>
      </rPr>
      <t xml:space="preserve">
</t>
    </r>
  </si>
  <si>
    <r>
      <t xml:space="preserve">FECHA DE  SEGUIMIENTO:  </t>
    </r>
    <r>
      <rPr>
        <sz val="12"/>
        <rFont val="Arial"/>
        <family val="2"/>
      </rPr>
      <t>31 de diciembre de 2023</t>
    </r>
  </si>
  <si>
    <t>FECHA DE  SEGUIMIENTO:  31 de diciembre de 2023</t>
  </si>
  <si>
    <t>FECHA DE  SEGUIMIENTO: 31 de diciembre de 2023</t>
  </si>
  <si>
    <r>
      <rPr>
        <b/>
        <sz val="12"/>
        <rFont val="Calibri"/>
        <family val="2"/>
        <scheme val="minor"/>
      </rPr>
      <t xml:space="preserve">OBSERVACIONES:
</t>
    </r>
    <r>
      <rPr>
        <sz val="12"/>
        <rFont val="Calibri"/>
        <family val="2"/>
        <scheme val="minor"/>
      </rPr>
      <t>*A través del Decreto 0293 del 29 de mayo de 2023, se llevó a cabo incorporación de recursos asociado al presente proyecto, por valor de $13.248.000
*A través del Decreto 0320 del 07 de junio de 2023, se llevó a cabo incorporación de recursos asociado al presente proyecto, por valor de $30.492.000
*A través del Decreto 0371 del 26 de junio de 2023, se llevó a cabo incorporación de recursos asociado al presente proyecto, por valor de $12.180.000
*A través de Resolución 313 del 13 de septiembre de 2023, se llevó a cabo incorporación de recursos al presente proyecto por valor de $80.000.000
*Se llevó a cabo traslado de recursos propios por valor de $4.000.000 desde la actividad  1.1.2  hacia la actividad 2.1.12  y por valor de 71.000.000 hacia la actividad 3.1.2 en aras de de cumplir con las acciones de la misma.
*A través de Resolción 0455 del 20 de octubre de 2023 se incorporaron recursos al proyecto por valor de $10.410.712 hacia la actividad 3.1.2, 6.1.3  y 7.1.3
* A través del Resolución 498 del 16 de noviembre se realizó incorporación de recursos al  presente proyecto por valor de $106.000.000 hacia  la actividad 4.1.1</t>
    </r>
  </si>
  <si>
    <r>
      <rPr>
        <b/>
        <sz val="12"/>
        <rFont val="Calibri"/>
        <family val="2"/>
        <scheme val="minor"/>
      </rPr>
      <t>OBSERVACIONES:</t>
    </r>
    <r>
      <rPr>
        <sz val="12"/>
        <rFont val="Calibri"/>
        <family val="2"/>
        <scheme val="minor"/>
      </rPr>
      <t xml:space="preserve">
*A través del Decreto 0268 del 11 de mayo de 2023, se llevó a cabo incorporación de recursos asociado al presente proyecto, por valor de $1200.000.000
*Se trasladaron recursos desde la actividad  5.1.2 hacia las actividades 5.1.3 por valor de $5.000.000; hacia las actividades 6.1.2 por valor de $4.000.000;  hacia las actividades 7.1.3 por valor de $12.000.000; hacia la actividad 7.1.7 por valor de $10.000.000; hacia la actividad 9.1.2 por valor de $25.000.000 y hacia la actividad 15.1.2 por valor de $10.000.000
* A través del Resolución 498 del 16 de noviembre se realizó incorporación de recursos al  presente proyecto por valor de $232.043.024.
*Se trasladaron recursos desde la actividad  5.1.2 hacia las actividades 14.1.3 por valor de $64.071.596; hacia las actividades 16.1.2 por valor de $6.500.000;  hacia las actividades 17.1.1 por valor de $600.000.</t>
    </r>
  </si>
  <si>
    <r>
      <rPr>
        <b/>
        <sz val="12"/>
        <rFont val="Calibri"/>
        <family val="2"/>
        <scheme val="minor"/>
      </rPr>
      <t>OBSERVACIONES:</t>
    </r>
    <r>
      <rPr>
        <sz val="12"/>
        <rFont val="Calibri"/>
        <family val="2"/>
        <scheme val="minor"/>
      </rPr>
      <t xml:space="preserve">
*A través del Decreto 0320 del 07 de junio de 2023, se llevó a cabo incorporación de recursos asociado al presente proyecto, por valor de 20.000.000
*Se trasladaron recursos desde la actividad 1.1.3 hacia la actividad 1.1.7 por valor de $45.000.000
*Se trasladan recursos desde la actividad 1.1.9 hacia lasactividades 1.1 .7 por valor de $7.000.000; hacia la actividad 5.1.1 por valor de $7.000.000; hacia la actividad 1.5.2 por valor de $7.000.000
*A través de Resolción 0455 del 20 de octubre de 2023 se incorporaron recursos al proyecto por valor de $100.000.000
* A través del Resolución 498 del 16 de noviembre se realizó incorporación de recursos al  presente proyecto por valor de $54.575.759
* A través de resolución 0579 del 28 de diciembre, se realizó contracrédito al rubro del presente proyecto por valor de $87.532.735</t>
    </r>
  </si>
  <si>
    <r>
      <t xml:space="preserve">
NOMBRE:  CAROLINA HURTADO BARRERA
</t>
    </r>
    <r>
      <rPr>
        <sz val="12"/>
        <rFont val="Calibri"/>
        <family val="2"/>
        <scheme val="minor"/>
      </rPr>
      <t xml:space="preserve">SECRETARIA DESARROLLO SOCIAL COMUNITARIO
</t>
    </r>
    <r>
      <rPr>
        <b/>
        <sz val="12"/>
        <rFont val="Calibri"/>
        <family val="2"/>
        <scheme val="minor"/>
      </rPr>
      <t xml:space="preserve">
FIRMA:________________________________
NOMBRE: DELNA YURI CUADROS SIERRA</t>
    </r>
    <r>
      <rPr>
        <sz val="12"/>
        <rFont val="Calibri"/>
        <family val="2"/>
        <scheme val="minor"/>
      </rPr>
      <t xml:space="preserve">
DIRECTORA DE INFANCIA ADOLESCENCIA Y JUVENTUD
</t>
    </r>
    <r>
      <rPr>
        <b/>
        <sz val="12"/>
        <rFont val="Calibri"/>
        <family val="2"/>
        <scheme val="minor"/>
      </rPr>
      <t xml:space="preserve">FIRMA:__________________________________
</t>
    </r>
  </si>
  <si>
    <r>
      <t xml:space="preserve">
</t>
    </r>
    <r>
      <rPr>
        <b/>
        <sz val="12"/>
        <rFont val="Calibri"/>
        <family val="2"/>
      </rPr>
      <t xml:space="preserve">NOMBRE:  CAROLINA HURTADO BARRERA
</t>
    </r>
    <r>
      <rPr>
        <sz val="12"/>
        <rFont val="Calibri"/>
        <family val="2"/>
      </rPr>
      <t xml:space="preserve">SECRETARIA DESARROLLO SOCIAL COMUNITARIO
</t>
    </r>
    <r>
      <rPr>
        <b/>
        <sz val="12"/>
        <rFont val="Calibri"/>
        <family val="2"/>
      </rPr>
      <t>FIRMA:____________________________________</t>
    </r>
    <r>
      <rPr>
        <sz val="12"/>
        <rFont val="Calibri"/>
        <family val="2"/>
      </rPr>
      <t xml:space="preserve">
NOMBRE: </t>
    </r>
    <r>
      <rPr>
        <b/>
        <sz val="12"/>
        <rFont val="Calibri"/>
        <family val="2"/>
      </rPr>
      <t>DELNA YURI CUADROS SIERRA</t>
    </r>
    <r>
      <rPr>
        <sz val="12"/>
        <rFont val="Calibri"/>
        <family val="2"/>
      </rPr>
      <t xml:space="preserve">
DIRECTORA DE INFANCIA ADOLESCENCIA Y JUVENTUD
FIRMA:__________________________________
</t>
    </r>
  </si>
  <si>
    <t>848/2023</t>
  </si>
  <si>
    <t>Laura Camila Quintero Sanchez</t>
  </si>
  <si>
    <t>CONTRATISTA</t>
  </si>
  <si>
    <t>CONTRATO</t>
  </si>
  <si>
    <t>1344/2023</t>
  </si>
  <si>
    <t>Hannia Melissa Londoño Lastra</t>
  </si>
  <si>
    <t>2269/2023</t>
  </si>
  <si>
    <t>Adriana Marcela Prada</t>
  </si>
  <si>
    <t>4568/2022</t>
  </si>
  <si>
    <t>Christian Montoya Guzman</t>
  </si>
  <si>
    <t>2868/2023</t>
  </si>
  <si>
    <t xml:space="preserve"> Christian Montoya 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</si>
</sst>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#,##0.0_);\(#,##0.0\)"/>
    <numFmt numFmtId="168" formatCode="_ &quot;$&quot;\ * #,##0_ ;_ &quot;$&quot;\ * \-#,##0_ ;_ &quot;$&quot;\ * &quot;-&quot;??_ ;_ @_ "/>
    <numFmt numFmtId="169" formatCode="_ * #,##0.00_ ;_ * \-#,##0.00_ ;_ * &quot;-&quot;??_ ;_ @_ "/>
    <numFmt numFmtId="170" formatCode="[$$-240A]#,##0"/>
    <numFmt numFmtId="171" formatCode="0.0"/>
    <numFmt numFmtId="172" formatCode="_-&quot;$&quot;\ * #,##0_-;\-&quot;$&quot;\ * #,##0_-;_-&quot;$&quot;\ * &quot;-&quot;??_-;_-@_-"/>
    <numFmt numFmtId="173" formatCode="#,##0.0;\-#,##0.0"/>
    <numFmt numFmtId="174" formatCode="_-* #,##0_-;\-* #,##0_-;_-* &quot;-&quot;??_-;_-@_-"/>
    <numFmt numFmtId="176" formatCode="_-&quot;$&quot;* #,##0_-;\-&quot;$&quot;* #,##0_-;_-&quot;$&quot;* &quot;-&quot;_-;_-@_-"/>
  </numFmts>
  <fonts count="4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rgb="FF000000"/>
      <name val="Arial mt"/>
    </font>
    <font>
      <sz val="12"/>
      <color theme="1"/>
      <name val="Arial MT"/>
    </font>
    <font>
      <b/>
      <sz val="12"/>
      <color rgb="FF000000"/>
      <name val="Arial MT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sz val="16"/>
      <name val="Arial"/>
      <family val="2"/>
    </font>
    <font>
      <b/>
      <sz val="9"/>
      <name val="Arial MT"/>
    </font>
    <font>
      <b/>
      <sz val="9.4"/>
      <name val="Arial"/>
      <family val="2"/>
    </font>
    <font>
      <sz val="9.4"/>
      <name val="Arial"/>
      <family val="2"/>
    </font>
    <font>
      <b/>
      <sz val="12"/>
      <color theme="1"/>
      <name val="Arial MT"/>
    </font>
    <font>
      <sz val="14"/>
      <name val="Arial"/>
      <family val="2"/>
    </font>
    <font>
      <sz val="16"/>
      <name val="Arial"/>
      <family val="2"/>
    </font>
    <font>
      <sz val="14"/>
      <color theme="1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 MT"/>
    </font>
    <font>
      <b/>
      <sz val="10"/>
      <name val="Arial MT"/>
    </font>
    <font>
      <sz val="10"/>
      <color rgb="FF000000"/>
      <name val="Arial MT"/>
    </font>
    <font>
      <b/>
      <sz val="10"/>
      <color rgb="FF000000"/>
      <name val="Arial MT"/>
    </font>
    <font>
      <sz val="11"/>
      <name val="Calibri"/>
      <family val="2"/>
    </font>
    <font>
      <b/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 MT"/>
    </font>
    <font>
      <sz val="12"/>
      <color rgb="FF222222"/>
      <name val="Arial"/>
      <family val="2"/>
    </font>
    <font>
      <sz val="11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</borders>
  <cellStyleXfs count="4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6" fillId="0" borderId="0">
      <alignment vertical="center"/>
    </xf>
    <xf numFmtId="9" fontId="1" fillId="0" borderId="0" applyFont="0" applyFill="0" applyBorder="0" applyAlignment="0" applyProtection="0"/>
    <xf numFmtId="44" fontId="7" fillId="0" borderId="0">
      <alignment vertical="top"/>
      <protection locked="0"/>
    </xf>
    <xf numFmtId="9" fontId="7" fillId="0" borderId="0">
      <alignment vertical="top"/>
      <protection locked="0"/>
    </xf>
    <xf numFmtId="165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8" fillId="0" borderId="0"/>
    <xf numFmtId="165" fontId="1" fillId="0" borderId="0">
      <alignment vertical="top"/>
      <protection locked="0"/>
    </xf>
    <xf numFmtId="0" fontId="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7" fillId="0" borderId="0">
      <alignment vertical="top"/>
      <protection locked="0"/>
    </xf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176" fontId="7" fillId="0" borderId="0" applyFont="0" applyFill="0" applyBorder="0" applyAlignment="0" applyProtection="0"/>
  </cellStyleXfs>
  <cellXfs count="976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165" fontId="2" fillId="0" borderId="0" xfId="3" applyFont="1" applyBorder="1"/>
    <xf numFmtId="165" fontId="3" fillId="0" borderId="0" xfId="3" applyFont="1" applyBorder="1"/>
    <xf numFmtId="165" fontId="3" fillId="0" borderId="0" xfId="3" applyFont="1" applyBorder="1" applyAlignment="1" applyProtection="1">
      <alignment vertical="center"/>
    </xf>
    <xf numFmtId="10" fontId="3" fillId="0" borderId="0" xfId="2" applyNumberFormat="1" applyFont="1" applyBorder="1" applyProtection="1"/>
    <xf numFmtId="0" fontId="2" fillId="0" borderId="9" xfId="1" applyFont="1" applyBorder="1"/>
    <xf numFmtId="10" fontId="5" fillId="0" borderId="1" xfId="2" applyNumberFormat="1" applyFont="1" applyBorder="1" applyAlignment="1">
      <alignment horizontal="center" vertical="center"/>
    </xf>
    <xf numFmtId="166" fontId="3" fillId="2" borderId="1" xfId="5" applyNumberFormat="1" applyFont="1" applyFill="1" applyBorder="1" applyAlignment="1" applyProtection="1">
      <alignment vertical="center"/>
    </xf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0" fontId="2" fillId="0" borderId="0" xfId="1" applyFont="1" applyAlignment="1">
      <alignment wrapText="1"/>
    </xf>
    <xf numFmtId="2" fontId="3" fillId="0" borderId="0" xfId="1" applyNumberFormat="1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left" wrapText="1"/>
    </xf>
    <xf numFmtId="39" fontId="3" fillId="0" borderId="0" xfId="1" applyNumberFormat="1" applyFont="1"/>
    <xf numFmtId="39" fontId="3" fillId="0" borderId="8" xfId="1" applyNumberFormat="1" applyFont="1" applyBorder="1"/>
    <xf numFmtId="167" fontId="2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2" fillId="0" borderId="0" xfId="0" applyFont="1"/>
    <xf numFmtId="0" fontId="4" fillId="5" borderId="1" xfId="1" applyFont="1" applyFill="1" applyBorder="1" applyAlignment="1">
      <alignment horizontal="left" vertical="center"/>
    </xf>
    <xf numFmtId="1" fontId="3" fillId="5" borderId="1" xfId="1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vertical="center"/>
    </xf>
    <xf numFmtId="39" fontId="3" fillId="5" borderId="1" xfId="1" applyNumberFormat="1" applyFont="1" applyFill="1" applyBorder="1" applyAlignment="1">
      <alignment vertical="center"/>
    </xf>
    <xf numFmtId="0" fontId="2" fillId="5" borderId="1" xfId="1" applyFont="1" applyFill="1" applyBorder="1"/>
    <xf numFmtId="2" fontId="3" fillId="5" borderId="1" xfId="1" applyNumberFormat="1" applyFont="1" applyFill="1" applyBorder="1" applyAlignment="1">
      <alignment vertical="center"/>
    </xf>
    <xf numFmtId="166" fontId="5" fillId="5" borderId="1" xfId="6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5" borderId="1" xfId="1" applyFont="1" applyFill="1" applyBorder="1" applyAlignment="1">
      <alignment horizontal="center" vertical="center"/>
    </xf>
    <xf numFmtId="0" fontId="5" fillId="0" borderId="0" xfId="1" applyFont="1"/>
    <xf numFmtId="0" fontId="4" fillId="0" borderId="1" xfId="1" applyFont="1" applyBorder="1"/>
    <xf numFmtId="0" fontId="4" fillId="0" borderId="17" xfId="1" applyFont="1" applyBorder="1" applyAlignment="1">
      <alignment vertical="center"/>
    </xf>
    <xf numFmtId="2" fontId="5" fillId="0" borderId="0" xfId="1" applyNumberFormat="1" applyFont="1" applyAlignment="1">
      <alignment vertical="center"/>
    </xf>
    <xf numFmtId="0" fontId="4" fillId="0" borderId="16" xfId="1" applyFont="1" applyBorder="1" applyAlignment="1">
      <alignment horizontal="left" vertical="center"/>
    </xf>
    <xf numFmtId="0" fontId="4" fillId="0" borderId="15" xfId="1" applyFont="1" applyBorder="1" applyAlignment="1">
      <alignment vertical="center" wrapText="1"/>
    </xf>
    <xf numFmtId="10" fontId="2" fillId="0" borderId="1" xfId="2" applyNumberFormat="1" applyFont="1" applyBorder="1"/>
    <xf numFmtId="0" fontId="2" fillId="0" borderId="8" xfId="1" applyFont="1" applyBorder="1"/>
    <xf numFmtId="0" fontId="4" fillId="0" borderId="15" xfId="1" applyFont="1" applyBorder="1" applyAlignment="1">
      <alignment vertical="top" wrapText="1"/>
    </xf>
    <xf numFmtId="166" fontId="2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vertical="center" wrapText="1"/>
    </xf>
    <xf numFmtId="0" fontId="4" fillId="2" borderId="16" xfId="1" applyFont="1" applyFill="1" applyBorder="1" applyAlignment="1">
      <alignment vertical="top"/>
    </xf>
    <xf numFmtId="3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8" fontId="2" fillId="2" borderId="1" xfId="3" applyNumberFormat="1" applyFont="1" applyFill="1" applyBorder="1" applyAlignment="1">
      <alignment horizontal="center" vertical="center"/>
    </xf>
    <xf numFmtId="2" fontId="3" fillId="0" borderId="0" xfId="1" applyNumberFormat="1" applyFont="1" applyAlignment="1">
      <alignment vertical="center"/>
    </xf>
    <xf numFmtId="167" fontId="14" fillId="3" borderId="19" xfId="0" applyNumberFormat="1" applyFont="1" applyFill="1" applyBorder="1" applyAlignment="1">
      <alignment horizontal="center" vertical="center"/>
    </xf>
    <xf numFmtId="0" fontId="19" fillId="0" borderId="0" xfId="0" applyFont="1"/>
    <xf numFmtId="0" fontId="4" fillId="2" borderId="15" xfId="1" applyFont="1" applyFill="1" applyBorder="1" applyAlignment="1">
      <alignment vertical="top" wrapText="1"/>
    </xf>
    <xf numFmtId="0" fontId="12" fillId="0" borderId="0" xfId="0" applyFont="1" applyAlignment="1">
      <alignment vertical="center"/>
    </xf>
    <xf numFmtId="0" fontId="2" fillId="0" borderId="0" xfId="1" applyFont="1" applyAlignment="1">
      <alignment horizontal="left" wrapText="1"/>
    </xf>
    <xf numFmtId="165" fontId="2" fillId="0" borderId="0" xfId="3" applyFont="1" applyBorder="1" applyAlignment="1" applyProtection="1">
      <alignment vertical="center"/>
    </xf>
    <xf numFmtId="10" fontId="4" fillId="0" borderId="1" xfId="2" applyNumberFormat="1" applyFont="1" applyBorder="1" applyAlignment="1">
      <alignment horizontal="center" vertical="center"/>
    </xf>
    <xf numFmtId="166" fontId="2" fillId="2" borderId="1" xfId="5" applyNumberFormat="1" applyFont="1" applyFill="1" applyBorder="1" applyAlignment="1" applyProtection="1">
      <alignment vertical="center"/>
    </xf>
    <xf numFmtId="1" fontId="2" fillId="5" borderId="1" xfId="1" applyNumberFormat="1" applyFont="1" applyFill="1" applyBorder="1" applyAlignment="1">
      <alignment horizontal="center" vertical="center" wrapText="1"/>
    </xf>
    <xf numFmtId="166" fontId="4" fillId="5" borderId="1" xfId="6" applyNumberFormat="1" applyFont="1" applyFill="1" applyBorder="1" applyAlignment="1">
      <alignment horizontal="right" vertical="center" wrapText="1"/>
    </xf>
    <xf numFmtId="39" fontId="2" fillId="5" borderId="1" xfId="1" applyNumberFormat="1" applyFont="1" applyFill="1" applyBorder="1" applyAlignment="1">
      <alignment vertical="center"/>
    </xf>
    <xf numFmtId="10" fontId="2" fillId="0" borderId="0" xfId="2" applyNumberFormat="1" applyFont="1" applyBorder="1" applyProtection="1"/>
    <xf numFmtId="39" fontId="2" fillId="0" borderId="0" xfId="1" applyNumberFormat="1" applyFont="1"/>
    <xf numFmtId="167" fontId="2" fillId="0" borderId="34" xfId="0" applyNumberFormat="1" applyFont="1" applyBorder="1" applyAlignment="1">
      <alignment horizontal="left" vertical="center"/>
    </xf>
    <xf numFmtId="10" fontId="2" fillId="0" borderId="0" xfId="2" applyNumberFormat="1" applyFont="1"/>
    <xf numFmtId="0" fontId="4" fillId="0" borderId="16" xfId="1" applyFont="1" applyBorder="1" applyAlignment="1">
      <alignment vertical="top"/>
    </xf>
    <xf numFmtId="0" fontId="4" fillId="0" borderId="0" xfId="1" applyFont="1"/>
    <xf numFmtId="2" fontId="4" fillId="0" borderId="0" xfId="1" applyNumberFormat="1" applyFont="1" applyAlignment="1">
      <alignment vertical="center"/>
    </xf>
    <xf numFmtId="2" fontId="2" fillId="0" borderId="0" xfId="1" applyNumberFormat="1" applyFont="1" applyAlignment="1">
      <alignment vertical="center" wrapText="1"/>
    </xf>
    <xf numFmtId="0" fontId="2" fillId="2" borderId="0" xfId="1" applyFont="1" applyFill="1"/>
    <xf numFmtId="165" fontId="2" fillId="2" borderId="0" xfId="3" applyFont="1" applyFill="1" applyBorder="1" applyAlignment="1" applyProtection="1">
      <alignment vertical="center"/>
    </xf>
    <xf numFmtId="2" fontId="2" fillId="2" borderId="0" xfId="1" applyNumberFormat="1" applyFont="1" applyFill="1"/>
    <xf numFmtId="165" fontId="2" fillId="2" borderId="0" xfId="3" applyFont="1" applyFill="1" applyBorder="1"/>
    <xf numFmtId="164" fontId="2" fillId="2" borderId="0" xfId="1" applyNumberFormat="1" applyFont="1" applyFill="1"/>
    <xf numFmtId="0" fontId="21" fillId="0" borderId="0" xfId="0" applyFont="1"/>
    <xf numFmtId="166" fontId="2" fillId="0" borderId="0" xfId="1" applyNumberFormat="1" applyFont="1"/>
    <xf numFmtId="0" fontId="2" fillId="0" borderId="0" xfId="1" applyFont="1" applyAlignment="1">
      <alignment horizontal="center"/>
    </xf>
    <xf numFmtId="2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5" fontId="2" fillId="2" borderId="0" xfId="1" applyNumberFormat="1" applyFont="1" applyFill="1"/>
    <xf numFmtId="0" fontId="4" fillId="2" borderId="13" xfId="1" applyFont="1" applyFill="1" applyBorder="1" applyAlignment="1">
      <alignment vertical="top" wrapText="1"/>
    </xf>
    <xf numFmtId="42" fontId="2" fillId="2" borderId="1" xfId="5" applyFont="1" applyFill="1" applyBorder="1" applyAlignment="1">
      <alignment horizontal="center" vertical="center"/>
    </xf>
    <xf numFmtId="42" fontId="2" fillId="0" borderId="1" xfId="5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42" fontId="2" fillId="0" borderId="1" xfId="5" applyFont="1" applyBorder="1" applyAlignment="1">
      <alignment wrapText="1"/>
    </xf>
    <xf numFmtId="37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66" fontId="5" fillId="5" borderId="1" xfId="3" applyNumberFormat="1" applyFont="1" applyFill="1" applyBorder="1" applyAlignment="1" applyProtection="1">
      <alignment vertical="center"/>
    </xf>
    <xf numFmtId="0" fontId="3" fillId="5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1" fontId="3" fillId="0" borderId="1" xfId="6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4" xfId="1" applyFont="1" applyBorder="1" applyAlignment="1">
      <alignment horizontal="left" vertical="top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center"/>
    </xf>
    <xf numFmtId="3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166" fontId="3" fillId="2" borderId="1" xfId="3" applyNumberFormat="1" applyFont="1" applyFill="1" applyBorder="1" applyAlignment="1" applyProtection="1">
      <alignment vertical="center"/>
    </xf>
    <xf numFmtId="0" fontId="4" fillId="0" borderId="13" xfId="1" applyFont="1" applyBorder="1" applyAlignment="1">
      <alignment vertical="top" wrapText="1"/>
    </xf>
    <xf numFmtId="0" fontId="4" fillId="2" borderId="1" xfId="1" applyFont="1" applyFill="1" applyBorder="1" applyAlignment="1">
      <alignment horizontal="center" vertical="center"/>
    </xf>
    <xf numFmtId="9" fontId="3" fillId="0" borderId="1" xfId="7" applyFont="1" applyBorder="1" applyAlignment="1">
      <alignment horizontal="center" vertical="center" wrapText="1"/>
    </xf>
    <xf numFmtId="167" fontId="17" fillId="5" borderId="20" xfId="0" applyNumberFormat="1" applyFont="1" applyFill="1" applyBorder="1" applyAlignment="1">
      <alignment horizontal="center" vertical="center"/>
    </xf>
    <xf numFmtId="167" fontId="17" fillId="5" borderId="22" xfId="0" applyNumberFormat="1" applyFont="1" applyFill="1" applyBorder="1" applyAlignment="1">
      <alignment vertical="top"/>
    </xf>
    <xf numFmtId="0" fontId="4" fillId="2" borderId="1" xfId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167" fontId="4" fillId="3" borderId="37" xfId="0" applyNumberFormat="1" applyFont="1" applyFill="1" applyBorder="1" applyAlignment="1">
      <alignment horizontal="center" vertical="center"/>
    </xf>
    <xf numFmtId="166" fontId="2" fillId="2" borderId="14" xfId="5" applyNumberFormat="1" applyFont="1" applyFill="1" applyBorder="1" applyAlignment="1" applyProtection="1">
      <alignment vertical="center"/>
    </xf>
    <xf numFmtId="2" fontId="2" fillId="0" borderId="0" xfId="1" applyNumberFormat="1" applyFont="1" applyAlignment="1">
      <alignment vertical="center"/>
    </xf>
    <xf numFmtId="0" fontId="3" fillId="0" borderId="1" xfId="9" applyFont="1" applyBorder="1" applyAlignment="1">
      <alignment horizontal="center" vertical="center"/>
    </xf>
    <xf numFmtId="166" fontId="5" fillId="8" borderId="1" xfId="6" applyNumberFormat="1" applyFont="1" applyFill="1" applyBorder="1" applyAlignment="1">
      <alignment horizontal="right" vertical="center" wrapText="1"/>
    </xf>
    <xf numFmtId="166" fontId="5" fillId="5" borderId="10" xfId="6" applyNumberFormat="1" applyFont="1" applyFill="1" applyBorder="1" applyAlignment="1">
      <alignment horizontal="right" vertical="center" wrapText="1"/>
    </xf>
    <xf numFmtId="1" fontId="3" fillId="5" borderId="10" xfId="1" applyNumberFormat="1" applyFont="1" applyFill="1" applyBorder="1" applyAlignment="1">
      <alignment horizontal="center" vertical="center" wrapText="1"/>
    </xf>
    <xf numFmtId="10" fontId="5" fillId="0" borderId="14" xfId="2" applyNumberFormat="1" applyFont="1" applyBorder="1" applyAlignment="1">
      <alignment horizontal="center" vertical="center"/>
    </xf>
    <xf numFmtId="10" fontId="22" fillId="0" borderId="1" xfId="2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167" fontId="2" fillId="2" borderId="0" xfId="1" applyNumberFormat="1" applyFont="1" applyFill="1"/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/>
    </xf>
    <xf numFmtId="168" fontId="2" fillId="2" borderId="0" xfId="3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0" xfId="0" applyFont="1"/>
    <xf numFmtId="0" fontId="14" fillId="0" borderId="0" xfId="0" applyFont="1" applyAlignment="1">
      <alignment horizontal="left" vertical="top" wrapText="1"/>
    </xf>
    <xf numFmtId="0" fontId="3" fillId="0" borderId="1" xfId="1" applyFont="1" applyBorder="1"/>
    <xf numFmtId="166" fontId="2" fillId="0" borderId="11" xfId="1" applyNumberFormat="1" applyFont="1" applyBorder="1"/>
    <xf numFmtId="0" fontId="4" fillId="0" borderId="14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6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3" fillId="2" borderId="1" xfId="1" applyFont="1" applyFill="1" applyBorder="1"/>
    <xf numFmtId="167" fontId="14" fillId="3" borderId="22" xfId="0" applyNumberFormat="1" applyFont="1" applyFill="1" applyBorder="1" applyAlignment="1">
      <alignment horizontal="center" vertical="center"/>
    </xf>
    <xf numFmtId="0" fontId="11" fillId="2" borderId="1" xfId="9" applyFont="1" applyFill="1" applyBorder="1" applyAlignment="1">
      <alignment horizontal="center" vertical="center"/>
    </xf>
    <xf numFmtId="0" fontId="2" fillId="0" borderId="13" xfId="1" applyFont="1" applyBorder="1"/>
    <xf numFmtId="39" fontId="3" fillId="0" borderId="11" xfId="1" applyNumberFormat="1" applyFont="1" applyBorder="1"/>
    <xf numFmtId="0" fontId="10" fillId="0" borderId="11" xfId="0" applyFont="1" applyBorder="1"/>
    <xf numFmtId="0" fontId="2" fillId="2" borderId="13" xfId="1" applyFont="1" applyFill="1" applyBorder="1"/>
    <xf numFmtId="166" fontId="21" fillId="2" borderId="1" xfId="1" applyNumberFormat="1" applyFont="1" applyFill="1" applyBorder="1"/>
    <xf numFmtId="9" fontId="2" fillId="0" borderId="0" xfId="7" applyFont="1"/>
    <xf numFmtId="0" fontId="2" fillId="0" borderId="18" xfId="1" applyFont="1" applyBorder="1" applyAlignment="1">
      <alignment horizontal="center"/>
    </xf>
    <xf numFmtId="44" fontId="32" fillId="0" borderId="0" xfId="10" applyFont="1"/>
    <xf numFmtId="166" fontId="2" fillId="9" borderId="11" xfId="1" applyNumberFormat="1" applyFont="1" applyFill="1" applyBorder="1"/>
    <xf numFmtId="166" fontId="2" fillId="9" borderId="1" xfId="1" applyNumberFormat="1" applyFont="1" applyFill="1" applyBorder="1"/>
    <xf numFmtId="172" fontId="31" fillId="0" borderId="0" xfId="10" applyNumberFormat="1" applyFont="1" applyAlignment="1">
      <alignment wrapText="1"/>
    </xf>
    <xf numFmtId="172" fontId="32" fillId="2" borderId="0" xfId="10" applyNumberFormat="1" applyFont="1" applyFill="1" applyAlignment="1">
      <alignment wrapText="1"/>
    </xf>
    <xf numFmtId="172" fontId="31" fillId="0" borderId="0" xfId="10" applyNumberFormat="1" applyFont="1"/>
    <xf numFmtId="166" fontId="2" fillId="9" borderId="12" xfId="1" applyNumberFormat="1" applyFont="1" applyFill="1" applyBorder="1"/>
    <xf numFmtId="172" fontId="33" fillId="0" borderId="0" xfId="10" applyNumberFormat="1" applyFont="1"/>
    <xf numFmtId="2" fontId="5" fillId="0" borderId="0" xfId="1" applyNumberFormat="1" applyFont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166" fontId="12" fillId="2" borderId="1" xfId="1" applyNumberFormat="1" applyFont="1" applyFill="1" applyBorder="1"/>
    <xf numFmtId="166" fontId="2" fillId="2" borderId="1" xfId="1" applyNumberFormat="1" applyFont="1" applyFill="1" applyBorder="1"/>
    <xf numFmtId="166" fontId="2" fillId="2" borderId="11" xfId="1" applyNumberFormat="1" applyFont="1" applyFill="1" applyBorder="1"/>
    <xf numFmtId="166" fontId="2" fillId="2" borderId="1" xfId="1" applyNumberFormat="1" applyFont="1" applyFill="1" applyBorder="1" applyAlignment="1">
      <alignment vertical="center"/>
    </xf>
    <xf numFmtId="0" fontId="26" fillId="0" borderId="18" xfId="1" applyFont="1" applyBorder="1" applyAlignment="1">
      <alignment horizontal="center"/>
    </xf>
    <xf numFmtId="0" fontId="26" fillId="0" borderId="1" xfId="1" applyFont="1" applyBorder="1" applyAlignment="1">
      <alignment horizontal="center"/>
    </xf>
    <xf numFmtId="0" fontId="2" fillId="2" borderId="0" xfId="1" applyFont="1" applyFill="1" applyAlignment="1">
      <alignment wrapText="1"/>
    </xf>
    <xf numFmtId="0" fontId="5" fillId="2" borderId="1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44" fontId="32" fillId="2" borderId="0" xfId="10" applyFont="1" applyFill="1"/>
    <xf numFmtId="167" fontId="17" fillId="2" borderId="1" xfId="0" applyNumberFormat="1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vertical="top"/>
    </xf>
    <xf numFmtId="0" fontId="19" fillId="2" borderId="0" xfId="0" applyFont="1" applyFill="1"/>
    <xf numFmtId="0" fontId="16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66" fontId="2" fillId="2" borderId="11" xfId="1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6" fontId="2" fillId="2" borderId="0" xfId="1" applyNumberFormat="1" applyFont="1" applyFill="1"/>
    <xf numFmtId="0" fontId="3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26" fillId="2" borderId="14" xfId="1" applyFont="1" applyFill="1" applyBorder="1" applyAlignment="1">
      <alignment horizontal="center" vertical="center"/>
    </xf>
    <xf numFmtId="172" fontId="32" fillId="2" borderId="0" xfId="10" applyNumberFormat="1" applyFont="1" applyFill="1"/>
    <xf numFmtId="0" fontId="2" fillId="2" borderId="0" xfId="1" applyFont="1" applyFill="1" applyAlignment="1">
      <alignment vertical="center"/>
    </xf>
    <xf numFmtId="0" fontId="26" fillId="2" borderId="14" xfId="1" applyFont="1" applyFill="1" applyBorder="1" applyAlignment="1">
      <alignment horizontal="center"/>
    </xf>
    <xf numFmtId="172" fontId="2" fillId="2" borderId="0" xfId="10" applyNumberFormat="1" applyFont="1" applyFill="1"/>
    <xf numFmtId="166" fontId="21" fillId="0" borderId="1" xfId="1" applyNumberFormat="1" applyFont="1" applyBorder="1"/>
    <xf numFmtId="0" fontId="21" fillId="0" borderId="0" xfId="1" applyFont="1"/>
    <xf numFmtId="0" fontId="30" fillId="0" borderId="1" xfId="1" applyFont="1" applyBorder="1" applyAlignment="1">
      <alignment horizontal="center" vertical="center"/>
    </xf>
    <xf numFmtId="0" fontId="10" fillId="0" borderId="13" xfId="0" applyFont="1" applyBorder="1"/>
    <xf numFmtId="166" fontId="21" fillId="0" borderId="0" xfId="1" applyNumberFormat="1" applyFont="1"/>
    <xf numFmtId="166" fontId="3" fillId="0" borderId="1" xfId="5" applyNumberFormat="1" applyFont="1" applyFill="1" applyBorder="1" applyAlignment="1" applyProtection="1">
      <alignment vertical="center"/>
    </xf>
    <xf numFmtId="44" fontId="32" fillId="2" borderId="10" xfId="10" applyFont="1" applyFill="1" applyBorder="1"/>
    <xf numFmtId="166" fontId="3" fillId="0" borderId="1" xfId="3" applyNumberFormat="1" applyFont="1" applyFill="1" applyBorder="1" applyAlignment="1" applyProtection="1">
      <alignment vertical="center"/>
    </xf>
    <xf numFmtId="166" fontId="2" fillId="0" borderId="1" xfId="1" applyNumberFormat="1" applyFont="1" applyBorder="1"/>
    <xf numFmtId="166" fontId="3" fillId="0" borderId="11" xfId="3" applyNumberFormat="1" applyFont="1" applyFill="1" applyBorder="1" applyAlignment="1" applyProtection="1">
      <alignment vertical="center"/>
    </xf>
    <xf numFmtId="0" fontId="4" fillId="0" borderId="1" xfId="1" applyFont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2" borderId="10" xfId="1" applyFont="1" applyFill="1" applyBorder="1" applyAlignment="1">
      <alignment horizontal="center" vertical="center"/>
    </xf>
    <xf numFmtId="167" fontId="14" fillId="3" borderId="20" xfId="0" applyNumberFormat="1" applyFont="1" applyFill="1" applyBorder="1" applyAlignment="1">
      <alignment horizontal="center" vertical="center"/>
    </xf>
    <xf numFmtId="2" fontId="2" fillId="0" borderId="0" xfId="1" applyNumberFormat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6" fontId="2" fillId="0" borderId="0" xfId="1" applyNumberFormat="1" applyFont="1" applyAlignment="1">
      <alignment horizontal="center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5" borderId="10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166" fontId="31" fillId="9" borderId="12" xfId="1" applyNumberFormat="1" applyFont="1" applyFill="1" applyBorder="1"/>
    <xf numFmtId="0" fontId="2" fillId="0" borderId="0" xfId="0" applyFont="1"/>
    <xf numFmtId="0" fontId="4" fillId="2" borderId="0" xfId="1" applyFont="1" applyFill="1" applyAlignment="1">
      <alignment horizontal="left"/>
    </xf>
    <xf numFmtId="0" fontId="22" fillId="0" borderId="0" xfId="1" applyFont="1" applyAlignment="1">
      <alignment horizontal="center" vertical="center"/>
    </xf>
    <xf numFmtId="0" fontId="5" fillId="7" borderId="1" xfId="9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2" fillId="0" borderId="4" xfId="1" applyFont="1" applyBorder="1"/>
    <xf numFmtId="0" fontId="26" fillId="2" borderId="0" xfId="1" applyFont="1" applyFill="1" applyAlignment="1">
      <alignment horizontal="center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/>
    </xf>
    <xf numFmtId="0" fontId="2" fillId="0" borderId="1" xfId="1" applyFont="1" applyBorder="1"/>
    <xf numFmtId="0" fontId="2" fillId="4" borderId="1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166" fontId="2" fillId="0" borderId="1" xfId="5" applyNumberFormat="1" applyFont="1" applyFill="1" applyBorder="1" applyAlignment="1" applyProtection="1">
      <alignment vertical="center"/>
    </xf>
    <xf numFmtId="172" fontId="32" fillId="2" borderId="1" xfId="10" applyNumberFormat="1" applyFont="1" applyFill="1" applyBorder="1" applyAlignment="1">
      <alignment wrapText="1"/>
    </xf>
    <xf numFmtId="166" fontId="2" fillId="2" borderId="13" xfId="1" applyNumberFormat="1" applyFont="1" applyFill="1" applyBorder="1"/>
    <xf numFmtId="0" fontId="2" fillId="2" borderId="2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44" fillId="0" borderId="14" xfId="1" applyFont="1" applyBorder="1" applyAlignment="1">
      <alignment horizontal="center" vertical="center" wrapText="1"/>
    </xf>
    <xf numFmtId="0" fontId="44" fillId="0" borderId="14" xfId="1" applyFont="1" applyBorder="1" applyAlignment="1">
      <alignment horizontal="center" vertical="center"/>
    </xf>
    <xf numFmtId="166" fontId="2" fillId="0" borderId="12" xfId="1" applyNumberFormat="1" applyFont="1" applyBorder="1"/>
    <xf numFmtId="0" fontId="44" fillId="0" borderId="1" xfId="1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/>
    </xf>
    <xf numFmtId="166" fontId="2" fillId="2" borderId="10" xfId="1" applyNumberFormat="1" applyFont="1" applyFill="1" applyBorder="1"/>
    <xf numFmtId="0" fontId="12" fillId="2" borderId="0" xfId="0" applyFont="1" applyFill="1"/>
    <xf numFmtId="0" fontId="4" fillId="0" borderId="0" xfId="1" applyFont="1" applyAlignment="1">
      <alignment horizontal="center" vertical="center" wrapText="1"/>
    </xf>
    <xf numFmtId="166" fontId="3" fillId="0" borderId="12" xfId="3" applyNumberFormat="1" applyFont="1" applyFill="1" applyBorder="1" applyAlignment="1" applyProtection="1">
      <alignment vertical="center"/>
    </xf>
    <xf numFmtId="166" fontId="3" fillId="0" borderId="0" xfId="3" applyNumberFormat="1" applyFont="1" applyFill="1" applyBorder="1" applyAlignment="1" applyProtection="1">
      <alignment vertical="center"/>
    </xf>
    <xf numFmtId="1" fontId="3" fillId="2" borderId="1" xfId="6" applyNumberFormat="1" applyFont="1" applyFill="1" applyBorder="1" applyAlignment="1">
      <alignment horizontal="center" vertical="center" wrapText="1"/>
    </xf>
    <xf numFmtId="9" fontId="3" fillId="2" borderId="1" xfId="7" applyFont="1" applyFill="1" applyBorder="1" applyAlignment="1">
      <alignment horizontal="center" vertical="center" wrapText="1"/>
    </xf>
    <xf numFmtId="37" fontId="9" fillId="2" borderId="1" xfId="0" applyNumberFormat="1" applyFont="1" applyFill="1" applyBorder="1" applyAlignment="1">
      <alignment horizontal="center" vertical="center"/>
    </xf>
    <xf numFmtId="9" fontId="9" fillId="2" borderId="1" xfId="7" applyFont="1" applyFill="1" applyBorder="1" applyAlignment="1">
      <alignment horizontal="center" vertical="center"/>
    </xf>
    <xf numFmtId="173" fontId="9" fillId="2" borderId="1" xfId="0" applyNumberFormat="1" applyFont="1" applyFill="1" applyBorder="1" applyAlignment="1">
      <alignment horizontal="center" vertical="center"/>
    </xf>
    <xf numFmtId="0" fontId="2" fillId="2" borderId="11" xfId="1" applyFont="1" applyFill="1" applyBorder="1"/>
    <xf numFmtId="0" fontId="2" fillId="2" borderId="14" xfId="1" applyFont="1" applyFill="1" applyBorder="1"/>
    <xf numFmtId="3" fontId="45" fillId="10" borderId="10" xfId="0" applyNumberFormat="1" applyFont="1" applyFill="1" applyBorder="1" applyAlignment="1">
      <alignment horizontal="right" vertical="center" wrapText="1"/>
    </xf>
    <xf numFmtId="0" fontId="2" fillId="2" borderId="7" xfId="1" applyFont="1" applyFill="1" applyBorder="1"/>
    <xf numFmtId="168" fontId="2" fillId="2" borderId="4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7" fontId="3" fillId="6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9" fontId="16" fillId="6" borderId="1" xfId="0" applyNumberFormat="1" applyFont="1" applyFill="1" applyBorder="1" applyAlignment="1">
      <alignment horizontal="center" vertical="center" wrapText="1"/>
    </xf>
    <xf numFmtId="9" fontId="3" fillId="7" borderId="1" xfId="9" applyNumberFormat="1" applyFont="1" applyFill="1" applyBorder="1" applyAlignment="1">
      <alignment horizontal="center" vertical="center" wrapText="1"/>
    </xf>
    <xf numFmtId="9" fontId="3" fillId="2" borderId="1" xfId="9" applyNumberFormat="1" applyFont="1" applyFill="1" applyBorder="1" applyAlignment="1">
      <alignment horizontal="center" vertical="center" wrapText="1"/>
    </xf>
    <xf numFmtId="0" fontId="3" fillId="7" borderId="1" xfId="9" applyFont="1" applyFill="1" applyBorder="1" applyAlignment="1">
      <alignment horizontal="center" vertical="center" wrapText="1"/>
    </xf>
    <xf numFmtId="9" fontId="2" fillId="6" borderId="37" xfId="0" applyNumberFormat="1" applyFont="1" applyFill="1" applyBorder="1" applyAlignment="1">
      <alignment horizontal="center" vertical="center"/>
    </xf>
    <xf numFmtId="9" fontId="2" fillId="6" borderId="1" xfId="0" applyNumberFormat="1" applyFont="1" applyFill="1" applyBorder="1" applyAlignment="1">
      <alignment horizontal="center" vertical="center"/>
    </xf>
    <xf numFmtId="37" fontId="2" fillId="6" borderId="1" xfId="0" applyNumberFormat="1" applyFont="1" applyFill="1" applyBorder="1" applyAlignment="1">
      <alignment horizontal="center" vertical="center"/>
    </xf>
    <xf numFmtId="37" fontId="2" fillId="6" borderId="23" xfId="0" applyNumberFormat="1" applyFont="1" applyFill="1" applyBorder="1" applyAlignment="1">
      <alignment horizontal="center" vertical="center"/>
    </xf>
    <xf numFmtId="37" fontId="2" fillId="6" borderId="34" xfId="0" applyNumberFormat="1" applyFont="1" applyFill="1" applyBorder="1" applyAlignment="1">
      <alignment horizontal="center" vertical="center"/>
    </xf>
    <xf numFmtId="9" fontId="2" fillId="6" borderId="19" xfId="0" applyNumberFormat="1" applyFont="1" applyFill="1" applyBorder="1" applyAlignment="1">
      <alignment horizontal="center" vertical="center" wrapText="1"/>
    </xf>
    <xf numFmtId="9" fontId="16" fillId="2" borderId="1" xfId="7" applyFont="1" applyFill="1" applyBorder="1" applyAlignment="1">
      <alignment horizontal="center" vertical="center"/>
    </xf>
    <xf numFmtId="9" fontId="2" fillId="6" borderId="37" xfId="0" applyNumberFormat="1" applyFont="1" applyFill="1" applyBorder="1" applyAlignment="1">
      <alignment horizontal="center" vertical="center" wrapText="1"/>
    </xf>
    <xf numFmtId="3" fontId="2" fillId="6" borderId="34" xfId="0" applyNumberFormat="1" applyFont="1" applyFill="1" applyBorder="1" applyAlignment="1">
      <alignment horizontal="center" vertical="center" wrapText="1"/>
    </xf>
    <xf numFmtId="3" fontId="2" fillId="2" borderId="34" xfId="0" applyNumberFormat="1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 wrapText="1"/>
    </xf>
    <xf numFmtId="3" fontId="2" fillId="2" borderId="37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9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9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3" fillId="2" borderId="38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" fontId="3" fillId="2" borderId="34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9" fontId="11" fillId="2" borderId="1" xfId="9" applyNumberFormat="1" applyFont="1" applyFill="1" applyBorder="1" applyAlignment="1">
      <alignment horizontal="center" vertical="center"/>
    </xf>
    <xf numFmtId="1" fontId="11" fillId="2" borderId="1" xfId="9" applyNumberFormat="1" applyFont="1" applyFill="1" applyBorder="1" applyAlignment="1">
      <alignment horizontal="center" vertical="center"/>
    </xf>
    <xf numFmtId="9" fontId="12" fillId="2" borderId="1" xfId="9" applyNumberFormat="1" applyFont="1" applyFill="1" applyBorder="1" applyAlignment="1">
      <alignment horizontal="center" vertical="center" wrapText="1"/>
    </xf>
    <xf numFmtId="3" fontId="3" fillId="2" borderId="1" xfId="9" applyNumberFormat="1" applyFont="1" applyFill="1" applyBorder="1" applyAlignment="1">
      <alignment horizontal="center" vertical="center" wrapText="1"/>
    </xf>
    <xf numFmtId="3" fontId="12" fillId="2" borderId="1" xfId="9" applyNumberFormat="1" applyFont="1" applyFill="1" applyBorder="1" applyAlignment="1">
      <alignment horizontal="center" vertical="center" wrapText="1"/>
    </xf>
    <xf numFmtId="166" fontId="2" fillId="2" borderId="11" xfId="1" applyNumberFormat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166" fontId="21" fillId="9" borderId="1" xfId="1" applyNumberFormat="1" applyFont="1" applyFill="1" applyBorder="1"/>
    <xf numFmtId="0" fontId="2" fillId="9" borderId="0" xfId="1" applyFont="1" applyFill="1"/>
    <xf numFmtId="166" fontId="3" fillId="11" borderId="1" xfId="5" applyNumberFormat="1" applyFont="1" applyFill="1" applyBorder="1" applyAlignment="1" applyProtection="1">
      <alignment vertical="center"/>
    </xf>
    <xf numFmtId="0" fontId="44" fillId="0" borderId="0" xfId="1" applyFont="1" applyAlignment="1">
      <alignment horizontal="center"/>
    </xf>
    <xf numFmtId="0" fontId="44" fillId="0" borderId="0" xfId="1" applyFont="1" applyAlignment="1">
      <alignment horizontal="center" vertical="center"/>
    </xf>
    <xf numFmtId="171" fontId="2" fillId="2" borderId="0" xfId="1" applyNumberFormat="1" applyFont="1" applyFill="1" applyAlignment="1">
      <alignment horizontal="center" vertical="center"/>
    </xf>
    <xf numFmtId="166" fontId="5" fillId="5" borderId="0" xfId="6" applyNumberFormat="1" applyFont="1" applyFill="1" applyBorder="1" applyAlignment="1">
      <alignment horizontal="right" vertical="center" wrapText="1"/>
    </xf>
    <xf numFmtId="166" fontId="5" fillId="8" borderId="0" xfId="6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0" fontId="44" fillId="0" borderId="18" xfId="1" applyFont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171" fontId="2" fillId="2" borderId="0" xfId="1" applyNumberFormat="1" applyFont="1" applyFill="1" applyAlignment="1">
      <alignment horizontal="left" vertical="center"/>
    </xf>
    <xf numFmtId="174" fontId="2" fillId="0" borderId="0" xfId="11" applyNumberFormat="1" applyFont="1" applyBorder="1" applyAlignment="1">
      <alignment horizontal="center"/>
    </xf>
    <xf numFmtId="174" fontId="2" fillId="0" borderId="0" xfId="11" applyNumberFormat="1" applyFont="1" applyAlignment="1">
      <alignment horizontal="center"/>
    </xf>
    <xf numFmtId="174" fontId="4" fillId="0" borderId="0" xfId="11" applyNumberFormat="1" applyFont="1" applyBorder="1" applyAlignment="1">
      <alignment horizontal="left"/>
    </xf>
    <xf numFmtId="174" fontId="4" fillId="0" borderId="0" xfId="11" applyNumberFormat="1" applyFont="1" applyBorder="1" applyAlignment="1">
      <alignment horizontal="center" vertical="center" wrapText="1"/>
    </xf>
    <xf numFmtId="174" fontId="4" fillId="0" borderId="0" xfId="11" applyNumberFormat="1" applyFont="1" applyBorder="1" applyAlignment="1">
      <alignment horizontal="center" vertical="center"/>
    </xf>
    <xf numFmtId="174" fontId="2" fillId="0" borderId="0" xfId="11" applyNumberFormat="1" applyFont="1" applyBorder="1"/>
    <xf numFmtId="174" fontId="2" fillId="0" borderId="0" xfId="11" applyNumberFormat="1" applyFont="1" applyBorder="1" applyAlignment="1">
      <alignment horizontal="center" vertical="center" wrapText="1"/>
    </xf>
    <xf numFmtId="174" fontId="2" fillId="2" borderId="0" xfId="11" applyNumberFormat="1" applyFont="1" applyFill="1" applyBorder="1" applyAlignment="1">
      <alignment horizontal="center" vertical="center" wrapText="1"/>
    </xf>
    <xf numFmtId="174" fontId="2" fillId="2" borderId="0" xfId="11" applyNumberFormat="1" applyFont="1" applyFill="1" applyBorder="1" applyAlignment="1">
      <alignment horizontal="center" vertical="center"/>
    </xf>
    <xf numFmtId="174" fontId="44" fillId="0" borderId="0" xfId="11" applyNumberFormat="1" applyFont="1" applyBorder="1" applyAlignment="1">
      <alignment horizontal="center"/>
    </xf>
    <xf numFmtId="174" fontId="5" fillId="5" borderId="0" xfId="11" applyNumberFormat="1" applyFont="1" applyFill="1" applyBorder="1" applyAlignment="1">
      <alignment horizontal="right" vertical="center" wrapText="1"/>
    </xf>
    <xf numFmtId="174" fontId="5" fillId="8" borderId="0" xfId="11" applyNumberFormat="1" applyFont="1" applyFill="1" applyBorder="1" applyAlignment="1">
      <alignment horizontal="right" vertical="center" wrapText="1"/>
    </xf>
    <xf numFmtId="174" fontId="3" fillId="0" borderId="0" xfId="11" applyNumberFormat="1" applyFont="1" applyBorder="1"/>
    <xf numFmtId="174" fontId="10" fillId="0" borderId="0" xfId="11" applyNumberFormat="1" applyFont="1" applyBorder="1"/>
    <xf numFmtId="174" fontId="9" fillId="0" borderId="0" xfId="11" applyNumberFormat="1" applyFont="1" applyBorder="1" applyAlignment="1">
      <alignment horizontal="left" vertical="top" wrapText="1"/>
    </xf>
    <xf numFmtId="174" fontId="2" fillId="0" borderId="0" xfId="11" applyNumberFormat="1" applyFont="1"/>
    <xf numFmtId="174" fontId="44" fillId="0" borderId="0" xfId="11" applyNumberFormat="1" applyFont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5" fillId="0" borderId="0" xfId="1" applyFont="1" applyFill="1"/>
    <xf numFmtId="0" fontId="2" fillId="0" borderId="0" xfId="1" applyFont="1" applyFill="1"/>
    <xf numFmtId="0" fontId="4" fillId="0" borderId="0" xfId="1" applyFont="1" applyFill="1" applyAlignment="1">
      <alignment horizontal="left"/>
    </xf>
    <xf numFmtId="0" fontId="4" fillId="0" borderId="1" xfId="1" applyFont="1" applyFill="1" applyBorder="1"/>
    <xf numFmtId="0" fontId="4" fillId="0" borderId="17" xfId="1" applyFont="1" applyFill="1" applyBorder="1" applyAlignment="1">
      <alignment vertical="center"/>
    </xf>
    <xf numFmtId="2" fontId="4" fillId="0" borderId="0" xfId="1" applyNumberFormat="1" applyFont="1" applyFill="1" applyAlignment="1">
      <alignment horizontal="center" vertical="center" wrapText="1"/>
    </xf>
    <xf numFmtId="2" fontId="5" fillId="0" borderId="0" xfId="1" applyNumberFormat="1" applyFont="1" applyFill="1" applyAlignment="1">
      <alignment vertical="center"/>
    </xf>
    <xf numFmtId="0" fontId="4" fillId="0" borderId="16" xfId="1" applyFont="1" applyFill="1" applyBorder="1" applyAlignment="1">
      <alignment horizontal="left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2" fontId="5" fillId="0" borderId="0" xfId="1" applyNumberFormat="1" applyFont="1" applyFill="1" applyAlignment="1">
      <alignment horizontal="center" vertical="center" wrapText="1"/>
    </xf>
    <xf numFmtId="0" fontId="4" fillId="0" borderId="15" xfId="1" applyFont="1" applyFill="1" applyBorder="1" applyAlignment="1">
      <alignment vertical="center" wrapText="1"/>
    </xf>
    <xf numFmtId="10" fontId="2" fillId="0" borderId="1" xfId="2" applyNumberFormat="1" applyFont="1" applyFill="1" applyBorder="1"/>
    <xf numFmtId="0" fontId="2" fillId="0" borderId="8" xfId="1" applyFont="1" applyFill="1" applyBorder="1"/>
    <xf numFmtId="2" fontId="5" fillId="0" borderId="0" xfId="1" applyNumberFormat="1" applyFont="1" applyFill="1" applyAlignment="1">
      <alignment horizontal="center" vertical="center"/>
    </xf>
    <xf numFmtId="0" fontId="4" fillId="0" borderId="15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vertical="top"/>
    </xf>
    <xf numFmtId="3" fontId="2" fillId="0" borderId="1" xfId="1" applyNumberFormat="1" applyFont="1" applyFill="1" applyBorder="1" applyAlignment="1">
      <alignment horizontal="center" vertical="center"/>
    </xf>
    <xf numFmtId="168" fontId="2" fillId="0" borderId="1" xfId="3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left" wrapText="1"/>
    </xf>
    <xf numFmtId="2" fontId="3" fillId="0" borderId="0" xfId="1" applyNumberFormat="1" applyFont="1" applyFill="1"/>
    <xf numFmtId="165" fontId="2" fillId="0" borderId="0" xfId="3" applyFont="1" applyFill="1" applyBorder="1"/>
    <xf numFmtId="164" fontId="2" fillId="0" borderId="0" xfId="1" applyNumberFormat="1" applyFont="1" applyFill="1"/>
    <xf numFmtId="0" fontId="5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wrapText="1"/>
    </xf>
    <xf numFmtId="165" fontId="3" fillId="0" borderId="0" xfId="3" applyFont="1" applyFill="1" applyBorder="1"/>
    <xf numFmtId="0" fontId="5" fillId="0" borderId="1" xfId="1" applyFont="1" applyFill="1" applyBorder="1" applyAlignment="1">
      <alignment horizontal="center" vertical="center"/>
    </xf>
    <xf numFmtId="10" fontId="5" fillId="0" borderId="1" xfId="2" applyNumberFormat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5" fillId="0" borderId="14" xfId="1" applyFont="1" applyFill="1" applyBorder="1" applyAlignment="1">
      <alignment horizontal="center" vertical="center"/>
    </xf>
    <xf numFmtId="0" fontId="2" fillId="0" borderId="0" xfId="1" applyFont="1" applyFill="1" applyAlignment="1">
      <alignment wrapTex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/>
    </xf>
    <xf numFmtId="166" fontId="2" fillId="0" borderId="11" xfId="1" applyNumberFormat="1" applyFont="1" applyFill="1" applyBorder="1"/>
    <xf numFmtId="172" fontId="2" fillId="0" borderId="0" xfId="10" applyNumberFormat="1" applyFont="1" applyFill="1" applyAlignment="1">
      <alignment wrapText="1"/>
    </xf>
    <xf numFmtId="2" fontId="2" fillId="0" borderId="0" xfId="1" applyNumberFormat="1" applyFont="1" applyFill="1"/>
    <xf numFmtId="39" fontId="9" fillId="0" borderId="1" xfId="0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/>
    </xf>
    <xf numFmtId="165" fontId="2" fillId="0" borderId="0" xfId="1" applyNumberFormat="1" applyFont="1" applyFill="1"/>
    <xf numFmtId="0" fontId="4" fillId="0" borderId="0" xfId="1" applyFont="1" applyFill="1" applyAlignment="1">
      <alignment horizontal="center" vertical="center"/>
    </xf>
    <xf numFmtId="166" fontId="2" fillId="0" borderId="0" xfId="1" applyNumberFormat="1" applyFont="1" applyFill="1"/>
    <xf numFmtId="37" fontId="9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66" fontId="2" fillId="0" borderId="1" xfId="1" applyNumberFormat="1" applyFont="1" applyFill="1" applyBorder="1"/>
    <xf numFmtId="9" fontId="9" fillId="0" borderId="1" xfId="7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3" fontId="9" fillId="0" borderId="1" xfId="0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left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166" fontId="5" fillId="0" borderId="1" xfId="6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vertical="center"/>
    </xf>
    <xf numFmtId="39" fontId="3" fillId="0" borderId="1" xfId="1" applyNumberFormat="1" applyFont="1" applyFill="1" applyBorder="1" applyAlignment="1">
      <alignment vertical="center"/>
    </xf>
    <xf numFmtId="0" fontId="2" fillId="0" borderId="1" xfId="1" applyFont="1" applyFill="1" applyBorder="1"/>
    <xf numFmtId="166" fontId="2" fillId="0" borderId="13" xfId="1" applyNumberFormat="1" applyFont="1" applyFill="1" applyBorder="1"/>
    <xf numFmtId="172" fontId="31" fillId="0" borderId="0" xfId="10" applyNumberFormat="1" applyFont="1" applyFill="1" applyAlignment="1">
      <alignment wrapText="1"/>
    </xf>
    <xf numFmtId="2" fontId="3" fillId="0" borderId="1" xfId="1" applyNumberFormat="1" applyFont="1" applyFill="1" applyBorder="1" applyAlignment="1">
      <alignment vertical="center"/>
    </xf>
    <xf numFmtId="0" fontId="2" fillId="0" borderId="13" xfId="1" applyFont="1" applyFill="1" applyBorder="1"/>
    <xf numFmtId="0" fontId="2" fillId="0" borderId="9" xfId="1" applyFont="1" applyFill="1" applyBorder="1"/>
    <xf numFmtId="0" fontId="2" fillId="0" borderId="0" xfId="1" applyFont="1" applyFill="1" applyAlignment="1">
      <alignment horizontal="left" vertical="center"/>
    </xf>
    <xf numFmtId="167" fontId="2" fillId="0" borderId="0" xfId="1" applyNumberFormat="1" applyFont="1" applyFill="1"/>
    <xf numFmtId="10" fontId="3" fillId="0" borderId="0" xfId="2" applyNumberFormat="1" applyFont="1" applyFill="1" applyBorder="1" applyProtection="1"/>
    <xf numFmtId="39" fontId="3" fillId="0" borderId="0" xfId="1" applyNumberFormat="1" applyFont="1" applyFill="1"/>
    <xf numFmtId="39" fontId="3" fillId="0" borderId="8" xfId="1" applyNumberFormat="1" applyFont="1" applyFill="1" applyBorder="1"/>
    <xf numFmtId="167" fontId="14" fillId="0" borderId="19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9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top" wrapText="1"/>
    </xf>
    <xf numFmtId="10" fontId="3" fillId="0" borderId="0" xfId="2" applyNumberFormat="1" applyFont="1" applyFill="1"/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12" fillId="2" borderId="14" xfId="1" applyFont="1" applyFill="1" applyBorder="1" applyAlignment="1">
      <alignment horizontal="left" vertical="center" wrapText="1"/>
    </xf>
    <xf numFmtId="0" fontId="12" fillId="2" borderId="10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9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3" xfId="0" applyFont="1" applyFill="1" applyBorder="1"/>
    <xf numFmtId="0" fontId="2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2" fillId="2" borderId="37" xfId="0" applyFont="1" applyFill="1" applyBorder="1"/>
    <xf numFmtId="0" fontId="2" fillId="2" borderId="49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2" fillId="6" borderId="14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/>
    </xf>
    <xf numFmtId="0" fontId="12" fillId="2" borderId="7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11" fillId="2" borderId="1" xfId="9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vertical="center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 wrapText="1"/>
    </xf>
    <xf numFmtId="0" fontId="2" fillId="2" borderId="41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2" borderId="42" xfId="1" applyFont="1" applyFill="1" applyBorder="1" applyAlignment="1">
      <alignment horizontal="left" vertical="center" wrapText="1"/>
    </xf>
    <xf numFmtId="0" fontId="3" fillId="2" borderId="41" xfId="1" applyFont="1" applyFill="1" applyBorder="1" applyAlignment="1">
      <alignment horizontal="left" vertical="center" wrapText="1"/>
    </xf>
    <xf numFmtId="0" fontId="11" fillId="0" borderId="1" xfId="9" applyFont="1" applyBorder="1" applyAlignment="1">
      <alignment horizontal="left" vertical="center" wrapText="1"/>
    </xf>
    <xf numFmtId="0" fontId="3" fillId="0" borderId="1" xfId="9" applyFont="1" applyBorder="1" applyAlignment="1">
      <alignment vertical="center"/>
    </xf>
    <xf numFmtId="0" fontId="3" fillId="0" borderId="1" xfId="9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5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2" fontId="17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5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9" fontId="3" fillId="2" borderId="1" xfId="7" applyFont="1" applyFill="1" applyBorder="1" applyAlignment="1" applyProtection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left" vertical="center"/>
    </xf>
    <xf numFmtId="1" fontId="2" fillId="0" borderId="6" xfId="1" applyNumberFormat="1" applyFont="1" applyBorder="1" applyAlignment="1">
      <alignment horizontal="left" vertical="center"/>
    </xf>
    <xf numFmtId="1" fontId="2" fillId="0" borderId="5" xfId="1" applyNumberFormat="1" applyFont="1" applyBorder="1" applyAlignment="1">
      <alignment horizontal="left" vertical="center"/>
    </xf>
    <xf numFmtId="171" fontId="2" fillId="2" borderId="1" xfId="1" applyNumberFormat="1" applyFont="1" applyFill="1" applyBorder="1" applyAlignment="1">
      <alignment horizontal="center" vertical="center"/>
    </xf>
    <xf numFmtId="14" fontId="3" fillId="2" borderId="14" xfId="1" applyNumberFormat="1" applyFont="1" applyFill="1" applyBorder="1" applyAlignment="1">
      <alignment horizontal="center" vertical="center"/>
    </xf>
    <xf numFmtId="14" fontId="3" fillId="2" borderId="10" xfId="1" applyNumberFormat="1" applyFont="1" applyFill="1" applyBorder="1" applyAlignment="1">
      <alignment horizontal="center" vertical="center"/>
    </xf>
    <xf numFmtId="9" fontId="3" fillId="2" borderId="14" xfId="7" applyFont="1" applyFill="1" applyBorder="1" applyAlignment="1" applyProtection="1">
      <alignment horizontal="center" vertical="center"/>
    </xf>
    <xf numFmtId="9" fontId="3" fillId="2" borderId="10" xfId="7" applyFont="1" applyFill="1" applyBorder="1" applyAlignment="1" applyProtection="1">
      <alignment horizontal="center" vertical="center"/>
    </xf>
    <xf numFmtId="171" fontId="2" fillId="2" borderId="14" xfId="1" applyNumberFormat="1" applyFont="1" applyFill="1" applyBorder="1" applyAlignment="1">
      <alignment horizontal="center" vertical="center"/>
    </xf>
    <xf numFmtId="171" fontId="2" fillId="2" borderId="10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9" fontId="3" fillId="0" borderId="14" xfId="7" applyFont="1" applyFill="1" applyBorder="1" applyAlignment="1" applyProtection="1">
      <alignment horizontal="center" vertical="center"/>
    </xf>
    <xf numFmtId="9" fontId="3" fillId="0" borderId="10" xfId="7" applyFont="1" applyFill="1" applyBorder="1" applyAlignment="1" applyProtection="1">
      <alignment horizontal="center" vertical="center"/>
    </xf>
    <xf numFmtId="171" fontId="2" fillId="0" borderId="1" xfId="1" applyNumberFormat="1" applyFont="1" applyFill="1" applyBorder="1" applyAlignment="1">
      <alignment horizontal="center" vertical="center"/>
    </xf>
    <xf numFmtId="9" fontId="3" fillId="0" borderId="1" xfId="7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left" vertical="center" wrapText="1"/>
    </xf>
    <xf numFmtId="0" fontId="3" fillId="0" borderId="14" xfId="9" applyFont="1" applyFill="1" applyBorder="1" applyAlignment="1">
      <alignment horizontal="left" vertical="center" wrapText="1"/>
    </xf>
    <xf numFmtId="0" fontId="3" fillId="0" borderId="10" xfId="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/>
    <xf numFmtId="0" fontId="18" fillId="0" borderId="1" xfId="0" applyFont="1" applyFill="1" applyBorder="1"/>
    <xf numFmtId="167" fontId="14" fillId="0" borderId="20" xfId="0" applyNumberFormat="1" applyFont="1" applyFill="1" applyBorder="1" applyAlignment="1">
      <alignment horizontal="center" vertical="center"/>
    </xf>
    <xf numFmtId="0" fontId="10" fillId="0" borderId="21" xfId="0" applyFont="1" applyFill="1" applyBorder="1"/>
    <xf numFmtId="0" fontId="10" fillId="0" borderId="22" xfId="0" applyFont="1" applyFill="1" applyBorder="1"/>
    <xf numFmtId="2" fontId="14" fillId="0" borderId="2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3" xfId="1" applyFont="1" applyFill="1" applyBorder="1" applyAlignment="1">
      <alignment horizontal="left" vertical="top" wrapText="1"/>
    </xf>
    <xf numFmtId="0" fontId="4" fillId="0" borderId="12" xfId="1" applyFont="1" applyFill="1" applyBorder="1" applyAlignment="1">
      <alignment horizontal="left" vertical="top" wrapText="1"/>
    </xf>
    <xf numFmtId="0" fontId="4" fillId="0" borderId="11" xfId="1" applyFont="1" applyFill="1" applyBorder="1" applyAlignment="1">
      <alignment horizontal="left" vertical="top" wrapText="1"/>
    </xf>
    <xf numFmtId="2" fontId="2" fillId="0" borderId="13" xfId="1" applyNumberFormat="1" applyFont="1" applyFill="1" applyBorder="1" applyAlignment="1">
      <alignment horizontal="left" vertical="center" wrapText="1"/>
    </xf>
    <xf numFmtId="2" fontId="2" fillId="0" borderId="12" xfId="1" applyNumberFormat="1" applyFont="1" applyFill="1" applyBorder="1" applyAlignment="1">
      <alignment horizontal="left" vertical="center" wrapText="1"/>
    </xf>
    <xf numFmtId="2" fontId="2" fillId="0" borderId="11" xfId="1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2" fontId="3" fillId="0" borderId="0" xfId="1" applyNumberFormat="1" applyFont="1" applyFill="1" applyAlignment="1">
      <alignment horizontal="left" vertical="top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2" fontId="5" fillId="0" borderId="0" xfId="1" applyNumberFormat="1" applyFont="1" applyFill="1" applyAlignment="1">
      <alignment horizontal="center" vertical="center" wrapText="1"/>
    </xf>
    <xf numFmtId="0" fontId="2" fillId="0" borderId="14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left"/>
    </xf>
    <xf numFmtId="0" fontId="4" fillId="0" borderId="12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left"/>
    </xf>
    <xf numFmtId="0" fontId="2" fillId="0" borderId="13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28" fillId="0" borderId="7" xfId="1" applyFont="1" applyFill="1" applyBorder="1" applyAlignment="1">
      <alignment horizontal="left" vertical="top" wrapText="1"/>
    </xf>
    <xf numFmtId="0" fontId="28" fillId="0" borderId="6" xfId="1" applyFont="1" applyFill="1" applyBorder="1" applyAlignment="1">
      <alignment horizontal="left" vertical="top" wrapText="1"/>
    </xf>
    <xf numFmtId="0" fontId="28" fillId="0" borderId="5" xfId="1" applyFont="1" applyFill="1" applyBorder="1" applyAlignment="1">
      <alignment horizontal="left" vertical="top" wrapText="1"/>
    </xf>
    <xf numFmtId="0" fontId="28" fillId="0" borderId="9" xfId="1" applyFont="1" applyFill="1" applyBorder="1" applyAlignment="1">
      <alignment horizontal="left" vertical="top" wrapText="1"/>
    </xf>
    <xf numFmtId="0" fontId="28" fillId="0" borderId="0" xfId="1" applyFont="1" applyFill="1" applyAlignment="1">
      <alignment horizontal="left" vertical="top" wrapText="1"/>
    </xf>
    <xf numFmtId="0" fontId="28" fillId="0" borderId="8" xfId="1" applyFont="1" applyFill="1" applyBorder="1" applyAlignment="1">
      <alignment horizontal="left" vertical="top" wrapText="1"/>
    </xf>
    <xf numFmtId="0" fontId="28" fillId="0" borderId="4" xfId="1" applyFont="1" applyFill="1" applyBorder="1" applyAlignment="1">
      <alignment horizontal="left" vertical="top" wrapText="1"/>
    </xf>
    <xf numFmtId="0" fontId="28" fillId="0" borderId="3" xfId="1" applyFont="1" applyFill="1" applyBorder="1" applyAlignment="1">
      <alignment horizontal="left" vertical="top" wrapText="1"/>
    </xf>
    <xf numFmtId="0" fontId="28" fillId="0" borderId="2" xfId="1" applyFont="1" applyFill="1" applyBorder="1" applyAlignment="1">
      <alignment horizontal="left" vertical="top" wrapText="1"/>
    </xf>
    <xf numFmtId="2" fontId="4" fillId="0" borderId="13" xfId="1" applyNumberFormat="1" applyFont="1" applyFill="1" applyBorder="1" applyAlignment="1">
      <alignment horizontal="center" vertical="center" wrapText="1"/>
    </xf>
    <xf numFmtId="2" fontId="4" fillId="0" borderId="12" xfId="1" applyNumberFormat="1" applyFont="1" applyFill="1" applyBorder="1" applyAlignment="1">
      <alignment horizontal="center" vertical="center" wrapText="1"/>
    </xf>
    <xf numFmtId="2" fontId="4" fillId="0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 wrapText="1"/>
    </xf>
    <xf numFmtId="2" fontId="2" fillId="0" borderId="13" xfId="1" applyNumberFormat="1" applyFont="1" applyFill="1" applyBorder="1" applyAlignment="1">
      <alignment horizontal="center" vertical="center" wrapText="1"/>
    </xf>
    <xf numFmtId="2" fontId="2" fillId="0" borderId="12" xfId="1" applyNumberFormat="1" applyFont="1" applyFill="1" applyBorder="1" applyAlignment="1">
      <alignment horizontal="center" vertical="center" wrapText="1"/>
    </xf>
    <xf numFmtId="2" fontId="2" fillId="0" borderId="1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10" fontId="2" fillId="0" borderId="13" xfId="2" applyNumberFormat="1" applyFont="1" applyFill="1" applyBorder="1" applyAlignment="1">
      <alignment horizontal="center"/>
    </xf>
    <xf numFmtId="10" fontId="2" fillId="0" borderId="12" xfId="2" applyNumberFormat="1" applyFont="1" applyFill="1" applyBorder="1" applyAlignment="1">
      <alignment horizontal="center"/>
    </xf>
    <xf numFmtId="10" fontId="2" fillId="0" borderId="11" xfId="2" applyNumberFormat="1" applyFont="1" applyFill="1" applyBorder="1" applyAlignment="1">
      <alignment horizontal="center"/>
    </xf>
    <xf numFmtId="2" fontId="5" fillId="0" borderId="0" xfId="1" applyNumberFormat="1" applyFont="1" applyFill="1" applyAlignment="1">
      <alignment horizontal="center" vertical="center"/>
    </xf>
    <xf numFmtId="1" fontId="2" fillId="0" borderId="13" xfId="1" applyNumberFormat="1" applyFont="1" applyFill="1" applyBorder="1" applyAlignment="1">
      <alignment horizontal="left" vertical="center"/>
    </xf>
    <xf numFmtId="1" fontId="2" fillId="0" borderId="12" xfId="1" applyNumberFormat="1" applyFont="1" applyFill="1" applyBorder="1" applyAlignment="1">
      <alignment horizontal="left" vertical="center"/>
    </xf>
    <xf numFmtId="1" fontId="2" fillId="0" borderId="11" xfId="1" applyNumberFormat="1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/>
    <xf numFmtId="0" fontId="2" fillId="0" borderId="1" xfId="0" applyFont="1" applyBorder="1"/>
    <xf numFmtId="0" fontId="16" fillId="0" borderId="1" xfId="0" applyFont="1" applyBorder="1"/>
    <xf numFmtId="0" fontId="2" fillId="4" borderId="25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vertical="center"/>
    </xf>
    <xf numFmtId="0" fontId="2" fillId="4" borderId="3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4" fillId="0" borderId="0" xfId="1" applyNumberFormat="1" applyFont="1" applyAlignment="1">
      <alignment horizontal="center" vertical="center" wrapText="1"/>
    </xf>
    <xf numFmtId="0" fontId="2" fillId="0" borderId="14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3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4" fillId="0" borderId="0" xfId="1" applyNumberFormat="1" applyFont="1" applyAlignment="1">
      <alignment horizontal="center" vertical="center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2" fontId="2" fillId="0" borderId="0" xfId="1" applyNumberFormat="1" applyFont="1" applyAlignment="1">
      <alignment horizontal="left" vertical="center" wrapText="1"/>
    </xf>
    <xf numFmtId="2" fontId="2" fillId="2" borderId="0" xfId="1" applyNumberFormat="1" applyFont="1" applyFill="1" applyAlignment="1">
      <alignment horizontal="left" vertical="top" wrapText="1"/>
    </xf>
    <xf numFmtId="14" fontId="2" fillId="6" borderId="1" xfId="0" applyNumberFormat="1" applyFont="1" applyFill="1" applyBorder="1" applyAlignment="1">
      <alignment horizontal="center" vertical="center"/>
    </xf>
    <xf numFmtId="9" fontId="2" fillId="2" borderId="1" xfId="7" applyFont="1" applyFill="1" applyBorder="1" applyAlignment="1" applyProtection="1">
      <alignment horizontal="center" vertical="center"/>
    </xf>
    <xf numFmtId="171" fontId="2" fillId="2" borderId="1" xfId="7" applyNumberFormat="1" applyFont="1" applyFill="1" applyBorder="1" applyAlignment="1" applyProtection="1">
      <alignment horizontal="center" vertical="center"/>
    </xf>
    <xf numFmtId="0" fontId="4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2" fontId="2" fillId="0" borderId="0" xfId="1" applyNumberFormat="1" applyFont="1" applyAlignment="1">
      <alignment horizontal="left" vertical="top" wrapText="1"/>
    </xf>
    <xf numFmtId="0" fontId="4" fillId="0" borderId="1" xfId="1" applyFont="1" applyBorder="1" applyAlignment="1">
      <alignment horizontal="center" vertical="center"/>
    </xf>
    <xf numFmtId="0" fontId="4" fillId="2" borderId="12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0" fontId="20" fillId="0" borderId="1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1" fontId="2" fillId="2" borderId="13" xfId="1" applyNumberFormat="1" applyFont="1" applyFill="1" applyBorder="1" applyAlignment="1">
      <alignment horizontal="left" vertical="center"/>
    </xf>
    <xf numFmtId="1" fontId="2" fillId="2" borderId="12" xfId="1" applyNumberFormat="1" applyFont="1" applyFill="1" applyBorder="1" applyAlignment="1">
      <alignment horizontal="left" vertical="center"/>
    </xf>
    <xf numFmtId="1" fontId="2" fillId="2" borderId="11" xfId="1" applyNumberFormat="1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4" fillId="5" borderId="13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167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" fontId="2" fillId="2" borderId="1" xfId="7" applyNumberFormat="1" applyFont="1" applyFill="1" applyBorder="1" applyAlignment="1" applyProtection="1">
      <alignment horizontal="center" vertical="center"/>
    </xf>
    <xf numFmtId="14" fontId="2" fillId="6" borderId="14" xfId="0" applyNumberFormat="1" applyFont="1" applyFill="1" applyBorder="1" applyAlignment="1">
      <alignment horizontal="center" vertical="center"/>
    </xf>
    <xf numFmtId="9" fontId="2" fillId="2" borderId="14" xfId="7" applyFont="1" applyFill="1" applyBorder="1" applyAlignment="1" applyProtection="1">
      <alignment horizontal="center" vertical="center"/>
    </xf>
    <xf numFmtId="14" fontId="3" fillId="6" borderId="14" xfId="0" applyNumberFormat="1" applyFont="1" applyFill="1" applyBorder="1" applyAlignment="1">
      <alignment horizontal="center" vertical="center"/>
    </xf>
    <xf numFmtId="14" fontId="3" fillId="6" borderId="10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top" wrapText="1"/>
    </xf>
    <xf numFmtId="0" fontId="44" fillId="0" borderId="1" xfId="1" applyFont="1" applyBorder="1" applyAlignment="1">
      <alignment horizontal="center" vertical="center"/>
    </xf>
    <xf numFmtId="0" fontId="22" fillId="0" borderId="7" xfId="1" applyFont="1" applyBorder="1" applyAlignment="1">
      <alignment horizontal="left" vertical="top" wrapText="1"/>
    </xf>
    <xf numFmtId="0" fontId="22" fillId="0" borderId="6" xfId="1" applyFont="1" applyBorder="1" applyAlignment="1">
      <alignment horizontal="left" vertical="top" wrapText="1"/>
    </xf>
    <xf numFmtId="0" fontId="22" fillId="0" borderId="5" xfId="1" applyFont="1" applyBorder="1" applyAlignment="1">
      <alignment horizontal="left" vertical="top" wrapText="1"/>
    </xf>
    <xf numFmtId="0" fontId="22" fillId="0" borderId="9" xfId="1" applyFont="1" applyBorder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22" fillId="0" borderId="8" xfId="1" applyFont="1" applyBorder="1" applyAlignment="1">
      <alignment horizontal="left" vertical="top" wrapText="1"/>
    </xf>
    <xf numFmtId="0" fontId="22" fillId="0" borderId="4" xfId="1" applyFont="1" applyBorder="1" applyAlignment="1">
      <alignment horizontal="left" vertical="top" wrapText="1"/>
    </xf>
    <xf numFmtId="0" fontId="22" fillId="0" borderId="3" xfId="1" applyFont="1" applyBorder="1" applyAlignment="1">
      <alignment horizontal="left" vertical="top" wrapText="1"/>
    </xf>
    <xf numFmtId="0" fontId="22" fillId="0" borderId="2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8" fillId="0" borderId="1" xfId="0" applyFont="1" applyBorder="1"/>
    <xf numFmtId="0" fontId="10" fillId="0" borderId="1" xfId="0" applyFont="1" applyBorder="1"/>
    <xf numFmtId="2" fontId="3" fillId="0" borderId="0" xfId="1" applyNumberFormat="1" applyFont="1" applyAlignment="1">
      <alignment horizontal="left" vertical="center" wrapText="1"/>
    </xf>
    <xf numFmtId="2" fontId="5" fillId="0" borderId="0" xfId="1" applyNumberFormat="1" applyFont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67" fontId="14" fillId="3" borderId="20" xfId="0" applyNumberFormat="1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2" xfId="0" applyFont="1" applyBorder="1"/>
    <xf numFmtId="2" fontId="14" fillId="3" borderId="20" xfId="0" applyNumberFormat="1" applyFont="1" applyFill="1" applyBorder="1" applyAlignment="1">
      <alignment horizontal="center" vertical="center"/>
    </xf>
    <xf numFmtId="0" fontId="5" fillId="5" borderId="13" xfId="1" applyFont="1" applyFill="1" applyBorder="1" applyAlignment="1">
      <alignment horizontal="center" vertical="center"/>
    </xf>
    <xf numFmtId="174" fontId="44" fillId="0" borderId="13" xfId="11" applyNumberFormat="1" applyFont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/>
    </xf>
    <xf numFmtId="0" fontId="24" fillId="0" borderId="7" xfId="1" applyFont="1" applyBorder="1" applyAlignment="1">
      <alignment horizontal="left" vertical="top" wrapText="1"/>
    </xf>
    <xf numFmtId="0" fontId="24" fillId="0" borderId="6" xfId="1" applyFont="1" applyBorder="1" applyAlignment="1">
      <alignment horizontal="left" vertical="top" wrapText="1"/>
    </xf>
    <xf numFmtId="0" fontId="24" fillId="0" borderId="5" xfId="1" applyFont="1" applyBorder="1" applyAlignment="1">
      <alignment horizontal="left" vertical="top" wrapText="1"/>
    </xf>
    <xf numFmtId="0" fontId="24" fillId="0" borderId="9" xfId="1" applyFont="1" applyBorder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24" fillId="0" borderId="8" xfId="1" applyFont="1" applyBorder="1" applyAlignment="1">
      <alignment horizontal="left" vertical="top" wrapText="1"/>
    </xf>
    <xf numFmtId="0" fontId="24" fillId="0" borderId="4" xfId="1" applyFont="1" applyBorder="1" applyAlignment="1">
      <alignment horizontal="left" vertical="top" wrapText="1"/>
    </xf>
    <xf numFmtId="0" fontId="24" fillId="0" borderId="3" xfId="1" applyFont="1" applyBorder="1" applyAlignment="1">
      <alignment horizontal="left" vertical="top" wrapText="1"/>
    </xf>
    <xf numFmtId="0" fontId="24" fillId="0" borderId="2" xfId="1" applyFont="1" applyBorder="1" applyAlignment="1">
      <alignment horizontal="left" vertical="top" wrapText="1"/>
    </xf>
    <xf numFmtId="0" fontId="44" fillId="0" borderId="14" xfId="1" applyFont="1" applyBorder="1" applyAlignment="1">
      <alignment horizontal="center" vertical="center" wrapText="1"/>
    </xf>
    <xf numFmtId="0" fontId="44" fillId="0" borderId="14" xfId="1" applyFont="1" applyBorder="1" applyAlignment="1">
      <alignment horizontal="center" vertical="center"/>
    </xf>
    <xf numFmtId="14" fontId="3" fillId="7" borderId="14" xfId="0" applyNumberFormat="1" applyFont="1" applyFill="1" applyBorder="1" applyAlignment="1">
      <alignment horizontal="center" vertical="center"/>
    </xf>
    <xf numFmtId="14" fontId="3" fillId="7" borderId="1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167" fontId="14" fillId="3" borderId="1" xfId="0" applyNumberFormat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3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167" fontId="2" fillId="0" borderId="20" xfId="0" applyNumberFormat="1" applyFont="1" applyBorder="1" applyAlignment="1">
      <alignment horizontal="left" vertical="center"/>
    </xf>
    <xf numFmtId="167" fontId="2" fillId="0" borderId="21" xfId="0" applyNumberFormat="1" applyFont="1" applyBorder="1" applyAlignment="1">
      <alignment horizontal="left" vertical="center"/>
    </xf>
    <xf numFmtId="167" fontId="2" fillId="0" borderId="22" xfId="0" applyNumberFormat="1" applyFont="1" applyBorder="1" applyAlignment="1">
      <alignment horizontal="left" vertical="center"/>
    </xf>
    <xf numFmtId="167" fontId="2" fillId="0" borderId="30" xfId="0" applyNumberFormat="1" applyFont="1" applyBorder="1" applyAlignment="1">
      <alignment horizontal="left" vertical="center"/>
    </xf>
    <xf numFmtId="167" fontId="2" fillId="0" borderId="31" xfId="0" applyNumberFormat="1" applyFont="1" applyBorder="1" applyAlignment="1">
      <alignment horizontal="left" vertical="center"/>
    </xf>
    <xf numFmtId="167" fontId="2" fillId="0" borderId="28" xfId="0" applyNumberFormat="1" applyFont="1" applyBorder="1" applyAlignment="1">
      <alignment horizontal="left" vertical="center"/>
    </xf>
    <xf numFmtId="0" fontId="2" fillId="0" borderId="5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9" fontId="2" fillId="2" borderId="14" xfId="1" applyNumberFormat="1" applyFont="1" applyFill="1" applyBorder="1" applyAlignment="1">
      <alignment horizontal="center" vertical="center"/>
    </xf>
    <xf numFmtId="9" fontId="2" fillId="2" borderId="10" xfId="1" applyNumberFormat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167" fontId="4" fillId="3" borderId="54" xfId="0" applyNumberFormat="1" applyFont="1" applyFill="1" applyBorder="1" applyAlignment="1">
      <alignment horizontal="center" vertical="center"/>
    </xf>
    <xf numFmtId="167" fontId="4" fillId="3" borderId="44" xfId="0" applyNumberFormat="1" applyFont="1" applyFill="1" applyBorder="1" applyAlignment="1">
      <alignment horizontal="center" vertical="center"/>
    </xf>
    <xf numFmtId="167" fontId="4" fillId="3" borderId="43" xfId="0" applyNumberFormat="1" applyFont="1" applyFill="1" applyBorder="1" applyAlignment="1">
      <alignment horizontal="center" vertical="center"/>
    </xf>
    <xf numFmtId="2" fontId="4" fillId="3" borderId="53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2" fontId="4" fillId="3" borderId="52" xfId="0" applyNumberFormat="1" applyFont="1" applyFill="1" applyBorder="1" applyAlignment="1">
      <alignment horizontal="center" vertical="center"/>
    </xf>
    <xf numFmtId="14" fontId="2" fillId="6" borderId="14" xfId="9" applyNumberFormat="1" applyFont="1" applyFill="1" applyBorder="1" applyAlignment="1">
      <alignment horizontal="center" vertical="center"/>
    </xf>
    <xf numFmtId="14" fontId="2" fillId="6" borderId="10" xfId="9" applyNumberFormat="1" applyFont="1" applyFill="1" applyBorder="1" applyAlignment="1">
      <alignment horizontal="center" vertical="center"/>
    </xf>
    <xf numFmtId="9" fontId="2" fillId="2" borderId="10" xfId="7" applyFont="1" applyFill="1" applyBorder="1" applyAlignment="1" applyProtection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 wrapText="1"/>
    </xf>
    <xf numFmtId="0" fontId="25" fillId="0" borderId="18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2" borderId="14" xfId="1" applyFont="1" applyFill="1" applyBorder="1" applyAlignment="1">
      <alignment horizontal="center" vertical="center" wrapText="1"/>
    </xf>
    <xf numFmtId="0" fontId="22" fillId="2" borderId="18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/>
    </xf>
    <xf numFmtId="0" fontId="22" fillId="0" borderId="12" xfId="1" applyFont="1" applyBorder="1" applyAlignment="1">
      <alignment horizontal="center"/>
    </xf>
    <xf numFmtId="0" fontId="22" fillId="0" borderId="11" xfId="1" applyFont="1" applyBorder="1" applyAlignment="1">
      <alignment horizontal="center"/>
    </xf>
    <xf numFmtId="0" fontId="24" fillId="0" borderId="14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center" vertical="center"/>
    </xf>
    <xf numFmtId="2" fontId="4" fillId="0" borderId="12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1" fontId="2" fillId="0" borderId="13" xfId="1" applyNumberFormat="1" applyFont="1" applyBorder="1" applyAlignment="1">
      <alignment horizontal="left" vertical="center"/>
    </xf>
    <xf numFmtId="1" fontId="2" fillId="0" borderId="12" xfId="1" applyNumberFormat="1" applyFont="1" applyBorder="1" applyAlignment="1">
      <alignment horizontal="left" vertical="center"/>
    </xf>
    <xf numFmtId="1" fontId="2" fillId="0" borderId="11" xfId="1" applyNumberFormat="1" applyFont="1" applyBorder="1" applyAlignment="1">
      <alignment horizontal="left" vertical="center"/>
    </xf>
    <xf numFmtId="0" fontId="4" fillId="2" borderId="13" xfId="1" applyFont="1" applyFill="1" applyBorder="1" applyAlignment="1">
      <alignment horizontal="left" vertical="top" wrapText="1"/>
    </xf>
    <xf numFmtId="2" fontId="2" fillId="2" borderId="13" xfId="1" applyNumberFormat="1" applyFont="1" applyFill="1" applyBorder="1" applyAlignment="1">
      <alignment horizontal="left" vertical="center" wrapText="1"/>
    </xf>
    <xf numFmtId="2" fontId="2" fillId="2" borderId="12" xfId="1" applyNumberFormat="1" applyFont="1" applyFill="1" applyBorder="1" applyAlignment="1">
      <alignment horizontal="left" vertical="center" wrapText="1"/>
    </xf>
    <xf numFmtId="2" fontId="2" fillId="2" borderId="11" xfId="1" applyNumberFormat="1" applyFont="1" applyFill="1" applyBorder="1" applyAlignment="1">
      <alignment horizontal="left" vertical="center" wrapText="1"/>
    </xf>
    <xf numFmtId="14" fontId="3" fillId="0" borderId="1" xfId="9" applyNumberFormat="1" applyFont="1" applyBorder="1" applyAlignment="1">
      <alignment horizontal="center" vertical="center"/>
    </xf>
    <xf numFmtId="9" fontId="3" fillId="0" borderId="1" xfId="7" applyFont="1" applyBorder="1" applyAlignment="1" applyProtection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2" fillId="0" borderId="1" xfId="1" applyFont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left" vertical="center"/>
    </xf>
    <xf numFmtId="2" fontId="3" fillId="0" borderId="0" xfId="1" applyNumberFormat="1" applyFont="1" applyAlignment="1">
      <alignment horizontal="left" vertical="top" wrapText="1"/>
    </xf>
    <xf numFmtId="0" fontId="36" fillId="7" borderId="1" xfId="9" applyFont="1" applyFill="1" applyBorder="1" applyAlignment="1">
      <alignment horizontal="left" vertical="center" wrapText="1"/>
    </xf>
    <xf numFmtId="170" fontId="36" fillId="7" borderId="1" xfId="9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2" fontId="41" fillId="3" borderId="1" xfId="0" applyNumberFormat="1" applyFont="1" applyFill="1" applyBorder="1" applyAlignment="1">
      <alignment horizontal="center" vertical="center"/>
    </xf>
    <xf numFmtId="0" fontId="40" fillId="0" borderId="1" xfId="0" applyFont="1" applyBorder="1"/>
    <xf numFmtId="0" fontId="37" fillId="7" borderId="1" xfId="9" applyFont="1" applyFill="1" applyBorder="1" applyAlignment="1">
      <alignment horizontal="left" vertical="center" wrapText="1"/>
    </xf>
    <xf numFmtId="0" fontId="38" fillId="7" borderId="1" xfId="9" applyFont="1" applyFill="1" applyBorder="1" applyAlignment="1">
      <alignment horizontal="left" vertical="center" wrapText="1"/>
    </xf>
    <xf numFmtId="0" fontId="39" fillId="7" borderId="1" xfId="9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center"/>
    </xf>
    <xf numFmtId="171" fontId="2" fillId="0" borderId="1" xfId="1" applyNumberFormat="1" applyFont="1" applyBorder="1" applyAlignment="1">
      <alignment horizontal="center" vertical="center"/>
    </xf>
    <xf numFmtId="9" fontId="3" fillId="0" borderId="14" xfId="7" applyFont="1" applyBorder="1" applyAlignment="1" applyProtection="1">
      <alignment horizontal="center" vertical="center"/>
    </xf>
    <xf numFmtId="9" fontId="3" fillId="0" borderId="10" xfId="7" applyFont="1" applyBorder="1" applyAlignment="1" applyProtection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" fontId="2" fillId="0" borderId="14" xfId="1" applyNumberFormat="1" applyFont="1" applyBorder="1" applyAlignment="1">
      <alignment horizontal="center" vertical="center"/>
    </xf>
    <xf numFmtId="1" fontId="2" fillId="0" borderId="10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4" fillId="0" borderId="13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171" fontId="2" fillId="0" borderId="14" xfId="1" applyNumberFormat="1" applyFont="1" applyBorder="1" applyAlignment="1">
      <alignment horizontal="center" vertical="center"/>
    </xf>
    <xf numFmtId="171" fontId="2" fillId="0" borderId="10" xfId="1" applyNumberFormat="1" applyFont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9" fillId="5" borderId="21" xfId="0" applyFont="1" applyFill="1" applyBorder="1"/>
    <xf numFmtId="0" fontId="9" fillId="5" borderId="22" xfId="0" applyFont="1" applyFill="1" applyBorder="1"/>
    <xf numFmtId="167" fontId="17" fillId="5" borderId="20" xfId="0" applyNumberFormat="1" applyFont="1" applyFill="1" applyBorder="1" applyAlignment="1">
      <alignment horizontal="center" vertical="top"/>
    </xf>
    <xf numFmtId="2" fontId="17" fillId="5" borderId="21" xfId="0" applyNumberFormat="1" applyFont="1" applyFill="1" applyBorder="1" applyAlignment="1">
      <alignment horizontal="left" vertical="center"/>
    </xf>
  </cellXfs>
  <cellStyles count="45">
    <cellStyle name="Millares" xfId="11" builtinId="3"/>
    <cellStyle name="Millares [0]" xfId="6" builtinId="6"/>
    <cellStyle name="Millares [0] 2" xfId="8"/>
    <cellStyle name="Millares 2" xfId="4"/>
    <cellStyle name="Millares 3" xfId="24"/>
    <cellStyle name="Millares 3 2" xfId="18"/>
    <cellStyle name="Millares 4" xfId="25"/>
    <cellStyle name="Millares 5" xfId="26"/>
    <cellStyle name="Moneda" xfId="10" builtinId="4"/>
    <cellStyle name="Moneda [0]" xfId="5" builtinId="7"/>
    <cellStyle name="Moneda [0] 2" xfId="27"/>
    <cellStyle name="Moneda [0] 2 2" xfId="20"/>
    <cellStyle name="Moneda [0] 2 3" xfId="44"/>
    <cellStyle name="Moneda [0] 3" xfId="28"/>
    <cellStyle name="Moneda [0] 4" xfId="29"/>
    <cellStyle name="Moneda [0] 5" xfId="30"/>
    <cellStyle name="Moneda 2" xfId="3"/>
    <cellStyle name="Moneda 2 2" xfId="16"/>
    <cellStyle name="Moneda 2 3" xfId="22"/>
    <cellStyle name="Moneda 3" xfId="14"/>
    <cellStyle name="Moneda 3 2" xfId="31"/>
    <cellStyle name="Moneda 3 2 2" xfId="32"/>
    <cellStyle name="Moneda 3 3" xfId="19"/>
    <cellStyle name="Moneda 4" xfId="33"/>
    <cellStyle name="Moneda 5" xfId="34"/>
    <cellStyle name="Normal" xfId="0" builtinId="0"/>
    <cellStyle name="Normal 2" xfId="1"/>
    <cellStyle name="Normal 2 2" xfId="17"/>
    <cellStyle name="Normal 2 3" xfId="23"/>
    <cellStyle name="Normal 3" xfId="9"/>
    <cellStyle name="Normal 3 2" xfId="35"/>
    <cellStyle name="Normal 3 2 2" xfId="21"/>
    <cellStyle name="Normal 3 3" xfId="36"/>
    <cellStyle name="Normal 4" xfId="12"/>
    <cellStyle name="Normal 4 2" xfId="37"/>
    <cellStyle name="Normal 5" xfId="38"/>
    <cellStyle name="Normal 6" xfId="43"/>
    <cellStyle name="Porcentaje" xfId="7" builtinId="5"/>
    <cellStyle name="Porcentaje 2" xfId="2"/>
    <cellStyle name="Porcentaje 2 2" xfId="13"/>
    <cellStyle name="Porcentaje 3" xfId="15"/>
    <cellStyle name="Porcentaje 3 2" xfId="39"/>
    <cellStyle name="Porcentaje 3 2 2" xfId="40"/>
    <cellStyle name="Porcentaje 3 3" xfId="41"/>
    <cellStyle name="Porcentaje 4" xfId="4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3618" y="174625"/>
          <a:ext cx="1253133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9893" y="174625"/>
          <a:ext cx="1091208" cy="586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6" name="Imagen 5" descr="CAPITAL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" y="174625"/>
          <a:ext cx="1186458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5" name="Object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8" name="Imagen 7" descr="CAPITAL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" y="174625"/>
          <a:ext cx="1186458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6" name="Object 4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884464</xdr:colOff>
      <xdr:row>0</xdr:row>
      <xdr:rowOff>15875</xdr:rowOff>
    </xdr:from>
    <xdr:to>
      <xdr:col>13</xdr:col>
      <xdr:colOff>523875</xdr:colOff>
      <xdr:row>3</xdr:row>
      <xdr:rowOff>174625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15875"/>
          <a:ext cx="850446" cy="771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495300</xdr:colOff>
          <xdr:row>0</xdr:row>
          <xdr:rowOff>95250</xdr:rowOff>
        </xdr:from>
        <xdr:to>
          <xdr:col>0</xdr:col>
          <xdr:colOff>2133600</xdr:colOff>
          <xdr:row>3</xdr:row>
          <xdr:rowOff>114300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19050</xdr:rowOff>
        </xdr:from>
        <xdr:to>
          <xdr:col>0</xdr:col>
          <xdr:colOff>4371975</xdr:colOff>
          <xdr:row>3</xdr:row>
          <xdr:rowOff>142875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609600</xdr:colOff>
      <xdr:row>0</xdr:row>
      <xdr:rowOff>51283</xdr:rowOff>
    </xdr:from>
    <xdr:to>
      <xdr:col>13</xdr:col>
      <xdr:colOff>381000</xdr:colOff>
      <xdr:row>3</xdr:row>
      <xdr:rowOff>163116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3050" y="51283"/>
          <a:ext cx="781050" cy="74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609600</xdr:colOff>
      <xdr:row>0</xdr:row>
      <xdr:rowOff>51283</xdr:rowOff>
    </xdr:from>
    <xdr:to>
      <xdr:col>13</xdr:col>
      <xdr:colOff>381000</xdr:colOff>
      <xdr:row>3</xdr:row>
      <xdr:rowOff>163116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51283"/>
          <a:ext cx="609600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571500</xdr:colOff>
          <xdr:row>0</xdr:row>
          <xdr:rowOff>66675</xdr:rowOff>
        </xdr:from>
        <xdr:to>
          <xdr:col>0</xdr:col>
          <xdr:colOff>3467100</xdr:colOff>
          <xdr:row>3</xdr:row>
          <xdr:rowOff>142875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635000</xdr:colOff>
      <xdr:row>0</xdr:row>
      <xdr:rowOff>14883</xdr:rowOff>
    </xdr:from>
    <xdr:to>
      <xdr:col>13</xdr:col>
      <xdr:colOff>675822</xdr:colOff>
      <xdr:row>3</xdr:row>
      <xdr:rowOff>201216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0" y="14883"/>
          <a:ext cx="977447" cy="80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895349</xdr:colOff>
      <xdr:row>0</xdr:row>
      <xdr:rowOff>72033</xdr:rowOff>
    </xdr:from>
    <xdr:to>
      <xdr:col>13</xdr:col>
      <xdr:colOff>457200</xdr:colOff>
      <xdr:row>3</xdr:row>
      <xdr:rowOff>223207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5949" y="72033"/>
          <a:ext cx="742951" cy="779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88" name="Object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95" name="Object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76200</xdr:rowOff>
        </xdr:from>
        <xdr:to>
          <xdr:col>0</xdr:col>
          <xdr:colOff>4295775</xdr:colOff>
          <xdr:row>3</xdr:row>
          <xdr:rowOff>38100</xdr:rowOff>
        </xdr:to>
        <xdr:sp macro="" textlink="">
          <xdr:nvSpPr>
            <xdr:cNvPr id="44033" name="Object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0505" y="38695"/>
          <a:ext cx="1112044" cy="147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0505" y="38695"/>
          <a:ext cx="1112044" cy="147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0505" y="38695"/>
          <a:ext cx="1112044" cy="147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1168" y="33934"/>
          <a:ext cx="1240632" cy="1287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31" name="Object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368" y="33934"/>
          <a:ext cx="1069182" cy="725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37" name="Object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368" y="33934"/>
          <a:ext cx="1069182" cy="725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775607</xdr:colOff>
      <xdr:row>0</xdr:row>
      <xdr:rowOff>0</xdr:rowOff>
    </xdr:from>
    <xdr:to>
      <xdr:col>13</xdr:col>
      <xdr:colOff>149679</xdr:colOff>
      <xdr:row>3</xdr:row>
      <xdr:rowOff>190499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8286" y="0"/>
          <a:ext cx="884464" cy="802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38100</xdr:rowOff>
        </xdr:from>
        <xdr:to>
          <xdr:col>0</xdr:col>
          <xdr:colOff>3714750</xdr:colOff>
          <xdr:row>3</xdr:row>
          <xdr:rowOff>190500</xdr:rowOff>
        </xdr:to>
        <xdr:sp macro="" textlink="">
          <xdr:nvSpPr>
            <xdr:cNvPr id="39938" name="Object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0</xdr:row>
          <xdr:rowOff>447675</xdr:rowOff>
        </xdr:from>
        <xdr:to>
          <xdr:col>0</xdr:col>
          <xdr:colOff>3933825</xdr:colOff>
          <xdr:row>3</xdr:row>
          <xdr:rowOff>238125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110133</xdr:rowOff>
    </xdr:from>
    <xdr:to>
      <xdr:col>13</xdr:col>
      <xdr:colOff>669726</xdr:colOff>
      <xdr:row>3</xdr:row>
      <xdr:rowOff>363141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0868" y="110133"/>
          <a:ext cx="1567458" cy="164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10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5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14.bin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5"/>
  <sheetViews>
    <sheetView tabSelected="1" zoomScale="79" zoomScaleNormal="79" zoomScalePageLayoutView="60" workbookViewId="0">
      <selection activeCell="F40" sqref="F40"/>
    </sheetView>
  </sheetViews>
  <sheetFormatPr baseColWidth="10" defaultColWidth="12.5703125" defaultRowHeight="15"/>
  <cols>
    <col min="1" max="1" width="66.7109375" style="1" customWidth="1"/>
    <col min="2" max="2" width="10.28515625" style="1" customWidth="1"/>
    <col min="3" max="3" width="23.7109375" style="1" customWidth="1"/>
    <col min="4" max="4" width="10" style="1" customWidth="1"/>
    <col min="5" max="5" width="26" style="1" customWidth="1"/>
    <col min="6" max="6" width="23.7109375" style="1" customWidth="1"/>
    <col min="7" max="7" width="8" style="3" customWidth="1"/>
    <col min="8" max="8" width="13.42578125" style="1" customWidth="1"/>
    <col min="9" max="9" width="13.7109375" style="1" customWidth="1"/>
    <col min="10" max="10" width="15.85546875" style="2" customWidth="1"/>
    <col min="11" max="11" width="16.85546875" style="2" customWidth="1"/>
    <col min="12" max="12" width="11" style="1" customWidth="1"/>
    <col min="13" max="13" width="14" style="1" customWidth="1"/>
    <col min="14" max="14" width="16.7109375" style="1" customWidth="1"/>
    <col min="15" max="15" width="16.42578125" style="1" customWidth="1"/>
    <col min="16" max="16" width="9.5703125" style="1" customWidth="1"/>
    <col min="17" max="17" width="8.7109375" style="1" customWidth="1"/>
    <col min="18" max="18" width="20" style="74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37.5" customHeight="1">
      <c r="A1" s="530"/>
      <c r="B1" s="531" t="s">
        <v>95</v>
      </c>
      <c r="C1" s="531"/>
      <c r="D1" s="531"/>
      <c r="E1" s="531"/>
      <c r="F1" s="531"/>
      <c r="G1" s="531"/>
      <c r="H1" s="531"/>
      <c r="I1" s="532" t="s">
        <v>96</v>
      </c>
      <c r="J1" s="532"/>
      <c r="K1" s="532"/>
      <c r="L1" s="532"/>
      <c r="M1" s="530"/>
      <c r="N1" s="530"/>
      <c r="O1" s="39"/>
    </row>
    <row r="2" spans="1:248" ht="37.5" customHeight="1">
      <c r="A2" s="530"/>
      <c r="B2" s="531"/>
      <c r="C2" s="531"/>
      <c r="D2" s="531"/>
      <c r="E2" s="531"/>
      <c r="F2" s="531"/>
      <c r="G2" s="531"/>
      <c r="H2" s="531"/>
      <c r="I2" s="532" t="s">
        <v>97</v>
      </c>
      <c r="J2" s="532"/>
      <c r="K2" s="532"/>
      <c r="L2" s="532"/>
      <c r="M2" s="530"/>
      <c r="N2" s="530"/>
      <c r="O2" s="39"/>
    </row>
    <row r="3" spans="1:248" ht="33.75" customHeight="1">
      <c r="A3" s="530"/>
      <c r="B3" s="531" t="s">
        <v>98</v>
      </c>
      <c r="C3" s="531"/>
      <c r="D3" s="531"/>
      <c r="E3" s="531"/>
      <c r="F3" s="531"/>
      <c r="G3" s="531"/>
      <c r="H3" s="531"/>
      <c r="I3" s="532" t="s">
        <v>99</v>
      </c>
      <c r="J3" s="532"/>
      <c r="K3" s="532"/>
      <c r="L3" s="532"/>
      <c r="M3" s="530"/>
      <c r="N3" s="530"/>
      <c r="O3" s="39"/>
    </row>
    <row r="4" spans="1:248" ht="38.25" customHeight="1">
      <c r="A4" s="530"/>
      <c r="B4" s="531"/>
      <c r="C4" s="531"/>
      <c r="D4" s="531"/>
      <c r="E4" s="531"/>
      <c r="F4" s="531"/>
      <c r="G4" s="531"/>
      <c r="H4" s="531"/>
      <c r="I4" s="532" t="s">
        <v>100</v>
      </c>
      <c r="J4" s="532"/>
      <c r="K4" s="532"/>
      <c r="L4" s="532"/>
      <c r="M4" s="530"/>
      <c r="N4" s="530"/>
      <c r="O4" s="39"/>
    </row>
    <row r="5" spans="1:248" ht="38.25" customHeight="1">
      <c r="A5" s="530"/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39"/>
    </row>
    <row r="6" spans="1:248" ht="31.5" customHeight="1">
      <c r="A6" s="532" t="s">
        <v>180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39"/>
    </row>
    <row r="7" spans="1:248" ht="15.75">
      <c r="A7" s="40" t="s">
        <v>327</v>
      </c>
      <c r="B7" s="532" t="s">
        <v>467</v>
      </c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</row>
    <row r="8" spans="1:248" ht="15.75">
      <c r="A8" s="103" t="s">
        <v>32</v>
      </c>
      <c r="B8" s="544" t="s">
        <v>33</v>
      </c>
      <c r="C8" s="544"/>
      <c r="D8" s="544"/>
      <c r="E8" s="544"/>
      <c r="F8" s="544"/>
      <c r="G8" s="545" t="s">
        <v>179</v>
      </c>
      <c r="H8" s="545"/>
      <c r="I8" s="545"/>
      <c r="J8" s="546" t="s">
        <v>31</v>
      </c>
      <c r="K8" s="546"/>
      <c r="L8" s="546"/>
      <c r="M8" s="546"/>
      <c r="N8" s="546"/>
      <c r="O8" s="42"/>
    </row>
    <row r="9" spans="1:248" ht="15.75">
      <c r="A9" s="129" t="s">
        <v>30</v>
      </c>
      <c r="B9" s="536" t="s">
        <v>178</v>
      </c>
      <c r="C9" s="544"/>
      <c r="D9" s="544"/>
      <c r="E9" s="544"/>
      <c r="F9" s="544"/>
      <c r="G9" s="545"/>
      <c r="H9" s="545"/>
      <c r="I9" s="545"/>
      <c r="J9" s="82" t="s">
        <v>29</v>
      </c>
      <c r="K9" s="547" t="s">
        <v>28</v>
      </c>
      <c r="L9" s="547"/>
      <c r="M9" s="547"/>
      <c r="N9" s="82" t="s">
        <v>27</v>
      </c>
      <c r="O9" s="42"/>
      <c r="Q9" s="169"/>
    </row>
    <row r="10" spans="1:248" ht="46.5" customHeight="1">
      <c r="A10" s="100" t="s">
        <v>26</v>
      </c>
      <c r="B10" s="536" t="s">
        <v>177</v>
      </c>
      <c r="C10" s="536"/>
      <c r="D10" s="536"/>
      <c r="E10" s="536"/>
      <c r="F10" s="536"/>
      <c r="G10" s="545"/>
      <c r="H10" s="545"/>
      <c r="I10" s="545"/>
      <c r="J10" s="90"/>
      <c r="K10" s="542"/>
      <c r="L10" s="542"/>
      <c r="M10" s="542"/>
      <c r="N10" s="91"/>
      <c r="O10" s="42"/>
      <c r="Q10" s="170"/>
    </row>
    <row r="11" spans="1:248" ht="42.75" customHeight="1">
      <c r="A11" s="102" t="s">
        <v>25</v>
      </c>
      <c r="B11" s="536" t="s">
        <v>176</v>
      </c>
      <c r="C11" s="536"/>
      <c r="D11" s="536"/>
      <c r="E11" s="536"/>
      <c r="F11" s="536"/>
      <c r="G11" s="545"/>
      <c r="H11" s="545"/>
      <c r="I11" s="545"/>
      <c r="J11" s="131"/>
      <c r="K11" s="539"/>
      <c r="L11" s="539"/>
      <c r="M11" s="539"/>
      <c r="N11" s="89"/>
      <c r="O11" s="42"/>
      <c r="Q11" s="49"/>
    </row>
    <row r="12" spans="1:248" ht="15.75">
      <c r="A12" s="101" t="s">
        <v>24</v>
      </c>
      <c r="B12" s="548">
        <v>2020730010050</v>
      </c>
      <c r="C12" s="549"/>
      <c r="D12" s="549"/>
      <c r="E12" s="549"/>
      <c r="F12" s="550"/>
      <c r="G12" s="545"/>
      <c r="H12" s="545"/>
      <c r="I12" s="545"/>
      <c r="J12" s="90"/>
      <c r="K12" s="542"/>
      <c r="L12" s="542"/>
      <c r="M12" s="542"/>
      <c r="N12" s="91"/>
      <c r="O12" s="42"/>
      <c r="Q12" s="49"/>
    </row>
    <row r="13" spans="1:248" ht="43.5" customHeight="1">
      <c r="A13" s="537" t="s">
        <v>353</v>
      </c>
      <c r="B13" s="537"/>
      <c r="C13" s="537"/>
      <c r="D13" s="537"/>
      <c r="E13" s="537"/>
      <c r="F13" s="537"/>
      <c r="G13" s="545"/>
      <c r="H13" s="545"/>
      <c r="I13" s="545"/>
      <c r="J13" s="85"/>
      <c r="K13" s="543"/>
      <c r="L13" s="543"/>
      <c r="M13" s="543"/>
      <c r="N13" s="88"/>
      <c r="O13" s="42"/>
      <c r="Q13" s="54"/>
    </row>
    <row r="14" spans="1:248" ht="28.5" customHeight="1">
      <c r="A14" s="541" t="s">
        <v>23</v>
      </c>
      <c r="B14" s="533" t="s">
        <v>22</v>
      </c>
      <c r="C14" s="534" t="s">
        <v>21</v>
      </c>
      <c r="D14" s="534" t="s">
        <v>20</v>
      </c>
      <c r="E14" s="534" t="s">
        <v>19</v>
      </c>
      <c r="F14" s="534" t="s">
        <v>18</v>
      </c>
      <c r="G14" s="534"/>
      <c r="H14" s="534"/>
      <c r="I14" s="534"/>
      <c r="J14" s="534" t="s">
        <v>17</v>
      </c>
      <c r="K14" s="534"/>
      <c r="L14" s="540" t="s">
        <v>16</v>
      </c>
      <c r="M14" s="540"/>
      <c r="N14" s="540"/>
      <c r="O14" s="3"/>
      <c r="P14" s="143"/>
      <c r="Q14" s="171" t="s">
        <v>321</v>
      </c>
      <c r="R14" s="132" t="s">
        <v>27</v>
      </c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541"/>
      <c r="B15" s="534"/>
      <c r="C15" s="534"/>
      <c r="D15" s="534"/>
      <c r="E15" s="534"/>
      <c r="F15" s="534"/>
      <c r="G15" s="534"/>
      <c r="H15" s="534"/>
      <c r="I15" s="534"/>
      <c r="J15" s="534"/>
      <c r="K15" s="534"/>
      <c r="L15" s="534" t="s">
        <v>15</v>
      </c>
      <c r="M15" s="534" t="s">
        <v>14</v>
      </c>
      <c r="N15" s="541" t="s">
        <v>13</v>
      </c>
      <c r="O15" s="3"/>
      <c r="P15" s="146" t="s">
        <v>1</v>
      </c>
      <c r="Q15" s="145">
        <v>1</v>
      </c>
      <c r="R15" s="172">
        <f>F17+F19</f>
        <v>65261667</v>
      </c>
      <c r="S15" s="161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541"/>
      <c r="B16" s="534"/>
      <c r="C16" s="534"/>
      <c r="D16" s="534"/>
      <c r="E16" s="534"/>
      <c r="F16" s="84" t="s">
        <v>12</v>
      </c>
      <c r="G16" s="84" t="s">
        <v>11</v>
      </c>
      <c r="H16" s="84" t="s">
        <v>10</v>
      </c>
      <c r="I16" s="10" t="s">
        <v>9</v>
      </c>
      <c r="J16" s="84" t="s">
        <v>8</v>
      </c>
      <c r="K16" s="130" t="s">
        <v>7</v>
      </c>
      <c r="L16" s="534"/>
      <c r="M16" s="534"/>
      <c r="N16" s="541"/>
      <c r="O16" s="3"/>
      <c r="P16" s="146" t="s">
        <v>0</v>
      </c>
      <c r="Q16" s="149"/>
      <c r="R16" s="172">
        <f>F18+F20</f>
        <v>64563953</v>
      </c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19" s="74" customFormat="1" ht="27" customHeight="1">
      <c r="A17" s="448" t="s">
        <v>175</v>
      </c>
      <c r="B17" s="111" t="s">
        <v>1</v>
      </c>
      <c r="C17" s="444" t="s">
        <v>174</v>
      </c>
      <c r="D17" s="97">
        <v>2</v>
      </c>
      <c r="E17" s="11">
        <f t="shared" ref="E17:E38" si="0">F17</f>
        <v>8400000</v>
      </c>
      <c r="F17" s="11">
        <v>8400000</v>
      </c>
      <c r="G17" s="11">
        <v>0</v>
      </c>
      <c r="H17" s="11">
        <v>0</v>
      </c>
      <c r="I17" s="11">
        <v>0</v>
      </c>
      <c r="J17" s="535">
        <v>44946</v>
      </c>
      <c r="K17" s="535">
        <v>45275</v>
      </c>
      <c r="L17" s="538">
        <f>D18/D17</f>
        <v>0</v>
      </c>
      <c r="M17" s="538">
        <f>E18/E17</f>
        <v>0.92011904761904761</v>
      </c>
      <c r="N17" s="558">
        <v>0</v>
      </c>
      <c r="Q17" s="178"/>
    </row>
    <row r="18" spans="1:19" s="74" customFormat="1" ht="27" customHeight="1">
      <c r="A18" s="449"/>
      <c r="B18" s="111" t="s">
        <v>0</v>
      </c>
      <c r="C18" s="444"/>
      <c r="D18" s="264">
        <v>0</v>
      </c>
      <c r="E18" s="11">
        <f t="shared" si="0"/>
        <v>7729000</v>
      </c>
      <c r="F18" s="11">
        <v>7729000</v>
      </c>
      <c r="G18" s="11">
        <v>0</v>
      </c>
      <c r="H18" s="11">
        <v>0</v>
      </c>
      <c r="I18" s="11">
        <v>0</v>
      </c>
      <c r="J18" s="535"/>
      <c r="K18" s="535"/>
      <c r="L18" s="538"/>
      <c r="M18" s="538"/>
      <c r="N18" s="558"/>
      <c r="P18" s="151"/>
      <c r="Q18" s="179" t="s">
        <v>321</v>
      </c>
      <c r="R18" s="132" t="s">
        <v>27</v>
      </c>
    </row>
    <row r="19" spans="1:19" s="74" customFormat="1" ht="25.5" customHeight="1">
      <c r="A19" s="448" t="s">
        <v>173</v>
      </c>
      <c r="B19" s="111" t="s">
        <v>1</v>
      </c>
      <c r="C19" s="441" t="s">
        <v>172</v>
      </c>
      <c r="D19" s="264">
        <v>2</v>
      </c>
      <c r="E19" s="11">
        <f t="shared" si="0"/>
        <v>56861667</v>
      </c>
      <c r="F19" s="325">
        <v>56861667</v>
      </c>
      <c r="G19" s="11">
        <v>0</v>
      </c>
      <c r="H19" s="11">
        <v>0</v>
      </c>
      <c r="I19" s="11">
        <v>0</v>
      </c>
      <c r="J19" s="535">
        <v>44946</v>
      </c>
      <c r="K19" s="535">
        <v>45275</v>
      </c>
      <c r="L19" s="538">
        <f>D20/D19</f>
        <v>1</v>
      </c>
      <c r="M19" s="538">
        <f>E20/E19</f>
        <v>0.99953019316158986</v>
      </c>
      <c r="N19" s="558">
        <v>0</v>
      </c>
      <c r="P19" s="180" t="s">
        <v>1</v>
      </c>
      <c r="Q19" s="181">
        <v>8</v>
      </c>
      <c r="R19" s="158">
        <f>F21</f>
        <v>141563064</v>
      </c>
    </row>
    <row r="20" spans="1:19" s="74" customFormat="1" ht="25.5" customHeight="1">
      <c r="A20" s="449"/>
      <c r="B20" s="111" t="s">
        <v>0</v>
      </c>
      <c r="C20" s="442"/>
      <c r="D20" s="264">
        <v>2</v>
      </c>
      <c r="E20" s="11">
        <f t="shared" si="0"/>
        <v>56834953</v>
      </c>
      <c r="F20" s="11">
        <v>56834953</v>
      </c>
      <c r="G20" s="11">
        <v>0</v>
      </c>
      <c r="H20" s="11">
        <v>0</v>
      </c>
      <c r="I20" s="11">
        <v>0</v>
      </c>
      <c r="J20" s="535"/>
      <c r="K20" s="535"/>
      <c r="L20" s="538"/>
      <c r="M20" s="538"/>
      <c r="N20" s="558"/>
      <c r="P20" s="180" t="s">
        <v>0</v>
      </c>
      <c r="Q20" s="182"/>
      <c r="R20" s="158">
        <f>F22</f>
        <v>132855700</v>
      </c>
      <c r="S20" s="201">
        <v>7200000</v>
      </c>
    </row>
    <row r="21" spans="1:19" s="74" customFormat="1" ht="25.5" customHeight="1">
      <c r="A21" s="443" t="s">
        <v>171</v>
      </c>
      <c r="B21" s="111" t="s">
        <v>1</v>
      </c>
      <c r="C21" s="444" t="s">
        <v>170</v>
      </c>
      <c r="D21" s="97">
        <v>1</v>
      </c>
      <c r="E21" s="11">
        <f t="shared" si="0"/>
        <v>141563064</v>
      </c>
      <c r="F21" s="11">
        <v>141563064</v>
      </c>
      <c r="G21" s="11">
        <v>0</v>
      </c>
      <c r="H21" s="11">
        <v>0</v>
      </c>
      <c r="I21" s="11">
        <v>0</v>
      </c>
      <c r="J21" s="535">
        <v>44946</v>
      </c>
      <c r="K21" s="535">
        <v>45275</v>
      </c>
      <c r="L21" s="538">
        <f>D22/D21</f>
        <v>0.6</v>
      </c>
      <c r="M21" s="538">
        <f>E22/E21</f>
        <v>0.93849127198885718</v>
      </c>
      <c r="N21" s="551">
        <f>L21*L21/M21</f>
        <v>0.38359440385320315</v>
      </c>
      <c r="P21" s="180" t="s">
        <v>1</v>
      </c>
      <c r="Q21" s="181">
        <v>9</v>
      </c>
      <c r="R21" s="173">
        <f>F23</f>
        <v>0</v>
      </c>
      <c r="S21" s="198"/>
    </row>
    <row r="22" spans="1:19" s="74" customFormat="1" ht="25.5" customHeight="1">
      <c r="A22" s="443"/>
      <c r="B22" s="111" t="s">
        <v>0</v>
      </c>
      <c r="C22" s="444"/>
      <c r="D22" s="264">
        <v>0.6</v>
      </c>
      <c r="E22" s="11">
        <f t="shared" si="0"/>
        <v>132855700</v>
      </c>
      <c r="F22" s="11">
        <v>132855700</v>
      </c>
      <c r="G22" s="11">
        <v>0</v>
      </c>
      <c r="H22" s="11">
        <v>0</v>
      </c>
      <c r="I22" s="11">
        <v>0</v>
      </c>
      <c r="J22" s="535"/>
      <c r="K22" s="535"/>
      <c r="L22" s="538"/>
      <c r="M22" s="538"/>
      <c r="N22" s="551"/>
      <c r="P22" s="180" t="s">
        <v>0</v>
      </c>
      <c r="Q22" s="182"/>
      <c r="R22" s="173">
        <f>F24</f>
        <v>0</v>
      </c>
      <c r="S22" s="201">
        <f>5100000+3600000+2677000+4250000</f>
        <v>15627000</v>
      </c>
    </row>
    <row r="23" spans="1:19" s="74" customFormat="1" ht="33" customHeight="1">
      <c r="A23" s="445" t="s">
        <v>169</v>
      </c>
      <c r="B23" s="111" t="s">
        <v>1</v>
      </c>
      <c r="C23" s="441" t="s">
        <v>168</v>
      </c>
      <c r="D23" s="97">
        <v>1</v>
      </c>
      <c r="E23" s="11">
        <f t="shared" si="0"/>
        <v>0</v>
      </c>
      <c r="F23" s="11">
        <v>0</v>
      </c>
      <c r="G23" s="11">
        <v>0</v>
      </c>
      <c r="H23" s="11">
        <v>0</v>
      </c>
      <c r="I23" s="11">
        <v>0</v>
      </c>
      <c r="J23" s="552">
        <v>44946</v>
      </c>
      <c r="K23" s="552">
        <v>45275</v>
      </c>
      <c r="L23" s="554">
        <f>D24/D23</f>
        <v>1</v>
      </c>
      <c r="M23" s="554" t="e">
        <f>E24/E23</f>
        <v>#DIV/0!</v>
      </c>
      <c r="N23" s="559">
        <v>0</v>
      </c>
    </row>
    <row r="24" spans="1:19" s="74" customFormat="1" ht="33" customHeight="1">
      <c r="A24" s="446"/>
      <c r="B24" s="111" t="s">
        <v>0</v>
      </c>
      <c r="C24" s="442"/>
      <c r="D24" s="97">
        <v>1</v>
      </c>
      <c r="E24" s="11">
        <f t="shared" si="0"/>
        <v>0</v>
      </c>
      <c r="F24" s="11">
        <v>0</v>
      </c>
      <c r="G24" s="11">
        <v>0</v>
      </c>
      <c r="H24" s="11">
        <v>0</v>
      </c>
      <c r="I24" s="11">
        <v>0</v>
      </c>
      <c r="J24" s="553"/>
      <c r="K24" s="553"/>
      <c r="L24" s="555"/>
      <c r="M24" s="555"/>
      <c r="N24" s="560"/>
      <c r="P24" s="151"/>
      <c r="Q24" s="179" t="s">
        <v>321</v>
      </c>
      <c r="R24" s="132" t="s">
        <v>27</v>
      </c>
      <c r="S24" s="183"/>
    </row>
    <row r="25" spans="1:19" s="74" customFormat="1" ht="48" customHeight="1">
      <c r="A25" s="447" t="s">
        <v>167</v>
      </c>
      <c r="B25" s="111" t="s">
        <v>1</v>
      </c>
      <c r="C25" s="444" t="s">
        <v>166</v>
      </c>
      <c r="D25" s="265">
        <v>1</v>
      </c>
      <c r="E25" s="11">
        <f t="shared" si="0"/>
        <v>176366284</v>
      </c>
      <c r="F25" s="207">
        <v>176366284</v>
      </c>
      <c r="G25" s="11">
        <v>0</v>
      </c>
      <c r="H25" s="11">
        <v>0</v>
      </c>
      <c r="I25" s="11">
        <v>0</v>
      </c>
      <c r="J25" s="535">
        <v>44946</v>
      </c>
      <c r="K25" s="535">
        <v>45275</v>
      </c>
      <c r="L25" s="554">
        <f>D26/D25</f>
        <v>1</v>
      </c>
      <c r="M25" s="554">
        <f>E26/E25</f>
        <v>0.99312179191800631</v>
      </c>
      <c r="N25" s="556">
        <f>L25*L25/M25</f>
        <v>1.0069258454884067</v>
      </c>
      <c r="P25" s="180" t="s">
        <v>1</v>
      </c>
      <c r="Q25" s="181">
        <v>2</v>
      </c>
      <c r="R25" s="158">
        <f>F25+F27+F29</f>
        <v>266366284</v>
      </c>
      <c r="S25" s="183"/>
    </row>
    <row r="26" spans="1:19" s="74" customFormat="1" ht="48" customHeight="1">
      <c r="A26" s="447"/>
      <c r="B26" s="111" t="s">
        <v>0</v>
      </c>
      <c r="C26" s="444"/>
      <c r="D26" s="265">
        <v>1</v>
      </c>
      <c r="E26" s="11">
        <f t="shared" si="0"/>
        <v>175153200</v>
      </c>
      <c r="F26" s="207">
        <v>175153200</v>
      </c>
      <c r="G26" s="11">
        <v>0</v>
      </c>
      <c r="H26" s="11">
        <v>0</v>
      </c>
      <c r="I26" s="11">
        <v>0</v>
      </c>
      <c r="J26" s="535"/>
      <c r="K26" s="535"/>
      <c r="L26" s="555"/>
      <c r="M26" s="555"/>
      <c r="N26" s="557"/>
      <c r="P26" s="180" t="s">
        <v>0</v>
      </c>
      <c r="Q26" s="182"/>
      <c r="R26" s="202">
        <f>F26+F28+F30</f>
        <v>265153200</v>
      </c>
      <c r="S26" s="201">
        <f>2677000+7200000+438453</f>
        <v>10315453</v>
      </c>
    </row>
    <row r="27" spans="1:19" s="74" customFormat="1" ht="29.25" customHeight="1">
      <c r="A27" s="445" t="s">
        <v>165</v>
      </c>
      <c r="B27" s="111" t="s">
        <v>1</v>
      </c>
      <c r="C27" s="441" t="s">
        <v>163</v>
      </c>
      <c r="D27" s="97">
        <v>2</v>
      </c>
      <c r="E27" s="11">
        <f t="shared" si="0"/>
        <v>45000000</v>
      </c>
      <c r="F27" s="325">
        <v>45000000</v>
      </c>
      <c r="G27" s="11">
        <v>0</v>
      </c>
      <c r="H27" s="11">
        <v>0</v>
      </c>
      <c r="I27" s="11">
        <v>0</v>
      </c>
      <c r="J27" s="535">
        <v>44946</v>
      </c>
      <c r="K27" s="535">
        <v>45275</v>
      </c>
      <c r="L27" s="538">
        <f>D28/D27</f>
        <v>1</v>
      </c>
      <c r="M27" s="538">
        <f>E28/E27</f>
        <v>1</v>
      </c>
      <c r="N27" s="558">
        <f>L27*L27/M27</f>
        <v>1</v>
      </c>
      <c r="S27" s="183"/>
    </row>
    <row r="28" spans="1:19" s="74" customFormat="1" ht="34.5" customHeight="1">
      <c r="A28" s="446"/>
      <c r="B28" s="111" t="s">
        <v>0</v>
      </c>
      <c r="C28" s="442"/>
      <c r="D28" s="97">
        <v>2</v>
      </c>
      <c r="E28" s="11">
        <f t="shared" si="0"/>
        <v>45000000</v>
      </c>
      <c r="F28" s="11">
        <v>45000000</v>
      </c>
      <c r="G28" s="11">
        <v>0</v>
      </c>
      <c r="H28" s="11">
        <v>0</v>
      </c>
      <c r="I28" s="11">
        <v>0</v>
      </c>
      <c r="J28" s="535"/>
      <c r="K28" s="535"/>
      <c r="L28" s="538"/>
      <c r="M28" s="538"/>
      <c r="N28" s="558"/>
      <c r="S28" s="183"/>
    </row>
    <row r="29" spans="1:19" s="74" customFormat="1" ht="34.5" customHeight="1">
      <c r="A29" s="447" t="s">
        <v>164</v>
      </c>
      <c r="B29" s="111" t="s">
        <v>1</v>
      </c>
      <c r="C29" s="444" t="s">
        <v>163</v>
      </c>
      <c r="D29" s="97">
        <v>4</v>
      </c>
      <c r="E29" s="11">
        <f t="shared" si="0"/>
        <v>45000000</v>
      </c>
      <c r="F29" s="325">
        <v>45000000</v>
      </c>
      <c r="G29" s="11">
        <v>0</v>
      </c>
      <c r="H29" s="11">
        <v>0</v>
      </c>
      <c r="I29" s="11">
        <v>0</v>
      </c>
      <c r="J29" s="535">
        <v>44946</v>
      </c>
      <c r="K29" s="535">
        <v>45275</v>
      </c>
      <c r="L29" s="538">
        <f>D30/D29</f>
        <v>0.75</v>
      </c>
      <c r="M29" s="538">
        <f>E30/E29</f>
        <v>1</v>
      </c>
      <c r="N29" s="551">
        <f>L29*L29/M29</f>
        <v>0.5625</v>
      </c>
      <c r="S29" s="183"/>
    </row>
    <row r="30" spans="1:19" s="74" customFormat="1" ht="34.5" customHeight="1">
      <c r="A30" s="447"/>
      <c r="B30" s="111" t="s">
        <v>0</v>
      </c>
      <c r="C30" s="444"/>
      <c r="D30" s="97">
        <v>3</v>
      </c>
      <c r="E30" s="11">
        <f t="shared" si="0"/>
        <v>45000000</v>
      </c>
      <c r="F30" s="11">
        <v>45000000</v>
      </c>
      <c r="G30" s="11">
        <v>0</v>
      </c>
      <c r="H30" s="11">
        <v>0</v>
      </c>
      <c r="I30" s="11">
        <v>0</v>
      </c>
      <c r="J30" s="535"/>
      <c r="K30" s="535"/>
      <c r="L30" s="538"/>
      <c r="M30" s="538"/>
      <c r="N30" s="551"/>
      <c r="S30" s="183"/>
    </row>
    <row r="31" spans="1:19" s="74" customFormat="1" ht="23.25" customHeight="1">
      <c r="A31" s="450" t="s">
        <v>162</v>
      </c>
      <c r="B31" s="111" t="s">
        <v>1</v>
      </c>
      <c r="C31" s="441" t="s">
        <v>161</v>
      </c>
      <c r="D31" s="97">
        <v>40</v>
      </c>
      <c r="E31" s="11">
        <f t="shared" si="0"/>
        <v>0</v>
      </c>
      <c r="F31" s="11">
        <v>0</v>
      </c>
      <c r="G31" s="11">
        <v>0</v>
      </c>
      <c r="H31" s="11">
        <v>0</v>
      </c>
      <c r="I31" s="11">
        <v>0</v>
      </c>
      <c r="J31" s="552">
        <v>44946</v>
      </c>
      <c r="K31" s="552">
        <v>45275</v>
      </c>
      <c r="L31" s="554">
        <f>D32/D31</f>
        <v>1</v>
      </c>
      <c r="M31" s="554" t="e">
        <f>E32/E31</f>
        <v>#DIV/0!</v>
      </c>
      <c r="N31" s="559">
        <v>0</v>
      </c>
      <c r="P31" s="180" t="s">
        <v>1</v>
      </c>
      <c r="Q31" s="181">
        <v>3</v>
      </c>
      <c r="R31" s="158" t="e">
        <f>F31+#REF!</f>
        <v>#REF!</v>
      </c>
      <c r="S31" s="183"/>
    </row>
    <row r="32" spans="1:19" s="74" customFormat="1" ht="23.25" customHeight="1">
      <c r="A32" s="451"/>
      <c r="B32" s="111" t="s">
        <v>0</v>
      </c>
      <c r="C32" s="442"/>
      <c r="D32" s="97">
        <v>40</v>
      </c>
      <c r="E32" s="11">
        <f t="shared" si="0"/>
        <v>0</v>
      </c>
      <c r="F32" s="11">
        <v>0</v>
      </c>
      <c r="G32" s="11">
        <v>0</v>
      </c>
      <c r="H32" s="11">
        <v>0</v>
      </c>
      <c r="I32" s="11">
        <v>0</v>
      </c>
      <c r="J32" s="553"/>
      <c r="K32" s="553"/>
      <c r="L32" s="555"/>
      <c r="M32" s="555"/>
      <c r="N32" s="560"/>
      <c r="P32" s="180" t="s">
        <v>0</v>
      </c>
      <c r="Q32" s="182"/>
      <c r="R32" s="158" t="e">
        <f>F32+#REF!</f>
        <v>#REF!</v>
      </c>
      <c r="S32" s="183"/>
    </row>
    <row r="33" spans="1:50" s="74" customFormat="1" ht="24" customHeight="1">
      <c r="A33" s="447" t="s">
        <v>160</v>
      </c>
      <c r="B33" s="111" t="s">
        <v>1</v>
      </c>
      <c r="C33" s="444" t="s">
        <v>34</v>
      </c>
      <c r="D33" s="97">
        <v>1</v>
      </c>
      <c r="E33" s="11">
        <f t="shared" si="0"/>
        <v>121313000</v>
      </c>
      <c r="F33" s="11">
        <v>121313000</v>
      </c>
      <c r="G33" s="11">
        <v>0</v>
      </c>
      <c r="H33" s="11">
        <v>0</v>
      </c>
      <c r="I33" s="11">
        <v>0</v>
      </c>
      <c r="J33" s="535">
        <v>44946</v>
      </c>
      <c r="K33" s="535">
        <v>45275</v>
      </c>
      <c r="L33" s="538">
        <f>D34/D33</f>
        <v>1</v>
      </c>
      <c r="M33" s="538">
        <f>E34/E33</f>
        <v>0.95847518402809262</v>
      </c>
      <c r="N33" s="561">
        <f>L33*L33/M33</f>
        <v>1.0433238300415824</v>
      </c>
      <c r="P33" s="180" t="s">
        <v>1</v>
      </c>
      <c r="Q33" s="181">
        <v>4</v>
      </c>
      <c r="R33" s="158">
        <f>F33</f>
        <v>121313000</v>
      </c>
      <c r="S33" s="183"/>
    </row>
    <row r="34" spans="1:50" s="74" customFormat="1" ht="25.5" customHeight="1">
      <c r="A34" s="447"/>
      <c r="B34" s="111" t="s">
        <v>0</v>
      </c>
      <c r="C34" s="444"/>
      <c r="D34" s="97">
        <v>1</v>
      </c>
      <c r="E34" s="11">
        <f t="shared" si="0"/>
        <v>116275500</v>
      </c>
      <c r="F34" s="11">
        <v>116275500</v>
      </c>
      <c r="G34" s="11">
        <v>0</v>
      </c>
      <c r="H34" s="11">
        <v>0</v>
      </c>
      <c r="I34" s="11">
        <v>0</v>
      </c>
      <c r="J34" s="535"/>
      <c r="K34" s="535"/>
      <c r="L34" s="538"/>
      <c r="M34" s="538"/>
      <c r="N34" s="561"/>
      <c r="P34" s="180" t="s">
        <v>0</v>
      </c>
      <c r="Q34" s="182"/>
      <c r="R34" s="158">
        <f>F34</f>
        <v>116275500</v>
      </c>
      <c r="S34" s="201">
        <v>2677000</v>
      </c>
    </row>
    <row r="35" spans="1:50" s="74" customFormat="1" ht="20.25" customHeight="1">
      <c r="A35" s="447" t="s">
        <v>336</v>
      </c>
      <c r="B35" s="111" t="s">
        <v>1</v>
      </c>
      <c r="C35" s="444" t="s">
        <v>159</v>
      </c>
      <c r="D35" s="97">
        <v>1</v>
      </c>
      <c r="E35" s="11">
        <f t="shared" si="0"/>
        <v>300000000</v>
      </c>
      <c r="F35" s="11">
        <v>300000000</v>
      </c>
      <c r="G35" s="11">
        <v>0</v>
      </c>
      <c r="H35" s="11">
        <v>0</v>
      </c>
      <c r="I35" s="11">
        <v>0</v>
      </c>
      <c r="J35" s="535">
        <v>44946</v>
      </c>
      <c r="K35" s="535">
        <v>45275</v>
      </c>
      <c r="L35" s="538">
        <f>D36/D35</f>
        <v>1</v>
      </c>
      <c r="M35" s="538">
        <f>E36/E35</f>
        <v>1</v>
      </c>
      <c r="N35" s="561">
        <v>0</v>
      </c>
      <c r="P35" s="180" t="s">
        <v>1</v>
      </c>
      <c r="Q35" s="181">
        <v>6</v>
      </c>
      <c r="R35" s="158">
        <f>F35+F37</f>
        <v>315000000</v>
      </c>
      <c r="S35" s="183"/>
    </row>
    <row r="36" spans="1:50" s="74" customFormat="1" ht="20.25">
      <c r="A36" s="447"/>
      <c r="B36" s="111" t="s">
        <v>0</v>
      </c>
      <c r="C36" s="444"/>
      <c r="D36" s="97">
        <v>1</v>
      </c>
      <c r="E36" s="11">
        <f t="shared" si="0"/>
        <v>300000000</v>
      </c>
      <c r="F36" s="11">
        <v>300000000</v>
      </c>
      <c r="G36" s="11">
        <v>0</v>
      </c>
      <c r="H36" s="11">
        <v>0</v>
      </c>
      <c r="I36" s="11">
        <v>0</v>
      </c>
      <c r="J36" s="535"/>
      <c r="K36" s="535"/>
      <c r="L36" s="538"/>
      <c r="M36" s="538"/>
      <c r="N36" s="561"/>
      <c r="P36" s="180" t="s">
        <v>0</v>
      </c>
      <c r="Q36" s="182"/>
      <c r="R36" s="202">
        <f>F36+F38</f>
        <v>315000000</v>
      </c>
      <c r="S36" s="183"/>
    </row>
    <row r="37" spans="1:50" s="74" customFormat="1" ht="32.25" customHeight="1">
      <c r="A37" s="447" t="s">
        <v>158</v>
      </c>
      <c r="B37" s="111" t="s">
        <v>1</v>
      </c>
      <c r="C37" s="444" t="s">
        <v>157</v>
      </c>
      <c r="D37" s="97">
        <v>4</v>
      </c>
      <c r="E37" s="11">
        <f t="shared" si="0"/>
        <v>15000000</v>
      </c>
      <c r="F37" s="11">
        <v>15000000</v>
      </c>
      <c r="G37" s="11">
        <v>0</v>
      </c>
      <c r="H37" s="11">
        <v>0</v>
      </c>
      <c r="I37" s="11">
        <v>0</v>
      </c>
      <c r="J37" s="535">
        <v>44946</v>
      </c>
      <c r="K37" s="535">
        <v>45275</v>
      </c>
      <c r="L37" s="538">
        <f>D38/D37</f>
        <v>0</v>
      </c>
      <c r="M37" s="538">
        <f>E38/E37</f>
        <v>1</v>
      </c>
      <c r="N37" s="561">
        <f>L37*L37/M37</f>
        <v>0</v>
      </c>
      <c r="P37" s="180" t="s">
        <v>1</v>
      </c>
      <c r="Q37" s="181">
        <v>10</v>
      </c>
      <c r="R37" s="158" t="e">
        <f>#REF!</f>
        <v>#REF!</v>
      </c>
      <c r="S37" s="183"/>
    </row>
    <row r="38" spans="1:50" s="74" customFormat="1" ht="32.25" customHeight="1">
      <c r="A38" s="447"/>
      <c r="B38" s="111" t="s">
        <v>0</v>
      </c>
      <c r="C38" s="444"/>
      <c r="D38" s="97">
        <v>0</v>
      </c>
      <c r="E38" s="11">
        <f t="shared" si="0"/>
        <v>15000000</v>
      </c>
      <c r="F38" s="11">
        <v>15000000</v>
      </c>
      <c r="G38" s="11">
        <v>0</v>
      </c>
      <c r="H38" s="11">
        <v>0</v>
      </c>
      <c r="I38" s="11">
        <v>0</v>
      </c>
      <c r="J38" s="535"/>
      <c r="K38" s="535"/>
      <c r="L38" s="538"/>
      <c r="M38" s="538"/>
      <c r="N38" s="561"/>
      <c r="P38" s="180" t="s">
        <v>0</v>
      </c>
      <c r="Q38" s="182"/>
      <c r="R38" s="158" t="e">
        <f>#REF!</f>
        <v>#REF!</v>
      </c>
      <c r="S38" s="201">
        <v>0</v>
      </c>
    </row>
    <row r="39" spans="1:50" ht="19.5" customHeight="1">
      <c r="A39" s="526" t="s">
        <v>6</v>
      </c>
      <c r="B39" s="38" t="s">
        <v>1</v>
      </c>
      <c r="C39" s="527"/>
      <c r="D39" s="95"/>
      <c r="E39" s="94">
        <f>E17+E19+E21+E23+E25+E27+E29+E31+E33+E35+E37</f>
        <v>909504015</v>
      </c>
      <c r="F39" s="94">
        <f t="shared" ref="F39:H40" si="1">F17+F19+F21+F23+F25+F27+F29+F31+F33+F35+F37</f>
        <v>909504015</v>
      </c>
      <c r="G39" s="94">
        <f t="shared" si="1"/>
        <v>0</v>
      </c>
      <c r="H39" s="94">
        <f t="shared" si="1"/>
        <v>0</v>
      </c>
      <c r="I39" s="94">
        <f>I17+I19+I21+I23+I25+I27+I29+I31+I33+I35+I37</f>
        <v>0</v>
      </c>
      <c r="J39" s="28"/>
      <c r="K39" s="29"/>
      <c r="L39" s="29"/>
      <c r="M39" s="29"/>
      <c r="N39" s="29"/>
      <c r="P39" s="146" t="s">
        <v>1</v>
      </c>
      <c r="Q39" s="181"/>
      <c r="R39" s="174" t="e">
        <f>R15+R19+R21+R25+R31+R33+#REF!+R35+R37+#REF!</f>
        <v>#REF!</v>
      </c>
      <c r="S39" s="161"/>
      <c r="U39" s="74"/>
    </row>
    <row r="40" spans="1:50" ht="20.25" customHeight="1">
      <c r="A40" s="526"/>
      <c r="B40" s="38" t="s">
        <v>0</v>
      </c>
      <c r="C40" s="527"/>
      <c r="D40" s="95"/>
      <c r="E40" s="94">
        <f>E18+E20+E22+E24+E26+E28+E30+E32+E34+E36+E38</f>
        <v>893848353</v>
      </c>
      <c r="F40" s="94">
        <f t="shared" si="1"/>
        <v>893848353</v>
      </c>
      <c r="G40" s="94">
        <f t="shared" si="1"/>
        <v>0</v>
      </c>
      <c r="H40" s="94">
        <f t="shared" si="1"/>
        <v>0</v>
      </c>
      <c r="I40" s="94">
        <f>I18+I20+I22+I24+I26+I28+I30+I32+I34+I36+I38</f>
        <v>0</v>
      </c>
      <c r="J40" s="31"/>
      <c r="K40" s="29"/>
      <c r="L40" s="29"/>
      <c r="M40" s="29"/>
      <c r="N40" s="29"/>
      <c r="P40" s="146" t="s">
        <v>0</v>
      </c>
      <c r="Q40" s="208"/>
      <c r="R40" s="174" t="e">
        <f>R16+R20+R22+R26+R32+R34+#REF!+R36+R38+#REF!</f>
        <v>#REF!</v>
      </c>
      <c r="S40" s="174" t="e">
        <f>S16+S20+S22+S26+S32+S34+#REF!+S36+S38+#REF!</f>
        <v>#REF!</v>
      </c>
    </row>
    <row r="41" spans="1:50" s="74" customFormat="1" ht="20.25" customHeight="1">
      <c r="A41" s="184" t="s">
        <v>5</v>
      </c>
      <c r="B41" s="528" t="s">
        <v>4</v>
      </c>
      <c r="C41" s="525"/>
      <c r="D41" s="525"/>
      <c r="E41" s="529" t="s">
        <v>3</v>
      </c>
      <c r="F41" s="525"/>
      <c r="G41" s="525"/>
      <c r="H41" s="525"/>
      <c r="I41" s="185"/>
      <c r="J41" s="524" t="s">
        <v>2</v>
      </c>
      <c r="K41" s="525"/>
      <c r="L41" s="525"/>
      <c r="M41" s="525"/>
      <c r="N41" s="525"/>
      <c r="O41" s="186"/>
      <c r="P41" s="183"/>
      <c r="Q41" s="183"/>
      <c r="R41" s="183"/>
      <c r="S41" s="183"/>
      <c r="AR41" s="186"/>
      <c r="AS41" s="186"/>
      <c r="AT41" s="186"/>
      <c r="AU41" s="186"/>
      <c r="AV41" s="186"/>
      <c r="AW41" s="186"/>
      <c r="AX41" s="186"/>
    </row>
    <row r="42" spans="1:50" ht="57.75" customHeight="1">
      <c r="A42" s="512" t="s">
        <v>141</v>
      </c>
      <c r="B42" s="507" t="s">
        <v>156</v>
      </c>
      <c r="C42" s="508"/>
      <c r="D42" s="509"/>
      <c r="E42" s="510" t="s">
        <v>155</v>
      </c>
      <c r="F42" s="511"/>
      <c r="G42" s="511"/>
      <c r="H42" s="93" t="s">
        <v>1</v>
      </c>
      <c r="I42" s="266">
        <v>5</v>
      </c>
      <c r="J42" s="515" t="s">
        <v>460</v>
      </c>
      <c r="K42" s="516"/>
      <c r="L42" s="516"/>
      <c r="M42" s="516"/>
      <c r="N42" s="517"/>
      <c r="O42" s="56"/>
      <c r="P42" s="183"/>
      <c r="Q42" s="183"/>
      <c r="R42" s="183"/>
      <c r="S42" s="183"/>
      <c r="AR42" s="56"/>
      <c r="AS42" s="56"/>
      <c r="AT42" s="56"/>
      <c r="AU42" s="56"/>
      <c r="AV42" s="56"/>
      <c r="AW42" s="56"/>
      <c r="AX42" s="56"/>
    </row>
    <row r="43" spans="1:50" ht="57.75" customHeight="1">
      <c r="A43" s="512"/>
      <c r="B43" s="509"/>
      <c r="C43" s="509"/>
      <c r="D43" s="509"/>
      <c r="E43" s="511"/>
      <c r="F43" s="511"/>
      <c r="G43" s="511"/>
      <c r="H43" s="93" t="s">
        <v>0</v>
      </c>
      <c r="I43" s="266">
        <v>0</v>
      </c>
      <c r="J43" s="518"/>
      <c r="K43" s="519"/>
      <c r="L43" s="519"/>
      <c r="M43" s="519"/>
      <c r="N43" s="520"/>
      <c r="O43" s="56"/>
      <c r="P43" s="183"/>
      <c r="Q43" s="183"/>
      <c r="R43" s="183"/>
      <c r="S43" s="183"/>
      <c r="AR43" s="56"/>
      <c r="AS43" s="56"/>
      <c r="AT43" s="56"/>
      <c r="AU43" s="56"/>
      <c r="AV43" s="56"/>
      <c r="AW43" s="56"/>
      <c r="AX43" s="56"/>
    </row>
    <row r="44" spans="1:50" ht="23.25" customHeight="1">
      <c r="A44" s="512" t="s">
        <v>141</v>
      </c>
      <c r="B44" s="507" t="s">
        <v>154</v>
      </c>
      <c r="C44" s="509"/>
      <c r="D44" s="509"/>
      <c r="E44" s="510" t="s">
        <v>153</v>
      </c>
      <c r="F44" s="511"/>
      <c r="G44" s="511"/>
      <c r="H44" s="93" t="s">
        <v>1</v>
      </c>
      <c r="I44" s="267">
        <v>1</v>
      </c>
      <c r="J44" s="518"/>
      <c r="K44" s="519"/>
      <c r="L44" s="519"/>
      <c r="M44" s="519"/>
      <c r="N44" s="520"/>
      <c r="O44" s="56"/>
      <c r="P44" s="183"/>
      <c r="Q44" s="183"/>
      <c r="R44" s="183"/>
      <c r="S44" s="183"/>
      <c r="AR44" s="56"/>
      <c r="AS44" s="56"/>
      <c r="AT44" s="56"/>
      <c r="AU44" s="56"/>
      <c r="AV44" s="56"/>
      <c r="AW44" s="56"/>
      <c r="AX44" s="56"/>
    </row>
    <row r="45" spans="1:50" ht="25.5" customHeight="1">
      <c r="A45" s="512"/>
      <c r="B45" s="509"/>
      <c r="C45" s="509"/>
      <c r="D45" s="509"/>
      <c r="E45" s="511"/>
      <c r="F45" s="511"/>
      <c r="G45" s="511"/>
      <c r="H45" s="93" t="s">
        <v>0</v>
      </c>
      <c r="I45" s="267">
        <v>1</v>
      </c>
      <c r="J45" s="518"/>
      <c r="K45" s="519"/>
      <c r="L45" s="519"/>
      <c r="M45" s="519"/>
      <c r="N45" s="520"/>
      <c r="O45" s="56"/>
      <c r="P45" s="183"/>
      <c r="Q45" s="183"/>
      <c r="R45" s="183"/>
      <c r="S45" s="183"/>
      <c r="AR45" s="56"/>
      <c r="AS45" s="56"/>
      <c r="AT45" s="56"/>
      <c r="AU45" s="56"/>
      <c r="AV45" s="56"/>
      <c r="AW45" s="56"/>
      <c r="AX45" s="56"/>
    </row>
    <row r="46" spans="1:50" ht="35.25" customHeight="1">
      <c r="A46" s="512" t="s">
        <v>141</v>
      </c>
      <c r="B46" s="507" t="s">
        <v>152</v>
      </c>
      <c r="C46" s="509"/>
      <c r="D46" s="509"/>
      <c r="E46" s="510" t="s">
        <v>151</v>
      </c>
      <c r="F46" s="511"/>
      <c r="G46" s="511"/>
      <c r="H46" s="93" t="s">
        <v>1</v>
      </c>
      <c r="I46" s="266">
        <v>40</v>
      </c>
      <c r="J46" s="518"/>
      <c r="K46" s="519"/>
      <c r="L46" s="519"/>
      <c r="M46" s="519"/>
      <c r="N46" s="520"/>
      <c r="O46" s="56"/>
      <c r="P46" s="183"/>
      <c r="Q46" s="183"/>
      <c r="R46" s="183"/>
      <c r="S46" s="183"/>
      <c r="AR46" s="56"/>
      <c r="AS46" s="56"/>
      <c r="AT46" s="56"/>
      <c r="AU46" s="56"/>
      <c r="AV46" s="56"/>
      <c r="AW46" s="56"/>
      <c r="AX46" s="56"/>
    </row>
    <row r="47" spans="1:50" ht="35.25" customHeight="1">
      <c r="A47" s="512"/>
      <c r="B47" s="509"/>
      <c r="C47" s="509"/>
      <c r="D47" s="509"/>
      <c r="E47" s="511"/>
      <c r="F47" s="511"/>
      <c r="G47" s="511"/>
      <c r="H47" s="93" t="s">
        <v>0</v>
      </c>
      <c r="I47" s="266">
        <v>40</v>
      </c>
      <c r="J47" s="518"/>
      <c r="K47" s="519"/>
      <c r="L47" s="519"/>
      <c r="M47" s="519"/>
      <c r="N47" s="520"/>
      <c r="O47" s="56"/>
      <c r="P47" s="183"/>
      <c r="Q47" s="183"/>
      <c r="R47" s="183"/>
      <c r="S47" s="183"/>
      <c r="AR47" s="56"/>
      <c r="AS47" s="56"/>
      <c r="AT47" s="56"/>
      <c r="AU47" s="56"/>
      <c r="AV47" s="56"/>
      <c r="AW47" s="56"/>
      <c r="AX47" s="56"/>
    </row>
    <row r="48" spans="1:50" ht="35.25" customHeight="1">
      <c r="A48" s="512" t="s">
        <v>141</v>
      </c>
      <c r="B48" s="507" t="s">
        <v>150</v>
      </c>
      <c r="C48" s="508"/>
      <c r="D48" s="509"/>
      <c r="E48" s="510" t="s">
        <v>34</v>
      </c>
      <c r="F48" s="511"/>
      <c r="G48" s="511"/>
      <c r="H48" s="93" t="s">
        <v>1</v>
      </c>
      <c r="I48" s="267">
        <v>1</v>
      </c>
      <c r="J48" s="518"/>
      <c r="K48" s="519"/>
      <c r="L48" s="519"/>
      <c r="M48" s="519"/>
      <c r="N48" s="520"/>
      <c r="P48" s="183"/>
      <c r="Q48" s="183"/>
      <c r="R48" s="183"/>
      <c r="S48" s="183"/>
    </row>
    <row r="49" spans="1:19" ht="50.25" customHeight="1">
      <c r="A49" s="512"/>
      <c r="B49" s="509"/>
      <c r="C49" s="509"/>
      <c r="D49" s="509"/>
      <c r="E49" s="511"/>
      <c r="F49" s="511"/>
      <c r="G49" s="511"/>
      <c r="H49" s="93" t="s">
        <v>0</v>
      </c>
      <c r="I49" s="267">
        <v>1</v>
      </c>
      <c r="J49" s="518"/>
      <c r="K49" s="519"/>
      <c r="L49" s="519"/>
      <c r="M49" s="519"/>
      <c r="N49" s="520"/>
      <c r="P49" s="183"/>
      <c r="Q49" s="183"/>
      <c r="R49" s="183"/>
      <c r="S49" s="183"/>
    </row>
    <row r="50" spans="1:19" ht="35.25" customHeight="1">
      <c r="A50" s="512" t="s">
        <v>141</v>
      </c>
      <c r="B50" s="513" t="s">
        <v>149</v>
      </c>
      <c r="C50" s="508"/>
      <c r="D50" s="509"/>
      <c r="E50" s="514" t="s">
        <v>34</v>
      </c>
      <c r="F50" s="514"/>
      <c r="G50" s="514"/>
      <c r="H50" s="93" t="s">
        <v>1</v>
      </c>
      <c r="I50" s="266">
        <v>1</v>
      </c>
      <c r="J50" s="518"/>
      <c r="K50" s="519"/>
      <c r="L50" s="519"/>
      <c r="M50" s="519"/>
      <c r="N50" s="520"/>
      <c r="P50" s="183"/>
      <c r="Q50" s="183"/>
      <c r="R50" s="183"/>
      <c r="S50" s="183"/>
    </row>
    <row r="51" spans="1:19" ht="24.75" customHeight="1">
      <c r="A51" s="512"/>
      <c r="B51" s="509"/>
      <c r="C51" s="509"/>
      <c r="D51" s="509"/>
      <c r="E51" s="514"/>
      <c r="F51" s="514"/>
      <c r="G51" s="514"/>
      <c r="H51" s="93" t="s">
        <v>0</v>
      </c>
      <c r="I51" s="266">
        <v>1</v>
      </c>
      <c r="J51" s="518"/>
      <c r="K51" s="519"/>
      <c r="L51" s="519"/>
      <c r="M51" s="519"/>
      <c r="N51" s="520"/>
      <c r="P51" s="183"/>
      <c r="Q51" s="183"/>
      <c r="R51" s="183"/>
      <c r="S51" s="183"/>
    </row>
    <row r="52" spans="1:19" ht="35.25" customHeight="1">
      <c r="A52" s="512" t="s">
        <v>141</v>
      </c>
      <c r="B52" s="507" t="s">
        <v>148</v>
      </c>
      <c r="C52" s="508"/>
      <c r="D52" s="509"/>
      <c r="E52" s="510" t="s">
        <v>147</v>
      </c>
      <c r="F52" s="511"/>
      <c r="G52" s="511"/>
      <c r="H52" s="93" t="s">
        <v>1</v>
      </c>
      <c r="I52" s="266">
        <v>1</v>
      </c>
      <c r="J52" s="518"/>
      <c r="K52" s="519"/>
      <c r="L52" s="519"/>
      <c r="M52" s="519"/>
      <c r="N52" s="520"/>
      <c r="P52" s="183"/>
      <c r="Q52" s="183"/>
      <c r="R52" s="183"/>
      <c r="S52" s="183"/>
    </row>
    <row r="53" spans="1:19" ht="20.25" customHeight="1">
      <c r="A53" s="512"/>
      <c r="B53" s="509"/>
      <c r="C53" s="509"/>
      <c r="D53" s="509"/>
      <c r="E53" s="511"/>
      <c r="F53" s="511"/>
      <c r="G53" s="511"/>
      <c r="H53" s="93" t="s">
        <v>0</v>
      </c>
      <c r="I53" s="266">
        <v>1</v>
      </c>
      <c r="J53" s="518"/>
      <c r="K53" s="519"/>
      <c r="L53" s="519"/>
      <c r="M53" s="519"/>
      <c r="N53" s="520"/>
      <c r="S53" s="161"/>
    </row>
    <row r="54" spans="1:19" ht="35.25" customHeight="1">
      <c r="A54" s="512" t="s">
        <v>141</v>
      </c>
      <c r="B54" s="507" t="s">
        <v>146</v>
      </c>
      <c r="C54" s="508"/>
      <c r="D54" s="509"/>
      <c r="E54" s="510" t="s">
        <v>145</v>
      </c>
      <c r="F54" s="511"/>
      <c r="G54" s="511"/>
      <c r="H54" s="93" t="s">
        <v>1</v>
      </c>
      <c r="I54" s="266">
        <v>1</v>
      </c>
      <c r="J54" s="518"/>
      <c r="K54" s="519"/>
      <c r="L54" s="519"/>
      <c r="M54" s="519"/>
      <c r="N54" s="520"/>
      <c r="S54" s="161"/>
    </row>
    <row r="55" spans="1:19" ht="35.25" customHeight="1">
      <c r="A55" s="512"/>
      <c r="B55" s="509"/>
      <c r="C55" s="509"/>
      <c r="D55" s="509"/>
      <c r="E55" s="511"/>
      <c r="F55" s="511"/>
      <c r="G55" s="511"/>
      <c r="H55" s="93" t="s">
        <v>0</v>
      </c>
      <c r="I55" s="266">
        <v>1</v>
      </c>
      <c r="J55" s="518"/>
      <c r="K55" s="519"/>
      <c r="L55" s="519"/>
      <c r="M55" s="519"/>
      <c r="N55" s="520"/>
      <c r="S55" s="161"/>
    </row>
    <row r="56" spans="1:19" ht="35.25" customHeight="1">
      <c r="A56" s="512" t="s">
        <v>141</v>
      </c>
      <c r="B56" s="507" t="s">
        <v>144</v>
      </c>
      <c r="C56" s="508"/>
      <c r="D56" s="509"/>
      <c r="E56" s="514" t="s">
        <v>35</v>
      </c>
      <c r="F56" s="514"/>
      <c r="G56" s="514"/>
      <c r="H56" s="93" t="s">
        <v>1</v>
      </c>
      <c r="I56" s="266">
        <v>1</v>
      </c>
      <c r="J56" s="518"/>
      <c r="K56" s="519"/>
      <c r="L56" s="519"/>
      <c r="M56" s="519"/>
      <c r="N56" s="520"/>
      <c r="S56" s="161"/>
    </row>
    <row r="57" spans="1:19" ht="35.25" customHeight="1">
      <c r="A57" s="512"/>
      <c r="B57" s="509"/>
      <c r="C57" s="509"/>
      <c r="D57" s="509"/>
      <c r="E57" s="514"/>
      <c r="F57" s="514"/>
      <c r="G57" s="514"/>
      <c r="H57" s="93" t="s">
        <v>0</v>
      </c>
      <c r="I57" s="268">
        <v>0.6</v>
      </c>
      <c r="J57" s="518"/>
      <c r="K57" s="519"/>
      <c r="L57" s="519"/>
      <c r="M57" s="519"/>
      <c r="N57" s="520"/>
      <c r="S57" s="161"/>
    </row>
    <row r="58" spans="1:19" ht="35.25" customHeight="1">
      <c r="A58" s="512" t="s">
        <v>141</v>
      </c>
      <c r="B58" s="507" t="s">
        <v>143</v>
      </c>
      <c r="C58" s="508"/>
      <c r="D58" s="509"/>
      <c r="E58" s="514" t="s">
        <v>142</v>
      </c>
      <c r="F58" s="514"/>
      <c r="G58" s="514"/>
      <c r="H58" s="93" t="s">
        <v>1</v>
      </c>
      <c r="I58" s="266">
        <v>45</v>
      </c>
      <c r="J58" s="518"/>
      <c r="K58" s="519"/>
      <c r="L58" s="519"/>
      <c r="M58" s="519"/>
      <c r="N58" s="520"/>
      <c r="S58" s="161"/>
    </row>
    <row r="59" spans="1:19" ht="35.25" customHeight="1">
      <c r="A59" s="512"/>
      <c r="B59" s="509"/>
      <c r="C59" s="509"/>
      <c r="D59" s="509"/>
      <c r="E59" s="514"/>
      <c r="F59" s="514"/>
      <c r="G59" s="514"/>
      <c r="H59" s="93" t="s">
        <v>0</v>
      </c>
      <c r="I59" s="266">
        <v>77</v>
      </c>
      <c r="J59" s="518"/>
      <c r="K59" s="519"/>
      <c r="L59" s="519"/>
      <c r="M59" s="519"/>
      <c r="N59" s="520"/>
      <c r="S59" s="161"/>
    </row>
    <row r="60" spans="1:19" ht="35.25" customHeight="1">
      <c r="A60" s="512" t="s">
        <v>141</v>
      </c>
      <c r="B60" s="507" t="s">
        <v>140</v>
      </c>
      <c r="C60" s="508"/>
      <c r="D60" s="509"/>
      <c r="E60" s="510" t="s">
        <v>139</v>
      </c>
      <c r="F60" s="510"/>
      <c r="G60" s="510"/>
      <c r="H60" s="93" t="s">
        <v>1</v>
      </c>
      <c r="I60" s="266">
        <v>50</v>
      </c>
      <c r="J60" s="518"/>
      <c r="K60" s="519"/>
      <c r="L60" s="519"/>
      <c r="M60" s="519"/>
      <c r="N60" s="520"/>
    </row>
    <row r="61" spans="1:19" ht="50.25" customHeight="1">
      <c r="A61" s="512"/>
      <c r="B61" s="509"/>
      <c r="C61" s="509"/>
      <c r="D61" s="509"/>
      <c r="E61" s="510"/>
      <c r="F61" s="510"/>
      <c r="G61" s="510"/>
      <c r="H61" s="93" t="s">
        <v>0</v>
      </c>
      <c r="I61" s="266">
        <v>0</v>
      </c>
      <c r="J61" s="521"/>
      <c r="K61" s="522"/>
      <c r="L61" s="522"/>
      <c r="M61" s="522"/>
      <c r="N61" s="523"/>
    </row>
    <row r="62" spans="1:19" ht="86.25" customHeight="1">
      <c r="A62" s="507" t="s">
        <v>454</v>
      </c>
      <c r="B62" s="507"/>
      <c r="C62" s="507"/>
      <c r="D62" s="507"/>
      <c r="E62" s="507"/>
      <c r="F62" s="507"/>
      <c r="G62" s="507"/>
      <c r="H62" s="507"/>
      <c r="I62" s="507"/>
      <c r="J62" s="507"/>
      <c r="K62" s="507"/>
      <c r="L62" s="507"/>
      <c r="M62" s="507"/>
      <c r="N62" s="507"/>
    </row>
    <row r="63" spans="1:19" ht="35.25" customHeight="1"/>
    <row r="64" spans="1:19" ht="35.25" customHeight="1"/>
    <row r="67" spans="7:18" ht="47.25" customHeight="1"/>
    <row r="68" spans="7:18" ht="53.25" customHeight="1"/>
    <row r="69" spans="7:18" ht="53.25" customHeight="1"/>
    <row r="70" spans="7:18" ht="29.25" customHeight="1"/>
    <row r="71" spans="7:18" ht="29.25" customHeight="1"/>
    <row r="72" spans="7:18" ht="38.25" customHeight="1"/>
    <row r="73" spans="7:18" ht="38.25" customHeight="1">
      <c r="G73" s="1"/>
      <c r="J73" s="1"/>
      <c r="K73" s="1"/>
      <c r="R73" s="1"/>
    </row>
    <row r="74" spans="7:18" ht="27.75" customHeight="1">
      <c r="G74" s="1"/>
      <c r="J74" s="1"/>
      <c r="K74" s="1"/>
      <c r="R74" s="1"/>
    </row>
    <row r="75" spans="7:18" ht="27.75" customHeight="1">
      <c r="G75" s="1"/>
      <c r="J75" s="1"/>
      <c r="K75" s="1"/>
      <c r="R75" s="1"/>
    </row>
  </sheetData>
  <mergeCells count="149">
    <mergeCell ref="J31:J32"/>
    <mergeCell ref="K31:K32"/>
    <mergeCell ref="N31:N32"/>
    <mergeCell ref="M31:M32"/>
    <mergeCell ref="L31:L32"/>
    <mergeCell ref="J37:J38"/>
    <mergeCell ref="K37:K38"/>
    <mergeCell ref="L37:L38"/>
    <mergeCell ref="M37:M38"/>
    <mergeCell ref="N37:N38"/>
    <mergeCell ref="N35:N36"/>
    <mergeCell ref="M35:M36"/>
    <mergeCell ref="N33:N34"/>
    <mergeCell ref="J33:J34"/>
    <mergeCell ref="K33:K34"/>
    <mergeCell ref="L33:L34"/>
    <mergeCell ref="M33:M34"/>
    <mergeCell ref="J35:J36"/>
    <mergeCell ref="K35:K36"/>
    <mergeCell ref="L35:L36"/>
    <mergeCell ref="M15:M16"/>
    <mergeCell ref="N15:N16"/>
    <mergeCell ref="N21:N22"/>
    <mergeCell ref="N25:N26"/>
    <mergeCell ref="N17:N18"/>
    <mergeCell ref="M27:M28"/>
    <mergeCell ref="N27:N28"/>
    <mergeCell ref="N23:N24"/>
    <mergeCell ref="L21:L22"/>
    <mergeCell ref="M21:M22"/>
    <mergeCell ref="M23:M24"/>
    <mergeCell ref="M19:M20"/>
    <mergeCell ref="L25:L26"/>
    <mergeCell ref="M25:M26"/>
    <mergeCell ref="L27:L28"/>
    <mergeCell ref="N19:N20"/>
    <mergeCell ref="N29:N30"/>
    <mergeCell ref="L17:L18"/>
    <mergeCell ref="M17:M18"/>
    <mergeCell ref="L29:L30"/>
    <mergeCell ref="M29:M30"/>
    <mergeCell ref="J29:J30"/>
    <mergeCell ref="K29:K30"/>
    <mergeCell ref="K23:K24"/>
    <mergeCell ref="L23:L24"/>
    <mergeCell ref="J23:J24"/>
    <mergeCell ref="J25:J26"/>
    <mergeCell ref="K25:K26"/>
    <mergeCell ref="J27:J28"/>
    <mergeCell ref="K27:K28"/>
    <mergeCell ref="M1:N4"/>
    <mergeCell ref="I2:L2"/>
    <mergeCell ref="K11:M11"/>
    <mergeCell ref="J14:K15"/>
    <mergeCell ref="L14:N14"/>
    <mergeCell ref="B3:H4"/>
    <mergeCell ref="I3:L3"/>
    <mergeCell ref="I4:L4"/>
    <mergeCell ref="A14:A16"/>
    <mergeCell ref="E14:E16"/>
    <mergeCell ref="F14:I15"/>
    <mergeCell ref="A5:N5"/>
    <mergeCell ref="A6:N6"/>
    <mergeCell ref="K12:M12"/>
    <mergeCell ref="K13:M13"/>
    <mergeCell ref="B7:N7"/>
    <mergeCell ref="B8:F8"/>
    <mergeCell ref="G8:I13"/>
    <mergeCell ref="J8:N8"/>
    <mergeCell ref="B9:F9"/>
    <mergeCell ref="K9:M9"/>
    <mergeCell ref="B10:F10"/>
    <mergeCell ref="K10:M10"/>
    <mergeCell ref="B12:F12"/>
    <mergeCell ref="A1:A4"/>
    <mergeCell ref="B1:H2"/>
    <mergeCell ref="I1:L1"/>
    <mergeCell ref="B14:B16"/>
    <mergeCell ref="J21:J22"/>
    <mergeCell ref="K21:K22"/>
    <mergeCell ref="B11:F11"/>
    <mergeCell ref="A13:F13"/>
    <mergeCell ref="A19:A20"/>
    <mergeCell ref="C19:C20"/>
    <mergeCell ref="J19:J20"/>
    <mergeCell ref="K19:K20"/>
    <mergeCell ref="L19:L20"/>
    <mergeCell ref="L15:L16"/>
    <mergeCell ref="C14:C16"/>
    <mergeCell ref="D14:D16"/>
    <mergeCell ref="C21:C22"/>
    <mergeCell ref="A21:A22"/>
    <mergeCell ref="A17:A18"/>
    <mergeCell ref="C17:C18"/>
    <mergeCell ref="J17:J18"/>
    <mergeCell ref="K17:K18"/>
    <mergeCell ref="A39:A40"/>
    <mergeCell ref="C39:C40"/>
    <mergeCell ref="B41:D41"/>
    <mergeCell ref="E41:H41"/>
    <mergeCell ref="C23:C24"/>
    <mergeCell ref="A23:A24"/>
    <mergeCell ref="A27:A28"/>
    <mergeCell ref="A25:A26"/>
    <mergeCell ref="A29:A30"/>
    <mergeCell ref="A33:A34"/>
    <mergeCell ref="C33:C34"/>
    <mergeCell ref="A35:A36"/>
    <mergeCell ref="C35:C36"/>
    <mergeCell ref="C27:C28"/>
    <mergeCell ref="A31:A32"/>
    <mergeCell ref="C31:C32"/>
    <mergeCell ref="A37:A38"/>
    <mergeCell ref="C37:C38"/>
    <mergeCell ref="C25:C26"/>
    <mergeCell ref="C29:C30"/>
    <mergeCell ref="E58:G59"/>
    <mergeCell ref="A60:A61"/>
    <mergeCell ref="B60:D61"/>
    <mergeCell ref="E60:G61"/>
    <mergeCell ref="E52:G53"/>
    <mergeCell ref="A54:A55"/>
    <mergeCell ref="J42:N61"/>
    <mergeCell ref="J41:N41"/>
    <mergeCell ref="A42:A43"/>
    <mergeCell ref="A62:N62"/>
    <mergeCell ref="B42:D43"/>
    <mergeCell ref="E42:G43"/>
    <mergeCell ref="A44:A45"/>
    <mergeCell ref="B44:D45"/>
    <mergeCell ref="E44:G45"/>
    <mergeCell ref="A46:A47"/>
    <mergeCell ref="B46:D47"/>
    <mergeCell ref="E46:G47"/>
    <mergeCell ref="A48:A49"/>
    <mergeCell ref="B48:D49"/>
    <mergeCell ref="E48:G49"/>
    <mergeCell ref="A50:A51"/>
    <mergeCell ref="B50:D51"/>
    <mergeCell ref="E50:G51"/>
    <mergeCell ref="A52:A53"/>
    <mergeCell ref="B52:D53"/>
    <mergeCell ref="B54:D55"/>
    <mergeCell ref="E54:G55"/>
    <mergeCell ref="A56:A57"/>
    <mergeCell ref="B56:D57"/>
    <mergeCell ref="E56:G57"/>
    <mergeCell ref="A58:A59"/>
    <mergeCell ref="B58:D59"/>
  </mergeCells>
  <pageMargins left="0.31496062992125984" right="0.31496062992125984" top="0.74803149606299213" bottom="0.74803149606299213" header="0.31496062992125984" footer="0.31496062992125984"/>
  <pageSetup paperSize="14" scale="57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8673" r:id="rId4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3" r:id="rId4"/>
      </mc:Fallback>
    </mc:AlternateContent>
    <mc:AlternateContent xmlns:mc="http://schemas.openxmlformats.org/markup-compatibility/2006">
      <mc:Choice Requires="x14">
        <oleObject shapeId="28674" r:id="rId6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4" r:id="rId6"/>
      </mc:Fallback>
    </mc:AlternateContent>
    <mc:AlternateContent xmlns:mc="http://schemas.openxmlformats.org/markup-compatibility/2006">
      <mc:Choice Requires="x14">
        <oleObject shapeId="28675" r:id="rId7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5" r:id="rId7"/>
      </mc:Fallback>
    </mc:AlternateContent>
    <mc:AlternateContent xmlns:mc="http://schemas.openxmlformats.org/markup-compatibility/2006">
      <mc:Choice Requires="x14">
        <oleObject shapeId="28676" r:id="rId8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6" r:id="rId8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IP60"/>
  <sheetViews>
    <sheetView zoomScale="60" zoomScaleNormal="60" zoomScalePageLayoutView="60" workbookViewId="0">
      <selection activeCell="F18" sqref="F18"/>
    </sheetView>
  </sheetViews>
  <sheetFormatPr baseColWidth="10" defaultColWidth="12.5703125" defaultRowHeight="15"/>
  <cols>
    <col min="1" max="1" width="42.28515625" style="354" customWidth="1"/>
    <col min="2" max="2" width="10.85546875" style="354" customWidth="1"/>
    <col min="3" max="3" width="21.5703125" style="354" customWidth="1"/>
    <col min="4" max="4" width="9.140625" style="354" customWidth="1"/>
    <col min="5" max="6" width="21.140625" style="354" bestFit="1" customWidth="1"/>
    <col min="7" max="7" width="11.140625" style="375" customWidth="1"/>
    <col min="8" max="8" width="13.42578125" style="354" customWidth="1"/>
    <col min="9" max="9" width="11.28515625" style="354" customWidth="1"/>
    <col min="10" max="10" width="15.5703125" style="436" customWidth="1"/>
    <col min="11" max="11" width="17.28515625" style="436" customWidth="1"/>
    <col min="12" max="12" width="12.42578125" style="354" customWidth="1"/>
    <col min="13" max="13" width="18.140625" style="354" customWidth="1"/>
    <col min="14" max="15" width="17.28515625" style="354" customWidth="1"/>
    <col min="16" max="16" width="7.140625" style="354" customWidth="1"/>
    <col min="17" max="17" width="16.42578125" style="354" customWidth="1"/>
    <col min="18" max="18" width="20.140625" style="354" customWidth="1"/>
    <col min="19" max="19" width="21.28515625" style="354" customWidth="1"/>
    <col min="20" max="20" width="18.5703125" style="354" customWidth="1"/>
    <col min="21" max="21" width="33.85546875" style="354" customWidth="1"/>
    <col min="22" max="22" width="12.5703125" style="354" hidden="1" customWidth="1"/>
    <col min="23" max="23" width="24.28515625" style="354" customWidth="1"/>
    <col min="24" max="24" width="22.5703125" style="354" customWidth="1"/>
    <col min="25" max="26" width="12.5703125" style="354"/>
    <col min="27" max="27" width="16.85546875" style="354" customWidth="1"/>
    <col min="28" max="28" width="12.5703125" style="354"/>
    <col min="29" max="29" width="30.140625" style="354" customWidth="1"/>
    <col min="30" max="30" width="15.42578125" style="354" customWidth="1"/>
    <col min="31" max="31" width="15.85546875" style="354" customWidth="1"/>
    <col min="32" max="32" width="24.42578125" style="354" customWidth="1"/>
    <col min="33" max="33" width="17.140625" style="354" customWidth="1"/>
    <col min="34" max="16384" width="12.5703125" style="354"/>
  </cols>
  <sheetData>
    <row r="1" spans="1:250" ht="15.75">
      <c r="A1" s="612"/>
      <c r="B1" s="615" t="s">
        <v>95</v>
      </c>
      <c r="C1" s="616"/>
      <c r="D1" s="616"/>
      <c r="E1" s="616"/>
      <c r="F1" s="616"/>
      <c r="G1" s="616"/>
      <c r="H1" s="617"/>
      <c r="I1" s="621" t="s">
        <v>96</v>
      </c>
      <c r="J1" s="622"/>
      <c r="K1" s="622"/>
      <c r="L1" s="623"/>
      <c r="M1" s="624"/>
      <c r="N1" s="625"/>
      <c r="O1" s="352"/>
      <c r="P1" s="353"/>
      <c r="Q1" s="353"/>
    </row>
    <row r="2" spans="1:250" ht="15.75">
      <c r="A2" s="613"/>
      <c r="B2" s="618"/>
      <c r="C2" s="619"/>
      <c r="D2" s="619"/>
      <c r="E2" s="619"/>
      <c r="F2" s="619"/>
      <c r="G2" s="619"/>
      <c r="H2" s="620"/>
      <c r="I2" s="621" t="s">
        <v>97</v>
      </c>
      <c r="J2" s="622"/>
      <c r="K2" s="622"/>
      <c r="L2" s="623"/>
      <c r="M2" s="626"/>
      <c r="N2" s="627"/>
      <c r="O2" s="352"/>
      <c r="P2" s="353"/>
      <c r="Q2" s="353"/>
    </row>
    <row r="3" spans="1:250" ht="15.75">
      <c r="A3" s="613"/>
      <c r="B3" s="615" t="s">
        <v>98</v>
      </c>
      <c r="C3" s="616"/>
      <c r="D3" s="616"/>
      <c r="E3" s="616"/>
      <c r="F3" s="616"/>
      <c r="G3" s="616"/>
      <c r="H3" s="617"/>
      <c r="I3" s="621" t="s">
        <v>99</v>
      </c>
      <c r="J3" s="622"/>
      <c r="K3" s="622"/>
      <c r="L3" s="623"/>
      <c r="M3" s="626"/>
      <c r="N3" s="627"/>
      <c r="O3" s="352"/>
      <c r="P3" s="353"/>
      <c r="Q3" s="353"/>
    </row>
    <row r="4" spans="1:250" ht="15.75">
      <c r="A4" s="614"/>
      <c r="B4" s="618"/>
      <c r="C4" s="619"/>
      <c r="D4" s="619"/>
      <c r="E4" s="619"/>
      <c r="F4" s="619"/>
      <c r="G4" s="619"/>
      <c r="H4" s="620"/>
      <c r="I4" s="621" t="s">
        <v>100</v>
      </c>
      <c r="J4" s="622"/>
      <c r="K4" s="622"/>
      <c r="L4" s="623"/>
      <c r="M4" s="628"/>
      <c r="N4" s="629"/>
      <c r="O4" s="352"/>
      <c r="P4" s="353"/>
      <c r="Q4" s="353"/>
    </row>
    <row r="5" spans="1:250" ht="15.75">
      <c r="A5" s="630"/>
      <c r="B5" s="630"/>
      <c r="C5" s="630"/>
      <c r="D5" s="630"/>
      <c r="E5" s="630"/>
      <c r="F5" s="630"/>
      <c r="G5" s="630"/>
      <c r="H5" s="630"/>
      <c r="I5" s="630"/>
      <c r="J5" s="630"/>
      <c r="K5" s="630"/>
      <c r="L5" s="630"/>
      <c r="M5" s="630"/>
      <c r="N5" s="630"/>
      <c r="O5" s="352"/>
      <c r="P5" s="353"/>
      <c r="Q5" s="353"/>
    </row>
    <row r="6" spans="1:250" ht="15.75">
      <c r="A6" s="621" t="s">
        <v>138</v>
      </c>
      <c r="B6" s="622"/>
      <c r="C6" s="622"/>
      <c r="D6" s="622"/>
      <c r="E6" s="622"/>
      <c r="F6" s="622"/>
      <c r="G6" s="622"/>
      <c r="H6" s="622"/>
      <c r="I6" s="622"/>
      <c r="J6" s="622"/>
      <c r="K6" s="622"/>
      <c r="L6" s="622"/>
      <c r="M6" s="622"/>
      <c r="N6" s="623"/>
      <c r="O6" s="355"/>
      <c r="P6" s="353"/>
      <c r="Q6" s="353"/>
    </row>
    <row r="7" spans="1:250" ht="15.75">
      <c r="A7" s="356" t="s">
        <v>327</v>
      </c>
      <c r="B7" s="631" t="s">
        <v>468</v>
      </c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631"/>
      <c r="N7" s="631"/>
      <c r="O7" s="355"/>
    </row>
    <row r="8" spans="1:250" ht="15.75">
      <c r="A8" s="357" t="s">
        <v>32</v>
      </c>
      <c r="B8" s="632" t="s">
        <v>33</v>
      </c>
      <c r="C8" s="633"/>
      <c r="D8" s="633"/>
      <c r="E8" s="633"/>
      <c r="F8" s="634"/>
      <c r="G8" s="635" t="s">
        <v>326</v>
      </c>
      <c r="H8" s="636"/>
      <c r="I8" s="637"/>
      <c r="J8" s="644" t="s">
        <v>31</v>
      </c>
      <c r="K8" s="645"/>
      <c r="L8" s="645"/>
      <c r="M8" s="645"/>
      <c r="N8" s="646"/>
      <c r="O8" s="358"/>
      <c r="P8" s="359"/>
      <c r="Q8" s="359"/>
      <c r="S8" s="611"/>
      <c r="T8" s="611"/>
      <c r="U8" s="611"/>
      <c r="V8" s="611"/>
      <c r="W8" s="611"/>
    </row>
    <row r="9" spans="1:250" ht="15.75">
      <c r="A9" s="360" t="s">
        <v>30</v>
      </c>
      <c r="B9" s="648" t="s">
        <v>36</v>
      </c>
      <c r="C9" s="633"/>
      <c r="D9" s="633"/>
      <c r="E9" s="633"/>
      <c r="F9" s="634"/>
      <c r="G9" s="638"/>
      <c r="H9" s="639"/>
      <c r="I9" s="640"/>
      <c r="J9" s="361" t="s">
        <v>29</v>
      </c>
      <c r="K9" s="653" t="s">
        <v>28</v>
      </c>
      <c r="L9" s="653"/>
      <c r="M9" s="653"/>
      <c r="N9" s="361" t="s">
        <v>27</v>
      </c>
      <c r="O9" s="362"/>
      <c r="P9" s="359"/>
      <c r="Q9" s="359"/>
      <c r="S9" s="363"/>
      <c r="T9" s="363"/>
      <c r="U9" s="363"/>
      <c r="V9" s="363"/>
      <c r="W9" s="363"/>
    </row>
    <row r="10" spans="1:250" ht="42.75" customHeight="1">
      <c r="A10" s="364" t="s">
        <v>26</v>
      </c>
      <c r="B10" s="647" t="s">
        <v>37</v>
      </c>
      <c r="C10" s="648"/>
      <c r="D10" s="648"/>
      <c r="E10" s="648"/>
      <c r="F10" s="649"/>
      <c r="G10" s="638"/>
      <c r="H10" s="639"/>
      <c r="I10" s="640"/>
      <c r="J10" s="365"/>
      <c r="K10" s="654"/>
      <c r="L10" s="655"/>
      <c r="M10" s="656"/>
      <c r="N10" s="366"/>
      <c r="P10" s="359"/>
      <c r="Q10" s="359"/>
      <c r="S10" s="367"/>
      <c r="T10" s="657"/>
      <c r="U10" s="657"/>
      <c r="V10" s="657"/>
      <c r="W10" s="367"/>
      <c r="Y10" s="352"/>
      <c r="Z10" s="352"/>
    </row>
    <row r="11" spans="1:250" ht="38.25" customHeight="1">
      <c r="A11" s="368" t="s">
        <v>25</v>
      </c>
      <c r="B11" s="647" t="s">
        <v>38</v>
      </c>
      <c r="C11" s="648"/>
      <c r="D11" s="648"/>
      <c r="E11" s="648"/>
      <c r="F11" s="649"/>
      <c r="G11" s="638"/>
      <c r="H11" s="639"/>
      <c r="I11" s="640"/>
      <c r="J11" s="369"/>
      <c r="K11" s="650"/>
      <c r="L11" s="651"/>
      <c r="M11" s="652"/>
      <c r="N11" s="370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</row>
    <row r="12" spans="1:250" ht="15.75">
      <c r="A12" s="371" t="s">
        <v>24</v>
      </c>
      <c r="B12" s="658">
        <v>2020730010053</v>
      </c>
      <c r="C12" s="659"/>
      <c r="D12" s="659"/>
      <c r="E12" s="659"/>
      <c r="F12" s="660"/>
      <c r="G12" s="638"/>
      <c r="H12" s="639"/>
      <c r="I12" s="640"/>
      <c r="J12" s="372"/>
      <c r="K12" s="594"/>
      <c r="L12" s="595"/>
      <c r="M12" s="596"/>
      <c r="N12" s="370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</row>
    <row r="13" spans="1:250" ht="32.25" customHeight="1">
      <c r="A13" s="591" t="s">
        <v>290</v>
      </c>
      <c r="B13" s="592"/>
      <c r="C13" s="592"/>
      <c r="D13" s="592"/>
      <c r="E13" s="592"/>
      <c r="F13" s="593"/>
      <c r="G13" s="641"/>
      <c r="H13" s="642"/>
      <c r="I13" s="643"/>
      <c r="J13" s="369"/>
      <c r="K13" s="594"/>
      <c r="L13" s="595"/>
      <c r="M13" s="596"/>
      <c r="N13" s="373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</row>
    <row r="14" spans="1:250" ht="15.75">
      <c r="A14" s="608" t="s">
        <v>23</v>
      </c>
      <c r="B14" s="609" t="s">
        <v>22</v>
      </c>
      <c r="C14" s="597" t="s">
        <v>21</v>
      </c>
      <c r="D14" s="597" t="s">
        <v>20</v>
      </c>
      <c r="E14" s="610" t="s">
        <v>359</v>
      </c>
      <c r="F14" s="601" t="s">
        <v>360</v>
      </c>
      <c r="G14" s="602"/>
      <c r="H14" s="602"/>
      <c r="I14" s="603"/>
      <c r="J14" s="597" t="s">
        <v>17</v>
      </c>
      <c r="K14" s="597"/>
      <c r="L14" s="607" t="s">
        <v>16</v>
      </c>
      <c r="M14" s="607"/>
      <c r="N14" s="607"/>
      <c r="O14" s="374"/>
      <c r="P14" s="375"/>
      <c r="Q14" s="375"/>
      <c r="R14" s="375"/>
      <c r="S14" s="376"/>
      <c r="T14" s="600"/>
      <c r="U14" s="600"/>
      <c r="V14" s="375"/>
      <c r="W14" s="4"/>
      <c r="X14" s="375"/>
      <c r="Y14" s="377"/>
      <c r="Z14" s="378"/>
      <c r="AA14" s="379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375"/>
      <c r="AP14" s="375"/>
      <c r="AQ14" s="375"/>
      <c r="AR14" s="375"/>
      <c r="AS14" s="375"/>
      <c r="AT14" s="375"/>
      <c r="AU14" s="375"/>
      <c r="AV14" s="375"/>
      <c r="AW14" s="375"/>
      <c r="AX14" s="375"/>
      <c r="AY14" s="375"/>
      <c r="AZ14" s="375"/>
      <c r="BA14" s="375"/>
      <c r="BB14" s="375"/>
      <c r="BC14" s="375"/>
      <c r="BD14" s="375"/>
      <c r="BE14" s="375"/>
      <c r="BF14" s="375"/>
      <c r="BG14" s="375"/>
      <c r="BH14" s="375"/>
      <c r="BI14" s="375"/>
      <c r="BJ14" s="375"/>
      <c r="BK14" s="375"/>
      <c r="BL14" s="375"/>
      <c r="BM14" s="375"/>
      <c r="BN14" s="375"/>
      <c r="BO14" s="375"/>
      <c r="BP14" s="375"/>
      <c r="BQ14" s="375"/>
      <c r="BR14" s="375"/>
      <c r="BS14" s="375"/>
      <c r="BT14" s="375"/>
      <c r="BU14" s="375"/>
      <c r="BV14" s="375"/>
      <c r="BW14" s="375"/>
      <c r="BX14" s="375"/>
      <c r="BY14" s="375"/>
      <c r="BZ14" s="375"/>
      <c r="CA14" s="375"/>
      <c r="CB14" s="375"/>
      <c r="CC14" s="375"/>
      <c r="CD14" s="375"/>
      <c r="CE14" s="375"/>
      <c r="CF14" s="375"/>
      <c r="CG14" s="375"/>
      <c r="CH14" s="375"/>
      <c r="CI14" s="375"/>
      <c r="CJ14" s="375"/>
      <c r="CK14" s="375"/>
      <c r="CL14" s="375"/>
      <c r="CM14" s="375"/>
      <c r="CN14" s="375"/>
      <c r="CO14" s="375"/>
      <c r="CP14" s="375"/>
      <c r="CQ14" s="375"/>
      <c r="CR14" s="375"/>
      <c r="CS14" s="375"/>
      <c r="CT14" s="375"/>
      <c r="CU14" s="375"/>
      <c r="CV14" s="375"/>
      <c r="CW14" s="375"/>
      <c r="CX14" s="375"/>
      <c r="CY14" s="375"/>
      <c r="CZ14" s="375"/>
      <c r="DA14" s="375"/>
      <c r="DB14" s="375"/>
      <c r="DC14" s="375"/>
      <c r="DD14" s="375"/>
      <c r="DE14" s="375"/>
      <c r="DF14" s="375"/>
      <c r="DG14" s="375"/>
      <c r="DH14" s="375"/>
      <c r="DI14" s="375"/>
      <c r="DJ14" s="375"/>
      <c r="DK14" s="375"/>
      <c r="DL14" s="375"/>
      <c r="DM14" s="375"/>
      <c r="DN14" s="375"/>
      <c r="DO14" s="375"/>
      <c r="DP14" s="375"/>
      <c r="DQ14" s="375"/>
      <c r="DR14" s="375"/>
      <c r="DS14" s="375"/>
      <c r="DT14" s="375"/>
      <c r="DU14" s="375"/>
      <c r="DV14" s="375"/>
      <c r="DW14" s="375"/>
      <c r="DX14" s="375"/>
      <c r="DY14" s="375"/>
      <c r="DZ14" s="375"/>
      <c r="EA14" s="375"/>
      <c r="EB14" s="375"/>
      <c r="EC14" s="375"/>
      <c r="ED14" s="375"/>
      <c r="EE14" s="375"/>
      <c r="EF14" s="375"/>
      <c r="EG14" s="375"/>
      <c r="EH14" s="375"/>
      <c r="EI14" s="375"/>
      <c r="EJ14" s="375"/>
      <c r="EK14" s="375"/>
      <c r="EL14" s="375"/>
      <c r="EM14" s="375"/>
      <c r="EN14" s="375"/>
      <c r="EO14" s="375"/>
      <c r="EP14" s="375"/>
      <c r="EQ14" s="375"/>
      <c r="ER14" s="375"/>
      <c r="ES14" s="375"/>
      <c r="ET14" s="375"/>
      <c r="EU14" s="375"/>
      <c r="EV14" s="375"/>
      <c r="EW14" s="375"/>
      <c r="EX14" s="375"/>
      <c r="EY14" s="375"/>
      <c r="EZ14" s="375"/>
      <c r="FA14" s="375"/>
      <c r="FB14" s="375"/>
      <c r="FC14" s="375"/>
      <c r="FD14" s="375"/>
      <c r="FE14" s="375"/>
      <c r="FF14" s="375"/>
      <c r="FG14" s="375"/>
      <c r="FH14" s="375"/>
      <c r="FI14" s="375"/>
      <c r="FJ14" s="375"/>
      <c r="FK14" s="375"/>
      <c r="FL14" s="375"/>
      <c r="FM14" s="375"/>
      <c r="FN14" s="375"/>
      <c r="FO14" s="375"/>
      <c r="FP14" s="375"/>
      <c r="FQ14" s="375"/>
      <c r="FR14" s="375"/>
      <c r="FS14" s="375"/>
      <c r="FT14" s="375"/>
      <c r="FU14" s="375"/>
      <c r="FV14" s="375"/>
      <c r="FW14" s="375"/>
      <c r="FX14" s="375"/>
      <c r="FY14" s="375"/>
      <c r="FZ14" s="375"/>
      <c r="GA14" s="375"/>
      <c r="GB14" s="375"/>
      <c r="GC14" s="375"/>
      <c r="GD14" s="375"/>
      <c r="GE14" s="375"/>
      <c r="GF14" s="375"/>
      <c r="GG14" s="375"/>
      <c r="GH14" s="375"/>
      <c r="GI14" s="375"/>
      <c r="GJ14" s="375"/>
      <c r="GK14" s="375"/>
      <c r="GL14" s="375"/>
      <c r="GM14" s="375"/>
      <c r="GN14" s="375"/>
      <c r="GO14" s="375"/>
      <c r="GP14" s="375"/>
      <c r="GQ14" s="375"/>
      <c r="GR14" s="375"/>
      <c r="GS14" s="375"/>
      <c r="GT14" s="375"/>
      <c r="GU14" s="375"/>
      <c r="GV14" s="375"/>
      <c r="GW14" s="375"/>
      <c r="GX14" s="375"/>
      <c r="GY14" s="375"/>
      <c r="GZ14" s="375"/>
      <c r="HA14" s="375"/>
      <c r="HB14" s="375"/>
      <c r="HC14" s="375"/>
      <c r="HD14" s="375"/>
      <c r="HE14" s="375"/>
      <c r="HF14" s="375"/>
      <c r="HG14" s="375"/>
      <c r="HH14" s="375"/>
      <c r="HI14" s="375"/>
      <c r="HJ14" s="375"/>
      <c r="HK14" s="375"/>
      <c r="HL14" s="375"/>
      <c r="HM14" s="375"/>
      <c r="HN14" s="375"/>
      <c r="HO14" s="375"/>
      <c r="HP14" s="375"/>
      <c r="HQ14" s="375"/>
      <c r="HR14" s="375"/>
      <c r="HS14" s="375"/>
      <c r="HT14" s="375"/>
      <c r="HU14" s="375"/>
      <c r="HV14" s="375"/>
      <c r="HW14" s="375"/>
      <c r="HX14" s="375"/>
      <c r="HY14" s="375"/>
      <c r="HZ14" s="375"/>
      <c r="IA14" s="375"/>
      <c r="IB14" s="375"/>
      <c r="IC14" s="375"/>
      <c r="ID14" s="375"/>
      <c r="IE14" s="375"/>
      <c r="IF14" s="375"/>
      <c r="IG14" s="375"/>
      <c r="IH14" s="375"/>
      <c r="II14" s="375"/>
      <c r="IJ14" s="375"/>
      <c r="IK14" s="375"/>
      <c r="IL14" s="375"/>
      <c r="IM14" s="375"/>
      <c r="IN14" s="375"/>
      <c r="IO14" s="375"/>
      <c r="IP14" s="375"/>
    </row>
    <row r="15" spans="1:250" ht="20.25" customHeight="1">
      <c r="A15" s="608"/>
      <c r="B15" s="597"/>
      <c r="C15" s="597"/>
      <c r="D15" s="597"/>
      <c r="E15" s="610"/>
      <c r="F15" s="604"/>
      <c r="G15" s="605"/>
      <c r="H15" s="605"/>
      <c r="I15" s="606"/>
      <c r="J15" s="597"/>
      <c r="K15" s="597"/>
      <c r="L15" s="597" t="s">
        <v>15</v>
      </c>
      <c r="M15" s="597" t="s">
        <v>14</v>
      </c>
      <c r="N15" s="608" t="s">
        <v>13</v>
      </c>
      <c r="O15" s="380"/>
      <c r="P15" s="375"/>
      <c r="Q15" s="375"/>
      <c r="R15" s="375"/>
      <c r="S15" s="381"/>
      <c r="T15" s="600"/>
      <c r="U15" s="600"/>
      <c r="V15" s="375"/>
      <c r="W15" s="382"/>
      <c r="X15" s="375"/>
      <c r="Y15" s="377"/>
      <c r="Z15" s="378"/>
      <c r="AA15" s="379"/>
      <c r="AB15" s="375"/>
      <c r="AC15" s="375"/>
      <c r="AD15" s="375"/>
      <c r="AE15" s="375"/>
      <c r="AF15" s="375"/>
      <c r="AG15" s="375"/>
      <c r="AH15" s="375"/>
      <c r="AI15" s="375"/>
      <c r="AJ15" s="375"/>
      <c r="AK15" s="375"/>
      <c r="AL15" s="375"/>
      <c r="AM15" s="375"/>
      <c r="AN15" s="375"/>
      <c r="AO15" s="375"/>
      <c r="AP15" s="375"/>
      <c r="AQ15" s="375"/>
      <c r="AR15" s="375"/>
      <c r="AS15" s="375"/>
      <c r="AT15" s="375"/>
      <c r="AU15" s="375"/>
      <c r="AV15" s="375"/>
      <c r="AW15" s="375"/>
      <c r="AX15" s="375"/>
      <c r="AY15" s="375"/>
      <c r="AZ15" s="375"/>
      <c r="BA15" s="375"/>
      <c r="BB15" s="375"/>
      <c r="BC15" s="375"/>
      <c r="BD15" s="375"/>
      <c r="BE15" s="375"/>
      <c r="BF15" s="375"/>
      <c r="BG15" s="375"/>
      <c r="BH15" s="375"/>
      <c r="BI15" s="375"/>
      <c r="BJ15" s="375"/>
      <c r="BK15" s="375"/>
      <c r="BL15" s="375"/>
      <c r="BM15" s="375"/>
      <c r="BN15" s="375"/>
      <c r="BO15" s="375"/>
      <c r="BP15" s="375"/>
      <c r="BQ15" s="375"/>
      <c r="BR15" s="375"/>
      <c r="BS15" s="375"/>
      <c r="BT15" s="375"/>
      <c r="BU15" s="375"/>
      <c r="BV15" s="375"/>
      <c r="BW15" s="375"/>
      <c r="BX15" s="375"/>
      <c r="BY15" s="375"/>
      <c r="BZ15" s="375"/>
      <c r="CA15" s="375"/>
      <c r="CB15" s="375"/>
      <c r="CC15" s="375"/>
      <c r="CD15" s="375"/>
      <c r="CE15" s="375"/>
      <c r="CF15" s="375"/>
      <c r="CG15" s="375"/>
      <c r="CH15" s="375"/>
      <c r="CI15" s="375"/>
      <c r="CJ15" s="375"/>
      <c r="CK15" s="375"/>
      <c r="CL15" s="375"/>
      <c r="CM15" s="375"/>
      <c r="CN15" s="375"/>
      <c r="CO15" s="375"/>
      <c r="CP15" s="375"/>
      <c r="CQ15" s="375"/>
      <c r="CR15" s="375"/>
      <c r="CS15" s="375"/>
      <c r="CT15" s="375"/>
      <c r="CU15" s="375"/>
      <c r="CV15" s="375"/>
      <c r="CW15" s="375"/>
      <c r="CX15" s="375"/>
      <c r="CY15" s="375"/>
      <c r="CZ15" s="375"/>
      <c r="DA15" s="375"/>
      <c r="DB15" s="375"/>
      <c r="DC15" s="375"/>
      <c r="DD15" s="375"/>
      <c r="DE15" s="375"/>
      <c r="DF15" s="375"/>
      <c r="DG15" s="375"/>
      <c r="DH15" s="375"/>
      <c r="DI15" s="375"/>
      <c r="DJ15" s="375"/>
      <c r="DK15" s="375"/>
      <c r="DL15" s="375"/>
      <c r="DM15" s="375"/>
      <c r="DN15" s="375"/>
      <c r="DO15" s="375"/>
      <c r="DP15" s="375"/>
      <c r="DQ15" s="375"/>
      <c r="DR15" s="375"/>
      <c r="DS15" s="375"/>
      <c r="DT15" s="375"/>
      <c r="DU15" s="375"/>
      <c r="DV15" s="375"/>
      <c r="DW15" s="375"/>
      <c r="DX15" s="375"/>
      <c r="DY15" s="375"/>
      <c r="DZ15" s="375"/>
      <c r="EA15" s="375"/>
      <c r="EB15" s="375"/>
      <c r="EC15" s="375"/>
      <c r="ED15" s="375"/>
      <c r="EE15" s="375"/>
      <c r="EF15" s="375"/>
      <c r="EG15" s="375"/>
      <c r="EH15" s="375"/>
      <c r="EI15" s="375"/>
      <c r="EJ15" s="375"/>
      <c r="EK15" s="375"/>
      <c r="EL15" s="375"/>
      <c r="EM15" s="375"/>
      <c r="EN15" s="375"/>
      <c r="EO15" s="375"/>
      <c r="EP15" s="375"/>
      <c r="EQ15" s="375"/>
      <c r="ER15" s="375"/>
      <c r="ES15" s="375"/>
      <c r="ET15" s="375"/>
      <c r="EU15" s="375"/>
      <c r="EV15" s="375"/>
      <c r="EW15" s="375"/>
      <c r="EX15" s="375"/>
      <c r="EY15" s="375"/>
      <c r="EZ15" s="375"/>
      <c r="FA15" s="375"/>
      <c r="FB15" s="375"/>
      <c r="FC15" s="375"/>
      <c r="FD15" s="375"/>
      <c r="FE15" s="375"/>
      <c r="FF15" s="375"/>
      <c r="FG15" s="375"/>
      <c r="FH15" s="375"/>
      <c r="FI15" s="375"/>
      <c r="FJ15" s="375"/>
      <c r="FK15" s="375"/>
      <c r="FL15" s="375"/>
      <c r="FM15" s="375"/>
      <c r="FN15" s="375"/>
      <c r="FO15" s="375"/>
      <c r="FP15" s="375"/>
      <c r="FQ15" s="375"/>
      <c r="FR15" s="375"/>
      <c r="FS15" s="375"/>
      <c r="FT15" s="375"/>
      <c r="FU15" s="375"/>
      <c r="FV15" s="375"/>
      <c r="FW15" s="375"/>
      <c r="FX15" s="375"/>
      <c r="FY15" s="375"/>
      <c r="FZ15" s="375"/>
      <c r="GA15" s="375"/>
      <c r="GB15" s="375"/>
      <c r="GC15" s="375"/>
      <c r="GD15" s="375"/>
      <c r="GE15" s="375"/>
      <c r="GF15" s="375"/>
      <c r="GG15" s="375"/>
      <c r="GH15" s="375"/>
      <c r="GI15" s="375"/>
      <c r="GJ15" s="375"/>
      <c r="GK15" s="375"/>
      <c r="GL15" s="375"/>
      <c r="GM15" s="375"/>
      <c r="GN15" s="375"/>
      <c r="GO15" s="375"/>
      <c r="GP15" s="375"/>
      <c r="GQ15" s="375"/>
      <c r="GR15" s="375"/>
      <c r="GS15" s="375"/>
      <c r="GT15" s="375"/>
      <c r="GU15" s="375"/>
      <c r="GV15" s="375"/>
      <c r="GW15" s="375"/>
      <c r="GX15" s="375"/>
      <c r="GY15" s="375"/>
      <c r="GZ15" s="375"/>
      <c r="HA15" s="375"/>
      <c r="HB15" s="375"/>
      <c r="HC15" s="375"/>
      <c r="HD15" s="375"/>
      <c r="HE15" s="375"/>
      <c r="HF15" s="375"/>
      <c r="HG15" s="375"/>
      <c r="HH15" s="375"/>
      <c r="HI15" s="375"/>
      <c r="HJ15" s="375"/>
      <c r="HK15" s="375"/>
      <c r="HL15" s="375"/>
      <c r="HM15" s="375"/>
      <c r="HN15" s="375"/>
      <c r="HO15" s="375"/>
      <c r="HP15" s="375"/>
      <c r="HQ15" s="375"/>
      <c r="HR15" s="375"/>
      <c r="HS15" s="375"/>
      <c r="HT15" s="375"/>
      <c r="HU15" s="375"/>
      <c r="HV15" s="375"/>
      <c r="HW15" s="375"/>
      <c r="HX15" s="375"/>
      <c r="HY15" s="375"/>
      <c r="HZ15" s="375"/>
      <c r="IA15" s="375"/>
      <c r="IB15" s="375"/>
      <c r="IC15" s="375"/>
      <c r="ID15" s="375"/>
      <c r="IE15" s="375"/>
      <c r="IF15" s="375"/>
      <c r="IG15" s="375"/>
      <c r="IH15" s="375"/>
      <c r="II15" s="375"/>
      <c r="IJ15" s="375"/>
      <c r="IK15" s="375"/>
      <c r="IL15" s="375"/>
      <c r="IM15" s="375"/>
      <c r="IN15" s="375"/>
      <c r="IO15" s="375"/>
      <c r="IP15" s="375"/>
    </row>
    <row r="16" spans="1:250" ht="15.75">
      <c r="A16" s="608"/>
      <c r="B16" s="597"/>
      <c r="C16" s="597"/>
      <c r="D16" s="597"/>
      <c r="E16" s="610"/>
      <c r="F16" s="383" t="s">
        <v>12</v>
      </c>
      <c r="G16" s="383" t="s">
        <v>11</v>
      </c>
      <c r="H16" s="383" t="s">
        <v>10</v>
      </c>
      <c r="I16" s="384" t="s">
        <v>9</v>
      </c>
      <c r="J16" s="383" t="s">
        <v>8</v>
      </c>
      <c r="K16" s="385" t="s">
        <v>7</v>
      </c>
      <c r="L16" s="597"/>
      <c r="M16" s="597"/>
      <c r="N16" s="608"/>
      <c r="O16" s="380"/>
      <c r="P16" s="386"/>
      <c r="Q16" s="387" t="s">
        <v>321</v>
      </c>
      <c r="R16" s="383" t="s">
        <v>27</v>
      </c>
      <c r="S16" s="388"/>
      <c r="T16" s="600"/>
      <c r="U16" s="600"/>
      <c r="W16" s="378"/>
      <c r="Y16" s="377"/>
      <c r="Z16" s="378"/>
      <c r="AA16" s="379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5"/>
      <c r="BH16" s="375"/>
      <c r="BI16" s="375"/>
      <c r="BJ16" s="375"/>
      <c r="BK16" s="375"/>
      <c r="BL16" s="375"/>
      <c r="BM16" s="375"/>
      <c r="BN16" s="375"/>
      <c r="BO16" s="375"/>
      <c r="BP16" s="375"/>
      <c r="BQ16" s="375"/>
      <c r="BR16" s="375"/>
      <c r="BS16" s="375"/>
      <c r="BT16" s="375"/>
      <c r="BU16" s="375"/>
      <c r="BV16" s="375"/>
      <c r="BW16" s="375"/>
      <c r="BX16" s="375"/>
      <c r="BY16" s="375"/>
      <c r="BZ16" s="375"/>
      <c r="CA16" s="375"/>
      <c r="CB16" s="375"/>
      <c r="CC16" s="375"/>
      <c r="CD16" s="375"/>
      <c r="CE16" s="375"/>
      <c r="CF16" s="375"/>
      <c r="CG16" s="375"/>
      <c r="CH16" s="375"/>
      <c r="CI16" s="375"/>
      <c r="CJ16" s="375"/>
      <c r="CK16" s="375"/>
      <c r="CL16" s="375"/>
      <c r="CM16" s="375"/>
      <c r="CN16" s="375"/>
      <c r="CO16" s="375"/>
      <c r="CP16" s="375"/>
      <c r="CQ16" s="375"/>
      <c r="CR16" s="375"/>
      <c r="CS16" s="375"/>
      <c r="CT16" s="375"/>
      <c r="CU16" s="375"/>
      <c r="CV16" s="375"/>
      <c r="CW16" s="375"/>
      <c r="CX16" s="375"/>
      <c r="CY16" s="375"/>
      <c r="CZ16" s="375"/>
      <c r="DA16" s="375"/>
      <c r="DB16" s="375"/>
      <c r="DC16" s="375"/>
      <c r="DD16" s="375"/>
      <c r="DE16" s="375"/>
      <c r="DF16" s="375"/>
      <c r="DG16" s="375"/>
      <c r="DH16" s="375"/>
      <c r="DI16" s="375"/>
      <c r="DJ16" s="375"/>
      <c r="DK16" s="375"/>
      <c r="DL16" s="375"/>
      <c r="DM16" s="375"/>
      <c r="DN16" s="375"/>
      <c r="DO16" s="375"/>
      <c r="DP16" s="375"/>
      <c r="DQ16" s="375"/>
      <c r="DR16" s="375"/>
      <c r="DS16" s="375"/>
      <c r="DT16" s="375"/>
      <c r="DU16" s="375"/>
      <c r="DV16" s="375"/>
      <c r="DW16" s="375"/>
      <c r="DX16" s="375"/>
      <c r="DY16" s="375"/>
      <c r="DZ16" s="375"/>
      <c r="EA16" s="375"/>
      <c r="EB16" s="375"/>
      <c r="EC16" s="375"/>
      <c r="ED16" s="375"/>
      <c r="EE16" s="375"/>
      <c r="EF16" s="375"/>
      <c r="EG16" s="375"/>
      <c r="EH16" s="375"/>
      <c r="EI16" s="375"/>
      <c r="EJ16" s="375"/>
      <c r="EK16" s="375"/>
      <c r="EL16" s="375"/>
      <c r="EM16" s="375"/>
      <c r="EN16" s="375"/>
      <c r="EO16" s="375"/>
      <c r="EP16" s="375"/>
      <c r="EQ16" s="375"/>
      <c r="ER16" s="375"/>
      <c r="ES16" s="375"/>
      <c r="ET16" s="375"/>
      <c r="EU16" s="375"/>
      <c r="EV16" s="375"/>
      <c r="EW16" s="375"/>
      <c r="EX16" s="375"/>
      <c r="EY16" s="375"/>
      <c r="EZ16" s="375"/>
      <c r="FA16" s="375"/>
      <c r="FB16" s="375"/>
      <c r="FC16" s="375"/>
      <c r="FD16" s="375"/>
      <c r="FE16" s="375"/>
      <c r="FF16" s="375"/>
      <c r="FG16" s="375"/>
      <c r="FH16" s="375"/>
      <c r="FI16" s="375"/>
      <c r="FJ16" s="375"/>
      <c r="FK16" s="375"/>
      <c r="FL16" s="375"/>
      <c r="FM16" s="375"/>
      <c r="FN16" s="375"/>
      <c r="FO16" s="375"/>
      <c r="FP16" s="375"/>
      <c r="FQ16" s="375"/>
      <c r="FR16" s="375"/>
      <c r="FS16" s="375"/>
      <c r="FT16" s="375"/>
      <c r="FU16" s="375"/>
      <c r="FV16" s="375"/>
      <c r="FW16" s="375"/>
      <c r="FX16" s="375"/>
      <c r="FY16" s="375"/>
      <c r="FZ16" s="375"/>
      <c r="GA16" s="375"/>
      <c r="GB16" s="375"/>
      <c r="GC16" s="375"/>
      <c r="GD16" s="375"/>
      <c r="GE16" s="375"/>
      <c r="GF16" s="375"/>
      <c r="GG16" s="375"/>
      <c r="GH16" s="375"/>
      <c r="GI16" s="375"/>
      <c r="GJ16" s="375"/>
      <c r="GK16" s="375"/>
      <c r="GL16" s="375"/>
      <c r="GM16" s="375"/>
      <c r="GN16" s="375"/>
      <c r="GO16" s="375"/>
      <c r="GP16" s="375"/>
      <c r="GQ16" s="375"/>
      <c r="GR16" s="375"/>
      <c r="GS16" s="375"/>
      <c r="GT16" s="375"/>
      <c r="GU16" s="375"/>
      <c r="GV16" s="375"/>
      <c r="GW16" s="375"/>
      <c r="GX16" s="375"/>
      <c r="GY16" s="375"/>
      <c r="GZ16" s="375"/>
      <c r="HA16" s="375"/>
      <c r="HB16" s="375"/>
      <c r="HC16" s="375"/>
      <c r="HD16" s="375"/>
      <c r="HE16" s="375"/>
      <c r="HF16" s="375"/>
      <c r="HG16" s="375"/>
      <c r="HH16" s="375"/>
      <c r="HI16" s="375"/>
      <c r="HJ16" s="375"/>
      <c r="HK16" s="375"/>
      <c r="HL16" s="375"/>
      <c r="HM16" s="375"/>
      <c r="HN16" s="375"/>
      <c r="HO16" s="375"/>
      <c r="HP16" s="375"/>
      <c r="HQ16" s="375"/>
      <c r="HR16" s="375"/>
      <c r="HS16" s="375"/>
      <c r="HT16" s="375"/>
      <c r="HU16" s="375"/>
      <c r="HV16" s="375"/>
      <c r="HW16" s="375"/>
      <c r="HX16" s="375"/>
      <c r="HY16" s="375"/>
      <c r="HZ16" s="375"/>
      <c r="IA16" s="375"/>
      <c r="IB16" s="375"/>
      <c r="IC16" s="375"/>
      <c r="ID16" s="375"/>
      <c r="IE16" s="375"/>
      <c r="IF16" s="375"/>
      <c r="IG16" s="375"/>
      <c r="IH16" s="375"/>
      <c r="II16" s="375"/>
      <c r="IJ16" s="375"/>
      <c r="IK16" s="375"/>
      <c r="IL16" s="375"/>
      <c r="IM16" s="375"/>
      <c r="IN16" s="375"/>
      <c r="IO16" s="375"/>
      <c r="IP16" s="375"/>
    </row>
    <row r="17" spans="1:27" ht="42" customHeight="1">
      <c r="A17" s="573" t="s">
        <v>361</v>
      </c>
      <c r="B17" s="389" t="s">
        <v>1</v>
      </c>
      <c r="C17" s="598" t="s">
        <v>362</v>
      </c>
      <c r="D17" s="390">
        <v>1</v>
      </c>
      <c r="E17" s="207">
        <f t="shared" ref="E17:E40" si="0">F17</f>
        <v>23477500</v>
      </c>
      <c r="F17" s="207">
        <v>23477500</v>
      </c>
      <c r="G17" s="207">
        <v>0</v>
      </c>
      <c r="H17" s="207">
        <v>0</v>
      </c>
      <c r="I17" s="207">
        <v>0</v>
      </c>
      <c r="J17" s="564">
        <v>44946</v>
      </c>
      <c r="K17" s="564">
        <v>45290</v>
      </c>
      <c r="L17" s="569">
        <f>D18/D17</f>
        <v>0.8</v>
      </c>
      <c r="M17" s="569">
        <f>E18/E17</f>
        <v>1</v>
      </c>
      <c r="N17" s="568">
        <f>L17*L17/M17</f>
        <v>0.64000000000000012</v>
      </c>
      <c r="O17" s="391"/>
      <c r="P17" s="392" t="s">
        <v>1</v>
      </c>
      <c r="Q17" s="393">
        <v>1</v>
      </c>
      <c r="R17" s="394">
        <f>F17+F19++F21+F23+F25</f>
        <v>139422167</v>
      </c>
      <c r="S17" s="395"/>
      <c r="T17" s="600"/>
      <c r="U17" s="600"/>
      <c r="W17" s="4"/>
      <c r="Y17" s="396"/>
      <c r="Z17" s="378"/>
      <c r="AA17" s="379"/>
    </row>
    <row r="18" spans="1:27" ht="42" customHeight="1">
      <c r="A18" s="573"/>
      <c r="B18" s="389" t="s">
        <v>0</v>
      </c>
      <c r="C18" s="598"/>
      <c r="D18" s="397">
        <v>0.8</v>
      </c>
      <c r="E18" s="207">
        <f t="shared" si="0"/>
        <v>23477500</v>
      </c>
      <c r="F18" s="207">
        <v>23477500</v>
      </c>
      <c r="G18" s="207">
        <v>0</v>
      </c>
      <c r="H18" s="207">
        <v>0</v>
      </c>
      <c r="I18" s="207">
        <v>0</v>
      </c>
      <c r="J18" s="565"/>
      <c r="K18" s="565"/>
      <c r="L18" s="569"/>
      <c r="M18" s="569"/>
      <c r="N18" s="568"/>
      <c r="O18" s="391"/>
      <c r="P18" s="392" t="s">
        <v>0</v>
      </c>
      <c r="Q18" s="398"/>
      <c r="R18" s="394">
        <f>F18+F20++F22+F24+F26</f>
        <v>139422167</v>
      </c>
      <c r="S18" s="394">
        <v>1753000</v>
      </c>
      <c r="W18" s="399"/>
      <c r="Y18" s="396"/>
      <c r="Z18" s="378"/>
      <c r="AA18" s="379"/>
    </row>
    <row r="19" spans="1:27" ht="32.25" customHeight="1">
      <c r="A19" s="573" t="s">
        <v>363</v>
      </c>
      <c r="B19" s="389" t="s">
        <v>1</v>
      </c>
      <c r="C19" s="598" t="s">
        <v>364</v>
      </c>
      <c r="D19" s="390">
        <v>7</v>
      </c>
      <c r="E19" s="207">
        <f t="shared" si="0"/>
        <v>20000000</v>
      </c>
      <c r="F19" s="207">
        <v>20000000</v>
      </c>
      <c r="G19" s="207">
        <v>0</v>
      </c>
      <c r="H19" s="207">
        <v>0</v>
      </c>
      <c r="I19" s="207">
        <v>0</v>
      </c>
      <c r="J19" s="564">
        <v>44946</v>
      </c>
      <c r="K19" s="564">
        <v>45290</v>
      </c>
      <c r="L19" s="566">
        <f>D20/D19</f>
        <v>1</v>
      </c>
      <c r="M19" s="566">
        <f>E20/E19</f>
        <v>1</v>
      </c>
      <c r="N19" s="568">
        <f>L19*L19/M19</f>
        <v>1</v>
      </c>
      <c r="O19" s="391"/>
      <c r="P19" s="400"/>
      <c r="Q19" s="352"/>
      <c r="R19" s="401"/>
      <c r="W19" s="399"/>
      <c r="Y19" s="396"/>
      <c r="Z19" s="378"/>
      <c r="AA19" s="379"/>
    </row>
    <row r="20" spans="1:27" ht="32.25" customHeight="1">
      <c r="A20" s="573"/>
      <c r="B20" s="389" t="s">
        <v>0</v>
      </c>
      <c r="C20" s="599"/>
      <c r="D20" s="402">
        <v>7</v>
      </c>
      <c r="E20" s="207">
        <f t="shared" si="0"/>
        <v>20000000</v>
      </c>
      <c r="F20" s="207">
        <v>20000000</v>
      </c>
      <c r="G20" s="207">
        <v>0</v>
      </c>
      <c r="H20" s="207">
        <v>0</v>
      </c>
      <c r="I20" s="207">
        <v>0</v>
      </c>
      <c r="J20" s="565"/>
      <c r="K20" s="565"/>
      <c r="L20" s="567"/>
      <c r="M20" s="567"/>
      <c r="N20" s="568"/>
      <c r="O20" s="391"/>
      <c r="P20" s="400"/>
      <c r="Q20" s="352"/>
      <c r="R20" s="401"/>
      <c r="W20" s="399"/>
      <c r="Y20" s="396"/>
      <c r="Z20" s="378"/>
      <c r="AA20" s="379"/>
    </row>
    <row r="21" spans="1:27" ht="41.25" customHeight="1">
      <c r="A21" s="590" t="s">
        <v>429</v>
      </c>
      <c r="B21" s="389" t="s">
        <v>1</v>
      </c>
      <c r="C21" s="562" t="s">
        <v>428</v>
      </c>
      <c r="D21" s="403">
        <v>1</v>
      </c>
      <c r="E21" s="207">
        <f t="shared" si="0"/>
        <v>32563000</v>
      </c>
      <c r="F21" s="207">
        <v>32563000</v>
      </c>
      <c r="G21" s="207">
        <v>0</v>
      </c>
      <c r="H21" s="207">
        <v>0</v>
      </c>
      <c r="I21" s="207">
        <v>0</v>
      </c>
      <c r="J21" s="564">
        <v>44951</v>
      </c>
      <c r="K21" s="564">
        <v>45290</v>
      </c>
      <c r="L21" s="569">
        <f>D22/D21</f>
        <v>1</v>
      </c>
      <c r="M21" s="569">
        <f>E22/E21</f>
        <v>1</v>
      </c>
      <c r="N21" s="568">
        <v>0</v>
      </c>
      <c r="O21" s="391"/>
      <c r="Q21" s="352"/>
      <c r="W21" s="399"/>
      <c r="Y21" s="396"/>
      <c r="Z21" s="378"/>
      <c r="AA21" s="379"/>
    </row>
    <row r="22" spans="1:27" ht="41.25" customHeight="1">
      <c r="A22" s="585"/>
      <c r="B22" s="389" t="s">
        <v>0</v>
      </c>
      <c r="C22" s="562"/>
      <c r="D22" s="403">
        <v>1</v>
      </c>
      <c r="E22" s="207">
        <f t="shared" si="0"/>
        <v>32563000</v>
      </c>
      <c r="F22" s="207">
        <v>32563000</v>
      </c>
      <c r="G22" s="207">
        <v>0</v>
      </c>
      <c r="H22" s="207">
        <v>0</v>
      </c>
      <c r="I22" s="207">
        <v>0</v>
      </c>
      <c r="J22" s="565"/>
      <c r="K22" s="565"/>
      <c r="L22" s="569"/>
      <c r="M22" s="569"/>
      <c r="N22" s="568"/>
      <c r="O22" s="391"/>
      <c r="Q22" s="352"/>
      <c r="W22" s="399"/>
      <c r="Y22" s="396"/>
      <c r="Z22" s="378"/>
      <c r="AA22" s="379"/>
    </row>
    <row r="23" spans="1:27" ht="30" customHeight="1">
      <c r="A23" s="590" t="s">
        <v>394</v>
      </c>
      <c r="B23" s="389" t="s">
        <v>1</v>
      </c>
      <c r="C23" s="562" t="s">
        <v>412</v>
      </c>
      <c r="D23" s="402">
        <v>3</v>
      </c>
      <c r="E23" s="207">
        <f t="shared" si="0"/>
        <v>56255000</v>
      </c>
      <c r="F23" s="207">
        <v>56255000</v>
      </c>
      <c r="G23" s="207">
        <v>0</v>
      </c>
      <c r="H23" s="207">
        <v>0</v>
      </c>
      <c r="I23" s="207">
        <v>0</v>
      </c>
      <c r="J23" s="564">
        <v>44951</v>
      </c>
      <c r="K23" s="564">
        <v>45290</v>
      </c>
      <c r="L23" s="566">
        <f>D24/D23</f>
        <v>1</v>
      </c>
      <c r="M23" s="566">
        <f>E24/E23</f>
        <v>1</v>
      </c>
      <c r="N23" s="568">
        <f>L23*L23/M23</f>
        <v>1</v>
      </c>
      <c r="O23" s="391"/>
      <c r="Q23" s="352"/>
      <c r="W23" s="399"/>
      <c r="Y23" s="396"/>
      <c r="Z23" s="378"/>
      <c r="AA23" s="379"/>
    </row>
    <row r="24" spans="1:27" ht="30" customHeight="1">
      <c r="A24" s="585"/>
      <c r="B24" s="389" t="s">
        <v>0</v>
      </c>
      <c r="C24" s="563"/>
      <c r="D24" s="402">
        <v>3</v>
      </c>
      <c r="E24" s="207">
        <f t="shared" si="0"/>
        <v>56255000</v>
      </c>
      <c r="F24" s="207">
        <v>56255000</v>
      </c>
      <c r="G24" s="207">
        <v>0</v>
      </c>
      <c r="H24" s="207">
        <v>0</v>
      </c>
      <c r="I24" s="207">
        <v>0</v>
      </c>
      <c r="J24" s="565"/>
      <c r="K24" s="565"/>
      <c r="L24" s="567"/>
      <c r="M24" s="567"/>
      <c r="N24" s="568"/>
      <c r="O24" s="391"/>
      <c r="Q24" s="352"/>
      <c r="W24" s="399"/>
      <c r="Y24" s="396"/>
      <c r="Z24" s="378"/>
      <c r="AA24" s="379"/>
    </row>
    <row r="25" spans="1:27" ht="32.25" customHeight="1">
      <c r="A25" s="590" t="s">
        <v>430</v>
      </c>
      <c r="B25" s="389" t="s">
        <v>1</v>
      </c>
      <c r="C25" s="562" t="s">
        <v>413</v>
      </c>
      <c r="D25" s="403">
        <v>1</v>
      </c>
      <c r="E25" s="207">
        <f t="shared" si="0"/>
        <v>7126667</v>
      </c>
      <c r="F25" s="207">
        <v>7126667</v>
      </c>
      <c r="G25" s="207">
        <v>0</v>
      </c>
      <c r="H25" s="207">
        <v>0</v>
      </c>
      <c r="I25" s="207">
        <v>0</v>
      </c>
      <c r="J25" s="564">
        <v>44951</v>
      </c>
      <c r="K25" s="564">
        <v>45290</v>
      </c>
      <c r="L25" s="569">
        <f>D26/D25</f>
        <v>1</v>
      </c>
      <c r="M25" s="569">
        <f>E26/E25</f>
        <v>1</v>
      </c>
      <c r="N25" s="568">
        <f>L25*L25/M25</f>
        <v>1</v>
      </c>
      <c r="O25" s="391"/>
      <c r="Q25" s="352"/>
      <c r="W25" s="399"/>
      <c r="Y25" s="396"/>
      <c r="Z25" s="378"/>
      <c r="AA25" s="379"/>
    </row>
    <row r="26" spans="1:27" ht="46.9" customHeight="1">
      <c r="A26" s="585"/>
      <c r="B26" s="389" t="s">
        <v>0</v>
      </c>
      <c r="C26" s="562"/>
      <c r="D26" s="403">
        <v>1</v>
      </c>
      <c r="E26" s="207">
        <f t="shared" si="0"/>
        <v>7126667</v>
      </c>
      <c r="F26" s="207">
        <v>7126667</v>
      </c>
      <c r="G26" s="207">
        <v>0</v>
      </c>
      <c r="H26" s="207">
        <v>0</v>
      </c>
      <c r="I26" s="207">
        <v>0</v>
      </c>
      <c r="J26" s="565"/>
      <c r="K26" s="565"/>
      <c r="L26" s="569"/>
      <c r="M26" s="569"/>
      <c r="N26" s="568"/>
      <c r="O26" s="391"/>
      <c r="Q26" s="352"/>
      <c r="W26" s="399"/>
      <c r="Y26" s="396"/>
      <c r="Z26" s="378"/>
      <c r="AA26" s="379"/>
    </row>
    <row r="27" spans="1:27" ht="46.5" customHeight="1">
      <c r="A27" s="590" t="s">
        <v>395</v>
      </c>
      <c r="B27" s="389" t="s">
        <v>1</v>
      </c>
      <c r="C27" s="562" t="s">
        <v>414</v>
      </c>
      <c r="D27" s="403">
        <v>1</v>
      </c>
      <c r="E27" s="207">
        <f t="shared" si="0"/>
        <v>10000000</v>
      </c>
      <c r="F27" s="207">
        <v>10000000</v>
      </c>
      <c r="G27" s="207">
        <v>0</v>
      </c>
      <c r="H27" s="207">
        <v>0</v>
      </c>
      <c r="I27" s="207">
        <v>0</v>
      </c>
      <c r="J27" s="564">
        <v>44951</v>
      </c>
      <c r="K27" s="564">
        <v>45290</v>
      </c>
      <c r="L27" s="569">
        <f>D28/D27</f>
        <v>1</v>
      </c>
      <c r="M27" s="569">
        <f>E28/E27</f>
        <v>1</v>
      </c>
      <c r="N27" s="568">
        <f>L27*L27/M27</f>
        <v>1</v>
      </c>
      <c r="O27" s="391"/>
      <c r="P27" s="404" t="s">
        <v>1</v>
      </c>
      <c r="Q27" s="393">
        <v>2</v>
      </c>
      <c r="R27" s="405">
        <f>F27+F29</f>
        <v>53745000</v>
      </c>
      <c r="S27" s="395"/>
      <c r="AA27" s="379"/>
    </row>
    <row r="28" spans="1:27" ht="46.5" customHeight="1">
      <c r="A28" s="585"/>
      <c r="B28" s="389" t="s">
        <v>0</v>
      </c>
      <c r="C28" s="562"/>
      <c r="D28" s="406">
        <v>1</v>
      </c>
      <c r="E28" s="207">
        <f t="shared" si="0"/>
        <v>10000000</v>
      </c>
      <c r="F28" s="207">
        <v>10000000</v>
      </c>
      <c r="G28" s="207">
        <v>0</v>
      </c>
      <c r="H28" s="207">
        <v>0</v>
      </c>
      <c r="I28" s="207">
        <v>0</v>
      </c>
      <c r="J28" s="565"/>
      <c r="K28" s="565"/>
      <c r="L28" s="569"/>
      <c r="M28" s="569"/>
      <c r="N28" s="568"/>
      <c r="O28" s="391"/>
      <c r="P28" s="404" t="s">
        <v>0</v>
      </c>
      <c r="Q28" s="398"/>
      <c r="R28" s="405">
        <f>F28+F30</f>
        <v>53745000</v>
      </c>
      <c r="AA28" s="379"/>
    </row>
    <row r="29" spans="1:27" ht="26.25" customHeight="1">
      <c r="A29" s="571" t="s">
        <v>289</v>
      </c>
      <c r="B29" s="407" t="s">
        <v>1</v>
      </c>
      <c r="C29" s="562" t="s">
        <v>415</v>
      </c>
      <c r="D29" s="408">
        <v>500</v>
      </c>
      <c r="E29" s="207">
        <f t="shared" si="0"/>
        <v>43745000</v>
      </c>
      <c r="F29" s="207">
        <v>43745000</v>
      </c>
      <c r="G29" s="207">
        <v>0</v>
      </c>
      <c r="H29" s="207">
        <v>0</v>
      </c>
      <c r="I29" s="207">
        <v>0</v>
      </c>
      <c r="J29" s="564">
        <v>44950</v>
      </c>
      <c r="K29" s="564">
        <v>45290</v>
      </c>
      <c r="L29" s="569">
        <f>D30/D29</f>
        <v>1</v>
      </c>
      <c r="M29" s="569">
        <f>E30/E29</f>
        <v>1</v>
      </c>
      <c r="N29" s="568">
        <f>L29*L29/M29</f>
        <v>1</v>
      </c>
      <c r="O29" s="391"/>
    </row>
    <row r="30" spans="1:27" ht="34.9" customHeight="1">
      <c r="A30" s="572"/>
      <c r="B30" s="407" t="s">
        <v>0</v>
      </c>
      <c r="C30" s="562"/>
      <c r="D30" s="402">
        <v>500</v>
      </c>
      <c r="E30" s="207">
        <f t="shared" si="0"/>
        <v>43745000</v>
      </c>
      <c r="F30" s="207">
        <v>43745000</v>
      </c>
      <c r="G30" s="207">
        <v>0</v>
      </c>
      <c r="H30" s="207">
        <v>0</v>
      </c>
      <c r="I30" s="207">
        <v>0</v>
      </c>
      <c r="J30" s="565"/>
      <c r="K30" s="565"/>
      <c r="L30" s="569"/>
      <c r="M30" s="569"/>
      <c r="N30" s="568"/>
      <c r="O30" s="391"/>
    </row>
    <row r="31" spans="1:27" ht="32.25" customHeight="1">
      <c r="A31" s="570" t="s">
        <v>288</v>
      </c>
      <c r="B31" s="409" t="s">
        <v>39</v>
      </c>
      <c r="C31" s="562" t="s">
        <v>396</v>
      </c>
      <c r="D31" s="402">
        <v>1</v>
      </c>
      <c r="E31" s="207">
        <f t="shared" si="0"/>
        <v>5900000</v>
      </c>
      <c r="F31" s="207">
        <v>5900000</v>
      </c>
      <c r="G31" s="207">
        <v>0</v>
      </c>
      <c r="H31" s="207">
        <v>0</v>
      </c>
      <c r="I31" s="207">
        <v>0</v>
      </c>
      <c r="J31" s="564">
        <v>45017</v>
      </c>
      <c r="K31" s="564">
        <v>45290</v>
      </c>
      <c r="L31" s="569">
        <f>D32/D31</f>
        <v>0.8</v>
      </c>
      <c r="M31" s="569">
        <f>E32/E31</f>
        <v>1</v>
      </c>
      <c r="N31" s="568">
        <f>L31*L31/M31</f>
        <v>0.64000000000000012</v>
      </c>
      <c r="O31" s="391"/>
      <c r="P31" s="404" t="s">
        <v>1</v>
      </c>
      <c r="Q31" s="393">
        <v>3</v>
      </c>
      <c r="R31" s="405">
        <f>F31+F33+F35</f>
        <v>20000000</v>
      </c>
      <c r="S31" s="395"/>
    </row>
    <row r="32" spans="1:27" ht="32.25" customHeight="1">
      <c r="A32" s="570"/>
      <c r="B32" s="409" t="s">
        <v>0</v>
      </c>
      <c r="C32" s="562"/>
      <c r="D32" s="410">
        <v>0.8</v>
      </c>
      <c r="E32" s="207">
        <f t="shared" si="0"/>
        <v>5900000</v>
      </c>
      <c r="F32" s="207">
        <v>5900000</v>
      </c>
      <c r="G32" s="207">
        <v>0</v>
      </c>
      <c r="H32" s="207">
        <v>0</v>
      </c>
      <c r="I32" s="207">
        <v>0</v>
      </c>
      <c r="J32" s="565"/>
      <c r="K32" s="565"/>
      <c r="L32" s="569"/>
      <c r="M32" s="569"/>
      <c r="N32" s="568"/>
      <c r="O32" s="391"/>
      <c r="P32" s="404" t="s">
        <v>0</v>
      </c>
      <c r="Q32" s="398"/>
      <c r="R32" s="405">
        <f>F32+F34+F36</f>
        <v>20000000</v>
      </c>
    </row>
    <row r="33" spans="1:52" ht="24.6" customHeight="1">
      <c r="A33" s="570" t="s">
        <v>337</v>
      </c>
      <c r="B33" s="409" t="s">
        <v>39</v>
      </c>
      <c r="C33" s="562" t="s">
        <v>397</v>
      </c>
      <c r="D33" s="402">
        <v>1</v>
      </c>
      <c r="E33" s="207">
        <f t="shared" si="0"/>
        <v>4100000</v>
      </c>
      <c r="F33" s="207">
        <v>4100000</v>
      </c>
      <c r="G33" s="207">
        <v>0</v>
      </c>
      <c r="H33" s="207">
        <v>0</v>
      </c>
      <c r="I33" s="207">
        <v>0</v>
      </c>
      <c r="J33" s="564">
        <v>45017</v>
      </c>
      <c r="K33" s="564">
        <v>45290</v>
      </c>
      <c r="L33" s="569">
        <f>D34/D33</f>
        <v>0</v>
      </c>
      <c r="M33" s="569">
        <f>E34/E33</f>
        <v>1</v>
      </c>
      <c r="N33" s="568">
        <f>L33*L33/M33</f>
        <v>0</v>
      </c>
      <c r="O33" s="391"/>
      <c r="P33" s="400"/>
      <c r="Q33" s="352"/>
      <c r="R33" s="401"/>
    </row>
    <row r="34" spans="1:52" ht="24.6" customHeight="1">
      <c r="A34" s="570"/>
      <c r="B34" s="409" t="s">
        <v>0</v>
      </c>
      <c r="C34" s="562"/>
      <c r="D34" s="410">
        <v>0</v>
      </c>
      <c r="E34" s="207">
        <f t="shared" si="0"/>
        <v>4100000</v>
      </c>
      <c r="F34" s="207">
        <v>4100000</v>
      </c>
      <c r="G34" s="207">
        <v>0</v>
      </c>
      <c r="H34" s="207">
        <v>0</v>
      </c>
      <c r="I34" s="207">
        <v>0</v>
      </c>
      <c r="J34" s="565"/>
      <c r="K34" s="565"/>
      <c r="L34" s="569"/>
      <c r="M34" s="569"/>
      <c r="N34" s="568"/>
      <c r="O34" s="391"/>
      <c r="P34" s="400"/>
      <c r="Q34" s="352"/>
      <c r="R34" s="401"/>
    </row>
    <row r="35" spans="1:52" ht="47.25" customHeight="1">
      <c r="A35" s="570" t="s">
        <v>431</v>
      </c>
      <c r="B35" s="409" t="s">
        <v>39</v>
      </c>
      <c r="C35" s="562" t="s">
        <v>398</v>
      </c>
      <c r="D35" s="402">
        <v>4</v>
      </c>
      <c r="E35" s="207">
        <f t="shared" si="0"/>
        <v>10000000</v>
      </c>
      <c r="F35" s="207">
        <v>10000000</v>
      </c>
      <c r="G35" s="207">
        <v>0</v>
      </c>
      <c r="H35" s="207">
        <v>0</v>
      </c>
      <c r="I35" s="207">
        <v>0</v>
      </c>
      <c r="J35" s="564">
        <v>45017</v>
      </c>
      <c r="K35" s="564">
        <v>45290</v>
      </c>
      <c r="L35" s="569">
        <f>D36/D35</f>
        <v>0.5</v>
      </c>
      <c r="M35" s="569">
        <f>E36/E35</f>
        <v>1</v>
      </c>
      <c r="N35" s="568">
        <v>0</v>
      </c>
      <c r="O35" s="391"/>
      <c r="P35" s="400"/>
      <c r="Q35" s="352"/>
      <c r="R35" s="401"/>
    </row>
    <row r="36" spans="1:52" ht="47.25" customHeight="1">
      <c r="A36" s="570"/>
      <c r="B36" s="409" t="s">
        <v>0</v>
      </c>
      <c r="C36" s="562"/>
      <c r="D36" s="402">
        <v>2</v>
      </c>
      <c r="E36" s="207">
        <f t="shared" si="0"/>
        <v>10000000</v>
      </c>
      <c r="F36" s="207">
        <v>10000000</v>
      </c>
      <c r="G36" s="207">
        <v>0</v>
      </c>
      <c r="H36" s="207">
        <v>0</v>
      </c>
      <c r="I36" s="207">
        <v>0</v>
      </c>
      <c r="J36" s="565"/>
      <c r="K36" s="565"/>
      <c r="L36" s="569"/>
      <c r="M36" s="569"/>
      <c r="N36" s="568"/>
      <c r="O36" s="391"/>
      <c r="P36" s="400"/>
      <c r="Q36" s="352"/>
      <c r="R36" s="401"/>
    </row>
    <row r="37" spans="1:52" ht="45" customHeight="1">
      <c r="A37" s="571" t="s">
        <v>365</v>
      </c>
      <c r="B37" s="407" t="s">
        <v>1</v>
      </c>
      <c r="C37" s="562" t="s">
        <v>432</v>
      </c>
      <c r="D37" s="402">
        <v>1</v>
      </c>
      <c r="E37" s="207">
        <f t="shared" si="0"/>
        <v>28325000</v>
      </c>
      <c r="F37" s="207">
        <v>28325000</v>
      </c>
      <c r="G37" s="207">
        <v>0</v>
      </c>
      <c r="H37" s="207">
        <v>0</v>
      </c>
      <c r="I37" s="207">
        <v>0</v>
      </c>
      <c r="J37" s="564">
        <v>44958</v>
      </c>
      <c r="K37" s="564">
        <v>45290</v>
      </c>
      <c r="L37" s="569">
        <f>D38/D37</f>
        <v>1</v>
      </c>
      <c r="M37" s="569">
        <f>E38/E37</f>
        <v>1</v>
      </c>
      <c r="N37" s="568">
        <f>L37*L37/M37</f>
        <v>1</v>
      </c>
      <c r="O37" s="391"/>
      <c r="P37" s="386"/>
      <c r="Q37" s="383" t="s">
        <v>321</v>
      </c>
      <c r="R37" s="383" t="s">
        <v>27</v>
      </c>
    </row>
    <row r="38" spans="1:52" ht="45" customHeight="1">
      <c r="A38" s="572"/>
      <c r="B38" s="407" t="s">
        <v>0</v>
      </c>
      <c r="C38" s="562"/>
      <c r="D38" s="402">
        <v>1</v>
      </c>
      <c r="E38" s="207">
        <f t="shared" si="0"/>
        <v>28325000</v>
      </c>
      <c r="F38" s="207">
        <v>28325000</v>
      </c>
      <c r="G38" s="207">
        <v>0</v>
      </c>
      <c r="H38" s="207">
        <v>0</v>
      </c>
      <c r="I38" s="207">
        <v>0</v>
      </c>
      <c r="J38" s="565"/>
      <c r="K38" s="565"/>
      <c r="L38" s="569"/>
      <c r="M38" s="569"/>
      <c r="N38" s="568"/>
      <c r="O38" s="391"/>
      <c r="P38" s="404" t="s">
        <v>1</v>
      </c>
      <c r="Q38" s="393">
        <v>4</v>
      </c>
      <c r="R38" s="405">
        <f>F37+F39</f>
        <v>29325000</v>
      </c>
      <c r="S38" s="395"/>
    </row>
    <row r="39" spans="1:52" ht="34.9" customHeight="1">
      <c r="A39" s="571" t="s">
        <v>399</v>
      </c>
      <c r="B39" s="407" t="s">
        <v>1</v>
      </c>
      <c r="C39" s="562" t="s">
        <v>416</v>
      </c>
      <c r="D39" s="402">
        <v>3</v>
      </c>
      <c r="E39" s="207">
        <f t="shared" si="0"/>
        <v>1000000</v>
      </c>
      <c r="F39" s="207">
        <v>1000000</v>
      </c>
      <c r="G39" s="207">
        <v>0</v>
      </c>
      <c r="H39" s="207">
        <v>0</v>
      </c>
      <c r="I39" s="207">
        <v>0</v>
      </c>
      <c r="J39" s="564">
        <v>44593</v>
      </c>
      <c r="K39" s="564">
        <v>44925</v>
      </c>
      <c r="L39" s="566">
        <f>D40/D39</f>
        <v>1</v>
      </c>
      <c r="M39" s="566">
        <f>E40/E39</f>
        <v>1</v>
      </c>
      <c r="N39" s="568">
        <f>L39*L39/M39</f>
        <v>1</v>
      </c>
      <c r="O39" s="391"/>
      <c r="P39" s="404"/>
      <c r="Q39" s="411"/>
      <c r="R39" s="405">
        <f>F38+F40</f>
        <v>29325000</v>
      </c>
      <c r="S39" s="395"/>
    </row>
    <row r="40" spans="1:52" ht="34.9" customHeight="1">
      <c r="A40" s="572"/>
      <c r="B40" s="407" t="s">
        <v>0</v>
      </c>
      <c r="C40" s="563"/>
      <c r="D40" s="402">
        <v>3</v>
      </c>
      <c r="E40" s="207">
        <f t="shared" si="0"/>
        <v>1000000</v>
      </c>
      <c r="F40" s="207">
        <v>1000000</v>
      </c>
      <c r="G40" s="207">
        <v>0</v>
      </c>
      <c r="H40" s="207">
        <v>0</v>
      </c>
      <c r="I40" s="207">
        <v>0</v>
      </c>
      <c r="J40" s="565"/>
      <c r="K40" s="565"/>
      <c r="L40" s="567"/>
      <c r="M40" s="567"/>
      <c r="N40" s="568"/>
      <c r="O40" s="391"/>
      <c r="P40" s="400"/>
      <c r="Q40" s="412"/>
      <c r="R40" s="401"/>
      <c r="S40" s="395"/>
    </row>
    <row r="41" spans="1:52" ht="18">
      <c r="A41" s="586" t="s">
        <v>6</v>
      </c>
      <c r="B41" s="413" t="s">
        <v>1</v>
      </c>
      <c r="C41" s="587"/>
      <c r="D41" s="414"/>
      <c r="E41" s="415">
        <f>(E17+E19+E21+E23+E25+E27+E29+E31+E33+E35+E37+E39)</f>
        <v>242492167</v>
      </c>
      <c r="F41" s="415">
        <f t="shared" ref="F41:H42" si="1">(F17+F19+F21+F23+F25+F27+F29+F31+F33+F35+F37+F39)</f>
        <v>242492167</v>
      </c>
      <c r="G41" s="415">
        <f t="shared" si="1"/>
        <v>0</v>
      </c>
      <c r="H41" s="415">
        <f t="shared" si="1"/>
        <v>0</v>
      </c>
      <c r="I41" s="415">
        <f>(I17+I19+I21+I23+I25+I27+I29+I31+I33+I35+I37+I39)</f>
        <v>0</v>
      </c>
      <c r="J41" s="416"/>
      <c r="K41" s="417"/>
      <c r="L41" s="417"/>
      <c r="M41" s="417"/>
      <c r="N41" s="418"/>
      <c r="P41" s="404" t="s">
        <v>1</v>
      </c>
      <c r="Q41" s="419"/>
      <c r="R41" s="394">
        <f>R17+R27+R31+R38</f>
        <v>242492167</v>
      </c>
      <c r="S41" s="420"/>
    </row>
    <row r="42" spans="1:52" ht="15.75">
      <c r="A42" s="586"/>
      <c r="B42" s="413" t="s">
        <v>0</v>
      </c>
      <c r="C42" s="588"/>
      <c r="D42" s="414"/>
      <c r="E42" s="415">
        <f>(E18+E20+E22+E24+E26+E28+E30+E32+E34+E36+E38+E40)</f>
        <v>242492167</v>
      </c>
      <c r="F42" s="415">
        <f t="shared" si="1"/>
        <v>242492167</v>
      </c>
      <c r="G42" s="415">
        <f t="shared" si="1"/>
        <v>0</v>
      </c>
      <c r="H42" s="415">
        <f t="shared" si="1"/>
        <v>0</v>
      </c>
      <c r="I42" s="415">
        <f>(I18+I20+I22+I24+I26+I28+I30+I32+I34+I36+I38+I40)</f>
        <v>0</v>
      </c>
      <c r="J42" s="421"/>
      <c r="K42" s="417"/>
      <c r="L42" s="417"/>
      <c r="M42" s="417"/>
      <c r="N42" s="418"/>
      <c r="P42" s="404" t="s">
        <v>0</v>
      </c>
      <c r="Q42" s="422"/>
      <c r="R42" s="394">
        <f>R18+R28+R32+R39</f>
        <v>242492167</v>
      </c>
    </row>
    <row r="43" spans="1:52">
      <c r="B43" s="423"/>
      <c r="E43" s="424"/>
      <c r="F43" s="425"/>
      <c r="G43" s="377"/>
      <c r="H43" s="377"/>
      <c r="I43" s="377"/>
      <c r="J43" s="426"/>
      <c r="K43" s="426"/>
      <c r="L43" s="425"/>
      <c r="M43" s="427"/>
      <c r="N43" s="428"/>
      <c r="O43" s="427"/>
      <c r="P43" s="427"/>
      <c r="Q43" s="427"/>
    </row>
    <row r="44" spans="1:52" ht="15.75">
      <c r="A44" s="429" t="s">
        <v>5</v>
      </c>
      <c r="B44" s="580" t="s">
        <v>4</v>
      </c>
      <c r="C44" s="581"/>
      <c r="D44" s="582"/>
      <c r="E44" s="580" t="s">
        <v>3</v>
      </c>
      <c r="F44" s="581"/>
      <c r="G44" s="581"/>
      <c r="H44" s="582"/>
      <c r="I44" s="429"/>
      <c r="J44" s="583" t="s">
        <v>2</v>
      </c>
      <c r="K44" s="581"/>
      <c r="L44" s="581"/>
      <c r="M44" s="581"/>
      <c r="N44" s="582"/>
      <c r="O44" s="430"/>
    </row>
    <row r="45" spans="1:52" ht="29.25" customHeight="1">
      <c r="A45" s="573" t="s">
        <v>82</v>
      </c>
      <c r="B45" s="584" t="s">
        <v>78</v>
      </c>
      <c r="C45" s="585"/>
      <c r="D45" s="585"/>
      <c r="E45" s="584" t="s">
        <v>35</v>
      </c>
      <c r="F45" s="585"/>
      <c r="G45" s="585"/>
      <c r="H45" s="431" t="s">
        <v>1</v>
      </c>
      <c r="I45" s="432">
        <v>1</v>
      </c>
      <c r="J45" s="577" t="s">
        <v>461</v>
      </c>
      <c r="K45" s="578"/>
      <c r="L45" s="578"/>
      <c r="M45" s="578"/>
      <c r="N45" s="578"/>
      <c r="O45" s="430"/>
    </row>
    <row r="46" spans="1:52" ht="29.25" customHeight="1">
      <c r="A46" s="573"/>
      <c r="B46" s="585"/>
      <c r="C46" s="585"/>
      <c r="D46" s="585"/>
      <c r="E46" s="585"/>
      <c r="F46" s="585"/>
      <c r="G46" s="585"/>
      <c r="H46" s="431" t="s">
        <v>0</v>
      </c>
      <c r="I46" s="432">
        <v>0</v>
      </c>
      <c r="J46" s="578"/>
      <c r="K46" s="579"/>
      <c r="L46" s="579"/>
      <c r="M46" s="579"/>
      <c r="N46" s="578"/>
      <c r="O46" s="430"/>
    </row>
    <row r="47" spans="1:52" ht="42" customHeight="1">
      <c r="A47" s="573" t="s">
        <v>82</v>
      </c>
      <c r="B47" s="584" t="s">
        <v>79</v>
      </c>
      <c r="C47" s="584"/>
      <c r="D47" s="584"/>
      <c r="E47" s="584" t="s">
        <v>44</v>
      </c>
      <c r="F47" s="585"/>
      <c r="G47" s="585"/>
      <c r="H47" s="431" t="s">
        <v>1</v>
      </c>
      <c r="I47" s="432">
        <v>500</v>
      </c>
      <c r="J47" s="578"/>
      <c r="K47" s="579"/>
      <c r="L47" s="579"/>
      <c r="M47" s="579"/>
      <c r="N47" s="578"/>
      <c r="O47" s="430"/>
      <c r="P47" s="433"/>
      <c r="Q47" s="433"/>
      <c r="R47" s="433"/>
      <c r="S47" s="433"/>
      <c r="T47" s="433"/>
      <c r="U47" s="433"/>
      <c r="V47" s="433"/>
      <c r="W47" s="433"/>
      <c r="X47" s="433"/>
      <c r="Y47" s="433"/>
      <c r="Z47" s="433"/>
      <c r="AA47" s="433"/>
      <c r="AB47" s="433"/>
      <c r="AC47" s="433"/>
      <c r="AD47" s="433"/>
      <c r="AE47" s="433"/>
      <c r="AF47" s="433"/>
      <c r="AG47" s="433"/>
      <c r="AH47" s="433"/>
      <c r="AI47" s="433"/>
      <c r="AJ47" s="433"/>
      <c r="AK47" s="433"/>
      <c r="AL47" s="433"/>
      <c r="AM47" s="433"/>
      <c r="AN47" s="433"/>
      <c r="AO47" s="433"/>
      <c r="AP47" s="433"/>
      <c r="AQ47" s="433"/>
      <c r="AR47" s="433"/>
      <c r="AS47" s="433"/>
      <c r="AT47" s="433"/>
      <c r="AU47" s="433"/>
      <c r="AV47" s="433"/>
      <c r="AW47" s="433"/>
      <c r="AX47" s="433"/>
      <c r="AY47" s="433"/>
      <c r="AZ47" s="433"/>
    </row>
    <row r="48" spans="1:52" ht="42" customHeight="1">
      <c r="A48" s="573"/>
      <c r="B48" s="584"/>
      <c r="C48" s="584"/>
      <c r="D48" s="584"/>
      <c r="E48" s="585"/>
      <c r="F48" s="585"/>
      <c r="G48" s="585"/>
      <c r="H48" s="431" t="s">
        <v>0</v>
      </c>
      <c r="I48" s="432">
        <v>30</v>
      </c>
      <c r="J48" s="578"/>
      <c r="K48" s="579"/>
      <c r="L48" s="579"/>
      <c r="M48" s="579"/>
      <c r="N48" s="578"/>
      <c r="O48" s="430"/>
      <c r="P48" s="433"/>
      <c r="Q48" s="433"/>
      <c r="R48" s="433"/>
      <c r="S48" s="433"/>
      <c r="T48" s="433"/>
      <c r="U48" s="433"/>
      <c r="V48" s="433"/>
      <c r="W48" s="433"/>
      <c r="X48" s="433"/>
      <c r="Y48" s="433"/>
      <c r="Z48" s="433"/>
      <c r="AA48" s="433"/>
      <c r="AB48" s="433"/>
      <c r="AC48" s="433"/>
      <c r="AD48" s="433"/>
      <c r="AE48" s="433"/>
      <c r="AF48" s="433"/>
      <c r="AG48" s="433"/>
      <c r="AH48" s="433"/>
      <c r="AI48" s="433"/>
      <c r="AJ48" s="433"/>
      <c r="AK48" s="433"/>
      <c r="AL48" s="433"/>
      <c r="AM48" s="433"/>
      <c r="AN48" s="433"/>
      <c r="AO48" s="433"/>
      <c r="AP48" s="433"/>
      <c r="AQ48" s="433"/>
      <c r="AR48" s="433"/>
      <c r="AS48" s="433"/>
      <c r="AT48" s="433"/>
      <c r="AU48" s="433"/>
      <c r="AV48" s="433"/>
      <c r="AW48" s="433"/>
      <c r="AX48" s="433"/>
      <c r="AY48" s="433"/>
      <c r="AZ48" s="433"/>
    </row>
    <row r="49" spans="1:52" ht="32.25" customHeight="1">
      <c r="A49" s="573" t="s">
        <v>82</v>
      </c>
      <c r="B49" s="584" t="s">
        <v>80</v>
      </c>
      <c r="C49" s="584"/>
      <c r="D49" s="584"/>
      <c r="E49" s="584" t="s">
        <v>45</v>
      </c>
      <c r="F49" s="585"/>
      <c r="G49" s="585"/>
      <c r="H49" s="431" t="s">
        <v>1</v>
      </c>
      <c r="I49" s="434">
        <v>1</v>
      </c>
      <c r="J49" s="578"/>
      <c r="K49" s="579"/>
      <c r="L49" s="579"/>
      <c r="M49" s="579"/>
      <c r="N49" s="578"/>
      <c r="O49" s="430"/>
      <c r="P49" s="433"/>
      <c r="Q49" s="433"/>
      <c r="R49" s="433"/>
      <c r="S49" s="433"/>
      <c r="T49" s="433"/>
      <c r="U49" s="433"/>
      <c r="V49" s="433"/>
      <c r="W49" s="433"/>
      <c r="X49" s="433"/>
      <c r="Y49" s="433"/>
      <c r="Z49" s="433"/>
      <c r="AA49" s="433"/>
      <c r="AB49" s="433"/>
      <c r="AC49" s="433"/>
      <c r="AD49" s="433"/>
      <c r="AE49" s="433"/>
      <c r="AF49" s="433"/>
      <c r="AG49" s="433"/>
      <c r="AH49" s="433"/>
      <c r="AI49" s="433"/>
      <c r="AJ49" s="433"/>
      <c r="AK49" s="433"/>
      <c r="AL49" s="433"/>
      <c r="AM49" s="433"/>
      <c r="AN49" s="433"/>
      <c r="AO49" s="433"/>
      <c r="AP49" s="433"/>
      <c r="AQ49" s="433"/>
      <c r="AR49" s="433"/>
      <c r="AS49" s="433"/>
      <c r="AT49" s="433"/>
      <c r="AU49" s="433"/>
      <c r="AV49" s="433"/>
      <c r="AW49" s="433"/>
      <c r="AX49" s="433"/>
      <c r="AY49" s="433"/>
      <c r="AZ49" s="433"/>
    </row>
    <row r="50" spans="1:52" ht="32.25" customHeight="1">
      <c r="A50" s="573"/>
      <c r="B50" s="584"/>
      <c r="C50" s="584"/>
      <c r="D50" s="584"/>
      <c r="E50" s="585"/>
      <c r="F50" s="585"/>
      <c r="G50" s="585"/>
      <c r="H50" s="431" t="s">
        <v>0</v>
      </c>
      <c r="I50" s="431">
        <v>0</v>
      </c>
      <c r="J50" s="578"/>
      <c r="K50" s="579"/>
      <c r="L50" s="579"/>
      <c r="M50" s="579"/>
      <c r="N50" s="578"/>
      <c r="O50" s="430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3"/>
      <c r="AL50" s="433"/>
      <c r="AM50" s="433"/>
      <c r="AN50" s="433"/>
      <c r="AO50" s="433"/>
      <c r="AP50" s="433"/>
      <c r="AQ50" s="433"/>
      <c r="AR50" s="433"/>
      <c r="AS50" s="433"/>
      <c r="AT50" s="433"/>
      <c r="AU50" s="433"/>
      <c r="AV50" s="433"/>
      <c r="AW50" s="433"/>
      <c r="AX50" s="433"/>
      <c r="AY50" s="433"/>
      <c r="AZ50" s="433"/>
    </row>
    <row r="51" spans="1:52" ht="39.75" customHeight="1">
      <c r="A51" s="573" t="s">
        <v>82</v>
      </c>
      <c r="B51" s="584" t="s">
        <v>81</v>
      </c>
      <c r="C51" s="589"/>
      <c r="D51" s="585"/>
      <c r="E51" s="584" t="s">
        <v>34</v>
      </c>
      <c r="F51" s="585"/>
      <c r="G51" s="585"/>
      <c r="H51" s="431" t="s">
        <v>1</v>
      </c>
      <c r="I51" s="434">
        <v>1</v>
      </c>
      <c r="J51" s="578"/>
      <c r="K51" s="579"/>
      <c r="L51" s="579"/>
      <c r="M51" s="579"/>
      <c r="N51" s="578"/>
      <c r="O51" s="430"/>
      <c r="P51" s="433"/>
      <c r="Q51" s="433"/>
      <c r="R51" s="433"/>
      <c r="S51" s="433"/>
      <c r="T51" s="433"/>
      <c r="U51" s="433"/>
      <c r="V51" s="433"/>
      <c r="W51" s="433"/>
      <c r="X51" s="433"/>
      <c r="Y51" s="433"/>
      <c r="Z51" s="433"/>
      <c r="AA51" s="433"/>
      <c r="AB51" s="433"/>
      <c r="AC51" s="433"/>
      <c r="AD51" s="433"/>
      <c r="AE51" s="433"/>
      <c r="AF51" s="433"/>
      <c r="AG51" s="433"/>
      <c r="AH51" s="433"/>
      <c r="AI51" s="433"/>
      <c r="AJ51" s="433"/>
      <c r="AK51" s="433"/>
      <c r="AL51" s="433"/>
      <c r="AM51" s="433"/>
      <c r="AN51" s="433"/>
      <c r="AO51" s="433"/>
      <c r="AP51" s="433"/>
      <c r="AQ51" s="433"/>
      <c r="AR51" s="433"/>
      <c r="AS51" s="433"/>
      <c r="AT51" s="433"/>
      <c r="AU51" s="433"/>
      <c r="AV51" s="433"/>
      <c r="AW51" s="433"/>
      <c r="AX51" s="433"/>
      <c r="AY51" s="433"/>
      <c r="AZ51" s="433"/>
    </row>
    <row r="52" spans="1:52" ht="39.75" customHeight="1">
      <c r="A52" s="573"/>
      <c r="B52" s="585"/>
      <c r="C52" s="585"/>
      <c r="D52" s="585"/>
      <c r="E52" s="585"/>
      <c r="F52" s="585"/>
      <c r="G52" s="585"/>
      <c r="H52" s="431" t="s">
        <v>0</v>
      </c>
      <c r="I52" s="431">
        <v>0</v>
      </c>
      <c r="J52" s="578"/>
      <c r="K52" s="579"/>
      <c r="L52" s="579"/>
      <c r="M52" s="579"/>
      <c r="N52" s="578"/>
      <c r="O52" s="430"/>
      <c r="P52" s="433"/>
      <c r="Q52" s="433"/>
      <c r="R52" s="433"/>
      <c r="S52" s="433"/>
      <c r="T52" s="433"/>
      <c r="U52" s="433"/>
      <c r="V52" s="433"/>
      <c r="W52" s="433"/>
      <c r="X52" s="433"/>
      <c r="Y52" s="433"/>
      <c r="Z52" s="433"/>
      <c r="AA52" s="433"/>
      <c r="AB52" s="433"/>
      <c r="AC52" s="433"/>
      <c r="AD52" s="433"/>
      <c r="AE52" s="433"/>
      <c r="AF52" s="433"/>
      <c r="AG52" s="433"/>
      <c r="AH52" s="433"/>
      <c r="AI52" s="433"/>
      <c r="AJ52" s="433"/>
      <c r="AK52" s="433"/>
      <c r="AL52" s="433"/>
      <c r="AM52" s="433"/>
      <c r="AN52" s="433"/>
      <c r="AO52" s="433"/>
      <c r="AP52" s="433"/>
      <c r="AQ52" s="433"/>
      <c r="AR52" s="433"/>
      <c r="AS52" s="433"/>
      <c r="AT52" s="433"/>
      <c r="AU52" s="433"/>
      <c r="AV52" s="433"/>
      <c r="AW52" s="433"/>
      <c r="AX52" s="433"/>
      <c r="AY52" s="433"/>
      <c r="AZ52" s="433"/>
    </row>
    <row r="53" spans="1:52" ht="108.75" customHeight="1">
      <c r="A53" s="574" t="s">
        <v>455</v>
      </c>
      <c r="B53" s="575"/>
      <c r="C53" s="575"/>
      <c r="D53" s="575"/>
      <c r="E53" s="575"/>
      <c r="F53" s="575"/>
      <c r="G53" s="575"/>
      <c r="H53" s="575"/>
      <c r="I53" s="575"/>
      <c r="J53" s="575"/>
      <c r="K53" s="575"/>
      <c r="L53" s="575"/>
      <c r="M53" s="575"/>
      <c r="N53" s="576"/>
      <c r="O53" s="435"/>
      <c r="P53" s="433"/>
      <c r="Q53" s="433"/>
      <c r="R53" s="433"/>
      <c r="S53" s="433"/>
      <c r="T53" s="433"/>
      <c r="U53" s="433"/>
      <c r="V53" s="433"/>
      <c r="W53" s="433"/>
      <c r="X53" s="433"/>
      <c r="Y53" s="433"/>
      <c r="Z53" s="433"/>
      <c r="AA53" s="433"/>
      <c r="AB53" s="433"/>
      <c r="AC53" s="433"/>
      <c r="AD53" s="433"/>
      <c r="AE53" s="433"/>
      <c r="AF53" s="433"/>
      <c r="AG53" s="433"/>
      <c r="AH53" s="433"/>
      <c r="AI53" s="433"/>
      <c r="AJ53" s="433"/>
      <c r="AK53" s="433"/>
      <c r="AL53" s="433"/>
      <c r="AM53" s="433"/>
      <c r="AN53" s="433"/>
      <c r="AO53" s="433"/>
      <c r="AP53" s="433"/>
      <c r="AQ53" s="433"/>
      <c r="AR53" s="433"/>
      <c r="AS53" s="433"/>
      <c r="AT53" s="433"/>
      <c r="AU53" s="433"/>
      <c r="AV53" s="433"/>
      <c r="AW53" s="433"/>
      <c r="AX53" s="433"/>
      <c r="AY53" s="433"/>
      <c r="AZ53" s="433"/>
    </row>
    <row r="54" spans="1:52" ht="15.75">
      <c r="P54" s="433"/>
      <c r="Q54" s="433"/>
      <c r="R54" s="433"/>
      <c r="S54" s="433"/>
      <c r="T54" s="433"/>
      <c r="U54" s="433"/>
      <c r="V54" s="433"/>
      <c r="W54" s="433"/>
      <c r="X54" s="433"/>
      <c r="Y54" s="433"/>
      <c r="Z54" s="433"/>
      <c r="AA54" s="433"/>
      <c r="AB54" s="433"/>
      <c r="AC54" s="433"/>
      <c r="AD54" s="433"/>
      <c r="AE54" s="433"/>
      <c r="AF54" s="433"/>
      <c r="AG54" s="433"/>
      <c r="AH54" s="433"/>
      <c r="AI54" s="433"/>
      <c r="AJ54" s="433"/>
      <c r="AK54" s="433"/>
      <c r="AL54" s="433"/>
      <c r="AM54" s="433"/>
      <c r="AN54" s="433"/>
      <c r="AO54" s="433"/>
      <c r="AP54" s="433"/>
      <c r="AQ54" s="433"/>
      <c r="AR54" s="433"/>
      <c r="AS54" s="433"/>
      <c r="AT54" s="433"/>
      <c r="AU54" s="433"/>
      <c r="AV54" s="433"/>
      <c r="AW54" s="433"/>
      <c r="AX54" s="433"/>
      <c r="AY54" s="433"/>
      <c r="AZ54" s="433"/>
    </row>
    <row r="55" spans="1:52" ht="15.75"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3"/>
      <c r="AL55" s="433"/>
      <c r="AM55" s="433"/>
      <c r="AN55" s="433"/>
      <c r="AO55" s="433"/>
      <c r="AP55" s="433"/>
      <c r="AQ55" s="433"/>
      <c r="AR55" s="433"/>
      <c r="AS55" s="433"/>
      <c r="AT55" s="433"/>
      <c r="AU55" s="433"/>
      <c r="AV55" s="433"/>
      <c r="AW55" s="433"/>
      <c r="AX55" s="433"/>
      <c r="AY55" s="433"/>
      <c r="AZ55" s="433"/>
    </row>
    <row r="56" spans="1:52" ht="15.75">
      <c r="P56" s="433"/>
      <c r="Q56" s="433"/>
      <c r="R56" s="433"/>
      <c r="S56" s="433"/>
      <c r="T56" s="433"/>
      <c r="U56" s="433"/>
      <c r="V56" s="433"/>
      <c r="W56" s="433"/>
      <c r="X56" s="433"/>
      <c r="Y56" s="433"/>
      <c r="Z56" s="433"/>
      <c r="AA56" s="433"/>
      <c r="AB56" s="433"/>
      <c r="AC56" s="433"/>
      <c r="AD56" s="433"/>
      <c r="AE56" s="433"/>
      <c r="AF56" s="433"/>
      <c r="AG56" s="433"/>
      <c r="AH56" s="433"/>
      <c r="AI56" s="433"/>
      <c r="AJ56" s="433"/>
      <c r="AK56" s="433"/>
      <c r="AL56" s="433"/>
      <c r="AM56" s="433"/>
      <c r="AN56" s="433"/>
      <c r="AO56" s="433"/>
      <c r="AP56" s="433"/>
      <c r="AQ56" s="433"/>
      <c r="AR56" s="433"/>
      <c r="AS56" s="433"/>
      <c r="AT56" s="433"/>
      <c r="AU56" s="433"/>
      <c r="AV56" s="433"/>
      <c r="AW56" s="433"/>
      <c r="AX56" s="433"/>
      <c r="AY56" s="433"/>
      <c r="AZ56" s="433"/>
    </row>
    <row r="57" spans="1:52" ht="15.75">
      <c r="P57" s="433"/>
      <c r="Q57" s="433"/>
      <c r="R57" s="433"/>
      <c r="S57" s="433"/>
      <c r="T57" s="433"/>
      <c r="U57" s="433"/>
      <c r="V57" s="433"/>
      <c r="W57" s="433"/>
      <c r="X57" s="433"/>
      <c r="Y57" s="433"/>
      <c r="Z57" s="433"/>
      <c r="AA57" s="433"/>
      <c r="AB57" s="433"/>
      <c r="AC57" s="433"/>
      <c r="AD57" s="433"/>
      <c r="AE57" s="433"/>
      <c r="AF57" s="433"/>
      <c r="AG57" s="433"/>
      <c r="AH57" s="433"/>
      <c r="AI57" s="433"/>
      <c r="AJ57" s="433"/>
      <c r="AK57" s="433"/>
      <c r="AL57" s="433"/>
      <c r="AM57" s="433"/>
      <c r="AN57" s="433"/>
      <c r="AO57" s="433"/>
      <c r="AP57" s="433"/>
      <c r="AQ57" s="433"/>
      <c r="AR57" s="433"/>
      <c r="AS57" s="433"/>
      <c r="AT57" s="433"/>
      <c r="AU57" s="433"/>
      <c r="AV57" s="433"/>
      <c r="AW57" s="433"/>
      <c r="AX57" s="433"/>
      <c r="AY57" s="433"/>
      <c r="AZ57" s="433"/>
    </row>
    <row r="58" spans="1:52" ht="15.75">
      <c r="P58" s="433"/>
      <c r="Q58" s="433"/>
      <c r="R58" s="433"/>
      <c r="S58" s="433"/>
      <c r="T58" s="433"/>
      <c r="U58" s="433"/>
      <c r="V58" s="433"/>
      <c r="W58" s="433"/>
      <c r="X58" s="433"/>
      <c r="Y58" s="433"/>
      <c r="Z58" s="433"/>
      <c r="AA58" s="433"/>
      <c r="AB58" s="433"/>
      <c r="AC58" s="433"/>
      <c r="AD58" s="433"/>
      <c r="AE58" s="433"/>
      <c r="AF58" s="433"/>
      <c r="AG58" s="433"/>
      <c r="AH58" s="433"/>
      <c r="AI58" s="433"/>
      <c r="AJ58" s="433"/>
      <c r="AK58" s="433"/>
      <c r="AL58" s="433"/>
      <c r="AM58" s="433"/>
      <c r="AN58" s="433"/>
      <c r="AO58" s="433"/>
      <c r="AP58" s="433"/>
      <c r="AQ58" s="433"/>
      <c r="AR58" s="433"/>
      <c r="AS58" s="433"/>
      <c r="AT58" s="433"/>
      <c r="AU58" s="433"/>
      <c r="AV58" s="433"/>
      <c r="AW58" s="433"/>
      <c r="AX58" s="433"/>
      <c r="AY58" s="433"/>
      <c r="AZ58" s="433"/>
    </row>
    <row r="59" spans="1:52" ht="15.75">
      <c r="P59" s="433"/>
      <c r="Q59" s="433"/>
      <c r="R59" s="433"/>
      <c r="S59" s="433"/>
      <c r="T59" s="433"/>
      <c r="U59" s="433"/>
      <c r="V59" s="433"/>
      <c r="W59" s="433"/>
      <c r="X59" s="433"/>
      <c r="Y59" s="433"/>
      <c r="Z59" s="433"/>
      <c r="AA59" s="433"/>
      <c r="AB59" s="433"/>
      <c r="AC59" s="433"/>
      <c r="AD59" s="433"/>
      <c r="AE59" s="433"/>
      <c r="AF59" s="433"/>
      <c r="AG59" s="433"/>
      <c r="AH59" s="433"/>
      <c r="AI59" s="433"/>
      <c r="AJ59" s="433"/>
      <c r="AK59" s="433"/>
      <c r="AL59" s="433"/>
      <c r="AM59" s="433"/>
      <c r="AN59" s="433"/>
      <c r="AO59" s="433"/>
      <c r="AP59" s="433"/>
      <c r="AQ59" s="433"/>
      <c r="AR59" s="433"/>
      <c r="AS59" s="433"/>
      <c r="AT59" s="433"/>
      <c r="AU59" s="433"/>
      <c r="AV59" s="433"/>
      <c r="AW59" s="433"/>
      <c r="AX59" s="433"/>
      <c r="AY59" s="433"/>
      <c r="AZ59" s="433"/>
    </row>
    <row r="60" spans="1:52" ht="15.75">
      <c r="P60" s="433"/>
      <c r="Q60" s="433"/>
      <c r="R60" s="433"/>
      <c r="S60" s="433"/>
      <c r="T60" s="433"/>
      <c r="U60" s="433"/>
      <c r="V60" s="433"/>
      <c r="W60" s="433"/>
      <c r="X60" s="433"/>
      <c r="Y60" s="433"/>
      <c r="Z60" s="433"/>
      <c r="AA60" s="433"/>
      <c r="AB60" s="433"/>
      <c r="AC60" s="433"/>
      <c r="AD60" s="433"/>
      <c r="AE60" s="433"/>
      <c r="AF60" s="433"/>
      <c r="AG60" s="433"/>
      <c r="AH60" s="433"/>
      <c r="AI60" s="433"/>
      <c r="AJ60" s="433"/>
      <c r="AK60" s="433"/>
      <c r="AL60" s="433"/>
      <c r="AM60" s="433"/>
      <c r="AN60" s="433"/>
      <c r="AO60" s="433"/>
      <c r="AP60" s="433"/>
      <c r="AQ60" s="433"/>
      <c r="AR60" s="433"/>
      <c r="AS60" s="433"/>
      <c r="AT60" s="433"/>
      <c r="AU60" s="433"/>
      <c r="AV60" s="433"/>
      <c r="AW60" s="433"/>
      <c r="AX60" s="433"/>
      <c r="AY60" s="433"/>
      <c r="AZ60" s="433"/>
    </row>
  </sheetData>
  <mergeCells count="144">
    <mergeCell ref="S8:W8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B9:F9"/>
    <mergeCell ref="K9:M9"/>
    <mergeCell ref="B10:F10"/>
    <mergeCell ref="K10:M10"/>
    <mergeCell ref="T10:V10"/>
    <mergeCell ref="B12:F12"/>
    <mergeCell ref="K12:M12"/>
    <mergeCell ref="T16:U16"/>
    <mergeCell ref="A27:A28"/>
    <mergeCell ref="C27:C28"/>
    <mergeCell ref="L27:L28"/>
    <mergeCell ref="M27:M28"/>
    <mergeCell ref="N27:N28"/>
    <mergeCell ref="T17:U17"/>
    <mergeCell ref="F14:I15"/>
    <mergeCell ref="J14:K15"/>
    <mergeCell ref="L14:N14"/>
    <mergeCell ref="T14:U14"/>
    <mergeCell ref="L15:L16"/>
    <mergeCell ref="M15:M16"/>
    <mergeCell ref="N15:N16"/>
    <mergeCell ref="T15:U15"/>
    <mergeCell ref="A14:A16"/>
    <mergeCell ref="B14:B16"/>
    <mergeCell ref="C14:C16"/>
    <mergeCell ref="J27:J28"/>
    <mergeCell ref="C21:C22"/>
    <mergeCell ref="M17:M18"/>
    <mergeCell ref="E14:E16"/>
    <mergeCell ref="A19:A20"/>
    <mergeCell ref="A23:A24"/>
    <mergeCell ref="A31:A32"/>
    <mergeCell ref="C31:C32"/>
    <mergeCell ref="L31:L32"/>
    <mergeCell ref="A13:F13"/>
    <mergeCell ref="N17:N18"/>
    <mergeCell ref="J17:J18"/>
    <mergeCell ref="K17:K18"/>
    <mergeCell ref="J21:J22"/>
    <mergeCell ref="N21:N22"/>
    <mergeCell ref="K13:M13"/>
    <mergeCell ref="D14:D16"/>
    <mergeCell ref="A17:A18"/>
    <mergeCell ref="C17:C18"/>
    <mergeCell ref="A21:A22"/>
    <mergeCell ref="L21:L22"/>
    <mergeCell ref="M21:M22"/>
    <mergeCell ref="K21:K22"/>
    <mergeCell ref="L17:L18"/>
    <mergeCell ref="C19:C20"/>
    <mergeCell ref="J19:J20"/>
    <mergeCell ref="K19:K20"/>
    <mergeCell ref="L19:L20"/>
    <mergeCell ref="M19:M20"/>
    <mergeCell ref="N19:N20"/>
    <mergeCell ref="A25:A26"/>
    <mergeCell ref="C25:C26"/>
    <mergeCell ref="J25:J26"/>
    <mergeCell ref="K25:K26"/>
    <mergeCell ref="L25:L26"/>
    <mergeCell ref="M25:M26"/>
    <mergeCell ref="N25:N26"/>
    <mergeCell ref="A29:A30"/>
    <mergeCell ref="C29:C30"/>
    <mergeCell ref="J29:J30"/>
    <mergeCell ref="K29:K30"/>
    <mergeCell ref="L29:L30"/>
    <mergeCell ref="M29:M30"/>
    <mergeCell ref="N29:N30"/>
    <mergeCell ref="K27:K28"/>
    <mergeCell ref="A49:A50"/>
    <mergeCell ref="K37:K38"/>
    <mergeCell ref="J37:J38"/>
    <mergeCell ref="A45:A46"/>
    <mergeCell ref="A51:A52"/>
    <mergeCell ref="A37:A38"/>
    <mergeCell ref="C37:C38"/>
    <mergeCell ref="L37:L38"/>
    <mergeCell ref="A53:N53"/>
    <mergeCell ref="J45:N52"/>
    <mergeCell ref="B44:D44"/>
    <mergeCell ref="E44:H44"/>
    <mergeCell ref="J44:N44"/>
    <mergeCell ref="B45:D46"/>
    <mergeCell ref="E45:G46"/>
    <mergeCell ref="A41:A42"/>
    <mergeCell ref="C41:C42"/>
    <mergeCell ref="A47:A48"/>
    <mergeCell ref="B47:D48"/>
    <mergeCell ref="E47:G48"/>
    <mergeCell ref="B49:D50"/>
    <mergeCell ref="E49:G50"/>
    <mergeCell ref="B51:D52"/>
    <mergeCell ref="E51:G52"/>
    <mergeCell ref="A33:A34"/>
    <mergeCell ref="A35:A36"/>
    <mergeCell ref="A39:A40"/>
    <mergeCell ref="M37:M38"/>
    <mergeCell ref="N37:N38"/>
    <mergeCell ref="C35:C36"/>
    <mergeCell ref="J35:J36"/>
    <mergeCell ref="K35:K36"/>
    <mergeCell ref="L35:L36"/>
    <mergeCell ref="M35:M36"/>
    <mergeCell ref="N35:N36"/>
    <mergeCell ref="C39:C40"/>
    <mergeCell ref="J39:J40"/>
    <mergeCell ref="K39:K40"/>
    <mergeCell ref="L39:L40"/>
    <mergeCell ref="M39:M40"/>
    <mergeCell ref="N39:N40"/>
    <mergeCell ref="C23:C24"/>
    <mergeCell ref="J23:J24"/>
    <mergeCell ref="K23:K24"/>
    <mergeCell ref="L23:L24"/>
    <mergeCell ref="M23:M24"/>
    <mergeCell ref="N23:N24"/>
    <mergeCell ref="C33:C34"/>
    <mergeCell ref="J33:J34"/>
    <mergeCell ref="K33:K34"/>
    <mergeCell ref="L33:L34"/>
    <mergeCell ref="M33:M34"/>
    <mergeCell ref="N33:N34"/>
    <mergeCell ref="M31:M32"/>
    <mergeCell ref="N31:N32"/>
    <mergeCell ref="K31:K32"/>
    <mergeCell ref="J31:J32"/>
  </mergeCells>
  <pageMargins left="0.7" right="0.7" top="0.75" bottom="0.75" header="0.3" footer="0.3"/>
  <pageSetup paperSize="14" scale="59" orientation="landscape" horizontalDpi="4294967295" verticalDpi="4294967295" r:id="rId1"/>
  <rowBreaks count="1" manualBreakCount="1">
    <brk id="30" max="16383" man="1"/>
  </rowBreaks>
  <drawing r:id="rId2"/>
  <legacyDrawing r:id="rId3"/>
  <oleObjects>
    <mc:AlternateContent xmlns:mc="http://schemas.openxmlformats.org/markup-compatibility/2006">
      <mc:Choice Requires="x14">
        <oleObject shapeId="11266" r:id="rId4">
          <objectPr defaultSize="0" autoPict="0" r:id="rId5">
            <anchor moveWithCells="1" sizeWithCells="1">
              <from>
                <xdr:col>0</xdr:col>
                <xdr:colOff>495300</xdr:colOff>
                <xdr:row>0</xdr:row>
                <xdr:rowOff>95250</xdr:rowOff>
              </from>
              <to>
                <xdr:col>0</xdr:col>
                <xdr:colOff>2133600</xdr:colOff>
                <xdr:row>3</xdr:row>
                <xdr:rowOff>114300</xdr:rowOff>
              </to>
            </anchor>
          </objectPr>
        </oleObject>
      </mc:Choice>
      <mc:Fallback>
        <oleObject shapeId="1126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AZ50"/>
  <sheetViews>
    <sheetView topLeftCell="A10" zoomScale="60" zoomScaleNormal="60" zoomScalePageLayoutView="60" workbookViewId="0">
      <selection activeCell="F17" sqref="F17:F30"/>
    </sheetView>
  </sheetViews>
  <sheetFormatPr baseColWidth="10" defaultColWidth="12.5703125" defaultRowHeight="15"/>
  <cols>
    <col min="1" max="1" width="67" style="1" customWidth="1"/>
    <col min="2" max="2" width="10.28515625" style="1" customWidth="1"/>
    <col min="3" max="3" width="18.42578125" style="1" customWidth="1"/>
    <col min="4" max="4" width="10" style="1" customWidth="1"/>
    <col min="5" max="5" width="22" style="1" customWidth="1"/>
    <col min="6" max="6" width="21.85546875" style="1" customWidth="1"/>
    <col min="7" max="7" width="7.7109375" style="1" customWidth="1"/>
    <col min="8" max="8" width="13.7109375" style="1" customWidth="1"/>
    <col min="9" max="9" width="12.7109375" style="1" customWidth="1"/>
    <col min="10" max="10" width="15.5703125" style="69" customWidth="1"/>
    <col min="11" max="11" width="14.85546875" style="69" customWidth="1"/>
    <col min="12" max="12" width="12.42578125" style="1" customWidth="1"/>
    <col min="13" max="13" width="14" style="1" customWidth="1"/>
    <col min="14" max="15" width="17.28515625" style="1" customWidth="1"/>
    <col min="16" max="16" width="5.42578125" style="1" customWidth="1"/>
    <col min="17" max="17" width="12.5703125" style="1" customWidth="1"/>
    <col min="18" max="18" width="20" style="1" customWidth="1"/>
    <col min="19" max="19" width="29" style="1" customWidth="1"/>
    <col min="20" max="20" width="18.5703125" style="1" customWidth="1"/>
    <col min="21" max="21" width="33.8554687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7" ht="15.75">
      <c r="A1" s="675"/>
      <c r="B1" s="678" t="s">
        <v>95</v>
      </c>
      <c r="C1" s="679"/>
      <c r="D1" s="679"/>
      <c r="E1" s="679"/>
      <c r="F1" s="679"/>
      <c r="G1" s="679"/>
      <c r="H1" s="680"/>
      <c r="I1" s="684" t="s">
        <v>96</v>
      </c>
      <c r="J1" s="685"/>
      <c r="K1" s="685"/>
      <c r="L1" s="686"/>
      <c r="M1" s="687"/>
      <c r="N1" s="688"/>
      <c r="O1" s="81"/>
      <c r="P1" s="71"/>
      <c r="Q1" s="71"/>
    </row>
    <row r="2" spans="1:27" ht="15.75">
      <c r="A2" s="676"/>
      <c r="B2" s="681"/>
      <c r="C2" s="682"/>
      <c r="D2" s="682"/>
      <c r="E2" s="682"/>
      <c r="F2" s="682"/>
      <c r="G2" s="682"/>
      <c r="H2" s="683"/>
      <c r="I2" s="684" t="s">
        <v>97</v>
      </c>
      <c r="J2" s="685"/>
      <c r="K2" s="685"/>
      <c r="L2" s="686"/>
      <c r="M2" s="689"/>
      <c r="N2" s="690"/>
      <c r="O2" s="81"/>
      <c r="P2" s="71"/>
      <c r="Q2" s="71"/>
    </row>
    <row r="3" spans="1:27" ht="15.75">
      <c r="A3" s="676"/>
      <c r="B3" s="678" t="s">
        <v>98</v>
      </c>
      <c r="C3" s="679"/>
      <c r="D3" s="679"/>
      <c r="E3" s="679"/>
      <c r="F3" s="679"/>
      <c r="G3" s="679"/>
      <c r="H3" s="680"/>
      <c r="I3" s="684" t="s">
        <v>99</v>
      </c>
      <c r="J3" s="685"/>
      <c r="K3" s="685"/>
      <c r="L3" s="686"/>
      <c r="M3" s="689"/>
      <c r="N3" s="690"/>
      <c r="O3" s="81"/>
      <c r="P3" s="71"/>
      <c r="Q3" s="71"/>
    </row>
    <row r="4" spans="1:27" ht="15.75">
      <c r="A4" s="677"/>
      <c r="B4" s="681"/>
      <c r="C4" s="682"/>
      <c r="D4" s="682"/>
      <c r="E4" s="682"/>
      <c r="F4" s="682"/>
      <c r="G4" s="682"/>
      <c r="H4" s="683"/>
      <c r="I4" s="684" t="s">
        <v>100</v>
      </c>
      <c r="J4" s="685"/>
      <c r="K4" s="685"/>
      <c r="L4" s="686"/>
      <c r="M4" s="691"/>
      <c r="N4" s="692"/>
      <c r="O4" s="81"/>
      <c r="P4" s="71"/>
      <c r="Q4" s="71"/>
    </row>
    <row r="5" spans="1:27" ht="15.75">
      <c r="A5" s="693"/>
      <c r="B5" s="693"/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81"/>
      <c r="P5" s="71"/>
      <c r="Q5" s="71"/>
    </row>
    <row r="6" spans="1:27" ht="15.75">
      <c r="A6" s="684" t="s">
        <v>138</v>
      </c>
      <c r="B6" s="685"/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686"/>
      <c r="O6" s="134"/>
      <c r="P6" s="71"/>
      <c r="Q6" s="71"/>
    </row>
    <row r="7" spans="1:27" ht="15.75">
      <c r="A7" s="40" t="s">
        <v>327</v>
      </c>
      <c r="B7" s="532" t="s">
        <v>468</v>
      </c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134"/>
    </row>
    <row r="8" spans="1:27" ht="15.75">
      <c r="A8" s="41" t="s">
        <v>32</v>
      </c>
      <c r="B8" s="694" t="s">
        <v>33</v>
      </c>
      <c r="C8" s="695"/>
      <c r="D8" s="695"/>
      <c r="E8" s="695"/>
      <c r="F8" s="696"/>
      <c r="G8" s="697" t="s">
        <v>297</v>
      </c>
      <c r="H8" s="698"/>
      <c r="I8" s="699"/>
      <c r="J8" s="706" t="s">
        <v>31</v>
      </c>
      <c r="K8" s="707"/>
      <c r="L8" s="707"/>
      <c r="M8" s="707"/>
      <c r="N8" s="708"/>
      <c r="O8" s="135"/>
      <c r="P8" s="72"/>
      <c r="Q8" s="72"/>
      <c r="S8" s="674"/>
      <c r="T8" s="674"/>
      <c r="U8" s="674"/>
      <c r="V8" s="674"/>
      <c r="W8" s="674"/>
    </row>
    <row r="9" spans="1:27" ht="15.75">
      <c r="A9" s="43" t="s">
        <v>30</v>
      </c>
      <c r="B9" s="715" t="s">
        <v>36</v>
      </c>
      <c r="C9" s="695"/>
      <c r="D9" s="695"/>
      <c r="E9" s="695"/>
      <c r="F9" s="696"/>
      <c r="G9" s="700"/>
      <c r="H9" s="701"/>
      <c r="I9" s="702"/>
      <c r="J9" s="82" t="s">
        <v>29</v>
      </c>
      <c r="K9" s="547" t="s">
        <v>28</v>
      </c>
      <c r="L9" s="547"/>
      <c r="M9" s="547"/>
      <c r="N9" s="82" t="s">
        <v>27</v>
      </c>
      <c r="O9" s="136"/>
      <c r="P9" s="72"/>
      <c r="Q9" s="72"/>
      <c r="S9" s="135"/>
      <c r="T9" s="135"/>
      <c r="U9" s="135"/>
      <c r="V9" s="135"/>
      <c r="W9" s="135"/>
    </row>
    <row r="10" spans="1:27" ht="15.75">
      <c r="A10" s="44" t="s">
        <v>26</v>
      </c>
      <c r="B10" s="716" t="s">
        <v>37</v>
      </c>
      <c r="C10" s="715"/>
      <c r="D10" s="715"/>
      <c r="E10" s="715"/>
      <c r="F10" s="717"/>
      <c r="G10" s="700"/>
      <c r="H10" s="701"/>
      <c r="I10" s="702"/>
      <c r="J10" s="45"/>
      <c r="K10" s="718"/>
      <c r="L10" s="719"/>
      <c r="M10" s="720"/>
      <c r="N10" s="46"/>
      <c r="P10" s="72"/>
      <c r="Q10" s="72"/>
      <c r="S10" s="136"/>
      <c r="T10" s="721"/>
      <c r="U10" s="721"/>
      <c r="V10" s="721"/>
      <c r="W10" s="136"/>
      <c r="Y10" s="81"/>
      <c r="Z10" s="81"/>
    </row>
    <row r="11" spans="1:27" ht="15.75">
      <c r="A11" s="57" t="s">
        <v>25</v>
      </c>
      <c r="B11" s="709" t="s">
        <v>94</v>
      </c>
      <c r="C11" s="710"/>
      <c r="D11" s="710"/>
      <c r="E11" s="710"/>
      <c r="F11" s="711"/>
      <c r="G11" s="700"/>
      <c r="H11" s="701"/>
      <c r="I11" s="702"/>
      <c r="J11" s="83"/>
      <c r="K11" s="712"/>
      <c r="L11" s="713"/>
      <c r="M11" s="714"/>
      <c r="N11" s="48"/>
      <c r="O11" s="223"/>
      <c r="P11" s="72"/>
      <c r="Q11" s="72"/>
      <c r="S11" s="73"/>
      <c r="T11" s="725"/>
      <c r="U11" s="725"/>
      <c r="V11" s="725"/>
      <c r="W11" s="60"/>
      <c r="Y11" s="14"/>
      <c r="Z11" s="5"/>
      <c r="AA11" s="12"/>
    </row>
    <row r="12" spans="1:27" ht="15.75">
      <c r="A12" s="50" t="s">
        <v>24</v>
      </c>
      <c r="B12" s="746">
        <v>2020730010057</v>
      </c>
      <c r="C12" s="747"/>
      <c r="D12" s="747"/>
      <c r="E12" s="747"/>
      <c r="F12" s="748"/>
      <c r="G12" s="700"/>
      <c r="H12" s="701"/>
      <c r="I12" s="702"/>
      <c r="J12" s="51"/>
      <c r="K12" s="722"/>
      <c r="L12" s="723"/>
      <c r="M12" s="724"/>
      <c r="N12" s="52"/>
      <c r="O12" s="224"/>
      <c r="P12" s="72"/>
      <c r="Q12" s="72"/>
      <c r="S12" s="73"/>
      <c r="T12" s="725"/>
      <c r="U12" s="725"/>
      <c r="V12" s="725"/>
      <c r="W12" s="60"/>
      <c r="Y12" s="14"/>
      <c r="Z12" s="5"/>
      <c r="AA12" s="12"/>
    </row>
    <row r="13" spans="1:27" ht="54" customHeight="1">
      <c r="A13" s="87" t="s">
        <v>123</v>
      </c>
      <c r="B13" s="740" t="s">
        <v>341</v>
      </c>
      <c r="C13" s="740"/>
      <c r="D13" s="740"/>
      <c r="E13" s="740"/>
      <c r="F13" s="741"/>
      <c r="G13" s="703"/>
      <c r="H13" s="704"/>
      <c r="I13" s="705"/>
      <c r="J13" s="85"/>
      <c r="K13" s="722"/>
      <c r="L13" s="723"/>
      <c r="M13" s="724"/>
      <c r="N13" s="53"/>
      <c r="O13" s="137"/>
      <c r="P13" s="72"/>
      <c r="Q13" s="72"/>
      <c r="S13" s="122"/>
      <c r="T13" s="725"/>
      <c r="U13" s="725"/>
      <c r="V13" s="217"/>
      <c r="W13" s="60"/>
      <c r="X13" s="15"/>
      <c r="Y13" s="14"/>
      <c r="Z13" s="5"/>
      <c r="AA13" s="12"/>
    </row>
    <row r="14" spans="1:27" ht="21" customHeight="1">
      <c r="A14" s="739" t="s">
        <v>23</v>
      </c>
      <c r="B14" s="742" t="s">
        <v>101</v>
      </c>
      <c r="C14" s="736" t="s">
        <v>21</v>
      </c>
      <c r="D14" s="736" t="s">
        <v>20</v>
      </c>
      <c r="E14" s="743" t="s">
        <v>128</v>
      </c>
      <c r="F14" s="730" t="s">
        <v>127</v>
      </c>
      <c r="G14" s="731"/>
      <c r="H14" s="731"/>
      <c r="I14" s="732"/>
      <c r="J14" s="736" t="s">
        <v>17</v>
      </c>
      <c r="K14" s="736"/>
      <c r="L14" s="737" t="s">
        <v>16</v>
      </c>
      <c r="M14" s="737"/>
      <c r="N14" s="737"/>
      <c r="O14" s="225"/>
      <c r="S14" s="59"/>
      <c r="T14" s="738"/>
      <c r="U14" s="738"/>
      <c r="W14" s="60"/>
      <c r="Y14" s="14"/>
      <c r="Z14" s="5"/>
      <c r="AA14" s="12"/>
    </row>
    <row r="15" spans="1:27" ht="21" customHeight="1">
      <c r="A15" s="739"/>
      <c r="B15" s="736"/>
      <c r="C15" s="736"/>
      <c r="D15" s="736"/>
      <c r="E15" s="744"/>
      <c r="F15" s="733"/>
      <c r="G15" s="734"/>
      <c r="H15" s="734"/>
      <c r="I15" s="735"/>
      <c r="J15" s="736"/>
      <c r="K15" s="736"/>
      <c r="L15" s="736" t="s">
        <v>15</v>
      </c>
      <c r="M15" s="736" t="s">
        <v>14</v>
      </c>
      <c r="N15" s="739" t="s">
        <v>13</v>
      </c>
      <c r="O15" s="147"/>
      <c r="S15" s="15"/>
      <c r="T15" s="738"/>
      <c r="U15" s="738"/>
      <c r="W15" s="5"/>
      <c r="Y15" s="14"/>
      <c r="Z15" s="5"/>
      <c r="AA15" s="12"/>
    </row>
    <row r="16" spans="1:27" ht="31.5">
      <c r="A16" s="739"/>
      <c r="B16" s="736"/>
      <c r="C16" s="736"/>
      <c r="D16" s="736"/>
      <c r="E16" s="745"/>
      <c r="F16" s="150" t="s">
        <v>12</v>
      </c>
      <c r="G16" s="150" t="s">
        <v>11</v>
      </c>
      <c r="H16" s="150" t="s">
        <v>10</v>
      </c>
      <c r="I16" s="61" t="s">
        <v>9</v>
      </c>
      <c r="J16" s="150" t="s">
        <v>8</v>
      </c>
      <c r="K16" s="212" t="s">
        <v>7</v>
      </c>
      <c r="L16" s="736"/>
      <c r="M16" s="736"/>
      <c r="N16" s="739"/>
      <c r="O16" s="147"/>
      <c r="P16" s="143"/>
      <c r="Q16" s="171" t="s">
        <v>321</v>
      </c>
      <c r="R16" s="171" t="s">
        <v>27</v>
      </c>
      <c r="S16" s="171" t="s">
        <v>366</v>
      </c>
      <c r="T16" s="738"/>
      <c r="U16" s="738"/>
      <c r="W16" s="5"/>
      <c r="Y16" s="14"/>
      <c r="Z16" s="5"/>
      <c r="AA16" s="12"/>
    </row>
    <row r="17" spans="1:27" s="74" customFormat="1" ht="39.75" customHeight="1">
      <c r="A17" s="461" t="s">
        <v>433</v>
      </c>
      <c r="B17" s="188" t="s">
        <v>1</v>
      </c>
      <c r="C17" s="457" t="s">
        <v>308</v>
      </c>
      <c r="D17" s="290">
        <v>1</v>
      </c>
      <c r="E17" s="242">
        <f t="shared" ref="E17:E30" si="0">F17</f>
        <v>272481683</v>
      </c>
      <c r="F17" s="242">
        <f>254604000+17877683</f>
        <v>272481683</v>
      </c>
      <c r="G17" s="62">
        <v>0</v>
      </c>
      <c r="H17" s="62">
        <v>0</v>
      </c>
      <c r="I17" s="62">
        <v>0</v>
      </c>
      <c r="J17" s="727">
        <v>44930</v>
      </c>
      <c r="K17" s="727">
        <v>45290</v>
      </c>
      <c r="L17" s="728">
        <f>D18/D17</f>
        <v>1</v>
      </c>
      <c r="M17" s="728">
        <f>E18/E17</f>
        <v>1</v>
      </c>
      <c r="N17" s="729">
        <f>L17*L17/M17</f>
        <v>1</v>
      </c>
      <c r="O17" s="221"/>
      <c r="P17" s="180" t="s">
        <v>1</v>
      </c>
      <c r="Q17" s="181">
        <v>1</v>
      </c>
      <c r="R17" s="189">
        <f>F17+F19+F21</f>
        <v>390968300</v>
      </c>
      <c r="S17" s="243"/>
      <c r="T17" s="726"/>
      <c r="U17" s="726"/>
      <c r="W17" s="75"/>
      <c r="Y17" s="76"/>
      <c r="Z17" s="77"/>
      <c r="AA17" s="78"/>
    </row>
    <row r="18" spans="1:27" s="74" customFormat="1" ht="39.75" customHeight="1">
      <c r="A18" s="462"/>
      <c r="B18" s="188" t="s">
        <v>0</v>
      </c>
      <c r="C18" s="456"/>
      <c r="D18" s="290">
        <v>1</v>
      </c>
      <c r="E18" s="242">
        <f t="shared" si="0"/>
        <v>272481683</v>
      </c>
      <c r="F18" s="62">
        <v>272481683</v>
      </c>
      <c r="G18" s="62">
        <v>0</v>
      </c>
      <c r="H18" s="62">
        <v>0</v>
      </c>
      <c r="I18" s="62">
        <v>0</v>
      </c>
      <c r="J18" s="727"/>
      <c r="K18" s="727"/>
      <c r="L18" s="728"/>
      <c r="M18" s="728"/>
      <c r="N18" s="729"/>
      <c r="O18" s="221"/>
      <c r="P18" s="180" t="s">
        <v>0</v>
      </c>
      <c r="Q18" s="182"/>
      <c r="R18" s="189">
        <f>F18+F20+F22</f>
        <v>386314933</v>
      </c>
      <c r="S18" s="189">
        <f>2341096+9930921+4000000</f>
        <v>16272017</v>
      </c>
      <c r="W18" s="86"/>
      <c r="Y18" s="76"/>
      <c r="Z18" s="77"/>
      <c r="AA18" s="78"/>
    </row>
    <row r="19" spans="1:27" s="74" customFormat="1" ht="39.75" customHeight="1">
      <c r="A19" s="455" t="s">
        <v>367</v>
      </c>
      <c r="B19" s="188" t="s">
        <v>1</v>
      </c>
      <c r="C19" s="457" t="s">
        <v>116</v>
      </c>
      <c r="D19" s="290">
        <v>1</v>
      </c>
      <c r="E19" s="242">
        <f t="shared" si="0"/>
        <v>63486617</v>
      </c>
      <c r="F19" s="242">
        <f>51366284+7012000+5108333</f>
        <v>63486617</v>
      </c>
      <c r="G19" s="62">
        <v>0</v>
      </c>
      <c r="H19" s="62">
        <v>0</v>
      </c>
      <c r="I19" s="62">
        <v>0</v>
      </c>
      <c r="J19" s="727">
        <v>44930</v>
      </c>
      <c r="K19" s="727">
        <v>45290</v>
      </c>
      <c r="L19" s="728">
        <f>D20/D19</f>
        <v>1</v>
      </c>
      <c r="M19" s="728">
        <f>E20/E19</f>
        <v>1</v>
      </c>
      <c r="N19" s="729">
        <f>L19*L19/M19</f>
        <v>1</v>
      </c>
      <c r="O19" s="221"/>
      <c r="W19" s="86"/>
      <c r="Y19" s="76"/>
      <c r="Z19" s="77"/>
      <c r="AA19" s="78"/>
    </row>
    <row r="20" spans="1:27" s="74" customFormat="1" ht="39.75" customHeight="1">
      <c r="A20" s="456"/>
      <c r="B20" s="188" t="s">
        <v>0</v>
      </c>
      <c r="C20" s="456"/>
      <c r="D20" s="290">
        <v>1</v>
      </c>
      <c r="E20" s="242">
        <f t="shared" si="0"/>
        <v>63486617</v>
      </c>
      <c r="F20" s="62">
        <v>63486617</v>
      </c>
      <c r="G20" s="62">
        <v>0</v>
      </c>
      <c r="H20" s="62">
        <v>0</v>
      </c>
      <c r="I20" s="62">
        <v>0</v>
      </c>
      <c r="J20" s="727"/>
      <c r="K20" s="727"/>
      <c r="L20" s="728"/>
      <c r="M20" s="728"/>
      <c r="N20" s="729"/>
      <c r="O20" s="221"/>
      <c r="W20" s="86"/>
      <c r="Y20" s="76"/>
      <c r="Z20" s="77"/>
      <c r="AA20" s="78"/>
    </row>
    <row r="21" spans="1:27" s="74" customFormat="1" ht="39.75" customHeight="1">
      <c r="A21" s="455" t="s">
        <v>434</v>
      </c>
      <c r="B21" s="190" t="s">
        <v>1</v>
      </c>
      <c r="C21" s="458" t="s">
        <v>417</v>
      </c>
      <c r="D21" s="291">
        <v>1</v>
      </c>
      <c r="E21" s="242">
        <f t="shared" si="0"/>
        <v>55000000</v>
      </c>
      <c r="F21" s="242">
        <v>55000000</v>
      </c>
      <c r="G21" s="62">
        <v>0</v>
      </c>
      <c r="H21" s="62">
        <v>0</v>
      </c>
      <c r="I21" s="62">
        <v>0</v>
      </c>
      <c r="J21" s="727">
        <v>44930</v>
      </c>
      <c r="K21" s="727">
        <v>45290</v>
      </c>
      <c r="L21" s="728">
        <f>D22/D21</f>
        <v>1</v>
      </c>
      <c r="M21" s="728">
        <f>E22/E21</f>
        <v>0.91539332727272726</v>
      </c>
      <c r="N21" s="729">
        <f>L21*L21/M21</f>
        <v>1.0924265779600395</v>
      </c>
      <c r="O21" s="221"/>
      <c r="AA21" s="78"/>
    </row>
    <row r="22" spans="1:27" s="74" customFormat="1" ht="39.75" customHeight="1">
      <c r="A22" s="456"/>
      <c r="B22" s="188" t="s">
        <v>0</v>
      </c>
      <c r="C22" s="459"/>
      <c r="D22" s="292">
        <v>1</v>
      </c>
      <c r="E22" s="242">
        <f t="shared" si="0"/>
        <v>50346633</v>
      </c>
      <c r="F22" s="62">
        <v>50346633</v>
      </c>
      <c r="G22" s="62">
        <v>0</v>
      </c>
      <c r="H22" s="62">
        <v>0</v>
      </c>
      <c r="I22" s="62">
        <v>0</v>
      </c>
      <c r="J22" s="727"/>
      <c r="K22" s="727"/>
      <c r="L22" s="728"/>
      <c r="M22" s="728"/>
      <c r="N22" s="729"/>
      <c r="O22" s="221"/>
      <c r="P22" s="151"/>
      <c r="Q22" s="132" t="s">
        <v>321</v>
      </c>
      <c r="R22" s="132" t="s">
        <v>27</v>
      </c>
      <c r="AA22" s="78"/>
    </row>
    <row r="23" spans="1:27" s="74" customFormat="1" ht="39.75" customHeight="1">
      <c r="A23" s="455" t="s">
        <v>368</v>
      </c>
      <c r="B23" s="190" t="s">
        <v>1</v>
      </c>
      <c r="C23" s="457" t="s">
        <v>435</v>
      </c>
      <c r="D23" s="293">
        <v>712</v>
      </c>
      <c r="E23" s="242">
        <f t="shared" si="0"/>
        <v>51076000</v>
      </c>
      <c r="F23" s="62">
        <f>20000000+12180000+18896000</f>
        <v>51076000</v>
      </c>
      <c r="G23" s="62">
        <v>0</v>
      </c>
      <c r="H23" s="62">
        <v>0</v>
      </c>
      <c r="I23" s="62">
        <v>0</v>
      </c>
      <c r="J23" s="727">
        <v>45000</v>
      </c>
      <c r="K23" s="727">
        <v>45290</v>
      </c>
      <c r="L23" s="728">
        <f>D24/D23</f>
        <v>1.1769662921348314</v>
      </c>
      <c r="M23" s="728">
        <f>E24/E23</f>
        <v>0.72715169551256953</v>
      </c>
      <c r="N23" s="729">
        <f>L23*L23/M23</f>
        <v>1.9050353060720708</v>
      </c>
      <c r="O23" s="221"/>
      <c r="P23" s="180" t="s">
        <v>1</v>
      </c>
      <c r="Q23" s="181">
        <v>2</v>
      </c>
      <c r="R23" s="173">
        <f>F23</f>
        <v>51076000</v>
      </c>
      <c r="S23" s="165"/>
    </row>
    <row r="24" spans="1:27" s="74" customFormat="1" ht="39.75" customHeight="1">
      <c r="A24" s="460"/>
      <c r="B24" s="188" t="s">
        <v>0</v>
      </c>
      <c r="C24" s="456"/>
      <c r="D24" s="293">
        <v>838</v>
      </c>
      <c r="E24" s="242">
        <f t="shared" si="0"/>
        <v>37140000</v>
      </c>
      <c r="F24" s="62">
        <v>37140000</v>
      </c>
      <c r="G24" s="62">
        <v>0</v>
      </c>
      <c r="H24" s="62">
        <v>0</v>
      </c>
      <c r="I24" s="62">
        <v>0</v>
      </c>
      <c r="J24" s="727"/>
      <c r="K24" s="727"/>
      <c r="L24" s="728"/>
      <c r="M24" s="728"/>
      <c r="N24" s="729"/>
      <c r="O24" s="221"/>
      <c r="P24" s="180" t="s">
        <v>0</v>
      </c>
      <c r="Q24" s="182"/>
      <c r="R24" s="173">
        <f>F24</f>
        <v>37140000</v>
      </c>
      <c r="S24" s="189"/>
    </row>
    <row r="25" spans="1:27" s="74" customFormat="1" ht="39.75" customHeight="1">
      <c r="A25" s="463" t="s">
        <v>369</v>
      </c>
      <c r="B25" s="191" t="s">
        <v>1</v>
      </c>
      <c r="C25" s="457" t="s">
        <v>418</v>
      </c>
      <c r="D25" s="294">
        <v>30</v>
      </c>
      <c r="E25" s="242">
        <f t="shared" si="0"/>
        <v>33061792</v>
      </c>
      <c r="F25" s="62">
        <v>33061792</v>
      </c>
      <c r="G25" s="62">
        <v>0</v>
      </c>
      <c r="H25" s="62">
        <v>0</v>
      </c>
      <c r="I25" s="62">
        <v>0</v>
      </c>
      <c r="J25" s="727">
        <v>45048</v>
      </c>
      <c r="K25" s="727">
        <v>45290</v>
      </c>
      <c r="L25" s="728">
        <f>D26/D25</f>
        <v>1</v>
      </c>
      <c r="M25" s="728">
        <f>E26/E25</f>
        <v>0.8525803138559459</v>
      </c>
      <c r="N25" s="729">
        <v>0</v>
      </c>
      <c r="O25" s="221"/>
      <c r="P25" s="151"/>
      <c r="Q25" s="132" t="s">
        <v>321</v>
      </c>
      <c r="R25" s="132" t="s">
        <v>27</v>
      </c>
    </row>
    <row r="26" spans="1:27" s="74" customFormat="1" ht="39.75" customHeight="1">
      <c r="A26" s="463"/>
      <c r="B26" s="192" t="s">
        <v>0</v>
      </c>
      <c r="C26" s="464"/>
      <c r="D26" s="293">
        <v>30</v>
      </c>
      <c r="E26" s="242">
        <f t="shared" si="0"/>
        <v>28187833</v>
      </c>
      <c r="F26" s="62">
        <v>28187833</v>
      </c>
      <c r="G26" s="62">
        <v>0</v>
      </c>
      <c r="H26" s="62">
        <v>0</v>
      </c>
      <c r="I26" s="62">
        <v>0</v>
      </c>
      <c r="J26" s="727"/>
      <c r="K26" s="727"/>
      <c r="L26" s="728"/>
      <c r="M26" s="728"/>
      <c r="N26" s="729"/>
      <c r="O26" s="221"/>
      <c r="P26" s="111" t="s">
        <v>1</v>
      </c>
      <c r="Q26" s="181">
        <v>4</v>
      </c>
      <c r="R26" s="173">
        <f>F25</f>
        <v>33061792</v>
      </c>
      <c r="S26" s="165"/>
    </row>
    <row r="27" spans="1:27" s="74" customFormat="1" ht="39.75" customHeight="1">
      <c r="A27" s="455" t="s">
        <v>370</v>
      </c>
      <c r="B27" s="190" t="s">
        <v>1</v>
      </c>
      <c r="C27" s="457" t="s">
        <v>307</v>
      </c>
      <c r="D27" s="291">
        <v>1</v>
      </c>
      <c r="E27" s="242">
        <f t="shared" si="0"/>
        <v>53000000</v>
      </c>
      <c r="F27" s="62">
        <f>40000000+13000000</f>
        <v>53000000</v>
      </c>
      <c r="G27" s="62">
        <v>0</v>
      </c>
      <c r="H27" s="62">
        <v>0</v>
      </c>
      <c r="I27" s="62">
        <v>0</v>
      </c>
      <c r="J27" s="727">
        <v>44978</v>
      </c>
      <c r="K27" s="727">
        <v>45290</v>
      </c>
      <c r="L27" s="728">
        <f>D28/D27</f>
        <v>1</v>
      </c>
      <c r="M27" s="728">
        <f>E28/E27</f>
        <v>0.99528301886792447</v>
      </c>
      <c r="N27" s="760">
        <f>L27*L27/M27</f>
        <v>1.0047393364928912</v>
      </c>
      <c r="O27" s="221"/>
      <c r="P27" s="111" t="s">
        <v>0</v>
      </c>
      <c r="R27" s="173">
        <f>F26</f>
        <v>28187833</v>
      </c>
      <c r="S27" s="189"/>
    </row>
    <row r="28" spans="1:27" s="74" customFormat="1" ht="39.75" customHeight="1">
      <c r="A28" s="462"/>
      <c r="B28" s="190" t="s">
        <v>0</v>
      </c>
      <c r="C28" s="465"/>
      <c r="D28" s="291">
        <v>1</v>
      </c>
      <c r="E28" s="242">
        <f t="shared" si="0"/>
        <v>52750000</v>
      </c>
      <c r="F28" s="62">
        <v>52750000</v>
      </c>
      <c r="G28" s="62">
        <v>0</v>
      </c>
      <c r="H28" s="62">
        <v>0</v>
      </c>
      <c r="I28" s="62">
        <v>0</v>
      </c>
      <c r="J28" s="727"/>
      <c r="K28" s="727"/>
      <c r="L28" s="728"/>
      <c r="M28" s="728"/>
      <c r="N28" s="760"/>
      <c r="O28" s="221"/>
      <c r="P28" s="111" t="s">
        <v>1</v>
      </c>
      <c r="Q28" s="181">
        <v>3</v>
      </c>
      <c r="R28" s="173">
        <f>F27+F29</f>
        <v>81000000</v>
      </c>
      <c r="S28" s="165"/>
    </row>
    <row r="29" spans="1:27" s="74" customFormat="1" ht="39.75" customHeight="1">
      <c r="A29" s="455" t="s">
        <v>400</v>
      </c>
      <c r="B29" s="190" t="s">
        <v>1</v>
      </c>
      <c r="C29" s="466" t="s">
        <v>450</v>
      </c>
      <c r="D29" s="295">
        <v>4</v>
      </c>
      <c r="E29" s="242">
        <f t="shared" si="0"/>
        <v>28000000</v>
      </c>
      <c r="F29" s="62">
        <f>40000000-12000000</f>
        <v>28000000</v>
      </c>
      <c r="G29" s="62">
        <v>0</v>
      </c>
      <c r="H29" s="62">
        <v>0</v>
      </c>
      <c r="I29" s="62">
        <v>0</v>
      </c>
      <c r="J29" s="727">
        <v>45037</v>
      </c>
      <c r="K29" s="727">
        <v>45290</v>
      </c>
      <c r="L29" s="728">
        <f>D30/D29</f>
        <v>1</v>
      </c>
      <c r="M29" s="728">
        <f>E30/E29</f>
        <v>0.9732142857142857</v>
      </c>
      <c r="N29" s="729">
        <v>0</v>
      </c>
      <c r="O29" s="221"/>
      <c r="P29" s="111" t="s">
        <v>0</v>
      </c>
      <c r="Q29" s="182"/>
      <c r="R29" s="173">
        <f>F28+F30</f>
        <v>80000000</v>
      </c>
      <c r="S29" s="189"/>
    </row>
    <row r="30" spans="1:27" s="74" customFormat="1" ht="39.75" customHeight="1">
      <c r="A30" s="462"/>
      <c r="B30" s="190" t="s">
        <v>0</v>
      </c>
      <c r="C30" s="467"/>
      <c r="D30" s="296">
        <v>4</v>
      </c>
      <c r="E30" s="242">
        <f t="shared" si="0"/>
        <v>27250000</v>
      </c>
      <c r="F30" s="62">
        <v>27250000</v>
      </c>
      <c r="G30" s="121">
        <v>0</v>
      </c>
      <c r="H30" s="121">
        <v>0</v>
      </c>
      <c r="I30" s="121">
        <v>0</v>
      </c>
      <c r="J30" s="761"/>
      <c r="K30" s="761"/>
      <c r="L30" s="762"/>
      <c r="M30" s="762"/>
      <c r="N30" s="729"/>
      <c r="O30" s="221"/>
      <c r="P30" s="193"/>
      <c r="Q30" s="193"/>
    </row>
    <row r="31" spans="1:27" ht="15.75" customHeight="1">
      <c r="A31" s="754" t="s">
        <v>6</v>
      </c>
      <c r="B31" s="26" t="s">
        <v>1</v>
      </c>
      <c r="C31" s="755"/>
      <c r="D31" s="63"/>
      <c r="E31" s="64">
        <f>E17+E19+E21+E23+E27+E29+E25</f>
        <v>556106092</v>
      </c>
      <c r="F31" s="64">
        <f>F17+F19+F21+F23+F27+F29+F25</f>
        <v>556106092</v>
      </c>
      <c r="G31" s="64">
        <f>G17+G19+G21+G23+G27+G29+G25</f>
        <v>0</v>
      </c>
      <c r="H31" s="64">
        <f>H17+H19+H21+H23+H27+H29+H25</f>
        <v>0</v>
      </c>
      <c r="I31" s="64">
        <f>I17+I19+I21+I23+I27+I29+I25</f>
        <v>0</v>
      </c>
      <c r="J31" s="28"/>
      <c r="K31" s="65"/>
      <c r="L31" s="65"/>
      <c r="M31" s="65"/>
      <c r="N31" s="30"/>
      <c r="O31" s="138"/>
      <c r="P31" s="150" t="s">
        <v>1</v>
      </c>
      <c r="Q31" s="154"/>
      <c r="R31" s="162">
        <f>R17+R23+R26+R28</f>
        <v>556106092</v>
      </c>
      <c r="S31" s="165"/>
    </row>
    <row r="32" spans="1:27" ht="15.75">
      <c r="A32" s="754"/>
      <c r="B32" s="26" t="s">
        <v>0</v>
      </c>
      <c r="C32" s="756"/>
      <c r="D32" s="63"/>
      <c r="E32" s="64">
        <f>E18+E20+E22+E24+E28+E30+E26</f>
        <v>531642766</v>
      </c>
      <c r="F32" s="64">
        <f>F18+F20+F22+F24+F28+F30+F26</f>
        <v>531642766</v>
      </c>
      <c r="G32" s="64">
        <f>G30+G28+G26+G24+G22+G20+G18</f>
        <v>0</v>
      </c>
      <c r="H32" s="64">
        <f>H30+H28+H26+H24+H22+H20+H18</f>
        <v>0</v>
      </c>
      <c r="I32" s="64">
        <f>I30+I28+I26+I24+I22+I20+I18</f>
        <v>0</v>
      </c>
      <c r="J32" s="28"/>
      <c r="K32" s="65"/>
      <c r="L32" s="65"/>
      <c r="M32" s="65"/>
      <c r="N32" s="30"/>
      <c r="O32" s="138"/>
      <c r="P32" s="150" t="s">
        <v>0</v>
      </c>
      <c r="Q32" s="154"/>
      <c r="R32" s="174">
        <f>R18+R24+R27+R29</f>
        <v>531642766</v>
      </c>
      <c r="S32" s="189"/>
    </row>
    <row r="33" spans="1:52">
      <c r="E33" s="22"/>
      <c r="F33" s="21"/>
      <c r="G33" s="14"/>
      <c r="H33" s="14"/>
      <c r="I33" s="14"/>
      <c r="J33" s="66"/>
      <c r="K33" s="66"/>
      <c r="L33" s="21"/>
      <c r="M33" s="67"/>
      <c r="N33" s="67"/>
      <c r="O33" s="67"/>
      <c r="P33" s="67"/>
      <c r="Q33" s="67"/>
    </row>
    <row r="34" spans="1:52" ht="15.75">
      <c r="A34" s="213" t="s">
        <v>5</v>
      </c>
      <c r="B34" s="758" t="s">
        <v>4</v>
      </c>
      <c r="C34" s="663"/>
      <c r="D34" s="663"/>
      <c r="E34" s="758" t="s">
        <v>3</v>
      </c>
      <c r="F34" s="663"/>
      <c r="G34" s="663"/>
      <c r="H34" s="663"/>
      <c r="I34" s="213"/>
      <c r="J34" s="759" t="s">
        <v>2</v>
      </c>
      <c r="K34" s="663"/>
      <c r="L34" s="663"/>
      <c r="M34" s="663"/>
      <c r="N34" s="663"/>
      <c r="O34" s="230"/>
    </row>
    <row r="35" spans="1:52" s="23" customFormat="1" ht="67.5" customHeight="1">
      <c r="A35" s="665" t="s">
        <v>292</v>
      </c>
      <c r="B35" s="667" t="s">
        <v>296</v>
      </c>
      <c r="C35" s="668"/>
      <c r="D35" s="668"/>
      <c r="E35" s="671" t="s">
        <v>40</v>
      </c>
      <c r="F35" s="672"/>
      <c r="G35" s="672"/>
      <c r="H35" s="241" t="s">
        <v>1</v>
      </c>
      <c r="I35" s="285">
        <v>1</v>
      </c>
      <c r="J35" s="661" t="s">
        <v>462</v>
      </c>
      <c r="K35" s="662"/>
      <c r="L35" s="662"/>
      <c r="M35" s="662"/>
      <c r="N35" s="662"/>
      <c r="O35" s="230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</row>
    <row r="36" spans="1:52" s="23" customFormat="1" ht="67.5" customHeight="1">
      <c r="A36" s="666"/>
      <c r="B36" s="669"/>
      <c r="C36" s="670"/>
      <c r="D36" s="670"/>
      <c r="E36" s="673"/>
      <c r="F36" s="673"/>
      <c r="G36" s="673"/>
      <c r="H36" s="240" t="s">
        <v>0</v>
      </c>
      <c r="I36" s="286">
        <v>1</v>
      </c>
      <c r="J36" s="663"/>
      <c r="K36" s="664"/>
      <c r="L36" s="664"/>
      <c r="M36" s="664"/>
      <c r="N36" s="663"/>
      <c r="O36" s="230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</row>
    <row r="37" spans="1:52" s="23" customFormat="1" ht="66.75" customHeight="1">
      <c r="A37" s="665" t="s">
        <v>292</v>
      </c>
      <c r="B37" s="749" t="s">
        <v>295</v>
      </c>
      <c r="C37" s="750"/>
      <c r="D37" s="750"/>
      <c r="E37" s="753" t="s">
        <v>41</v>
      </c>
      <c r="F37" s="673"/>
      <c r="G37" s="673"/>
      <c r="H37" s="240" t="s">
        <v>1</v>
      </c>
      <c r="I37" s="287">
        <v>712</v>
      </c>
      <c r="J37" s="663"/>
      <c r="K37" s="664"/>
      <c r="L37" s="664"/>
      <c r="M37" s="664"/>
      <c r="N37" s="663"/>
      <c r="O37" s="230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</row>
    <row r="38" spans="1:52" s="23" customFormat="1" ht="67.5" customHeight="1">
      <c r="A38" s="666"/>
      <c r="B38" s="669"/>
      <c r="C38" s="670"/>
      <c r="D38" s="670"/>
      <c r="E38" s="673"/>
      <c r="F38" s="673"/>
      <c r="G38" s="673"/>
      <c r="H38" s="119" t="s">
        <v>0</v>
      </c>
      <c r="I38" s="288">
        <v>838</v>
      </c>
      <c r="J38" s="663"/>
      <c r="K38" s="664"/>
      <c r="L38" s="664"/>
      <c r="M38" s="664"/>
      <c r="N38" s="663"/>
      <c r="O38" s="230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</row>
    <row r="39" spans="1:52" s="23" customFormat="1" ht="36" customHeight="1">
      <c r="A39" s="665" t="s">
        <v>292</v>
      </c>
      <c r="B39" s="749" t="s">
        <v>294</v>
      </c>
      <c r="C39" s="750"/>
      <c r="D39" s="751"/>
      <c r="E39" s="667" t="s">
        <v>42</v>
      </c>
      <c r="F39" s="668"/>
      <c r="G39" s="757"/>
      <c r="H39" s="118" t="s">
        <v>1</v>
      </c>
      <c r="I39" s="289">
        <v>2</v>
      </c>
      <c r="J39" s="663"/>
      <c r="K39" s="664"/>
      <c r="L39" s="664"/>
      <c r="M39" s="664"/>
      <c r="N39" s="663"/>
      <c r="O39" s="230"/>
      <c r="P39" s="116"/>
      <c r="Q39" s="116"/>
      <c r="R39" s="116"/>
      <c r="S39" s="116"/>
      <c r="T39" s="116" t="s">
        <v>293</v>
      </c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</row>
    <row r="40" spans="1:52" s="23" customFormat="1" ht="66.75" customHeight="1">
      <c r="A40" s="666"/>
      <c r="B40" s="669"/>
      <c r="C40" s="670"/>
      <c r="D40" s="752"/>
      <c r="E40" s="669"/>
      <c r="F40" s="670"/>
      <c r="G40" s="752"/>
      <c r="H40" s="117" t="s">
        <v>0</v>
      </c>
      <c r="I40" s="289">
        <v>2</v>
      </c>
      <c r="J40" s="663"/>
      <c r="K40" s="664"/>
      <c r="L40" s="664"/>
      <c r="M40" s="664"/>
      <c r="N40" s="663"/>
      <c r="O40" s="230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</row>
    <row r="41" spans="1:52" s="23" customFormat="1" ht="75.75" customHeight="1">
      <c r="A41" s="665" t="s">
        <v>292</v>
      </c>
      <c r="B41" s="749" t="s">
        <v>291</v>
      </c>
      <c r="C41" s="750"/>
      <c r="D41" s="751"/>
      <c r="E41" s="749" t="s">
        <v>43</v>
      </c>
      <c r="F41" s="750"/>
      <c r="G41" s="751"/>
      <c r="H41" s="118" t="s">
        <v>1</v>
      </c>
      <c r="I41" s="289">
        <v>30</v>
      </c>
      <c r="J41" s="663"/>
      <c r="K41" s="664"/>
      <c r="L41" s="664"/>
      <c r="M41" s="664"/>
      <c r="N41" s="663"/>
      <c r="O41" s="230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</row>
    <row r="42" spans="1:52" s="23" customFormat="1" ht="75.75" customHeight="1">
      <c r="A42" s="666"/>
      <c r="B42" s="669"/>
      <c r="C42" s="670"/>
      <c r="D42" s="752"/>
      <c r="E42" s="669"/>
      <c r="F42" s="670"/>
      <c r="G42" s="752"/>
      <c r="H42" s="117" t="s">
        <v>0</v>
      </c>
      <c r="I42" s="289">
        <v>30</v>
      </c>
      <c r="J42" s="663"/>
      <c r="K42" s="664"/>
      <c r="L42" s="664"/>
      <c r="M42" s="664"/>
      <c r="N42" s="663"/>
      <c r="O42" s="230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</row>
    <row r="43" spans="1:52" ht="100.5" customHeight="1">
      <c r="A43" s="507" t="s">
        <v>456</v>
      </c>
      <c r="B43" s="507"/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226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</row>
    <row r="44" spans="1:52"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</row>
    <row r="45" spans="1:52" ht="15.75" customHeight="1"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</row>
    <row r="46" spans="1:52"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</row>
    <row r="47" spans="1:52"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</row>
    <row r="48" spans="1:52"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</row>
    <row r="49" spans="16:52"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</row>
    <row r="50" spans="16:52"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</row>
  </sheetData>
  <mergeCells count="112">
    <mergeCell ref="J34:N34"/>
    <mergeCell ref="A21:A22"/>
    <mergeCell ref="C21:C22"/>
    <mergeCell ref="C29:C30"/>
    <mergeCell ref="N29:N30"/>
    <mergeCell ref="N27:N28"/>
    <mergeCell ref="K27:K28"/>
    <mergeCell ref="A29:A30"/>
    <mergeCell ref="J29:J30"/>
    <mergeCell ref="K29:K30"/>
    <mergeCell ref="L29:L30"/>
    <mergeCell ref="M29:M30"/>
    <mergeCell ref="J27:J28"/>
    <mergeCell ref="A27:A28"/>
    <mergeCell ref="C27:C28"/>
    <mergeCell ref="L27:L28"/>
    <mergeCell ref="M27:M28"/>
    <mergeCell ref="A41:A42"/>
    <mergeCell ref="B41:D42"/>
    <mergeCell ref="E41:G42"/>
    <mergeCell ref="A37:A38"/>
    <mergeCell ref="B37:D38"/>
    <mergeCell ref="E37:G38"/>
    <mergeCell ref="A31:A32"/>
    <mergeCell ref="C31:C32"/>
    <mergeCell ref="A39:A40"/>
    <mergeCell ref="B39:D40"/>
    <mergeCell ref="E39:G40"/>
    <mergeCell ref="B34:D34"/>
    <mergeCell ref="E34:H34"/>
    <mergeCell ref="B12:F12"/>
    <mergeCell ref="K12:M12"/>
    <mergeCell ref="K17:K18"/>
    <mergeCell ref="A17:A18"/>
    <mergeCell ref="A25:A26"/>
    <mergeCell ref="C25:C26"/>
    <mergeCell ref="L21:L22"/>
    <mergeCell ref="M21:M22"/>
    <mergeCell ref="N21:N22"/>
    <mergeCell ref="K21:K22"/>
    <mergeCell ref="K23:K24"/>
    <mergeCell ref="K25:K26"/>
    <mergeCell ref="A19:A20"/>
    <mergeCell ref="J21:J22"/>
    <mergeCell ref="M25:M26"/>
    <mergeCell ref="L25:L26"/>
    <mergeCell ref="A23:A24"/>
    <mergeCell ref="C23:C24"/>
    <mergeCell ref="L23:L24"/>
    <mergeCell ref="M23:M24"/>
    <mergeCell ref="N23:N24"/>
    <mergeCell ref="J23:J24"/>
    <mergeCell ref="J25:J26"/>
    <mergeCell ref="N25:N26"/>
    <mergeCell ref="T16:U16"/>
    <mergeCell ref="B13:F13"/>
    <mergeCell ref="A14:A16"/>
    <mergeCell ref="B14:B16"/>
    <mergeCell ref="C14:C16"/>
    <mergeCell ref="D14:D16"/>
    <mergeCell ref="E14:E16"/>
    <mergeCell ref="C19:C20"/>
    <mergeCell ref="C17:C18"/>
    <mergeCell ref="N19:N20"/>
    <mergeCell ref="B10:F10"/>
    <mergeCell ref="K10:M10"/>
    <mergeCell ref="T10:V10"/>
    <mergeCell ref="K13:M13"/>
    <mergeCell ref="T11:V11"/>
    <mergeCell ref="T17:U17"/>
    <mergeCell ref="J19:J20"/>
    <mergeCell ref="K19:K20"/>
    <mergeCell ref="L19:L20"/>
    <mergeCell ref="M19:M20"/>
    <mergeCell ref="L17:L18"/>
    <mergeCell ref="M17:M18"/>
    <mergeCell ref="N17:N18"/>
    <mergeCell ref="J17:J18"/>
    <mergeCell ref="T12:V12"/>
    <mergeCell ref="T13:U13"/>
    <mergeCell ref="F14:I15"/>
    <mergeCell ref="J14:K15"/>
    <mergeCell ref="L14:N14"/>
    <mergeCell ref="T14:U14"/>
    <mergeCell ref="L15:L16"/>
    <mergeCell ref="M15:M16"/>
    <mergeCell ref="N15:N16"/>
    <mergeCell ref="T15:U15"/>
    <mergeCell ref="A43:N43"/>
    <mergeCell ref="J35:N42"/>
    <mergeCell ref="A35:A36"/>
    <mergeCell ref="B35:D36"/>
    <mergeCell ref="E35:G36"/>
    <mergeCell ref="S8:W8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B9:F9"/>
    <mergeCell ref="K9:M9"/>
  </mergeCells>
  <pageMargins left="0.7" right="0.7" top="0.75" bottom="0.75" header="0.3" footer="0.3"/>
  <pageSetup paperSize="14" scale="57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14337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19050</xdr:rowOff>
              </from>
              <to>
                <xdr:col>0</xdr:col>
                <xdr:colOff>4371975</xdr:colOff>
                <xdr:row>3</xdr:row>
                <xdr:rowOff>142875</xdr:rowOff>
              </to>
            </anchor>
          </objectPr>
        </oleObject>
      </mc:Choice>
      <mc:Fallback>
        <oleObject shapeId="1433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IN48"/>
  <sheetViews>
    <sheetView view="pageBreakPreview" topLeftCell="A18" zoomScale="67" zoomScaleNormal="60" zoomScaleSheetLayoutView="67" zoomScalePageLayoutView="70" workbookViewId="0">
      <selection activeCell="E29" sqref="E29"/>
    </sheetView>
  </sheetViews>
  <sheetFormatPr baseColWidth="10" defaultColWidth="12.5703125" defaultRowHeight="15"/>
  <cols>
    <col min="1" max="1" width="58.5703125" style="1" customWidth="1"/>
    <col min="2" max="2" width="12.42578125" style="1" customWidth="1"/>
    <col min="3" max="3" width="20.7109375" style="1" customWidth="1"/>
    <col min="4" max="4" width="10.5703125" style="1" customWidth="1"/>
    <col min="5" max="5" width="24.42578125" style="1" customWidth="1"/>
    <col min="6" max="6" width="21.42578125" style="1" customWidth="1"/>
    <col min="7" max="7" width="10.85546875" style="3" customWidth="1"/>
    <col min="8" max="8" width="15.85546875" style="1" customWidth="1"/>
    <col min="9" max="9" width="23.5703125" style="1" customWidth="1"/>
    <col min="10" max="10" width="14" style="2" customWidth="1"/>
    <col min="11" max="11" width="17.7109375" style="2" customWidth="1"/>
    <col min="12" max="12" width="12.42578125" style="1" customWidth="1"/>
    <col min="13" max="13" width="15.85546875" style="1" customWidth="1"/>
    <col min="14" max="14" width="14.28515625" style="1" customWidth="1"/>
    <col min="15" max="15" width="26.28515625" style="1" customWidth="1"/>
    <col min="16" max="16" width="5.5703125" style="1" customWidth="1"/>
    <col min="17" max="17" width="9.42578125" style="1" customWidth="1"/>
    <col min="18" max="18" width="21.7109375" style="1" customWidth="1"/>
    <col min="19" max="19" width="19.7109375" style="1" bestFit="1" customWidth="1"/>
    <col min="20" max="20" width="33.85546875" style="1" customWidth="1"/>
    <col min="21" max="21" width="27.57031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15.75">
      <c r="A1" s="675"/>
      <c r="B1" s="678" t="s">
        <v>95</v>
      </c>
      <c r="C1" s="679"/>
      <c r="D1" s="679"/>
      <c r="E1" s="679"/>
      <c r="F1" s="679"/>
      <c r="G1" s="679"/>
      <c r="H1" s="680"/>
      <c r="I1" s="684" t="s">
        <v>96</v>
      </c>
      <c r="J1" s="685"/>
      <c r="K1" s="685"/>
      <c r="L1" s="686"/>
      <c r="M1" s="687"/>
      <c r="N1" s="688"/>
      <c r="O1" s="81"/>
      <c r="P1" s="81"/>
      <c r="Q1" s="81"/>
      <c r="R1" s="39"/>
    </row>
    <row r="2" spans="1:248" ht="15.75">
      <c r="A2" s="676"/>
      <c r="B2" s="681"/>
      <c r="C2" s="682"/>
      <c r="D2" s="682"/>
      <c r="E2" s="682"/>
      <c r="F2" s="682"/>
      <c r="G2" s="682"/>
      <c r="H2" s="683"/>
      <c r="I2" s="684" t="s">
        <v>97</v>
      </c>
      <c r="J2" s="685"/>
      <c r="K2" s="685"/>
      <c r="L2" s="686"/>
      <c r="M2" s="689"/>
      <c r="N2" s="690"/>
      <c r="O2" s="81"/>
      <c r="P2" s="81"/>
      <c r="Q2" s="81"/>
      <c r="R2" s="39"/>
    </row>
    <row r="3" spans="1:248" ht="15.75">
      <c r="A3" s="676"/>
      <c r="B3" s="678" t="s">
        <v>98</v>
      </c>
      <c r="C3" s="679"/>
      <c r="D3" s="679"/>
      <c r="E3" s="679"/>
      <c r="F3" s="679"/>
      <c r="G3" s="679"/>
      <c r="H3" s="680"/>
      <c r="I3" s="684" t="s">
        <v>99</v>
      </c>
      <c r="J3" s="685"/>
      <c r="K3" s="685"/>
      <c r="L3" s="686"/>
      <c r="M3" s="689"/>
      <c r="N3" s="690"/>
      <c r="O3" s="81"/>
      <c r="P3" s="81"/>
      <c r="Q3" s="81"/>
      <c r="R3" s="39"/>
    </row>
    <row r="4" spans="1:248" ht="15.75">
      <c r="A4" s="677"/>
      <c r="B4" s="681"/>
      <c r="C4" s="682"/>
      <c r="D4" s="682"/>
      <c r="E4" s="682"/>
      <c r="F4" s="682"/>
      <c r="G4" s="682"/>
      <c r="H4" s="683"/>
      <c r="I4" s="684" t="s">
        <v>100</v>
      </c>
      <c r="J4" s="685"/>
      <c r="K4" s="685"/>
      <c r="L4" s="686"/>
      <c r="M4" s="691"/>
      <c r="N4" s="692"/>
      <c r="O4" s="81"/>
      <c r="P4" s="81"/>
      <c r="Q4" s="81"/>
      <c r="R4" s="39"/>
    </row>
    <row r="5" spans="1:248" ht="15.75">
      <c r="A5" s="693"/>
      <c r="B5" s="693"/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81"/>
      <c r="P5" s="81"/>
      <c r="Q5" s="81"/>
      <c r="R5" s="39"/>
    </row>
    <row r="6" spans="1:248" ht="15.75">
      <c r="A6" s="684" t="s">
        <v>138</v>
      </c>
      <c r="B6" s="685"/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686"/>
      <c r="O6" s="134"/>
      <c r="P6" s="134"/>
      <c r="Q6" s="134"/>
      <c r="R6" s="39"/>
    </row>
    <row r="7" spans="1:248" ht="15.75">
      <c r="A7" s="40" t="s">
        <v>327</v>
      </c>
      <c r="B7" s="532" t="s">
        <v>468</v>
      </c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134"/>
      <c r="P7" s="134"/>
      <c r="Q7" s="134"/>
    </row>
    <row r="8" spans="1:248" ht="15.75">
      <c r="A8" s="41" t="s">
        <v>32</v>
      </c>
      <c r="B8" s="694" t="s">
        <v>33</v>
      </c>
      <c r="C8" s="695"/>
      <c r="D8" s="695"/>
      <c r="E8" s="695"/>
      <c r="F8" s="696"/>
      <c r="G8" s="767" t="s">
        <v>132</v>
      </c>
      <c r="H8" s="768"/>
      <c r="I8" s="769"/>
      <c r="J8" s="706" t="s">
        <v>31</v>
      </c>
      <c r="K8" s="707"/>
      <c r="L8" s="707"/>
      <c r="M8" s="707"/>
      <c r="N8" s="708"/>
      <c r="O8" s="135"/>
      <c r="P8" s="135"/>
      <c r="Q8" s="135"/>
      <c r="R8" s="42"/>
      <c r="T8" s="790"/>
      <c r="U8" s="790"/>
    </row>
    <row r="9" spans="1:248" ht="15.75">
      <c r="A9" s="43" t="s">
        <v>30</v>
      </c>
      <c r="B9" s="715" t="s">
        <v>36</v>
      </c>
      <c r="C9" s="695"/>
      <c r="D9" s="695"/>
      <c r="E9" s="695"/>
      <c r="F9" s="696"/>
      <c r="G9" s="770"/>
      <c r="H9" s="771"/>
      <c r="I9" s="772"/>
      <c r="J9" s="82" t="s">
        <v>29</v>
      </c>
      <c r="K9" s="547" t="s">
        <v>28</v>
      </c>
      <c r="L9" s="547"/>
      <c r="M9" s="547"/>
      <c r="N9" s="82" t="s">
        <v>27</v>
      </c>
      <c r="O9" s="136"/>
      <c r="P9" s="136"/>
      <c r="Q9" s="136"/>
      <c r="R9" s="42"/>
      <c r="T9" s="169"/>
      <c r="U9" s="169"/>
    </row>
    <row r="10" spans="1:248" ht="15.75">
      <c r="A10" s="44" t="s">
        <v>26</v>
      </c>
      <c r="B10" s="716" t="s">
        <v>46</v>
      </c>
      <c r="C10" s="715"/>
      <c r="D10" s="715"/>
      <c r="E10" s="715"/>
      <c r="F10" s="717"/>
      <c r="G10" s="770"/>
      <c r="H10" s="771"/>
      <c r="I10" s="772"/>
      <c r="J10" s="45"/>
      <c r="K10" s="718"/>
      <c r="L10" s="719"/>
      <c r="M10" s="720"/>
      <c r="N10" s="46"/>
      <c r="R10" s="42"/>
      <c r="T10" s="791"/>
      <c r="U10" s="791"/>
      <c r="W10" s="81"/>
      <c r="X10" s="81"/>
    </row>
    <row r="11" spans="1:248" ht="15.75">
      <c r="A11" s="47" t="s">
        <v>25</v>
      </c>
      <c r="B11" s="716" t="s">
        <v>47</v>
      </c>
      <c r="C11" s="715"/>
      <c r="D11" s="715"/>
      <c r="E11" s="715"/>
      <c r="F11" s="717"/>
      <c r="G11" s="770"/>
      <c r="H11" s="771"/>
      <c r="I11" s="772"/>
      <c r="J11" s="83"/>
      <c r="K11" s="712"/>
      <c r="L11" s="713"/>
      <c r="M11" s="714"/>
      <c r="N11" s="48"/>
      <c r="O11" s="223"/>
      <c r="P11" s="223"/>
      <c r="Q11" s="223"/>
      <c r="R11" s="42"/>
      <c r="T11" s="789"/>
      <c r="U11" s="789"/>
      <c r="W11" s="14"/>
      <c r="X11" s="5"/>
      <c r="Y11" s="12"/>
    </row>
    <row r="12" spans="1:248" ht="15.75">
      <c r="A12" s="50" t="s">
        <v>24</v>
      </c>
      <c r="B12" s="746">
        <v>2020730010040</v>
      </c>
      <c r="C12" s="747"/>
      <c r="D12" s="747"/>
      <c r="E12" s="747"/>
      <c r="F12" s="748"/>
      <c r="G12" s="770"/>
      <c r="H12" s="771"/>
      <c r="I12" s="772"/>
      <c r="J12" s="51"/>
      <c r="K12" s="722"/>
      <c r="L12" s="723"/>
      <c r="M12" s="724"/>
      <c r="N12" s="52"/>
      <c r="O12" s="224"/>
      <c r="P12" s="224"/>
      <c r="Q12" s="224"/>
      <c r="R12" s="42"/>
      <c r="T12" s="789"/>
      <c r="U12" s="789"/>
      <c r="W12" s="14"/>
      <c r="X12" s="5"/>
      <c r="Y12" s="12"/>
    </row>
    <row r="13" spans="1:248" ht="30.75" customHeight="1">
      <c r="A13" s="87" t="s">
        <v>342</v>
      </c>
      <c r="B13" s="765" t="s">
        <v>131</v>
      </c>
      <c r="C13" s="765"/>
      <c r="D13" s="765"/>
      <c r="E13" s="765"/>
      <c r="F13" s="765"/>
      <c r="G13" s="773"/>
      <c r="H13" s="774"/>
      <c r="I13" s="775"/>
      <c r="J13" s="85"/>
      <c r="K13" s="722"/>
      <c r="L13" s="723"/>
      <c r="M13" s="724"/>
      <c r="N13" s="53"/>
      <c r="O13" s="221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</row>
    <row r="14" spans="1:248" ht="15.75" customHeight="1">
      <c r="A14" s="541" t="s">
        <v>23</v>
      </c>
      <c r="B14" s="533" t="s">
        <v>22</v>
      </c>
      <c r="C14" s="534" t="s">
        <v>21</v>
      </c>
      <c r="D14" s="534" t="s">
        <v>20</v>
      </c>
      <c r="E14" s="534" t="s">
        <v>128</v>
      </c>
      <c r="F14" s="776" t="s">
        <v>18</v>
      </c>
      <c r="G14" s="777"/>
      <c r="H14" s="777"/>
      <c r="I14" s="778"/>
      <c r="J14" s="534" t="s">
        <v>17</v>
      </c>
      <c r="K14" s="534"/>
      <c r="L14" s="540" t="s">
        <v>16</v>
      </c>
      <c r="M14" s="540"/>
      <c r="N14" s="540"/>
      <c r="O14" s="221"/>
      <c r="P14" s="221"/>
      <c r="Q14" s="221"/>
      <c r="R14" s="221"/>
      <c r="S14" s="221"/>
      <c r="T14" s="221"/>
      <c r="U14" s="221"/>
      <c r="V14" s="221"/>
      <c r="W14" s="221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15.75" customHeight="1">
      <c r="A15" s="541"/>
      <c r="B15" s="534"/>
      <c r="C15" s="534"/>
      <c r="D15" s="534"/>
      <c r="E15" s="534"/>
      <c r="F15" s="779"/>
      <c r="G15" s="780"/>
      <c r="H15" s="780"/>
      <c r="I15" s="781"/>
      <c r="J15" s="534"/>
      <c r="K15" s="534"/>
      <c r="L15" s="782" t="s">
        <v>15</v>
      </c>
      <c r="M15" s="782" t="s">
        <v>14</v>
      </c>
      <c r="N15" s="766" t="s">
        <v>13</v>
      </c>
      <c r="O15" s="221"/>
      <c r="P15" s="221"/>
      <c r="Q15" s="221"/>
      <c r="R15" s="221"/>
      <c r="S15" s="221"/>
      <c r="T15" s="157" t="s">
        <v>366</v>
      </c>
      <c r="U15" s="269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19.5" customHeight="1">
      <c r="A16" s="541"/>
      <c r="B16" s="534"/>
      <c r="C16" s="534"/>
      <c r="D16" s="534"/>
      <c r="E16" s="534"/>
      <c r="F16" s="84" t="s">
        <v>12</v>
      </c>
      <c r="G16" s="84" t="s">
        <v>11</v>
      </c>
      <c r="H16" s="84" t="s">
        <v>10</v>
      </c>
      <c r="I16" s="10" t="s">
        <v>9</v>
      </c>
      <c r="J16" s="84" t="s">
        <v>8</v>
      </c>
      <c r="K16" s="84" t="s">
        <v>7</v>
      </c>
      <c r="L16" s="782"/>
      <c r="M16" s="782"/>
      <c r="N16" s="766"/>
      <c r="O16" s="221"/>
      <c r="P16" s="143"/>
      <c r="Q16" s="171" t="s">
        <v>321</v>
      </c>
      <c r="R16" s="171" t="s">
        <v>322</v>
      </c>
      <c r="S16" s="171" t="s">
        <v>323</v>
      </c>
      <c r="T16" s="171" t="s">
        <v>322</v>
      </c>
      <c r="U16" s="171" t="s">
        <v>323</v>
      </c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5" s="74" customFormat="1" ht="44.25" customHeight="1">
      <c r="A17" s="438" t="s">
        <v>373</v>
      </c>
      <c r="B17" s="194" t="s">
        <v>1</v>
      </c>
      <c r="C17" s="439" t="s">
        <v>298</v>
      </c>
      <c r="D17" s="297">
        <v>1</v>
      </c>
      <c r="E17" s="11">
        <f t="shared" ref="E17:E24" si="0">SUM(I17+H17+G17+F17)</f>
        <v>50000000</v>
      </c>
      <c r="F17" s="11">
        <v>0</v>
      </c>
      <c r="G17" s="11">
        <v>0</v>
      </c>
      <c r="H17" s="11">
        <v>0</v>
      </c>
      <c r="I17" s="207">
        <v>50000000</v>
      </c>
      <c r="J17" s="763">
        <v>44964</v>
      </c>
      <c r="K17" s="763">
        <v>45290</v>
      </c>
      <c r="L17" s="538">
        <f>D18/D17</f>
        <v>1</v>
      </c>
      <c r="M17" s="538">
        <f>E18/E17</f>
        <v>0.46124665999999998</v>
      </c>
      <c r="N17" s="551">
        <f>L17*L17/M17</f>
        <v>2.1680373793926226</v>
      </c>
      <c r="O17" s="221"/>
      <c r="P17" s="180" t="s">
        <v>1</v>
      </c>
      <c r="Q17" s="181">
        <v>1</v>
      </c>
      <c r="R17" s="175">
        <f>F17+F19+F21</f>
        <v>81500000</v>
      </c>
      <c r="S17" s="175">
        <f>I17+I19+I21</f>
        <v>733340899</v>
      </c>
      <c r="T17" s="272"/>
      <c r="U17" s="270"/>
    </row>
    <row r="18" spans="1:25" s="74" customFormat="1" ht="44.25" customHeight="1">
      <c r="A18" s="468"/>
      <c r="B18" s="194" t="s">
        <v>0</v>
      </c>
      <c r="C18" s="468"/>
      <c r="D18" s="297">
        <v>1</v>
      </c>
      <c r="E18" s="11">
        <f t="shared" si="0"/>
        <v>23062333</v>
      </c>
      <c r="F18" s="11">
        <v>0</v>
      </c>
      <c r="G18" s="11">
        <v>0</v>
      </c>
      <c r="H18" s="11">
        <v>0</v>
      </c>
      <c r="I18" s="207">
        <v>23062333</v>
      </c>
      <c r="J18" s="764"/>
      <c r="K18" s="764"/>
      <c r="L18" s="538"/>
      <c r="M18" s="538"/>
      <c r="N18" s="551"/>
      <c r="O18" s="221"/>
      <c r="P18" s="180" t="s">
        <v>0</v>
      </c>
      <c r="Q18" s="182"/>
      <c r="R18" s="175">
        <f>F18+F20+F22</f>
        <v>75283906</v>
      </c>
      <c r="S18" s="175">
        <f>I18+I20+I22</f>
        <v>682312699</v>
      </c>
      <c r="T18" s="273">
        <v>24866284</v>
      </c>
      <c r="U18" s="273">
        <v>91947000</v>
      </c>
      <c r="W18" s="76"/>
      <c r="X18" s="77"/>
      <c r="Y18" s="78"/>
    </row>
    <row r="19" spans="1:25" s="74" customFormat="1" ht="51" customHeight="1">
      <c r="A19" s="438" t="s">
        <v>436</v>
      </c>
      <c r="B19" s="194" t="s">
        <v>1</v>
      </c>
      <c r="C19" s="439" t="s">
        <v>419</v>
      </c>
      <c r="D19" s="297">
        <v>1</v>
      </c>
      <c r="E19" s="11">
        <f>SUM(I19+H19+G19+F19)</f>
        <v>703453899</v>
      </c>
      <c r="F19" s="11">
        <f>505894000-431394000</f>
        <v>74500000</v>
      </c>
      <c r="G19" s="11">
        <v>0</v>
      </c>
      <c r="H19" s="11">
        <v>0</v>
      </c>
      <c r="I19" s="207">
        <f>38045000+100243000+50000000+440665899</f>
        <v>628953899</v>
      </c>
      <c r="J19" s="763">
        <v>44958</v>
      </c>
      <c r="K19" s="763">
        <v>45290</v>
      </c>
      <c r="L19" s="538">
        <f>D20/D19</f>
        <v>1</v>
      </c>
      <c r="M19" s="538">
        <f>E20/E19</f>
        <v>0.99917211632371661</v>
      </c>
      <c r="N19" s="551">
        <f>L19*L19/M19</f>
        <v>1.0008285696355594</v>
      </c>
      <c r="O19" s="221"/>
      <c r="P19" s="221"/>
      <c r="Q19" s="221"/>
    </row>
    <row r="20" spans="1:25" s="74" customFormat="1" ht="51" customHeight="1">
      <c r="A20" s="473"/>
      <c r="B20" s="194" t="s">
        <v>0</v>
      </c>
      <c r="C20" s="468"/>
      <c r="D20" s="297">
        <v>1</v>
      </c>
      <c r="E20" s="11">
        <f t="shared" si="0"/>
        <v>702871521</v>
      </c>
      <c r="F20" s="11">
        <f>33478622+439000+40000000</f>
        <v>73917622</v>
      </c>
      <c r="G20" s="11">
        <v>0</v>
      </c>
      <c r="H20" s="11">
        <v>0</v>
      </c>
      <c r="I20" s="207">
        <v>628953899</v>
      </c>
      <c r="J20" s="764"/>
      <c r="K20" s="764"/>
      <c r="L20" s="538"/>
      <c r="M20" s="538"/>
      <c r="N20" s="551"/>
      <c r="O20" s="221"/>
      <c r="P20" s="221"/>
      <c r="Q20" s="221"/>
      <c r="R20" s="193">
        <f>I25-I29</f>
        <v>2407752302</v>
      </c>
      <c r="Y20" s="78"/>
    </row>
    <row r="21" spans="1:25" s="74" customFormat="1" ht="42" customHeight="1">
      <c r="A21" s="438" t="s">
        <v>420</v>
      </c>
      <c r="B21" s="194" t="s">
        <v>1</v>
      </c>
      <c r="C21" s="439" t="s">
        <v>110</v>
      </c>
      <c r="D21" s="274">
        <v>20</v>
      </c>
      <c r="E21" s="11">
        <f t="shared" si="0"/>
        <v>61387000</v>
      </c>
      <c r="F21" s="11">
        <v>7000000</v>
      </c>
      <c r="G21" s="11">
        <v>0</v>
      </c>
      <c r="H21" s="11">
        <v>0</v>
      </c>
      <c r="I21" s="207">
        <f>16000000+8387000+30000000</f>
        <v>54387000</v>
      </c>
      <c r="J21" s="763">
        <v>44958</v>
      </c>
      <c r="K21" s="763">
        <v>45290</v>
      </c>
      <c r="L21" s="538">
        <f>D22/D21</f>
        <v>2.2000000000000002</v>
      </c>
      <c r="M21" s="538">
        <f>E22/E21</f>
        <v>0.51578918989362565</v>
      </c>
      <c r="N21" s="551">
        <f>L21*L21/M21</f>
        <v>9.3836786323462569</v>
      </c>
      <c r="O21" s="221"/>
      <c r="P21" s="221"/>
      <c r="Q21" s="221"/>
      <c r="T21" s="111" t="s">
        <v>366</v>
      </c>
      <c r="Y21" s="78"/>
    </row>
    <row r="22" spans="1:25" s="74" customFormat="1" ht="49.15" customHeight="1">
      <c r="A22" s="468"/>
      <c r="B22" s="194" t="s">
        <v>0</v>
      </c>
      <c r="C22" s="468"/>
      <c r="D22" s="274">
        <v>44</v>
      </c>
      <c r="E22" s="11">
        <f t="shared" si="0"/>
        <v>31662751</v>
      </c>
      <c r="F22" s="11">
        <v>1366284</v>
      </c>
      <c r="G22" s="11">
        <v>0</v>
      </c>
      <c r="H22" s="11">
        <v>0</v>
      </c>
      <c r="I22" s="207">
        <v>30296467</v>
      </c>
      <c r="J22" s="764"/>
      <c r="K22" s="764"/>
      <c r="L22" s="538"/>
      <c r="M22" s="538"/>
      <c r="N22" s="551"/>
      <c r="O22" s="221"/>
      <c r="P22" s="151"/>
      <c r="Q22" s="179" t="s">
        <v>321</v>
      </c>
      <c r="R22" s="179" t="s">
        <v>322</v>
      </c>
      <c r="S22" s="179" t="s">
        <v>323</v>
      </c>
      <c r="T22" s="132" t="s">
        <v>322</v>
      </c>
      <c r="U22" s="132" t="s">
        <v>323</v>
      </c>
      <c r="Y22" s="78"/>
    </row>
    <row r="23" spans="1:25" s="74" customFormat="1" ht="57.75" customHeight="1">
      <c r="A23" s="452" t="s">
        <v>421</v>
      </c>
      <c r="B23" s="195" t="s">
        <v>1</v>
      </c>
      <c r="C23" s="469" t="s">
        <v>372</v>
      </c>
      <c r="D23" s="298">
        <v>3065</v>
      </c>
      <c r="E23" s="11">
        <f t="shared" si="0"/>
        <v>2189606000</v>
      </c>
      <c r="F23" s="11">
        <f>6061000+8545000+38000000+2000000</f>
        <v>54606000</v>
      </c>
      <c r="G23" s="11">
        <v>0</v>
      </c>
      <c r="H23" s="11">
        <v>0</v>
      </c>
      <c r="I23" s="207">
        <f>2086000000+29000000+20000000</f>
        <v>2135000000</v>
      </c>
      <c r="J23" s="763">
        <v>44964</v>
      </c>
      <c r="K23" s="763">
        <v>45290</v>
      </c>
      <c r="L23" s="538">
        <f>D24/D23</f>
        <v>1.1572593800978792</v>
      </c>
      <c r="M23" s="538">
        <f>E24/E23</f>
        <v>0.99738518071287707</v>
      </c>
      <c r="N23" s="551">
        <f>L23*L23/M23</f>
        <v>1.3427603484817217</v>
      </c>
      <c r="O23" s="221"/>
      <c r="P23" s="180" t="s">
        <v>1</v>
      </c>
      <c r="Q23" s="181">
        <v>3</v>
      </c>
      <c r="R23" s="196">
        <f>F23+F25</f>
        <v>560445000</v>
      </c>
      <c r="S23" s="196">
        <f>I23+I25</f>
        <v>4692773302</v>
      </c>
      <c r="T23" s="270"/>
      <c r="U23" s="270"/>
    </row>
    <row r="24" spans="1:25" s="74" customFormat="1" ht="57.75" customHeight="1">
      <c r="A24" s="468"/>
      <c r="B24" s="195" t="s">
        <v>0</v>
      </c>
      <c r="C24" s="470"/>
      <c r="D24" s="299">
        <v>3547</v>
      </c>
      <c r="E24" s="11">
        <f t="shared" si="0"/>
        <v>2183880576</v>
      </c>
      <c r="F24" s="11">
        <v>54582378</v>
      </c>
      <c r="G24" s="11">
        <v>0</v>
      </c>
      <c r="H24" s="11">
        <v>0</v>
      </c>
      <c r="I24" s="207">
        <v>2129298198</v>
      </c>
      <c r="J24" s="764"/>
      <c r="K24" s="764"/>
      <c r="L24" s="538"/>
      <c r="M24" s="538"/>
      <c r="N24" s="551"/>
      <c r="O24" s="221"/>
      <c r="P24" s="180" t="s">
        <v>0</v>
      </c>
      <c r="Q24" s="182"/>
      <c r="R24" s="196">
        <f>F24+F26</f>
        <v>558116094</v>
      </c>
      <c r="S24" s="196">
        <f>I24+I26</f>
        <v>4481764482</v>
      </c>
      <c r="T24" s="271">
        <v>421294508</v>
      </c>
      <c r="U24" s="271">
        <v>2025754807</v>
      </c>
    </row>
    <row r="25" spans="1:25" s="74" customFormat="1" ht="39.75" customHeight="1">
      <c r="A25" s="452" t="s">
        <v>437</v>
      </c>
      <c r="B25" s="195" t="s">
        <v>1</v>
      </c>
      <c r="C25" s="469" t="s">
        <v>371</v>
      </c>
      <c r="D25" s="300">
        <v>1</v>
      </c>
      <c r="E25" s="11">
        <f t="shared" ref="E25:E30" si="1">SUM(I25+H25+G25+F25)</f>
        <v>3063612302</v>
      </c>
      <c r="F25" s="207">
        <f>74445000+431394000</f>
        <v>505839000</v>
      </c>
      <c r="G25" s="11">
        <v>0</v>
      </c>
      <c r="H25" s="11">
        <v>0</v>
      </c>
      <c r="I25" s="11">
        <f>2697024302-100243000-8387000-30621000</f>
        <v>2557773302</v>
      </c>
      <c r="J25" s="763">
        <v>44927</v>
      </c>
      <c r="K25" s="763">
        <v>45290</v>
      </c>
      <c r="L25" s="538">
        <f>D26/D25</f>
        <v>1</v>
      </c>
      <c r="M25" s="538">
        <f>E26/E25</f>
        <v>0.9322328409947741</v>
      </c>
      <c r="N25" s="551">
        <f>L25*L25/M25</f>
        <v>1.0726933830532213</v>
      </c>
      <c r="O25" s="221"/>
      <c r="P25" s="221"/>
      <c r="Q25" s="221"/>
      <c r="T25" s="111" t="s">
        <v>366</v>
      </c>
    </row>
    <row r="26" spans="1:25" s="74" customFormat="1" ht="39.75" customHeight="1">
      <c r="A26" s="468"/>
      <c r="B26" s="195" t="s">
        <v>0</v>
      </c>
      <c r="C26" s="470"/>
      <c r="D26" s="297">
        <v>1</v>
      </c>
      <c r="E26" s="11">
        <f t="shared" si="1"/>
        <v>2856000000</v>
      </c>
      <c r="F26" s="207">
        <v>503533716</v>
      </c>
      <c r="G26" s="11">
        <v>0</v>
      </c>
      <c r="H26" s="11">
        <v>0</v>
      </c>
      <c r="I26" s="11">
        <v>2352466284</v>
      </c>
      <c r="J26" s="764"/>
      <c r="K26" s="764"/>
      <c r="L26" s="538"/>
      <c r="M26" s="538"/>
      <c r="N26" s="551"/>
      <c r="O26" s="221"/>
      <c r="P26" s="151"/>
      <c r="Q26" s="179" t="s">
        <v>321</v>
      </c>
      <c r="R26" s="179" t="s">
        <v>322</v>
      </c>
      <c r="S26" s="179" t="s">
        <v>323</v>
      </c>
      <c r="T26" s="132" t="s">
        <v>322</v>
      </c>
      <c r="U26" s="132" t="s">
        <v>323</v>
      </c>
    </row>
    <row r="27" spans="1:25" s="199" customFormat="1" ht="34.5" customHeight="1">
      <c r="A27" s="471" t="s">
        <v>114</v>
      </c>
      <c r="B27" s="195" t="s">
        <v>1</v>
      </c>
      <c r="C27" s="469" t="s">
        <v>119</v>
      </c>
      <c r="D27" s="299">
        <v>39</v>
      </c>
      <c r="E27" s="11">
        <f t="shared" si="1"/>
        <v>3272762471</v>
      </c>
      <c r="F27" s="11">
        <v>0</v>
      </c>
      <c r="G27" s="11">
        <v>0</v>
      </c>
      <c r="H27" s="11">
        <v>0</v>
      </c>
      <c r="I27" s="11">
        <f>3733428370-440665899-20000000</f>
        <v>3272762471</v>
      </c>
      <c r="J27" s="763">
        <v>44927</v>
      </c>
      <c r="K27" s="763">
        <v>45290</v>
      </c>
      <c r="L27" s="538">
        <f>D28/D27</f>
        <v>1</v>
      </c>
      <c r="M27" s="538">
        <f>E28/E27</f>
        <v>0.53398929481919011</v>
      </c>
      <c r="N27" s="551">
        <f>L27*L27/M27</f>
        <v>1.8726967182714815</v>
      </c>
      <c r="O27" s="221"/>
      <c r="P27" s="180" t="s">
        <v>1</v>
      </c>
      <c r="Q27" s="275">
        <v>2</v>
      </c>
      <c r="R27" s="321">
        <f>F27+F29</f>
        <v>12600000</v>
      </c>
      <c r="S27" s="175">
        <f>I27+I29</f>
        <v>3422783471</v>
      </c>
      <c r="T27" s="322"/>
      <c r="U27" s="322"/>
    </row>
    <row r="28" spans="1:25" s="199" customFormat="1" ht="34.5" customHeight="1">
      <c r="A28" s="472"/>
      <c r="B28" s="195" t="s">
        <v>0</v>
      </c>
      <c r="C28" s="470"/>
      <c r="D28" s="299">
        <v>39</v>
      </c>
      <c r="E28" s="11">
        <f t="shared" si="1"/>
        <v>1747620124</v>
      </c>
      <c r="F28" s="11">
        <v>0</v>
      </c>
      <c r="G28" s="11">
        <v>0</v>
      </c>
      <c r="H28" s="11">
        <v>0</v>
      </c>
      <c r="I28" s="11">
        <v>1747620124</v>
      </c>
      <c r="J28" s="764"/>
      <c r="K28" s="764"/>
      <c r="L28" s="538"/>
      <c r="M28" s="538"/>
      <c r="N28" s="551"/>
      <c r="O28" s="221"/>
      <c r="P28" s="180" t="s">
        <v>0</v>
      </c>
      <c r="Q28" s="215"/>
      <c r="R28" s="321">
        <f>F28+F30</f>
        <v>12600000</v>
      </c>
      <c r="S28" s="175">
        <f>I28+I30</f>
        <v>1874958458</v>
      </c>
      <c r="T28" s="271">
        <v>10800000</v>
      </c>
      <c r="U28" s="271">
        <v>197774500</v>
      </c>
    </row>
    <row r="29" spans="1:25" s="74" customFormat="1" ht="36" customHeight="1">
      <c r="A29" s="471" t="s">
        <v>401</v>
      </c>
      <c r="B29" s="195" t="s">
        <v>1</v>
      </c>
      <c r="C29" s="469" t="s">
        <v>438</v>
      </c>
      <c r="D29" s="299">
        <v>10</v>
      </c>
      <c r="E29" s="11">
        <f t="shared" si="1"/>
        <v>162621000</v>
      </c>
      <c r="F29" s="11">
        <f>50600000-38000000</f>
        <v>12600000</v>
      </c>
      <c r="G29" s="11">
        <v>0</v>
      </c>
      <c r="H29" s="11">
        <v>0</v>
      </c>
      <c r="I29" s="11">
        <f>49400000+30621000+70000000</f>
        <v>150021000</v>
      </c>
      <c r="J29" s="763">
        <v>44927</v>
      </c>
      <c r="K29" s="763">
        <v>45290</v>
      </c>
      <c r="L29" s="538">
        <f>D30/D29</f>
        <v>1</v>
      </c>
      <c r="M29" s="538">
        <f>E30/E29</f>
        <v>0.86051822335368744</v>
      </c>
      <c r="N29" s="551">
        <f>L29*L29/M29</f>
        <v>1.1620904390643954</v>
      </c>
      <c r="O29" s="221"/>
      <c r="P29" s="180"/>
      <c r="Q29" s="245"/>
      <c r="R29" s="174"/>
      <c r="S29" s="244"/>
    </row>
    <row r="30" spans="1:25" s="74" customFormat="1" ht="36" customHeight="1">
      <c r="A30" s="472"/>
      <c r="B30" s="195" t="s">
        <v>0</v>
      </c>
      <c r="C30" s="470"/>
      <c r="D30" s="299">
        <v>10</v>
      </c>
      <c r="E30" s="11">
        <f t="shared" si="1"/>
        <v>139938334</v>
      </c>
      <c r="F30" s="11">
        <f>12600000</f>
        <v>12600000</v>
      </c>
      <c r="G30" s="11">
        <v>0</v>
      </c>
      <c r="H30" s="11">
        <v>0</v>
      </c>
      <c r="I30" s="11">
        <v>127338334</v>
      </c>
      <c r="J30" s="764"/>
      <c r="K30" s="764"/>
      <c r="L30" s="538"/>
      <c r="M30" s="538"/>
      <c r="N30" s="551"/>
      <c r="O30" s="221"/>
      <c r="P30" s="180"/>
      <c r="Q30" s="245"/>
      <c r="R30" s="174"/>
      <c r="S30" s="244"/>
    </row>
    <row r="31" spans="1:25" ht="15.75">
      <c r="A31" s="799" t="s">
        <v>6</v>
      </c>
      <c r="B31" s="38" t="s">
        <v>1</v>
      </c>
      <c r="C31" s="784"/>
      <c r="D31" s="97"/>
      <c r="E31" s="32">
        <f t="shared" ref="E31:I32" si="2">E17+E19+E21+E23+E27+E25+E29</f>
        <v>9503442672</v>
      </c>
      <c r="F31" s="32">
        <f t="shared" si="2"/>
        <v>654545000</v>
      </c>
      <c r="G31" s="32">
        <f t="shared" si="2"/>
        <v>0</v>
      </c>
      <c r="H31" s="32">
        <f t="shared" si="2"/>
        <v>0</v>
      </c>
      <c r="I31" s="32">
        <f t="shared" si="2"/>
        <v>8848897672</v>
      </c>
      <c r="J31" s="28"/>
      <c r="K31" s="29"/>
      <c r="L31" s="29"/>
      <c r="M31" s="29"/>
      <c r="N31" s="30"/>
      <c r="O31" s="19"/>
      <c r="P31" s="146" t="s">
        <v>1</v>
      </c>
      <c r="Q31" s="155"/>
      <c r="R31" s="173">
        <f>R17+R23+R27</f>
        <v>654545000</v>
      </c>
      <c r="S31" s="244">
        <f>S17+S23+S27</f>
        <v>8848897672</v>
      </c>
    </row>
    <row r="32" spans="1:25" ht="15.75">
      <c r="A32" s="799"/>
      <c r="B32" s="38" t="s">
        <v>0</v>
      </c>
      <c r="C32" s="785"/>
      <c r="D32" s="27"/>
      <c r="E32" s="32">
        <f t="shared" si="2"/>
        <v>7685035639</v>
      </c>
      <c r="F32" s="32">
        <f>F18+F20+F22+F24+F28+F26+F30</f>
        <v>646000000</v>
      </c>
      <c r="G32" s="32">
        <f t="shared" si="2"/>
        <v>0</v>
      </c>
      <c r="H32" s="32">
        <f t="shared" si="2"/>
        <v>0</v>
      </c>
      <c r="I32" s="32">
        <f t="shared" si="2"/>
        <v>7039035639</v>
      </c>
      <c r="J32" s="31"/>
      <c r="K32" s="29"/>
      <c r="L32" s="29"/>
      <c r="M32" s="29"/>
      <c r="N32" s="30"/>
      <c r="O32" s="141"/>
      <c r="P32" s="146" t="s">
        <v>0</v>
      </c>
      <c r="Q32" s="156"/>
      <c r="R32" s="173">
        <f>R18+R24+R28</f>
        <v>646000000</v>
      </c>
      <c r="S32" s="173">
        <f>S18+S24+S28</f>
        <v>7039035639</v>
      </c>
      <c r="T32" s="173">
        <f t="shared" ref="T32:U32" si="3">T18+T24+T28</f>
        <v>456960792</v>
      </c>
      <c r="U32" s="173">
        <f t="shared" si="3"/>
        <v>2315476307</v>
      </c>
    </row>
    <row r="33" spans="1:50" ht="5.25" customHeight="1">
      <c r="B33" s="9"/>
      <c r="E33" s="22"/>
      <c r="F33" s="21"/>
      <c r="G33" s="16"/>
      <c r="H33" s="16"/>
      <c r="I33" s="16"/>
      <c r="J33" s="8"/>
      <c r="K33" s="8"/>
      <c r="L33" s="21"/>
      <c r="M33" s="19"/>
      <c r="N33" s="20"/>
      <c r="O33" s="19"/>
      <c r="P33" s="19"/>
      <c r="Q33" s="19"/>
      <c r="R33" s="19"/>
    </row>
    <row r="34" spans="1:50" ht="15.75">
      <c r="A34" s="55" t="s">
        <v>5</v>
      </c>
      <c r="B34" s="795" t="s">
        <v>4</v>
      </c>
      <c r="C34" s="796"/>
      <c r="D34" s="797"/>
      <c r="E34" s="795" t="s">
        <v>3</v>
      </c>
      <c r="F34" s="796"/>
      <c r="G34" s="796"/>
      <c r="H34" s="797"/>
      <c r="I34" s="55"/>
      <c r="J34" s="798" t="s">
        <v>2</v>
      </c>
      <c r="K34" s="796"/>
      <c r="L34" s="796"/>
      <c r="M34" s="796"/>
      <c r="N34" s="797"/>
      <c r="O34" s="141"/>
      <c r="P34" s="141"/>
      <c r="Q34" s="141"/>
    </row>
    <row r="35" spans="1:50" ht="43.5" customHeight="1">
      <c r="A35" s="783" t="s">
        <v>83</v>
      </c>
      <c r="B35" s="783" t="s">
        <v>86</v>
      </c>
      <c r="C35" s="783"/>
      <c r="D35" s="783"/>
      <c r="E35" s="794" t="s">
        <v>48</v>
      </c>
      <c r="F35" s="793"/>
      <c r="G35" s="793"/>
      <c r="H35" s="33" t="s">
        <v>1</v>
      </c>
      <c r="I35" s="277">
        <v>1</v>
      </c>
      <c r="J35" s="786" t="s">
        <v>463</v>
      </c>
      <c r="K35" s="787"/>
      <c r="L35" s="787"/>
      <c r="M35" s="787"/>
      <c r="N35" s="788"/>
      <c r="O35" s="141"/>
      <c r="P35" s="141"/>
      <c r="Q35" s="141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</row>
    <row r="36" spans="1:50" ht="43.5" customHeight="1">
      <c r="A36" s="783"/>
      <c r="B36" s="783"/>
      <c r="C36" s="783"/>
      <c r="D36" s="783"/>
      <c r="E36" s="793"/>
      <c r="F36" s="793"/>
      <c r="G36" s="793"/>
      <c r="H36" s="33" t="s">
        <v>0</v>
      </c>
      <c r="I36" s="277">
        <v>1</v>
      </c>
      <c r="J36" s="788"/>
      <c r="K36" s="787"/>
      <c r="L36" s="787"/>
      <c r="M36" s="787"/>
      <c r="N36" s="788"/>
      <c r="O36" s="141"/>
      <c r="P36" s="141"/>
      <c r="Q36" s="141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</row>
    <row r="37" spans="1:50" ht="46.5" customHeight="1">
      <c r="A37" s="783" t="s">
        <v>83</v>
      </c>
      <c r="B37" s="783" t="s">
        <v>84</v>
      </c>
      <c r="C37" s="793"/>
      <c r="D37" s="793"/>
      <c r="E37" s="794" t="s">
        <v>49</v>
      </c>
      <c r="F37" s="793"/>
      <c r="G37" s="793"/>
      <c r="H37" s="33" t="s">
        <v>1</v>
      </c>
      <c r="I37" s="278">
        <v>35</v>
      </c>
      <c r="J37" s="788"/>
      <c r="K37" s="787"/>
      <c r="L37" s="787"/>
      <c r="M37" s="787"/>
      <c r="N37" s="788"/>
      <c r="O37" s="141"/>
      <c r="P37" s="141"/>
      <c r="Q37" s="141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</row>
    <row r="38" spans="1:50" ht="46.5" customHeight="1">
      <c r="A38" s="793"/>
      <c r="B38" s="793"/>
      <c r="C38" s="793"/>
      <c r="D38" s="793"/>
      <c r="E38" s="793"/>
      <c r="F38" s="793"/>
      <c r="G38" s="793"/>
      <c r="H38" s="33" t="s">
        <v>0</v>
      </c>
      <c r="I38" s="279">
        <v>35</v>
      </c>
      <c r="J38" s="788"/>
      <c r="K38" s="787"/>
      <c r="L38" s="787"/>
      <c r="M38" s="787"/>
      <c r="N38" s="788"/>
      <c r="O38" s="141"/>
      <c r="P38" s="141"/>
      <c r="Q38" s="141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</row>
    <row r="39" spans="1:50" ht="37.5" customHeight="1">
      <c r="A39" s="783" t="s">
        <v>83</v>
      </c>
      <c r="B39" s="783" t="s">
        <v>85</v>
      </c>
      <c r="C39" s="793"/>
      <c r="D39" s="793"/>
      <c r="E39" s="794" t="s">
        <v>50</v>
      </c>
      <c r="F39" s="793"/>
      <c r="G39" s="793"/>
      <c r="H39" s="33" t="s">
        <v>1</v>
      </c>
      <c r="I39" s="279">
        <v>3065</v>
      </c>
      <c r="J39" s="788"/>
      <c r="K39" s="787"/>
      <c r="L39" s="787"/>
      <c r="M39" s="787"/>
      <c r="N39" s="788"/>
      <c r="O39" s="141"/>
      <c r="P39" s="141"/>
      <c r="Q39" s="141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</row>
    <row r="40" spans="1:50" ht="37.5" customHeight="1">
      <c r="A40" s="793"/>
      <c r="B40" s="793"/>
      <c r="C40" s="793"/>
      <c r="D40" s="793"/>
      <c r="E40" s="793"/>
      <c r="F40" s="793"/>
      <c r="G40" s="793"/>
      <c r="H40" s="33" t="s">
        <v>0</v>
      </c>
      <c r="I40" s="279">
        <v>1729</v>
      </c>
      <c r="J40" s="788"/>
      <c r="K40" s="787"/>
      <c r="L40" s="787"/>
      <c r="M40" s="787"/>
      <c r="N40" s="788"/>
      <c r="O40" s="141"/>
      <c r="P40" s="141"/>
      <c r="Q40" s="141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</row>
    <row r="41" spans="1:50" ht="144.75" customHeight="1">
      <c r="A41" s="792" t="s">
        <v>457</v>
      </c>
      <c r="B41" s="792"/>
      <c r="C41" s="792"/>
      <c r="D41" s="792"/>
      <c r="E41" s="792"/>
      <c r="F41" s="792"/>
      <c r="G41" s="792"/>
      <c r="H41" s="792"/>
      <c r="I41" s="792"/>
      <c r="J41" s="792"/>
      <c r="K41" s="792"/>
      <c r="L41" s="792"/>
      <c r="M41" s="792"/>
      <c r="N41" s="792"/>
      <c r="O41" s="142"/>
      <c r="P41" s="142"/>
      <c r="Q41" s="142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</row>
    <row r="42" spans="1:50" ht="15.75"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</row>
    <row r="43" spans="1:50" ht="15.75"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</row>
    <row r="44" spans="1:50" ht="15.75"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</row>
    <row r="45" spans="1:50" ht="15.75"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</row>
    <row r="46" spans="1:50" ht="15.75"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</row>
    <row r="47" spans="1:50" ht="15.75"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</row>
    <row r="48" spans="1:50" ht="15.75"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</row>
  </sheetData>
  <mergeCells count="104">
    <mergeCell ref="T8:U8"/>
    <mergeCell ref="T10:U10"/>
    <mergeCell ref="T11:U11"/>
    <mergeCell ref="A41:N41"/>
    <mergeCell ref="A25:A26"/>
    <mergeCell ref="C25:C26"/>
    <mergeCell ref="L25:L26"/>
    <mergeCell ref="M25:M26"/>
    <mergeCell ref="N25:N26"/>
    <mergeCell ref="A37:A38"/>
    <mergeCell ref="E35:G36"/>
    <mergeCell ref="B37:D38"/>
    <mergeCell ref="E37:G38"/>
    <mergeCell ref="A39:A40"/>
    <mergeCell ref="B39:D40"/>
    <mergeCell ref="E39:G40"/>
    <mergeCell ref="B34:D34"/>
    <mergeCell ref="E34:H34"/>
    <mergeCell ref="J34:N34"/>
    <mergeCell ref="A31:A32"/>
    <mergeCell ref="A27:A28"/>
    <mergeCell ref="C27:C28"/>
    <mergeCell ref="J27:J28"/>
    <mergeCell ref="A35:A36"/>
    <mergeCell ref="B35:D36"/>
    <mergeCell ref="J25:J26"/>
    <mergeCell ref="C31:C32"/>
    <mergeCell ref="J35:N40"/>
    <mergeCell ref="L27:L28"/>
    <mergeCell ref="M27:M28"/>
    <mergeCell ref="N27:N28"/>
    <mergeCell ref="T12:U12"/>
    <mergeCell ref="M21:M22"/>
    <mergeCell ref="N21:N22"/>
    <mergeCell ref="J29:J30"/>
    <mergeCell ref="K29:K30"/>
    <mergeCell ref="L29:L30"/>
    <mergeCell ref="M29:M30"/>
    <mergeCell ref="N29:N30"/>
    <mergeCell ref="K23:K24"/>
    <mergeCell ref="C23:C24"/>
    <mergeCell ref="L23:L24"/>
    <mergeCell ref="J21:J22"/>
    <mergeCell ref="J23:J24"/>
    <mergeCell ref="K21:K22"/>
    <mergeCell ref="M23:M24"/>
    <mergeCell ref="N23:N24"/>
    <mergeCell ref="K27:K28"/>
    <mergeCell ref="K9:M9"/>
    <mergeCell ref="B10:F10"/>
    <mergeCell ref="K10:M10"/>
    <mergeCell ref="K19:K20"/>
    <mergeCell ref="N17:N18"/>
    <mergeCell ref="J14:K15"/>
    <mergeCell ref="L14:N14"/>
    <mergeCell ref="A29:A30"/>
    <mergeCell ref="C29:C30"/>
    <mergeCell ref="K25:K26"/>
    <mergeCell ref="A23:A24"/>
    <mergeCell ref="A21:A22"/>
    <mergeCell ref="A19:A20"/>
    <mergeCell ref="C19:C20"/>
    <mergeCell ref="L19:L20"/>
    <mergeCell ref="M19:M20"/>
    <mergeCell ref="J19:J20"/>
    <mergeCell ref="N19:N20"/>
    <mergeCell ref="F14:I15"/>
    <mergeCell ref="L15:L16"/>
    <mergeCell ref="M15:M16"/>
    <mergeCell ref="C21:C22"/>
    <mergeCell ref="L21:L22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A17:A18"/>
    <mergeCell ref="B12:F12"/>
    <mergeCell ref="K12:M12"/>
    <mergeCell ref="J17:J18"/>
    <mergeCell ref="K17:K18"/>
    <mergeCell ref="B13:F13"/>
    <mergeCell ref="C17:C18"/>
    <mergeCell ref="L17:L18"/>
    <mergeCell ref="M17:M18"/>
    <mergeCell ref="A14:A16"/>
    <mergeCell ref="B14:B16"/>
    <mergeCell ref="C14:C16"/>
    <mergeCell ref="D14:D16"/>
    <mergeCell ref="E14:E16"/>
    <mergeCell ref="N15:N16"/>
    <mergeCell ref="G8:I13"/>
    <mergeCell ref="J8:N8"/>
    <mergeCell ref="B11:F11"/>
    <mergeCell ref="K11:M11"/>
    <mergeCell ref="K13:M13"/>
    <mergeCell ref="B9:F9"/>
  </mergeCells>
  <pageMargins left="0.7" right="0.7" top="0.75" bottom="0.75" header="0.3" footer="0.3"/>
  <pageSetup paperSize="14" scale="54" orientation="landscape" horizontalDpi="4294967295" verticalDpi="4294967295" r:id="rId1"/>
  <colBreaks count="1" manualBreakCount="1">
    <brk id="14" max="1048575" man="1"/>
  </colBreaks>
  <drawing r:id="rId2"/>
  <legacyDrawing r:id="rId3"/>
  <oleObjects>
    <mc:AlternateContent xmlns:mc="http://schemas.openxmlformats.org/markup-compatibility/2006">
      <mc:Choice Requires="x14">
        <oleObject shapeId="17409" r:id="rId4">
          <objectPr defaultSize="0" autoPict="0" r:id="rId5">
            <anchor moveWithCells="1" sizeWithCells="1">
              <from>
                <xdr:col>0</xdr:col>
                <xdr:colOff>571500</xdr:colOff>
                <xdr:row>0</xdr:row>
                <xdr:rowOff>66675</xdr:rowOff>
              </from>
              <to>
                <xdr:col>0</xdr:col>
                <xdr:colOff>3467100</xdr:colOff>
                <xdr:row>3</xdr:row>
                <xdr:rowOff>142875</xdr:rowOff>
              </to>
            </anchor>
          </objectPr>
        </oleObject>
      </mc:Choice>
      <mc:Fallback>
        <oleObject shapeId="1740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IG64"/>
  <sheetViews>
    <sheetView topLeftCell="A17" zoomScale="60" zoomScaleNormal="60" zoomScalePageLayoutView="70" workbookViewId="0">
      <selection activeCell="E40" sqref="E40"/>
    </sheetView>
  </sheetViews>
  <sheetFormatPr baseColWidth="10" defaultColWidth="12.5703125" defaultRowHeight="15"/>
  <cols>
    <col min="1" max="1" width="67" style="1" customWidth="1"/>
    <col min="2" max="2" width="10.28515625" style="1" customWidth="1"/>
    <col min="3" max="3" width="17.7109375" style="1" customWidth="1"/>
    <col min="4" max="4" width="10" style="1" customWidth="1"/>
    <col min="5" max="5" width="23.28515625" style="1" customWidth="1"/>
    <col min="6" max="6" width="23.42578125" style="1" customWidth="1"/>
    <col min="7" max="7" width="8" style="3" customWidth="1"/>
    <col min="8" max="8" width="13.42578125" style="1" customWidth="1"/>
    <col min="9" max="9" width="15.85546875" style="1" customWidth="1"/>
    <col min="10" max="10" width="15.5703125" style="2" customWidth="1"/>
    <col min="11" max="11" width="14.85546875" style="2" customWidth="1"/>
    <col min="12" max="12" width="12.42578125" style="1" customWidth="1"/>
    <col min="13" max="13" width="16.5703125" style="1" customWidth="1"/>
    <col min="14" max="16" width="17.28515625" style="1" customWidth="1"/>
    <col min="17" max="17" width="36.5703125" style="1" bestFit="1" customWidth="1"/>
    <col min="18" max="19" width="21.140625" style="350" customWidth="1"/>
    <col min="20" max="20" width="15.85546875" style="1" customWidth="1"/>
    <col min="21" max="21" width="7" style="1" customWidth="1"/>
    <col min="22" max="22" width="9" style="1" customWidth="1"/>
    <col min="23" max="23" width="24" style="1" customWidth="1"/>
    <col min="24" max="24" width="24.28515625" style="1" customWidth="1"/>
    <col min="25" max="16384" width="12.5703125" style="1"/>
  </cols>
  <sheetData>
    <row r="1" spans="1:241" ht="15.75">
      <c r="A1" s="675"/>
      <c r="B1" s="678" t="s">
        <v>95</v>
      </c>
      <c r="C1" s="679"/>
      <c r="D1" s="679"/>
      <c r="E1" s="679"/>
      <c r="F1" s="679"/>
      <c r="G1" s="679"/>
      <c r="H1" s="680"/>
      <c r="I1" s="684" t="s">
        <v>96</v>
      </c>
      <c r="J1" s="685"/>
      <c r="K1" s="685"/>
      <c r="L1" s="686"/>
      <c r="M1" s="687"/>
      <c r="N1" s="688"/>
      <c r="O1" s="81"/>
      <c r="P1" s="81"/>
      <c r="Q1" s="81"/>
      <c r="R1" s="335"/>
      <c r="S1" s="335"/>
    </row>
    <row r="2" spans="1:241" ht="15.75">
      <c r="A2" s="676"/>
      <c r="B2" s="681"/>
      <c r="C2" s="682"/>
      <c r="D2" s="682"/>
      <c r="E2" s="682"/>
      <c r="F2" s="682"/>
      <c r="G2" s="682"/>
      <c r="H2" s="683"/>
      <c r="I2" s="684" t="s">
        <v>97</v>
      </c>
      <c r="J2" s="685"/>
      <c r="K2" s="685"/>
      <c r="L2" s="686"/>
      <c r="M2" s="689"/>
      <c r="N2" s="690"/>
      <c r="O2" s="81"/>
      <c r="P2" s="81"/>
      <c r="Q2" s="81"/>
      <c r="R2" s="335"/>
      <c r="S2" s="335"/>
    </row>
    <row r="3" spans="1:241" ht="15.75">
      <c r="A3" s="676"/>
      <c r="B3" s="678" t="s">
        <v>98</v>
      </c>
      <c r="C3" s="679"/>
      <c r="D3" s="679"/>
      <c r="E3" s="679"/>
      <c r="F3" s="679"/>
      <c r="G3" s="679"/>
      <c r="H3" s="680"/>
      <c r="I3" s="684" t="s">
        <v>99</v>
      </c>
      <c r="J3" s="685"/>
      <c r="K3" s="685"/>
      <c r="L3" s="686"/>
      <c r="M3" s="689"/>
      <c r="N3" s="690"/>
      <c r="O3" s="81"/>
      <c r="P3" s="81"/>
      <c r="Q3" s="81"/>
      <c r="R3" s="335"/>
      <c r="S3" s="335"/>
    </row>
    <row r="4" spans="1:241" ht="21.75" customHeight="1">
      <c r="A4" s="677"/>
      <c r="B4" s="681"/>
      <c r="C4" s="682"/>
      <c r="D4" s="682"/>
      <c r="E4" s="682"/>
      <c r="F4" s="682"/>
      <c r="G4" s="682"/>
      <c r="H4" s="683"/>
      <c r="I4" s="684" t="s">
        <v>100</v>
      </c>
      <c r="J4" s="685"/>
      <c r="K4" s="685"/>
      <c r="L4" s="686"/>
      <c r="M4" s="691"/>
      <c r="N4" s="692"/>
      <c r="O4" s="81"/>
      <c r="P4" s="81"/>
      <c r="Q4" s="81"/>
      <c r="R4" s="335"/>
      <c r="S4" s="335"/>
    </row>
    <row r="5" spans="1:241">
      <c r="A5" s="693"/>
      <c r="B5" s="693"/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81"/>
      <c r="P5" s="81"/>
      <c r="Q5" s="81"/>
      <c r="R5" s="336"/>
      <c r="S5" s="336"/>
    </row>
    <row r="6" spans="1:241" ht="15.75">
      <c r="A6" s="684" t="s">
        <v>138</v>
      </c>
      <c r="B6" s="685"/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686"/>
      <c r="O6" s="134"/>
      <c r="P6" s="134"/>
      <c r="Q6" s="134"/>
      <c r="R6" s="337"/>
      <c r="S6" s="337"/>
    </row>
    <row r="7" spans="1:241" ht="15.75">
      <c r="A7" s="40" t="s">
        <v>328</v>
      </c>
      <c r="B7" s="532" t="s">
        <v>469</v>
      </c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134"/>
      <c r="P7" s="134"/>
      <c r="Q7" s="134"/>
      <c r="R7" s="337"/>
      <c r="S7" s="337"/>
    </row>
    <row r="8" spans="1:241" ht="15.75">
      <c r="A8" s="41" t="s">
        <v>32</v>
      </c>
      <c r="B8" s="694" t="s">
        <v>33</v>
      </c>
      <c r="C8" s="695"/>
      <c r="D8" s="695"/>
      <c r="E8" s="695"/>
      <c r="F8" s="696"/>
      <c r="G8" s="805" t="s">
        <v>126</v>
      </c>
      <c r="H8" s="806"/>
      <c r="I8" s="807"/>
      <c r="J8" s="706" t="s">
        <v>31</v>
      </c>
      <c r="K8" s="707"/>
      <c r="L8" s="707"/>
      <c r="M8" s="707"/>
      <c r="N8" s="708"/>
      <c r="O8" s="135"/>
      <c r="P8" s="135"/>
      <c r="Q8" s="135"/>
      <c r="R8" s="338"/>
      <c r="S8" s="338"/>
    </row>
    <row r="9" spans="1:241" ht="20.25" customHeight="1">
      <c r="A9" s="43" t="s">
        <v>30</v>
      </c>
      <c r="B9" s="715" t="s">
        <v>36</v>
      </c>
      <c r="C9" s="695"/>
      <c r="D9" s="695"/>
      <c r="E9" s="695"/>
      <c r="F9" s="696"/>
      <c r="G9" s="808"/>
      <c r="H9" s="809"/>
      <c r="I9" s="810"/>
      <c r="J9" s="82" t="s">
        <v>29</v>
      </c>
      <c r="K9" s="547" t="s">
        <v>28</v>
      </c>
      <c r="L9" s="547"/>
      <c r="M9" s="547"/>
      <c r="N9" s="82" t="s">
        <v>27</v>
      </c>
      <c r="O9" s="136"/>
      <c r="P9" s="136"/>
      <c r="Q9" s="136"/>
      <c r="R9" s="339"/>
      <c r="S9" s="339"/>
    </row>
    <row r="10" spans="1:241" ht="27" customHeight="1">
      <c r="A10" s="44" t="s">
        <v>26</v>
      </c>
      <c r="B10" s="716" t="s">
        <v>46</v>
      </c>
      <c r="C10" s="715"/>
      <c r="D10" s="715"/>
      <c r="E10" s="715"/>
      <c r="F10" s="717"/>
      <c r="G10" s="808"/>
      <c r="H10" s="809"/>
      <c r="I10" s="810"/>
      <c r="J10" s="45"/>
      <c r="K10" s="718"/>
      <c r="L10" s="719"/>
      <c r="M10" s="720"/>
      <c r="N10" s="46"/>
      <c r="R10" s="340"/>
      <c r="S10" s="340"/>
    </row>
    <row r="11" spans="1:241" ht="15.75">
      <c r="A11" s="47" t="s">
        <v>25</v>
      </c>
      <c r="B11" s="716" t="s">
        <v>51</v>
      </c>
      <c r="C11" s="715"/>
      <c r="D11" s="715"/>
      <c r="E11" s="715"/>
      <c r="F11" s="717"/>
      <c r="G11" s="808"/>
      <c r="H11" s="809"/>
      <c r="I11" s="810"/>
      <c r="J11" s="83"/>
      <c r="K11" s="712"/>
      <c r="L11" s="713"/>
      <c r="M11" s="714"/>
      <c r="N11" s="48"/>
      <c r="O11" s="223"/>
      <c r="P11" s="223"/>
      <c r="Q11" s="223"/>
      <c r="R11" s="341"/>
      <c r="S11" s="341"/>
    </row>
    <row r="12" spans="1:241" ht="15.75">
      <c r="A12" s="50" t="s">
        <v>24</v>
      </c>
      <c r="B12" s="746">
        <v>2020730010052</v>
      </c>
      <c r="C12" s="747"/>
      <c r="D12" s="747"/>
      <c r="E12" s="747"/>
      <c r="F12" s="748"/>
      <c r="G12" s="808"/>
      <c r="H12" s="809"/>
      <c r="I12" s="810"/>
      <c r="J12" s="51"/>
      <c r="K12" s="722"/>
      <c r="L12" s="723"/>
      <c r="M12" s="724"/>
      <c r="N12" s="52"/>
      <c r="O12" s="224"/>
      <c r="P12" s="224"/>
      <c r="Q12" s="224"/>
      <c r="R12" s="342"/>
      <c r="S12" s="342"/>
    </row>
    <row r="13" spans="1:241" ht="33.75" customHeight="1">
      <c r="A13" s="87" t="s">
        <v>125</v>
      </c>
      <c r="B13" s="740" t="s">
        <v>124</v>
      </c>
      <c r="C13" s="740"/>
      <c r="D13" s="740"/>
      <c r="E13" s="740"/>
      <c r="F13" s="741"/>
      <c r="G13" s="811"/>
      <c r="H13" s="812"/>
      <c r="I13" s="813"/>
      <c r="J13" s="85"/>
      <c r="K13" s="722"/>
      <c r="L13" s="723"/>
      <c r="M13" s="724"/>
      <c r="N13" s="53"/>
      <c r="O13" s="137"/>
      <c r="P13" s="137"/>
      <c r="Q13" s="137"/>
      <c r="R13" s="343"/>
      <c r="S13" s="343"/>
    </row>
    <row r="14" spans="1:241" ht="15.75">
      <c r="A14" s="541" t="s">
        <v>23</v>
      </c>
      <c r="B14" s="533" t="s">
        <v>22</v>
      </c>
      <c r="C14" s="534" t="s">
        <v>21</v>
      </c>
      <c r="D14" s="534" t="s">
        <v>20</v>
      </c>
      <c r="E14" s="534" t="s">
        <v>451</v>
      </c>
      <c r="F14" s="776" t="s">
        <v>377</v>
      </c>
      <c r="G14" s="777"/>
      <c r="H14" s="777"/>
      <c r="I14" s="778"/>
      <c r="J14" s="782" t="s">
        <v>17</v>
      </c>
      <c r="K14" s="782"/>
      <c r="L14" s="804" t="s">
        <v>16</v>
      </c>
      <c r="M14" s="804"/>
      <c r="N14" s="804"/>
      <c r="O14" s="326"/>
      <c r="P14" s="326"/>
      <c r="Q14" s="326"/>
      <c r="R14" s="344"/>
      <c r="S14" s="344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</row>
    <row r="15" spans="1:241">
      <c r="A15" s="541"/>
      <c r="B15" s="534"/>
      <c r="C15" s="534"/>
      <c r="D15" s="534"/>
      <c r="E15" s="534"/>
      <c r="F15" s="779"/>
      <c r="G15" s="780"/>
      <c r="H15" s="780"/>
      <c r="I15" s="781"/>
      <c r="J15" s="782"/>
      <c r="K15" s="782"/>
      <c r="L15" s="782" t="s">
        <v>15</v>
      </c>
      <c r="M15" s="782" t="s">
        <v>14</v>
      </c>
      <c r="N15" s="766" t="s">
        <v>13</v>
      </c>
      <c r="P15" s="766" t="s">
        <v>478</v>
      </c>
      <c r="Q15" s="766" t="s">
        <v>477</v>
      </c>
      <c r="R15" s="800" t="s">
        <v>27</v>
      </c>
      <c r="S15" s="351"/>
      <c r="T15" s="327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</row>
    <row r="16" spans="1:241" ht="30">
      <c r="A16" s="802"/>
      <c r="B16" s="803"/>
      <c r="C16" s="803"/>
      <c r="D16" s="803"/>
      <c r="E16" s="803"/>
      <c r="F16" s="171" t="s">
        <v>12</v>
      </c>
      <c r="G16" s="171" t="s">
        <v>11</v>
      </c>
      <c r="H16" s="171" t="s">
        <v>10</v>
      </c>
      <c r="I16" s="127" t="s">
        <v>9</v>
      </c>
      <c r="J16" s="254" t="s">
        <v>8</v>
      </c>
      <c r="K16" s="253" t="s">
        <v>7</v>
      </c>
      <c r="L16" s="814"/>
      <c r="M16" s="814"/>
      <c r="N16" s="815"/>
      <c r="O16" s="332"/>
      <c r="P16" s="766"/>
      <c r="Q16" s="766"/>
      <c r="R16" s="800"/>
      <c r="S16" s="351"/>
      <c r="T16" s="327"/>
      <c r="U16" s="143"/>
      <c r="V16" s="171" t="s">
        <v>321</v>
      </c>
      <c r="W16" s="171" t="s">
        <v>27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</row>
    <row r="17" spans="1:24" s="74" customFormat="1" ht="32.25" customHeight="1">
      <c r="A17" s="438" t="s">
        <v>376</v>
      </c>
      <c r="B17" s="194" t="s">
        <v>1</v>
      </c>
      <c r="C17" s="439" t="s">
        <v>54</v>
      </c>
      <c r="D17" s="194">
        <v>70</v>
      </c>
      <c r="E17" s="11">
        <f t="shared" ref="E17:E38" si="0">F17</f>
        <v>5000000</v>
      </c>
      <c r="F17" s="11">
        <v>5000000</v>
      </c>
      <c r="G17" s="11">
        <v>0</v>
      </c>
      <c r="H17" s="11">
        <v>0</v>
      </c>
      <c r="I17" s="11">
        <v>0</v>
      </c>
      <c r="J17" s="801">
        <v>45048</v>
      </c>
      <c r="K17" s="801">
        <v>45290</v>
      </c>
      <c r="L17" s="538">
        <f>D18/D17</f>
        <v>5.7142857142857141E-2</v>
      </c>
      <c r="M17" s="538">
        <f>E18/E17</f>
        <v>1</v>
      </c>
      <c r="N17" s="558">
        <f>L17*L17/M17</f>
        <v>3.2653061224489793E-3</v>
      </c>
      <c r="O17" s="221"/>
      <c r="P17" s="221" t="s">
        <v>479</v>
      </c>
      <c r="Q17" s="333" t="s">
        <v>480</v>
      </c>
      <c r="R17" s="343">
        <v>5000000</v>
      </c>
      <c r="S17" s="343">
        <f>F18-R17</f>
        <v>0</v>
      </c>
      <c r="T17" s="193"/>
      <c r="U17" s="180" t="s">
        <v>1</v>
      </c>
      <c r="V17" s="197">
        <v>1</v>
      </c>
      <c r="W17" s="175">
        <f>F17+F19+F21</f>
        <v>53012000</v>
      </c>
      <c r="X17" s="198"/>
    </row>
    <row r="18" spans="1:24" s="74" customFormat="1" ht="32.25" customHeight="1">
      <c r="A18" s="438"/>
      <c r="B18" s="194" t="s">
        <v>0</v>
      </c>
      <c r="C18" s="439"/>
      <c r="D18" s="194">
        <v>4</v>
      </c>
      <c r="E18" s="11">
        <f t="shared" si="0"/>
        <v>5000000</v>
      </c>
      <c r="F18" s="11">
        <v>5000000</v>
      </c>
      <c r="G18" s="11">
        <v>0</v>
      </c>
      <c r="H18" s="11">
        <v>0</v>
      </c>
      <c r="I18" s="11">
        <v>0</v>
      </c>
      <c r="J18" s="801"/>
      <c r="K18" s="801"/>
      <c r="L18" s="538"/>
      <c r="M18" s="538"/>
      <c r="N18" s="558"/>
      <c r="O18" s="221"/>
      <c r="P18" s="221"/>
      <c r="Q18" s="221"/>
      <c r="R18" s="343"/>
      <c r="S18" s="343"/>
      <c r="T18" s="193"/>
      <c r="U18" s="180" t="s">
        <v>0</v>
      </c>
      <c r="V18" s="215"/>
      <c r="W18" s="175">
        <f>F18+F20+F22</f>
        <v>53012000</v>
      </c>
      <c r="X18" s="175">
        <v>250000</v>
      </c>
    </row>
    <row r="19" spans="1:24" s="74" customFormat="1" ht="42.75" customHeight="1">
      <c r="A19" s="438" t="s">
        <v>52</v>
      </c>
      <c r="B19" s="249" t="s">
        <v>1</v>
      </c>
      <c r="C19" s="439" t="s">
        <v>375</v>
      </c>
      <c r="D19" s="301">
        <v>1</v>
      </c>
      <c r="E19" s="11">
        <f t="shared" si="0"/>
        <v>8012000</v>
      </c>
      <c r="F19" s="11">
        <v>8012000</v>
      </c>
      <c r="G19" s="11">
        <v>0</v>
      </c>
      <c r="H19" s="11">
        <v>0</v>
      </c>
      <c r="I19" s="11">
        <v>0</v>
      </c>
      <c r="J19" s="801">
        <v>44992</v>
      </c>
      <c r="K19" s="801">
        <v>45290</v>
      </c>
      <c r="L19" s="538">
        <f>D20/D19</f>
        <v>1</v>
      </c>
      <c r="M19" s="538">
        <f>E20/E19</f>
        <v>1</v>
      </c>
      <c r="N19" s="551">
        <f>L19*L19/M19</f>
        <v>1</v>
      </c>
      <c r="O19" s="328"/>
      <c r="P19" s="328" t="s">
        <v>475</v>
      </c>
      <c r="Q19" s="334" t="s">
        <v>476</v>
      </c>
      <c r="R19" s="343">
        <v>1000000</v>
      </c>
      <c r="S19" s="343">
        <f>R19+R20-F20</f>
        <v>0</v>
      </c>
      <c r="V19" s="199"/>
    </row>
    <row r="20" spans="1:24" s="74" customFormat="1" ht="42.75" customHeight="1">
      <c r="A20" s="438"/>
      <c r="B20" s="252" t="s">
        <v>0</v>
      </c>
      <c r="C20" s="439"/>
      <c r="D20" s="301">
        <v>1</v>
      </c>
      <c r="E20" s="11">
        <f t="shared" si="0"/>
        <v>8012000</v>
      </c>
      <c r="F20" s="11">
        <v>8012000</v>
      </c>
      <c r="G20" s="11">
        <v>0</v>
      </c>
      <c r="H20" s="11">
        <v>0</v>
      </c>
      <c r="I20" s="11">
        <v>0</v>
      </c>
      <c r="J20" s="801"/>
      <c r="K20" s="801"/>
      <c r="L20" s="538"/>
      <c r="M20" s="538"/>
      <c r="N20" s="551"/>
      <c r="O20" s="328"/>
      <c r="P20" s="328" t="s">
        <v>481</v>
      </c>
      <c r="Q20" s="334" t="s">
        <v>482</v>
      </c>
      <c r="R20" s="343">
        <v>7012000</v>
      </c>
      <c r="S20" s="343"/>
    </row>
    <row r="21" spans="1:24" s="74" customFormat="1" ht="37.15" customHeight="1">
      <c r="A21" s="438" t="s">
        <v>422</v>
      </c>
      <c r="B21" s="249" t="s">
        <v>1</v>
      </c>
      <c r="C21" s="439" t="s">
        <v>423</v>
      </c>
      <c r="D21" s="302">
        <v>1</v>
      </c>
      <c r="E21" s="11">
        <f t="shared" si="0"/>
        <v>40000000</v>
      </c>
      <c r="F21" s="11">
        <v>40000000</v>
      </c>
      <c r="G21" s="11">
        <v>0</v>
      </c>
      <c r="H21" s="11">
        <v>0</v>
      </c>
      <c r="I21" s="11">
        <v>0</v>
      </c>
      <c r="J21" s="801">
        <v>44986</v>
      </c>
      <c r="K21" s="801">
        <v>45290</v>
      </c>
      <c r="L21" s="538">
        <f>D22/D21</f>
        <v>1</v>
      </c>
      <c r="M21" s="538">
        <f>E22/E21</f>
        <v>1</v>
      </c>
      <c r="N21" s="551">
        <f>L21*L21/M21</f>
        <v>1</v>
      </c>
      <c r="O21" s="328"/>
      <c r="P21" s="328" t="s">
        <v>483</v>
      </c>
      <c r="Q21" s="334" t="s">
        <v>484</v>
      </c>
      <c r="R21" s="343">
        <v>20000000</v>
      </c>
      <c r="S21" s="343"/>
      <c r="T21" s="193"/>
    </row>
    <row r="22" spans="1:24" s="74" customFormat="1" ht="28.5" customHeight="1">
      <c r="A22" s="438"/>
      <c r="B22" s="252" t="s">
        <v>0</v>
      </c>
      <c r="C22" s="439"/>
      <c r="D22" s="302">
        <v>1</v>
      </c>
      <c r="E22" s="11">
        <f t="shared" si="0"/>
        <v>40000000</v>
      </c>
      <c r="F22" s="11">
        <v>40000000</v>
      </c>
      <c r="G22" s="11">
        <v>0</v>
      </c>
      <c r="H22" s="11">
        <v>0</v>
      </c>
      <c r="I22" s="11">
        <v>0</v>
      </c>
      <c r="J22" s="801"/>
      <c r="K22" s="801"/>
      <c r="L22" s="538"/>
      <c r="M22" s="538"/>
      <c r="N22" s="551"/>
      <c r="O22" s="328"/>
      <c r="P22" s="328" t="s">
        <v>485</v>
      </c>
      <c r="Q22" s="334" t="s">
        <v>486</v>
      </c>
      <c r="R22" s="343">
        <v>20000000</v>
      </c>
      <c r="S22" s="343"/>
      <c r="T22" s="193"/>
      <c r="U22" s="151"/>
      <c r="V22" s="179" t="s">
        <v>321</v>
      </c>
      <c r="W22" s="179" t="s">
        <v>27</v>
      </c>
    </row>
    <row r="23" spans="1:24" s="74" customFormat="1" ht="34.5" customHeight="1">
      <c r="A23" s="474" t="s">
        <v>329</v>
      </c>
      <c r="B23" s="251" t="s">
        <v>1</v>
      </c>
      <c r="C23" s="439" t="s">
        <v>330</v>
      </c>
      <c r="D23" s="303">
        <v>4</v>
      </c>
      <c r="E23" s="11">
        <f t="shared" si="0"/>
        <v>36000000</v>
      </c>
      <c r="F23" s="11">
        <v>36000000</v>
      </c>
      <c r="G23" s="11">
        <v>0</v>
      </c>
      <c r="H23" s="11">
        <v>0</v>
      </c>
      <c r="I23" s="11">
        <v>0</v>
      </c>
      <c r="J23" s="801">
        <v>45041</v>
      </c>
      <c r="K23" s="801">
        <v>45290</v>
      </c>
      <c r="L23" s="538">
        <f>D24/D23</f>
        <v>1</v>
      </c>
      <c r="M23" s="538">
        <f>E24/E23</f>
        <v>0.9966666666666667</v>
      </c>
      <c r="N23" s="558">
        <f>L23*L23/M23</f>
        <v>1.0033444816053512</v>
      </c>
      <c r="O23" s="221"/>
      <c r="P23" s="221"/>
      <c r="Q23" s="221"/>
      <c r="R23" s="343"/>
      <c r="S23" s="343"/>
      <c r="T23" s="193"/>
      <c r="U23" s="180" t="s">
        <v>1</v>
      </c>
      <c r="V23" s="197">
        <v>2</v>
      </c>
      <c r="W23" s="175">
        <f>F23+F25</f>
        <v>46000000</v>
      </c>
      <c r="X23" s="198"/>
    </row>
    <row r="24" spans="1:24" s="74" customFormat="1" ht="34.5" customHeight="1">
      <c r="A24" s="475"/>
      <c r="B24" s="248" t="s">
        <v>0</v>
      </c>
      <c r="C24" s="439"/>
      <c r="D24" s="303">
        <v>4</v>
      </c>
      <c r="E24" s="11">
        <f t="shared" si="0"/>
        <v>35880000</v>
      </c>
      <c r="F24" s="11">
        <v>35880000</v>
      </c>
      <c r="G24" s="11">
        <v>0</v>
      </c>
      <c r="H24" s="11">
        <v>0</v>
      </c>
      <c r="I24" s="11">
        <v>0</v>
      </c>
      <c r="J24" s="801"/>
      <c r="K24" s="801"/>
      <c r="L24" s="538"/>
      <c r="M24" s="538"/>
      <c r="N24" s="558"/>
      <c r="O24" s="221"/>
      <c r="P24" s="221"/>
      <c r="Q24" s="221"/>
      <c r="R24" s="343"/>
      <c r="S24" s="343"/>
      <c r="T24" s="193"/>
      <c r="U24" s="180" t="s">
        <v>0</v>
      </c>
      <c r="V24" s="215"/>
      <c r="W24" s="175">
        <f>F24+F26</f>
        <v>45880000</v>
      </c>
      <c r="X24" s="74">
        <v>8700000</v>
      </c>
    </row>
    <row r="25" spans="1:24" s="74" customFormat="1" ht="42" customHeight="1">
      <c r="A25" s="474" t="s">
        <v>439</v>
      </c>
      <c r="B25" s="251" t="s">
        <v>1</v>
      </c>
      <c r="C25" s="439" t="s">
        <v>440</v>
      </c>
      <c r="D25" s="304">
        <v>1</v>
      </c>
      <c r="E25" s="11">
        <f t="shared" si="0"/>
        <v>10000000</v>
      </c>
      <c r="F25" s="11">
        <v>10000000</v>
      </c>
      <c r="G25" s="11">
        <v>0</v>
      </c>
      <c r="H25" s="11">
        <v>0</v>
      </c>
      <c r="I25" s="11">
        <v>0</v>
      </c>
      <c r="J25" s="801">
        <v>45041</v>
      </c>
      <c r="K25" s="801">
        <v>45290</v>
      </c>
      <c r="L25" s="538">
        <f>D26/D25</f>
        <v>1</v>
      </c>
      <c r="M25" s="538">
        <f>E26/E25</f>
        <v>1</v>
      </c>
      <c r="N25" s="551">
        <f>L25*L25/M25</f>
        <v>1</v>
      </c>
      <c r="O25" s="328"/>
      <c r="P25" s="328"/>
      <c r="Q25" s="328"/>
      <c r="R25" s="343"/>
      <c r="S25" s="343"/>
      <c r="U25" s="180" t="s">
        <v>1</v>
      </c>
      <c r="V25" s="197">
        <v>5</v>
      </c>
      <c r="W25" s="175">
        <f>F27+F29</f>
        <v>221000000</v>
      </c>
      <c r="X25" s="198"/>
    </row>
    <row r="26" spans="1:24" s="74" customFormat="1" ht="42" customHeight="1">
      <c r="A26" s="475"/>
      <c r="B26" s="248" t="s">
        <v>0</v>
      </c>
      <c r="C26" s="439"/>
      <c r="D26" s="304">
        <v>1</v>
      </c>
      <c r="E26" s="11">
        <f t="shared" si="0"/>
        <v>10000000</v>
      </c>
      <c r="F26" s="11">
        <v>10000000</v>
      </c>
      <c r="G26" s="11">
        <v>0</v>
      </c>
      <c r="H26" s="11">
        <v>0</v>
      </c>
      <c r="I26" s="11">
        <v>0</v>
      </c>
      <c r="J26" s="801"/>
      <c r="K26" s="801"/>
      <c r="L26" s="538"/>
      <c r="M26" s="538"/>
      <c r="N26" s="551"/>
      <c r="O26" s="328"/>
      <c r="P26" s="328"/>
      <c r="Q26" s="328"/>
      <c r="R26" s="343"/>
      <c r="S26" s="343"/>
      <c r="U26" s="180" t="s">
        <v>0</v>
      </c>
      <c r="V26" s="215"/>
      <c r="W26" s="175">
        <f>F28+F30</f>
        <v>220000000</v>
      </c>
      <c r="X26" s="74">
        <v>2900000</v>
      </c>
    </row>
    <row r="27" spans="1:24" s="74" customFormat="1" ht="27" customHeight="1">
      <c r="A27" s="478" t="s">
        <v>117</v>
      </c>
      <c r="B27" s="247" t="s">
        <v>1</v>
      </c>
      <c r="C27" s="439" t="s">
        <v>118</v>
      </c>
      <c r="D27" s="305">
        <v>273</v>
      </c>
      <c r="E27" s="11">
        <f t="shared" si="0"/>
        <v>20000000</v>
      </c>
      <c r="F27" s="11">
        <v>20000000</v>
      </c>
      <c r="G27" s="11">
        <v>0</v>
      </c>
      <c r="H27" s="11">
        <v>0</v>
      </c>
      <c r="I27" s="11">
        <v>0</v>
      </c>
      <c r="J27" s="801">
        <v>44958</v>
      </c>
      <c r="K27" s="801">
        <v>45290</v>
      </c>
      <c r="L27" s="538">
        <f>D28/D27</f>
        <v>1</v>
      </c>
      <c r="M27" s="538">
        <f>E28/E27</f>
        <v>0.95</v>
      </c>
      <c r="N27" s="551">
        <f>L27*L27/M27</f>
        <v>1.0526315789473684</v>
      </c>
      <c r="O27" s="328"/>
      <c r="P27" s="328"/>
      <c r="Q27" s="328"/>
      <c r="R27" s="343"/>
      <c r="S27" s="343"/>
      <c r="T27" s="193"/>
      <c r="X27" s="198"/>
    </row>
    <row r="28" spans="1:24" s="74" customFormat="1" ht="27" customHeight="1">
      <c r="A28" s="479"/>
      <c r="B28" s="250" t="s">
        <v>0</v>
      </c>
      <c r="C28" s="439"/>
      <c r="D28" s="306">
        <v>273</v>
      </c>
      <c r="E28" s="11">
        <f t="shared" si="0"/>
        <v>19000000</v>
      </c>
      <c r="F28" s="11">
        <v>19000000</v>
      </c>
      <c r="G28" s="11">
        <v>0</v>
      </c>
      <c r="H28" s="11">
        <v>0</v>
      </c>
      <c r="I28" s="11">
        <v>0</v>
      </c>
      <c r="J28" s="801"/>
      <c r="K28" s="801"/>
      <c r="L28" s="538"/>
      <c r="M28" s="538"/>
      <c r="N28" s="551"/>
      <c r="O28" s="328"/>
      <c r="P28" s="328"/>
      <c r="Q28" s="328"/>
      <c r="R28" s="343"/>
      <c r="S28" s="343"/>
      <c r="T28" s="193"/>
      <c r="U28" s="151"/>
      <c r="V28" s="179" t="s">
        <v>321</v>
      </c>
      <c r="W28" s="179" t="s">
        <v>27</v>
      </c>
    </row>
    <row r="29" spans="1:24" s="74" customFormat="1" ht="22.5" customHeight="1">
      <c r="A29" s="476" t="s">
        <v>111</v>
      </c>
      <c r="B29" s="249" t="s">
        <v>1</v>
      </c>
      <c r="C29" s="439" t="s">
        <v>108</v>
      </c>
      <c r="D29" s="307">
        <v>273</v>
      </c>
      <c r="E29" s="11">
        <f t="shared" si="0"/>
        <v>201000000</v>
      </c>
      <c r="F29" s="11">
        <v>201000000</v>
      </c>
      <c r="G29" s="11">
        <v>0</v>
      </c>
      <c r="H29" s="11">
        <v>0</v>
      </c>
      <c r="I29" s="11">
        <v>0</v>
      </c>
      <c r="J29" s="801">
        <v>44958</v>
      </c>
      <c r="K29" s="801">
        <v>45290</v>
      </c>
      <c r="L29" s="538">
        <f>D30/D29</f>
        <v>1</v>
      </c>
      <c r="M29" s="538">
        <f>E30/E29</f>
        <v>1</v>
      </c>
      <c r="N29" s="551">
        <v>0</v>
      </c>
      <c r="O29" s="328"/>
      <c r="P29" s="328"/>
      <c r="Q29" s="328"/>
      <c r="R29" s="343"/>
      <c r="S29" s="343"/>
      <c r="U29" s="180" t="s">
        <v>1</v>
      </c>
      <c r="V29" s="197">
        <v>7</v>
      </c>
      <c r="W29" s="175">
        <f t="shared" ref="W29:W34" si="1">F31</f>
        <v>706000000</v>
      </c>
      <c r="X29" s="198"/>
    </row>
    <row r="30" spans="1:24" s="74" customFormat="1" ht="22.5" customHeight="1">
      <c r="A30" s="477"/>
      <c r="B30" s="248" t="s">
        <v>0</v>
      </c>
      <c r="C30" s="453"/>
      <c r="D30" s="308">
        <v>273</v>
      </c>
      <c r="E30" s="11">
        <f t="shared" si="0"/>
        <v>201000000</v>
      </c>
      <c r="F30" s="11">
        <v>201000000</v>
      </c>
      <c r="G30" s="11">
        <v>0</v>
      </c>
      <c r="H30" s="11">
        <v>0</v>
      </c>
      <c r="I30" s="11">
        <v>0</v>
      </c>
      <c r="J30" s="801"/>
      <c r="K30" s="801"/>
      <c r="L30" s="538"/>
      <c r="M30" s="538"/>
      <c r="N30" s="551"/>
      <c r="O30" s="328"/>
      <c r="P30" s="328"/>
      <c r="Q30" s="328"/>
      <c r="R30" s="343"/>
      <c r="S30" s="343"/>
      <c r="U30" s="180" t="s">
        <v>0</v>
      </c>
      <c r="V30" s="215"/>
      <c r="W30" s="175">
        <f t="shared" si="1"/>
        <v>706000000</v>
      </c>
    </row>
    <row r="31" spans="1:24" s="74" customFormat="1" ht="41.25" customHeight="1">
      <c r="A31" s="476" t="s">
        <v>374</v>
      </c>
      <c r="B31" s="249" t="s">
        <v>1</v>
      </c>
      <c r="C31" s="439" t="s">
        <v>441</v>
      </c>
      <c r="D31" s="274">
        <v>1</v>
      </c>
      <c r="E31" s="11">
        <f t="shared" si="0"/>
        <v>706000000</v>
      </c>
      <c r="F31" s="11">
        <v>706000000</v>
      </c>
      <c r="G31" s="11">
        <v>0</v>
      </c>
      <c r="H31" s="11">
        <v>0</v>
      </c>
      <c r="I31" s="11">
        <v>0</v>
      </c>
      <c r="J31" s="801">
        <v>44958</v>
      </c>
      <c r="K31" s="801">
        <v>45290</v>
      </c>
      <c r="L31" s="538">
        <f>D32/D31</f>
        <v>1</v>
      </c>
      <c r="M31" s="538">
        <f>E32/E31</f>
        <v>1</v>
      </c>
      <c r="N31" s="551">
        <f>L31*L31/M31</f>
        <v>1</v>
      </c>
      <c r="O31" s="328"/>
      <c r="P31" s="328"/>
      <c r="Q31" s="328"/>
      <c r="R31" s="343"/>
      <c r="S31" s="343"/>
      <c r="U31" s="180" t="s">
        <v>1</v>
      </c>
      <c r="V31" s="197">
        <v>3</v>
      </c>
      <c r="W31" s="175">
        <f>F33</f>
        <v>5000000</v>
      </c>
      <c r="X31" s="198"/>
    </row>
    <row r="32" spans="1:24" s="74" customFormat="1" ht="41.25" customHeight="1">
      <c r="A32" s="477"/>
      <c r="B32" s="248" t="s">
        <v>0</v>
      </c>
      <c r="C32" s="453"/>
      <c r="D32" s="274">
        <v>1</v>
      </c>
      <c r="E32" s="11">
        <f t="shared" si="0"/>
        <v>706000000</v>
      </c>
      <c r="F32" s="11">
        <v>706000000</v>
      </c>
      <c r="G32" s="11">
        <v>0</v>
      </c>
      <c r="H32" s="11">
        <v>0</v>
      </c>
      <c r="I32" s="11">
        <v>0</v>
      </c>
      <c r="J32" s="801"/>
      <c r="K32" s="801"/>
      <c r="L32" s="538"/>
      <c r="M32" s="538"/>
      <c r="N32" s="551"/>
      <c r="O32" s="328"/>
      <c r="P32" s="328"/>
      <c r="Q32" s="328"/>
      <c r="R32" s="343"/>
      <c r="S32" s="343"/>
      <c r="U32" s="180" t="s">
        <v>0</v>
      </c>
      <c r="V32" s="215"/>
      <c r="W32" s="175">
        <f t="shared" si="1"/>
        <v>5000000</v>
      </c>
    </row>
    <row r="33" spans="1:43" s="74" customFormat="1" ht="32.25" customHeight="1">
      <c r="A33" s="478" t="s">
        <v>442</v>
      </c>
      <c r="B33" s="194" t="s">
        <v>1</v>
      </c>
      <c r="C33" s="481" t="s">
        <v>55</v>
      </c>
      <c r="D33" s="305">
        <v>100</v>
      </c>
      <c r="E33" s="11">
        <f t="shared" si="0"/>
        <v>5000000</v>
      </c>
      <c r="F33" s="11">
        <v>5000000</v>
      </c>
      <c r="G33" s="11">
        <v>0</v>
      </c>
      <c r="H33" s="11">
        <v>0</v>
      </c>
      <c r="I33" s="11">
        <v>0</v>
      </c>
      <c r="J33" s="816">
        <v>45021</v>
      </c>
      <c r="K33" s="816">
        <v>45290</v>
      </c>
      <c r="L33" s="554">
        <f>D34/D33</f>
        <v>1</v>
      </c>
      <c r="M33" s="554">
        <f>E34/E33</f>
        <v>1</v>
      </c>
      <c r="N33" s="556">
        <f>L33*L33/M33</f>
        <v>1</v>
      </c>
      <c r="O33" s="328"/>
      <c r="P33" s="328"/>
      <c r="Q33" s="328"/>
      <c r="R33" s="343"/>
      <c r="S33" s="343"/>
      <c r="U33" s="180" t="s">
        <v>1</v>
      </c>
      <c r="V33" s="197">
        <v>4</v>
      </c>
      <c r="W33" s="175">
        <f t="shared" si="1"/>
        <v>25318712</v>
      </c>
      <c r="X33" s="198"/>
    </row>
    <row r="34" spans="1:43" s="74" customFormat="1" ht="32.25" customHeight="1">
      <c r="A34" s="480"/>
      <c r="B34" s="246" t="s">
        <v>0</v>
      </c>
      <c r="C34" s="440"/>
      <c r="D34" s="309">
        <v>100</v>
      </c>
      <c r="E34" s="11">
        <f t="shared" si="0"/>
        <v>5000000</v>
      </c>
      <c r="F34" s="11">
        <v>5000000</v>
      </c>
      <c r="G34" s="11">
        <v>0</v>
      </c>
      <c r="H34" s="11">
        <v>0</v>
      </c>
      <c r="I34" s="11">
        <v>0</v>
      </c>
      <c r="J34" s="817"/>
      <c r="K34" s="817"/>
      <c r="L34" s="555"/>
      <c r="M34" s="555"/>
      <c r="N34" s="557"/>
      <c r="O34" s="328"/>
      <c r="P34" s="328"/>
      <c r="Q34" s="328"/>
      <c r="R34" s="343"/>
      <c r="S34" s="343"/>
      <c r="U34" s="180" t="s">
        <v>0</v>
      </c>
      <c r="V34" s="215"/>
      <c r="W34" s="175">
        <f t="shared" si="1"/>
        <v>22308000</v>
      </c>
    </row>
    <row r="35" spans="1:43" s="74" customFormat="1" ht="30" customHeight="1">
      <c r="A35" s="478" t="s">
        <v>53</v>
      </c>
      <c r="B35" s="194" t="s">
        <v>1</v>
      </c>
      <c r="C35" s="439" t="s">
        <v>402</v>
      </c>
      <c r="D35" s="310">
        <v>1</v>
      </c>
      <c r="E35" s="11">
        <f t="shared" si="0"/>
        <v>25318712</v>
      </c>
      <c r="F35" s="11">
        <v>25318712</v>
      </c>
      <c r="G35" s="11">
        <v>0</v>
      </c>
      <c r="H35" s="11">
        <v>0</v>
      </c>
      <c r="I35" s="11">
        <v>0</v>
      </c>
      <c r="J35" s="801">
        <v>44937</v>
      </c>
      <c r="K35" s="801">
        <v>45290</v>
      </c>
      <c r="L35" s="538">
        <f>D36/D35</f>
        <v>1</v>
      </c>
      <c r="M35" s="538">
        <f>E36/E35</f>
        <v>0.88108747395997078</v>
      </c>
      <c r="N35" s="551">
        <f>L35*L35/M35</f>
        <v>1.1349610901918594</v>
      </c>
      <c r="O35" s="328"/>
      <c r="P35" s="328"/>
      <c r="Q35" s="328"/>
      <c r="R35" s="343"/>
      <c r="S35" s="343"/>
    </row>
    <row r="36" spans="1:43" s="74" customFormat="1" ht="30" customHeight="1">
      <c r="A36" s="480"/>
      <c r="B36" s="246" t="s">
        <v>0</v>
      </c>
      <c r="C36" s="453"/>
      <c r="D36" s="310">
        <v>1</v>
      </c>
      <c r="E36" s="11">
        <f t="shared" si="0"/>
        <v>22308000</v>
      </c>
      <c r="F36" s="11">
        <v>22308000</v>
      </c>
      <c r="G36" s="11">
        <v>0</v>
      </c>
      <c r="H36" s="11">
        <v>0</v>
      </c>
      <c r="I36" s="11">
        <v>0</v>
      </c>
      <c r="J36" s="801"/>
      <c r="K36" s="801"/>
      <c r="L36" s="538"/>
      <c r="M36" s="538"/>
      <c r="N36" s="551"/>
      <c r="O36" s="328"/>
      <c r="P36" s="328"/>
      <c r="Q36" s="328"/>
      <c r="R36" s="343"/>
      <c r="S36" s="343"/>
      <c r="U36" s="151"/>
      <c r="V36" s="179" t="s">
        <v>321</v>
      </c>
      <c r="W36" s="132" t="s">
        <v>27</v>
      </c>
    </row>
    <row r="37" spans="1:43" s="74" customFormat="1" ht="30" customHeight="1">
      <c r="A37" s="438" t="s">
        <v>443</v>
      </c>
      <c r="B37" s="247" t="s">
        <v>1</v>
      </c>
      <c r="C37" s="437" t="s">
        <v>112</v>
      </c>
      <c r="D37" s="311">
        <v>1</v>
      </c>
      <c r="E37" s="11">
        <f t="shared" si="0"/>
        <v>5100000</v>
      </c>
      <c r="F37" s="11">
        <v>5100000</v>
      </c>
      <c r="G37" s="11">
        <v>0</v>
      </c>
      <c r="H37" s="11">
        <v>0</v>
      </c>
      <c r="I37" s="11">
        <v>0</v>
      </c>
      <c r="J37" s="801">
        <v>44971</v>
      </c>
      <c r="K37" s="801">
        <v>45282</v>
      </c>
      <c r="L37" s="538">
        <f>D38/D37</f>
        <v>1</v>
      </c>
      <c r="M37" s="538">
        <f>E38/E37</f>
        <v>1</v>
      </c>
      <c r="N37" s="558">
        <f>L37*L37/M37</f>
        <v>1</v>
      </c>
      <c r="O37" s="221"/>
      <c r="P37" s="221"/>
      <c r="Q37" s="221"/>
      <c r="R37" s="343"/>
      <c r="S37" s="343"/>
      <c r="T37" s="193"/>
      <c r="U37" s="180" t="s">
        <v>1</v>
      </c>
      <c r="V37" s="197">
        <v>6</v>
      </c>
      <c r="W37" s="173">
        <f>F37</f>
        <v>5100000</v>
      </c>
      <c r="X37" s="198"/>
    </row>
    <row r="38" spans="1:43" s="74" customFormat="1" ht="30" customHeight="1">
      <c r="A38" s="438"/>
      <c r="B38" s="246" t="s">
        <v>0</v>
      </c>
      <c r="C38" s="437"/>
      <c r="D38" s="312">
        <v>1</v>
      </c>
      <c r="E38" s="11">
        <f t="shared" si="0"/>
        <v>5100000</v>
      </c>
      <c r="F38" s="11">
        <v>5100000</v>
      </c>
      <c r="G38" s="11">
        <v>0</v>
      </c>
      <c r="H38" s="11">
        <v>0</v>
      </c>
      <c r="I38" s="11">
        <v>0</v>
      </c>
      <c r="J38" s="801"/>
      <c r="K38" s="801"/>
      <c r="L38" s="538"/>
      <c r="M38" s="538"/>
      <c r="N38" s="558"/>
      <c r="O38" s="221"/>
      <c r="P38" s="221"/>
      <c r="Q38" s="221"/>
      <c r="R38" s="343"/>
      <c r="S38" s="343"/>
      <c r="T38" s="193"/>
      <c r="U38" s="180" t="s">
        <v>0</v>
      </c>
      <c r="V38" s="215"/>
      <c r="W38" s="173">
        <f>F38</f>
        <v>5100000</v>
      </c>
    </row>
    <row r="39" spans="1:43" ht="18.75" customHeight="1">
      <c r="A39" s="839" t="s">
        <v>6</v>
      </c>
      <c r="B39" s="227" t="s">
        <v>1</v>
      </c>
      <c r="C39" s="840"/>
      <c r="D39" s="126"/>
      <c r="E39" s="125">
        <f t="shared" ref="E39:I40" si="2">E17+E19+E21+E23+E25+E27+E29+E31+E33+E35+E37</f>
        <v>1061430712</v>
      </c>
      <c r="F39" s="125">
        <f t="shared" si="2"/>
        <v>1061430712</v>
      </c>
      <c r="G39" s="125">
        <f t="shared" si="2"/>
        <v>0</v>
      </c>
      <c r="H39" s="125">
        <f t="shared" si="2"/>
        <v>0</v>
      </c>
      <c r="I39" s="125">
        <f t="shared" si="2"/>
        <v>0</v>
      </c>
      <c r="J39" s="125"/>
      <c r="K39" s="125"/>
      <c r="L39" s="125"/>
      <c r="M39" s="125"/>
      <c r="N39" s="125"/>
      <c r="O39" s="329"/>
      <c r="P39" s="329"/>
      <c r="Q39" s="329"/>
      <c r="R39" s="345"/>
      <c r="S39" s="345"/>
      <c r="U39" s="146" t="s">
        <v>1</v>
      </c>
      <c r="V39" s="154"/>
      <c r="W39" s="229">
        <f>W17+W23+W25+W29+W31+W33+W37</f>
        <v>1061430712</v>
      </c>
      <c r="X39" s="167">
        <f>X17+X23+X25+X29+X31+X33+X37</f>
        <v>0</v>
      </c>
    </row>
    <row r="40" spans="1:43" ht="18.75" customHeight="1">
      <c r="A40" s="799"/>
      <c r="B40" s="38" t="s">
        <v>0</v>
      </c>
      <c r="C40" s="785"/>
      <c r="D40" s="27"/>
      <c r="E40" s="125">
        <f t="shared" si="2"/>
        <v>1057300000</v>
      </c>
      <c r="F40" s="125">
        <f>F18+F20+F22+F24+F26+F28+F30+F32+F34+F36+F38</f>
        <v>1057300000</v>
      </c>
      <c r="G40" s="125">
        <f t="shared" si="2"/>
        <v>0</v>
      </c>
      <c r="H40" s="125">
        <f t="shared" si="2"/>
        <v>0</v>
      </c>
      <c r="I40" s="125">
        <f t="shared" si="2"/>
        <v>0</v>
      </c>
      <c r="J40" s="124"/>
      <c r="K40" s="124"/>
      <c r="L40" s="124"/>
      <c r="M40" s="124"/>
      <c r="N40" s="124"/>
      <c r="O40" s="330"/>
      <c r="P40" s="330"/>
      <c r="Q40" s="330"/>
      <c r="R40" s="346"/>
      <c r="S40" s="346"/>
      <c r="U40" s="146" t="s">
        <v>0</v>
      </c>
      <c r="V40" s="154"/>
      <c r="W40" s="229">
        <f>W18+W24+W26+W30+W32+W34+W38</f>
        <v>1057300000</v>
      </c>
      <c r="X40" s="167">
        <f>X18+X24+X26+X30+X32+X34+X38</f>
        <v>11850000</v>
      </c>
    </row>
    <row r="41" spans="1:43">
      <c r="B41" s="214"/>
      <c r="E41" s="22"/>
      <c r="F41" s="21"/>
      <c r="G41" s="16"/>
      <c r="H41" s="16"/>
      <c r="I41" s="16"/>
      <c r="J41" s="8"/>
      <c r="K41" s="8"/>
      <c r="L41" s="21"/>
      <c r="M41" s="19"/>
      <c r="N41" s="20"/>
      <c r="O41" s="19"/>
      <c r="P41" s="19"/>
      <c r="Q41" s="19"/>
      <c r="R41" s="347"/>
      <c r="S41" s="347"/>
    </row>
    <row r="42" spans="1:43" ht="16.5" thickBot="1">
      <c r="A42" s="55" t="s">
        <v>5</v>
      </c>
      <c r="B42" s="795" t="s">
        <v>4</v>
      </c>
      <c r="C42" s="796"/>
      <c r="D42" s="796"/>
      <c r="E42" s="838" t="s">
        <v>3</v>
      </c>
      <c r="F42" s="788"/>
      <c r="G42" s="788"/>
      <c r="H42" s="788"/>
      <c r="I42" s="152"/>
      <c r="J42" s="798" t="s">
        <v>2</v>
      </c>
      <c r="K42" s="796"/>
      <c r="L42" s="796"/>
      <c r="M42" s="796"/>
      <c r="N42" s="797"/>
      <c r="O42" s="141"/>
      <c r="P42" s="141"/>
      <c r="Q42" s="141"/>
      <c r="R42" s="348"/>
      <c r="S42" s="348"/>
    </row>
    <row r="43" spans="1:43" s="24" customFormat="1" ht="36.75" customHeight="1">
      <c r="A43" s="841" t="s">
        <v>87</v>
      </c>
      <c r="B43" s="844" t="s">
        <v>88</v>
      </c>
      <c r="C43" s="845"/>
      <c r="D43" s="846"/>
      <c r="E43" s="843" t="s">
        <v>56</v>
      </c>
      <c r="F43" s="832"/>
      <c r="G43" s="837"/>
      <c r="H43" s="34" t="s">
        <v>1</v>
      </c>
      <c r="I43" s="313">
        <v>40</v>
      </c>
      <c r="J43" s="786" t="s">
        <v>464</v>
      </c>
      <c r="K43" s="787"/>
      <c r="L43" s="787"/>
      <c r="M43" s="787"/>
      <c r="N43" s="788"/>
      <c r="O43" s="141"/>
      <c r="P43" s="141"/>
      <c r="Q43" s="141"/>
      <c r="R43" s="348"/>
      <c r="S43" s="34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</row>
    <row r="44" spans="1:43" s="24" customFormat="1" ht="36.75" customHeight="1">
      <c r="A44" s="842"/>
      <c r="B44" s="823"/>
      <c r="C44" s="824"/>
      <c r="D44" s="825"/>
      <c r="E44" s="823"/>
      <c r="F44" s="824"/>
      <c r="G44" s="825"/>
      <c r="H44" s="35" t="s">
        <v>0</v>
      </c>
      <c r="I44" s="314">
        <v>4</v>
      </c>
      <c r="J44" s="788"/>
      <c r="K44" s="787"/>
      <c r="L44" s="787"/>
      <c r="M44" s="787"/>
      <c r="N44" s="788"/>
      <c r="O44" s="141"/>
      <c r="P44" s="141"/>
      <c r="Q44" s="141"/>
      <c r="R44" s="348"/>
      <c r="S44" s="34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</row>
    <row r="45" spans="1:43" s="24" customFormat="1" ht="60" customHeight="1">
      <c r="A45" s="818" t="s">
        <v>87</v>
      </c>
      <c r="B45" s="833" t="s">
        <v>318</v>
      </c>
      <c r="C45" s="821"/>
      <c r="D45" s="822"/>
      <c r="E45" s="820" t="s">
        <v>57</v>
      </c>
      <c r="F45" s="821"/>
      <c r="G45" s="822"/>
      <c r="H45" s="35" t="s">
        <v>1</v>
      </c>
      <c r="I45" s="313">
        <v>1</v>
      </c>
      <c r="J45" s="788"/>
      <c r="K45" s="787"/>
      <c r="L45" s="787"/>
      <c r="M45" s="787"/>
      <c r="N45" s="788"/>
      <c r="O45" s="141"/>
      <c r="P45" s="141"/>
      <c r="Q45" s="141"/>
      <c r="R45" s="348"/>
      <c r="S45" s="34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</row>
    <row r="46" spans="1:43" s="24" customFormat="1" ht="60" customHeight="1">
      <c r="A46" s="793"/>
      <c r="B46" s="824"/>
      <c r="C46" s="824"/>
      <c r="D46" s="825"/>
      <c r="E46" s="823"/>
      <c r="F46" s="824"/>
      <c r="G46" s="825"/>
      <c r="H46" s="35" t="s">
        <v>0</v>
      </c>
      <c r="I46" s="313">
        <v>1</v>
      </c>
      <c r="J46" s="788"/>
      <c r="K46" s="787"/>
      <c r="L46" s="787"/>
      <c r="M46" s="787"/>
      <c r="N46" s="788"/>
      <c r="O46" s="141"/>
      <c r="P46" s="141"/>
      <c r="Q46" s="141"/>
      <c r="R46" s="348"/>
      <c r="S46" s="34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</row>
    <row r="47" spans="1:43" s="24" customFormat="1" ht="58.5" customHeight="1">
      <c r="A47" s="818" t="s">
        <v>87</v>
      </c>
      <c r="B47" s="826" t="s">
        <v>89</v>
      </c>
      <c r="C47" s="827"/>
      <c r="D47" s="828"/>
      <c r="E47" s="834" t="s">
        <v>57</v>
      </c>
      <c r="F47" s="827"/>
      <c r="G47" s="828"/>
      <c r="H47" s="35" t="s">
        <v>1</v>
      </c>
      <c r="I47" s="314">
        <v>1</v>
      </c>
      <c r="J47" s="788"/>
      <c r="K47" s="787"/>
      <c r="L47" s="787"/>
      <c r="M47" s="787"/>
      <c r="N47" s="788"/>
      <c r="O47" s="141"/>
      <c r="P47" s="141"/>
      <c r="Q47" s="141"/>
      <c r="R47" s="348"/>
      <c r="S47" s="34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</row>
    <row r="48" spans="1:43" s="24" customFormat="1" ht="58.5" customHeight="1">
      <c r="A48" s="793"/>
      <c r="B48" s="829"/>
      <c r="C48" s="829"/>
      <c r="D48" s="830"/>
      <c r="E48" s="835"/>
      <c r="F48" s="829"/>
      <c r="G48" s="830"/>
      <c r="H48" s="35" t="s">
        <v>0</v>
      </c>
      <c r="I48" s="314">
        <v>1</v>
      </c>
      <c r="J48" s="788"/>
      <c r="K48" s="787"/>
      <c r="L48" s="787"/>
      <c r="M48" s="787"/>
      <c r="N48" s="788"/>
      <c r="O48" s="141"/>
      <c r="P48" s="141"/>
      <c r="Q48" s="141"/>
      <c r="R48" s="348"/>
      <c r="S48" s="34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</row>
    <row r="49" spans="1:43" s="24" customFormat="1" ht="35.25" customHeight="1">
      <c r="A49" s="818" t="s">
        <v>87</v>
      </c>
      <c r="B49" s="833" t="s">
        <v>90</v>
      </c>
      <c r="C49" s="821"/>
      <c r="D49" s="822"/>
      <c r="E49" s="836" t="s">
        <v>58</v>
      </c>
      <c r="F49" s="821"/>
      <c r="G49" s="822"/>
      <c r="H49" s="36" t="s">
        <v>1</v>
      </c>
      <c r="I49" s="314">
        <v>250</v>
      </c>
      <c r="J49" s="788"/>
      <c r="K49" s="787"/>
      <c r="L49" s="787"/>
      <c r="M49" s="787"/>
      <c r="N49" s="788"/>
      <c r="O49" s="141"/>
      <c r="P49" s="141"/>
      <c r="Q49" s="141"/>
      <c r="R49" s="348"/>
      <c r="S49" s="34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</row>
    <row r="50" spans="1:43" s="24" customFormat="1" ht="35.25" customHeight="1">
      <c r="A50" s="793"/>
      <c r="B50" s="824"/>
      <c r="C50" s="824"/>
      <c r="D50" s="825"/>
      <c r="E50" s="823"/>
      <c r="F50" s="824"/>
      <c r="G50" s="825"/>
      <c r="H50" s="36" t="s">
        <v>0</v>
      </c>
      <c r="I50" s="314">
        <v>250</v>
      </c>
      <c r="J50" s="788"/>
      <c r="K50" s="787"/>
      <c r="L50" s="787"/>
      <c r="M50" s="787"/>
      <c r="N50" s="788"/>
      <c r="O50" s="141"/>
      <c r="P50" s="141"/>
      <c r="Q50" s="141"/>
      <c r="R50" s="348"/>
      <c r="S50" s="34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</row>
    <row r="51" spans="1:43" s="24" customFormat="1" ht="36.75" customHeight="1">
      <c r="A51" s="818" t="s">
        <v>87</v>
      </c>
      <c r="B51" s="833" t="s">
        <v>91</v>
      </c>
      <c r="C51" s="821"/>
      <c r="D51" s="822"/>
      <c r="E51" s="820" t="s">
        <v>59</v>
      </c>
      <c r="F51" s="821"/>
      <c r="G51" s="822"/>
      <c r="H51" s="36" t="s">
        <v>1</v>
      </c>
      <c r="I51" s="314">
        <v>150</v>
      </c>
      <c r="J51" s="788"/>
      <c r="K51" s="787"/>
      <c r="L51" s="787"/>
      <c r="M51" s="787"/>
      <c r="N51" s="788"/>
      <c r="O51" s="141"/>
      <c r="P51" s="141"/>
      <c r="Q51" s="141"/>
      <c r="R51" s="348"/>
      <c r="S51" s="34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</row>
    <row r="52" spans="1:43" s="24" customFormat="1" ht="36.75" customHeight="1">
      <c r="A52" s="793"/>
      <c r="B52" s="824"/>
      <c r="C52" s="824"/>
      <c r="D52" s="825"/>
      <c r="E52" s="823"/>
      <c r="F52" s="824"/>
      <c r="G52" s="825"/>
      <c r="H52" s="36" t="s">
        <v>0</v>
      </c>
      <c r="I52" s="314">
        <v>150</v>
      </c>
      <c r="J52" s="788"/>
      <c r="K52" s="787"/>
      <c r="L52" s="787"/>
      <c r="M52" s="787"/>
      <c r="N52" s="788"/>
      <c r="O52" s="141"/>
      <c r="P52" s="141"/>
      <c r="Q52" s="141"/>
      <c r="R52" s="348"/>
      <c r="S52" s="34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</row>
    <row r="53" spans="1:43" s="24" customFormat="1" ht="36" customHeight="1">
      <c r="A53" s="818" t="s">
        <v>87</v>
      </c>
      <c r="B53" s="833" t="s">
        <v>92</v>
      </c>
      <c r="C53" s="821"/>
      <c r="D53" s="822"/>
      <c r="E53" s="820" t="s">
        <v>60</v>
      </c>
      <c r="F53" s="821"/>
      <c r="G53" s="822"/>
      <c r="H53" s="36" t="s">
        <v>1</v>
      </c>
      <c r="I53" s="314">
        <v>1</v>
      </c>
      <c r="J53" s="788"/>
      <c r="K53" s="787"/>
      <c r="L53" s="787"/>
      <c r="M53" s="787"/>
      <c r="N53" s="788"/>
      <c r="O53" s="141"/>
      <c r="P53" s="141"/>
      <c r="Q53" s="141"/>
      <c r="R53" s="348"/>
      <c r="S53" s="34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</row>
    <row r="54" spans="1:43" s="24" customFormat="1" ht="36" customHeight="1">
      <c r="A54" s="793"/>
      <c r="B54" s="824"/>
      <c r="C54" s="824"/>
      <c r="D54" s="825"/>
      <c r="E54" s="823"/>
      <c r="F54" s="824"/>
      <c r="G54" s="825"/>
      <c r="H54" s="36" t="s">
        <v>0</v>
      </c>
      <c r="I54" s="314">
        <v>1</v>
      </c>
      <c r="J54" s="788"/>
      <c r="K54" s="787"/>
      <c r="L54" s="787"/>
      <c r="M54" s="787"/>
      <c r="N54" s="788"/>
      <c r="O54" s="141"/>
      <c r="P54" s="141"/>
      <c r="Q54" s="141"/>
      <c r="R54" s="348"/>
      <c r="S54" s="34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</row>
    <row r="55" spans="1:43" s="24" customFormat="1" ht="64.5" customHeight="1">
      <c r="A55" s="818" t="s">
        <v>87</v>
      </c>
      <c r="B55" s="833" t="s">
        <v>93</v>
      </c>
      <c r="C55" s="821"/>
      <c r="D55" s="822"/>
      <c r="E55" s="820" t="s">
        <v>61</v>
      </c>
      <c r="F55" s="821"/>
      <c r="G55" s="822"/>
      <c r="H55" s="36" t="s">
        <v>1</v>
      </c>
      <c r="I55" s="314">
        <v>1</v>
      </c>
      <c r="J55" s="788"/>
      <c r="K55" s="787"/>
      <c r="L55" s="787"/>
      <c r="M55" s="787"/>
      <c r="N55" s="788"/>
      <c r="O55" s="141"/>
      <c r="P55" s="141"/>
      <c r="Q55" s="141"/>
      <c r="R55" s="348"/>
      <c r="S55" s="34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</row>
    <row r="56" spans="1:43" s="24" customFormat="1" ht="64.5" customHeight="1">
      <c r="A56" s="819"/>
      <c r="B56" s="832"/>
      <c r="C56" s="832"/>
      <c r="D56" s="837"/>
      <c r="E56" s="831"/>
      <c r="F56" s="832"/>
      <c r="G56" s="832"/>
      <c r="H56" s="37" t="s">
        <v>0</v>
      </c>
      <c r="I56" s="315">
        <v>1</v>
      </c>
      <c r="J56" s="788"/>
      <c r="K56" s="787"/>
      <c r="L56" s="787"/>
      <c r="M56" s="787"/>
      <c r="N56" s="788"/>
      <c r="O56" s="141"/>
      <c r="P56" s="141"/>
      <c r="Q56" s="141"/>
      <c r="R56" s="348"/>
      <c r="S56" s="34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</row>
    <row r="57" spans="1:43" ht="141" customHeight="1">
      <c r="A57" s="507" t="s">
        <v>470</v>
      </c>
      <c r="B57" s="507"/>
      <c r="C57" s="507"/>
      <c r="D57" s="507"/>
      <c r="E57" s="507"/>
      <c r="F57" s="507"/>
      <c r="G57" s="507"/>
      <c r="H57" s="507"/>
      <c r="I57" s="507"/>
      <c r="J57" s="507"/>
      <c r="K57" s="507"/>
      <c r="L57" s="507"/>
      <c r="M57" s="507"/>
      <c r="N57" s="507"/>
      <c r="O57" s="331"/>
      <c r="P57" s="331"/>
      <c r="Q57" s="331"/>
      <c r="R57" s="349"/>
      <c r="S57" s="349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</row>
    <row r="58" spans="1:43" ht="58.5" customHeight="1"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</row>
    <row r="59" spans="1:43" ht="15.75"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</row>
    <row r="60" spans="1:43" ht="15.75"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</row>
    <row r="61" spans="1:43" ht="15.75"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</row>
    <row r="62" spans="1:43" ht="15.75"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</row>
    <row r="63" spans="1:43" ht="15.75"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</row>
    <row r="64" spans="1:43" ht="15.75"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</row>
  </sheetData>
  <mergeCells count="143">
    <mergeCell ref="A57:N57"/>
    <mergeCell ref="E42:H42"/>
    <mergeCell ref="J42:N42"/>
    <mergeCell ref="L35:L36"/>
    <mergeCell ref="M35:M36"/>
    <mergeCell ref="N35:N36"/>
    <mergeCell ref="E53:G54"/>
    <mergeCell ref="A37:A38"/>
    <mergeCell ref="C37:C38"/>
    <mergeCell ref="L37:L38"/>
    <mergeCell ref="M37:M38"/>
    <mergeCell ref="N37:N38"/>
    <mergeCell ref="A39:A40"/>
    <mergeCell ref="C39:C40"/>
    <mergeCell ref="B51:D52"/>
    <mergeCell ref="E51:G52"/>
    <mergeCell ref="B53:D54"/>
    <mergeCell ref="J43:N56"/>
    <mergeCell ref="A43:A44"/>
    <mergeCell ref="E43:G44"/>
    <mergeCell ref="B42:D42"/>
    <mergeCell ref="B43:D44"/>
    <mergeCell ref="A45:A46"/>
    <mergeCell ref="A53:A54"/>
    <mergeCell ref="A55:A56"/>
    <mergeCell ref="A49:A50"/>
    <mergeCell ref="A51:A52"/>
    <mergeCell ref="E45:G46"/>
    <mergeCell ref="A47:A48"/>
    <mergeCell ref="B47:D48"/>
    <mergeCell ref="E55:G56"/>
    <mergeCell ref="B45:D46"/>
    <mergeCell ref="E47:G48"/>
    <mergeCell ref="B49:D50"/>
    <mergeCell ref="E49:G50"/>
    <mergeCell ref="B55:D56"/>
    <mergeCell ref="N33:N34"/>
    <mergeCell ref="M33:M34"/>
    <mergeCell ref="L33:L34"/>
    <mergeCell ref="K33:K34"/>
    <mergeCell ref="J33:J34"/>
    <mergeCell ref="K37:K38"/>
    <mergeCell ref="K35:K36"/>
    <mergeCell ref="A33:A34"/>
    <mergeCell ref="C33:C34"/>
    <mergeCell ref="J35:J36"/>
    <mergeCell ref="J37:J38"/>
    <mergeCell ref="A35:A36"/>
    <mergeCell ref="C35:C36"/>
    <mergeCell ref="A17:A18"/>
    <mergeCell ref="A19:A20"/>
    <mergeCell ref="C19:C20"/>
    <mergeCell ref="J21:J22"/>
    <mergeCell ref="K19:K20"/>
    <mergeCell ref="K21:K22"/>
    <mergeCell ref="L21:L22"/>
    <mergeCell ref="A27:A28"/>
    <mergeCell ref="C27:C28"/>
    <mergeCell ref="J27:J28"/>
    <mergeCell ref="K27:K28"/>
    <mergeCell ref="L27:L28"/>
    <mergeCell ref="A25:A26"/>
    <mergeCell ref="J25:J26"/>
    <mergeCell ref="K25:K26"/>
    <mergeCell ref="L25:L26"/>
    <mergeCell ref="J8:N8"/>
    <mergeCell ref="B11:F11"/>
    <mergeCell ref="K11:M11"/>
    <mergeCell ref="K13:M13"/>
    <mergeCell ref="B9:F9"/>
    <mergeCell ref="K9:M9"/>
    <mergeCell ref="B10:F10"/>
    <mergeCell ref="K10:M10"/>
    <mergeCell ref="M15:M16"/>
    <mergeCell ref="N15:N16"/>
    <mergeCell ref="L15:L16"/>
    <mergeCell ref="A1:A4"/>
    <mergeCell ref="B1:H2"/>
    <mergeCell ref="I1:L1"/>
    <mergeCell ref="M1:N4"/>
    <mergeCell ref="I2:L2"/>
    <mergeCell ref="B3:H4"/>
    <mergeCell ref="I3:L3"/>
    <mergeCell ref="I4:L4"/>
    <mergeCell ref="A14:A16"/>
    <mergeCell ref="B14:B16"/>
    <mergeCell ref="C14:C16"/>
    <mergeCell ref="D14:D16"/>
    <mergeCell ref="E14:E16"/>
    <mergeCell ref="F14:I15"/>
    <mergeCell ref="J14:K15"/>
    <mergeCell ref="L14:N14"/>
    <mergeCell ref="B13:F13"/>
    <mergeCell ref="B12:F12"/>
    <mergeCell ref="K12:M12"/>
    <mergeCell ref="A5:N5"/>
    <mergeCell ref="A6:N6"/>
    <mergeCell ref="B7:N7"/>
    <mergeCell ref="B8:F8"/>
    <mergeCell ref="G8:I13"/>
    <mergeCell ref="M25:M26"/>
    <mergeCell ref="N25:N26"/>
    <mergeCell ref="C25:C26"/>
    <mergeCell ref="A31:A32"/>
    <mergeCell ref="C31:C32"/>
    <mergeCell ref="J31:J32"/>
    <mergeCell ref="K31:K32"/>
    <mergeCell ref="L31:L32"/>
    <mergeCell ref="M31:M32"/>
    <mergeCell ref="N31:N32"/>
    <mergeCell ref="A29:A30"/>
    <mergeCell ref="C29:C30"/>
    <mergeCell ref="N29:N30"/>
    <mergeCell ref="M27:M28"/>
    <mergeCell ref="N27:N28"/>
    <mergeCell ref="J29:J30"/>
    <mergeCell ref="L29:L30"/>
    <mergeCell ref="M29:M30"/>
    <mergeCell ref="K29:K30"/>
    <mergeCell ref="Q15:Q16"/>
    <mergeCell ref="P15:P16"/>
    <mergeCell ref="R15:R16"/>
    <mergeCell ref="A23:A24"/>
    <mergeCell ref="C23:C24"/>
    <mergeCell ref="J23:J24"/>
    <mergeCell ref="K23:K24"/>
    <mergeCell ref="L23:L24"/>
    <mergeCell ref="M23:M24"/>
    <mergeCell ref="N23:N24"/>
    <mergeCell ref="M21:M22"/>
    <mergeCell ref="N21:N22"/>
    <mergeCell ref="M17:M18"/>
    <mergeCell ref="N17:N18"/>
    <mergeCell ref="M19:M20"/>
    <mergeCell ref="N19:N20"/>
    <mergeCell ref="A21:A22"/>
    <mergeCell ref="C21:C22"/>
    <mergeCell ref="C17:C18"/>
    <mergeCell ref="L17:L18"/>
    <mergeCell ref="L19:L20"/>
    <mergeCell ref="J17:J18"/>
    <mergeCell ref="K17:K18"/>
    <mergeCell ref="J19:J20"/>
  </mergeCells>
  <pageMargins left="0.7" right="0.7" top="0.75" bottom="0.75" header="0.3" footer="0.3"/>
  <pageSetup paperSize="14" scale="57" orientation="landscape" verticalDpi="360" r:id="rId1"/>
  <drawing r:id="rId2"/>
  <legacyDrawing r:id="rId3"/>
  <oleObjects>
    <mc:AlternateContent xmlns:mc="http://schemas.openxmlformats.org/markup-compatibility/2006">
      <mc:Choice Requires="x14">
        <oleObject shapeId="20481" r:id="rId4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81" r:id="rId4"/>
      </mc:Fallback>
    </mc:AlternateContent>
    <mc:AlternateContent xmlns:mc="http://schemas.openxmlformats.org/markup-compatibility/2006">
      <mc:Choice Requires="x14">
        <oleObject shapeId="20488" r:id="rId6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88" r:id="rId6"/>
      </mc:Fallback>
    </mc:AlternateContent>
    <mc:AlternateContent xmlns:mc="http://schemas.openxmlformats.org/markup-compatibility/2006">
      <mc:Choice Requires="x14">
        <oleObject shapeId="20495" r:id="rId7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95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AZ45"/>
  <sheetViews>
    <sheetView view="pageBreakPreview" topLeftCell="A4" zoomScale="60" zoomScaleNormal="50" workbookViewId="0">
      <selection activeCell="E17" sqref="E17:E24"/>
    </sheetView>
  </sheetViews>
  <sheetFormatPr baseColWidth="10" defaultColWidth="12.5703125" defaultRowHeight="15"/>
  <cols>
    <col min="1" max="1" width="63.28515625" style="1" customWidth="1"/>
    <col min="2" max="2" width="10.28515625" style="1" customWidth="1"/>
    <col min="3" max="3" width="17.7109375" style="1" customWidth="1"/>
    <col min="4" max="4" width="10" style="1" customWidth="1"/>
    <col min="5" max="5" width="25" style="1" customWidth="1"/>
    <col min="6" max="6" width="23" style="1" customWidth="1"/>
    <col min="7" max="7" width="10.28515625" style="1" customWidth="1"/>
    <col min="8" max="8" width="13.42578125" style="1" customWidth="1"/>
    <col min="9" max="9" width="9.5703125" style="1" customWidth="1"/>
    <col min="10" max="10" width="15.7109375" style="69" customWidth="1"/>
    <col min="11" max="11" width="14.85546875" style="69" customWidth="1"/>
    <col min="12" max="12" width="12.42578125" style="1" customWidth="1"/>
    <col min="13" max="13" width="14" style="1" customWidth="1"/>
    <col min="14" max="15" width="14.5703125" style="1" customWidth="1"/>
    <col min="16" max="16" width="7.42578125" style="1" customWidth="1"/>
    <col min="17" max="17" width="8.85546875" style="1" customWidth="1"/>
    <col min="18" max="18" width="18.140625" style="1" customWidth="1"/>
    <col min="19" max="19" width="14.42578125" style="1" customWidth="1"/>
    <col min="20" max="20" width="18.5703125" style="1" customWidth="1"/>
    <col min="21" max="21" width="33.8554687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52" ht="37.5" customHeight="1">
      <c r="A1" s="675"/>
      <c r="B1" s="678" t="s">
        <v>95</v>
      </c>
      <c r="C1" s="679"/>
      <c r="D1" s="679"/>
      <c r="E1" s="679"/>
      <c r="F1" s="679"/>
      <c r="G1" s="679"/>
      <c r="H1" s="680"/>
      <c r="I1" s="684" t="s">
        <v>96</v>
      </c>
      <c r="J1" s="685"/>
      <c r="K1" s="685"/>
      <c r="L1" s="686"/>
      <c r="M1" s="687"/>
      <c r="N1" s="688"/>
      <c r="O1" s="81"/>
      <c r="P1" s="81"/>
      <c r="Q1" s="81"/>
      <c r="R1" s="71"/>
    </row>
    <row r="2" spans="1:52" ht="37.5" customHeight="1">
      <c r="A2" s="676"/>
      <c r="B2" s="681"/>
      <c r="C2" s="682"/>
      <c r="D2" s="682"/>
      <c r="E2" s="682"/>
      <c r="F2" s="682"/>
      <c r="G2" s="682"/>
      <c r="H2" s="683"/>
      <c r="I2" s="684" t="s">
        <v>97</v>
      </c>
      <c r="J2" s="685"/>
      <c r="K2" s="685"/>
      <c r="L2" s="686"/>
      <c r="M2" s="689"/>
      <c r="N2" s="690"/>
      <c r="O2" s="81"/>
      <c r="P2" s="81"/>
      <c r="Q2" s="81"/>
      <c r="R2" s="71"/>
    </row>
    <row r="3" spans="1:52" ht="33.75" customHeight="1">
      <c r="A3" s="676"/>
      <c r="B3" s="678" t="s">
        <v>98</v>
      </c>
      <c r="C3" s="679"/>
      <c r="D3" s="679"/>
      <c r="E3" s="679"/>
      <c r="F3" s="679"/>
      <c r="G3" s="679"/>
      <c r="H3" s="680"/>
      <c r="I3" s="684" t="s">
        <v>99</v>
      </c>
      <c r="J3" s="685"/>
      <c r="K3" s="685"/>
      <c r="L3" s="686"/>
      <c r="M3" s="689"/>
      <c r="N3" s="690"/>
      <c r="O3" s="81"/>
      <c r="P3" s="81"/>
      <c r="Q3" s="81"/>
      <c r="R3" s="71"/>
    </row>
    <row r="4" spans="1:52" ht="15.75">
      <c r="A4" s="677"/>
      <c r="B4" s="681"/>
      <c r="C4" s="682"/>
      <c r="D4" s="682"/>
      <c r="E4" s="682"/>
      <c r="F4" s="682"/>
      <c r="G4" s="682"/>
      <c r="H4" s="683"/>
      <c r="I4" s="684" t="s">
        <v>100</v>
      </c>
      <c r="J4" s="685"/>
      <c r="K4" s="685"/>
      <c r="L4" s="686"/>
      <c r="M4" s="691"/>
      <c r="N4" s="692"/>
      <c r="O4" s="81"/>
      <c r="P4" s="81"/>
      <c r="Q4" s="81"/>
      <c r="R4" s="71"/>
    </row>
    <row r="5" spans="1:52" ht="15.75">
      <c r="A5" s="924"/>
      <c r="B5" s="924"/>
      <c r="C5" s="924"/>
      <c r="D5" s="924"/>
      <c r="E5" s="924"/>
      <c r="F5" s="924"/>
      <c r="G5" s="924"/>
      <c r="H5" s="924"/>
      <c r="I5" s="924"/>
      <c r="J5" s="924"/>
      <c r="K5" s="924"/>
      <c r="L5" s="924"/>
      <c r="M5" s="924"/>
      <c r="N5" s="924"/>
      <c r="O5" s="81"/>
      <c r="P5" s="81"/>
      <c r="Q5" s="81"/>
      <c r="R5" s="71"/>
    </row>
    <row r="6" spans="1:52" ht="15.75">
      <c r="A6" s="684" t="s">
        <v>138</v>
      </c>
      <c r="B6" s="685"/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686"/>
      <c r="O6" s="134"/>
      <c r="P6" s="134"/>
      <c r="Q6" s="134"/>
      <c r="R6" s="71"/>
    </row>
    <row r="7" spans="1:52" ht="15.75">
      <c r="A7" s="40" t="s">
        <v>327</v>
      </c>
      <c r="B7" s="684" t="s">
        <v>468</v>
      </c>
      <c r="C7" s="685"/>
      <c r="D7" s="685"/>
      <c r="E7" s="685"/>
      <c r="F7" s="685"/>
      <c r="G7" s="685"/>
      <c r="H7" s="685"/>
      <c r="I7" s="685"/>
      <c r="J7" s="685"/>
      <c r="K7" s="685"/>
      <c r="L7" s="685"/>
      <c r="M7" s="685"/>
      <c r="N7" s="686"/>
      <c r="O7" s="134"/>
      <c r="P7" s="134"/>
      <c r="Q7" s="134"/>
    </row>
    <row r="8" spans="1:52" ht="15.75" customHeight="1">
      <c r="A8" s="41" t="s">
        <v>32</v>
      </c>
      <c r="B8" s="694" t="s">
        <v>33</v>
      </c>
      <c r="C8" s="695"/>
      <c r="D8" s="695"/>
      <c r="E8" s="695"/>
      <c r="F8" s="696"/>
      <c r="G8" s="805" t="s">
        <v>306</v>
      </c>
      <c r="H8" s="806"/>
      <c r="I8" s="807"/>
      <c r="J8" s="706" t="s">
        <v>31</v>
      </c>
      <c r="K8" s="707"/>
      <c r="L8" s="707"/>
      <c r="M8" s="707"/>
      <c r="N8" s="708"/>
      <c r="O8" s="135"/>
      <c r="P8" s="135"/>
      <c r="Q8" s="135"/>
      <c r="R8" s="72"/>
      <c r="S8" s="674"/>
      <c r="T8" s="674"/>
      <c r="U8" s="674"/>
      <c r="V8" s="674"/>
      <c r="W8" s="674"/>
    </row>
    <row r="9" spans="1:52" ht="15.75" customHeight="1">
      <c r="A9" s="43" t="s">
        <v>30</v>
      </c>
      <c r="B9" s="716" t="s">
        <v>36</v>
      </c>
      <c r="C9" s="715"/>
      <c r="D9" s="715"/>
      <c r="E9" s="715"/>
      <c r="F9" s="717"/>
      <c r="G9" s="808"/>
      <c r="H9" s="809"/>
      <c r="I9" s="810"/>
      <c r="J9" s="82" t="s">
        <v>29</v>
      </c>
      <c r="K9" s="921" t="s">
        <v>28</v>
      </c>
      <c r="L9" s="922"/>
      <c r="M9" s="923"/>
      <c r="N9" s="82" t="s">
        <v>27</v>
      </c>
      <c r="O9" s="136"/>
      <c r="P9" s="136"/>
      <c r="Q9" s="136"/>
      <c r="R9" s="72"/>
      <c r="S9" s="135"/>
      <c r="T9" s="135"/>
      <c r="U9" s="135"/>
      <c r="V9" s="135"/>
      <c r="W9" s="135"/>
    </row>
    <row r="10" spans="1:52" ht="15.75" customHeight="1">
      <c r="A10" s="44" t="s">
        <v>26</v>
      </c>
      <c r="B10" s="716" t="s">
        <v>46</v>
      </c>
      <c r="C10" s="715"/>
      <c r="D10" s="715"/>
      <c r="E10" s="715"/>
      <c r="F10" s="717"/>
      <c r="G10" s="808"/>
      <c r="H10" s="809"/>
      <c r="I10" s="810"/>
      <c r="J10" s="45"/>
      <c r="K10" s="718"/>
      <c r="L10" s="719"/>
      <c r="M10" s="720"/>
      <c r="N10" s="46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</row>
    <row r="11" spans="1:52" ht="42.75" customHeight="1">
      <c r="A11" s="47" t="s">
        <v>25</v>
      </c>
      <c r="B11" s="716" t="s">
        <v>62</v>
      </c>
      <c r="C11" s="715"/>
      <c r="D11" s="715"/>
      <c r="E11" s="715"/>
      <c r="F11" s="717"/>
      <c r="G11" s="808"/>
      <c r="H11" s="809"/>
      <c r="I11" s="810"/>
      <c r="J11" s="83"/>
      <c r="K11" s="712"/>
      <c r="L11" s="713"/>
      <c r="M11" s="714"/>
      <c r="N11" s="48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</row>
    <row r="12" spans="1:52" ht="15.75">
      <c r="A12" s="70" t="s">
        <v>24</v>
      </c>
      <c r="B12" s="925">
        <v>2020730010039</v>
      </c>
      <c r="C12" s="926"/>
      <c r="D12" s="926"/>
      <c r="E12" s="926"/>
      <c r="F12" s="927"/>
      <c r="G12" s="808"/>
      <c r="H12" s="809"/>
      <c r="I12" s="810"/>
      <c r="J12" s="51"/>
      <c r="K12" s="722"/>
      <c r="L12" s="723"/>
      <c r="M12" s="724"/>
      <c r="N12" s="52"/>
      <c r="O12" s="134"/>
      <c r="P12" s="143"/>
      <c r="Q12" s="84" t="s">
        <v>321</v>
      </c>
      <c r="R12" s="84" t="s">
        <v>27</v>
      </c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</row>
    <row r="13" spans="1:52" s="74" customFormat="1" ht="31.5" customHeight="1">
      <c r="A13" s="87" t="s">
        <v>130</v>
      </c>
      <c r="B13" s="928" t="s">
        <v>129</v>
      </c>
      <c r="C13" s="740"/>
      <c r="D13" s="740"/>
      <c r="E13" s="740"/>
      <c r="F13" s="741"/>
      <c r="G13" s="811"/>
      <c r="H13" s="812"/>
      <c r="I13" s="813"/>
      <c r="J13" s="85"/>
      <c r="K13" s="929"/>
      <c r="L13" s="930"/>
      <c r="M13" s="931"/>
      <c r="N13" s="53"/>
      <c r="O13" s="134"/>
      <c r="P13" s="180" t="s">
        <v>1</v>
      </c>
      <c r="Q13" s="200">
        <v>3</v>
      </c>
      <c r="R13" s="175">
        <f>F17</f>
        <v>10000000</v>
      </c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</row>
    <row r="14" spans="1:52" ht="15.75" customHeight="1">
      <c r="A14" s="896" t="s">
        <v>23</v>
      </c>
      <c r="B14" s="899" t="s">
        <v>305</v>
      </c>
      <c r="C14" s="902" t="s">
        <v>21</v>
      </c>
      <c r="D14" s="905" t="s">
        <v>20</v>
      </c>
      <c r="E14" s="902" t="s">
        <v>128</v>
      </c>
      <c r="F14" s="908" t="s">
        <v>135</v>
      </c>
      <c r="G14" s="909"/>
      <c r="H14" s="909"/>
      <c r="I14" s="910"/>
      <c r="J14" s="908" t="s">
        <v>17</v>
      </c>
      <c r="K14" s="910"/>
      <c r="L14" s="914" t="s">
        <v>16</v>
      </c>
      <c r="M14" s="915"/>
      <c r="N14" s="916"/>
      <c r="O14" s="134"/>
      <c r="P14" s="180" t="s">
        <v>0</v>
      </c>
      <c r="Q14" s="182"/>
      <c r="R14" s="175">
        <f>F18</f>
        <v>10000000</v>
      </c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</row>
    <row r="15" spans="1:52" ht="15" customHeight="1">
      <c r="A15" s="897"/>
      <c r="B15" s="900"/>
      <c r="C15" s="903"/>
      <c r="D15" s="906"/>
      <c r="E15" s="903"/>
      <c r="F15" s="911"/>
      <c r="G15" s="912"/>
      <c r="H15" s="912"/>
      <c r="I15" s="913"/>
      <c r="J15" s="911"/>
      <c r="K15" s="913"/>
      <c r="L15" s="917" t="s">
        <v>15</v>
      </c>
      <c r="M15" s="917" t="s">
        <v>14</v>
      </c>
      <c r="N15" s="919" t="s">
        <v>13</v>
      </c>
      <c r="O15" s="232"/>
      <c r="P15" s="232"/>
      <c r="Q15" s="232"/>
      <c r="S15" s="15"/>
      <c r="T15" s="738"/>
      <c r="U15" s="738"/>
      <c r="W15" s="5"/>
      <c r="Y15" s="14"/>
      <c r="Z15" s="5"/>
      <c r="AA15" s="12"/>
    </row>
    <row r="16" spans="1:52" ht="30">
      <c r="A16" s="898"/>
      <c r="B16" s="901"/>
      <c r="C16" s="904"/>
      <c r="D16" s="907"/>
      <c r="E16" s="904"/>
      <c r="F16" s="220" t="s">
        <v>12</v>
      </c>
      <c r="G16" s="220" t="s">
        <v>11</v>
      </c>
      <c r="H16" s="220" t="s">
        <v>10</v>
      </c>
      <c r="I16" s="128" t="s">
        <v>9</v>
      </c>
      <c r="J16" s="220" t="s">
        <v>8</v>
      </c>
      <c r="K16" s="219" t="s">
        <v>7</v>
      </c>
      <c r="L16" s="918"/>
      <c r="M16" s="918"/>
      <c r="N16" s="920"/>
      <c r="O16" s="232"/>
      <c r="S16" s="15"/>
      <c r="T16" s="738"/>
      <c r="U16" s="738"/>
      <c r="W16" s="5"/>
      <c r="Y16" s="14"/>
      <c r="Z16" s="5"/>
      <c r="AA16" s="12"/>
    </row>
    <row r="17" spans="1:52" s="74" customFormat="1" ht="23.25" customHeight="1">
      <c r="A17" s="489" t="s">
        <v>320</v>
      </c>
      <c r="B17" s="187" t="s">
        <v>1</v>
      </c>
      <c r="C17" s="491" t="s">
        <v>324</v>
      </c>
      <c r="D17" s="280">
        <v>1</v>
      </c>
      <c r="E17" s="62">
        <f t="shared" ref="E17:E24" si="0">F17</f>
        <v>10000000</v>
      </c>
      <c r="F17" s="62">
        <v>10000000</v>
      </c>
      <c r="G17" s="62">
        <v>0</v>
      </c>
      <c r="H17" s="62">
        <v>0</v>
      </c>
      <c r="I17" s="62">
        <v>0</v>
      </c>
      <c r="J17" s="893">
        <v>45048</v>
      </c>
      <c r="K17" s="893">
        <v>45290</v>
      </c>
      <c r="L17" s="762">
        <f>D18/D17</f>
        <v>1</v>
      </c>
      <c r="M17" s="762">
        <f>E18/E17</f>
        <v>1</v>
      </c>
      <c r="N17" s="883">
        <v>0</v>
      </c>
      <c r="O17" s="231"/>
      <c r="P17" s="151"/>
      <c r="Q17" s="132" t="s">
        <v>321</v>
      </c>
      <c r="R17" s="132" t="s">
        <v>27</v>
      </c>
      <c r="AA17" s="78"/>
    </row>
    <row r="18" spans="1:52" s="74" customFormat="1" ht="23.25" customHeight="1">
      <c r="A18" s="490"/>
      <c r="B18" s="187" t="s">
        <v>0</v>
      </c>
      <c r="C18" s="492"/>
      <c r="D18" s="280">
        <v>1</v>
      </c>
      <c r="E18" s="62">
        <f t="shared" si="0"/>
        <v>10000000</v>
      </c>
      <c r="F18" s="62">
        <v>10000000</v>
      </c>
      <c r="G18" s="62">
        <v>0</v>
      </c>
      <c r="H18" s="62">
        <v>0</v>
      </c>
      <c r="I18" s="62">
        <v>0</v>
      </c>
      <c r="J18" s="894"/>
      <c r="K18" s="894"/>
      <c r="L18" s="895"/>
      <c r="M18" s="895"/>
      <c r="N18" s="884"/>
      <c r="O18" s="231"/>
      <c r="P18" s="111" t="s">
        <v>1</v>
      </c>
      <c r="Q18" s="200">
        <v>2</v>
      </c>
      <c r="R18" s="173">
        <f>F19</f>
        <v>53000000</v>
      </c>
      <c r="AA18" s="78"/>
    </row>
    <row r="19" spans="1:52" s="74" customFormat="1" ht="25.5" customHeight="1">
      <c r="A19" s="485" t="s">
        <v>325</v>
      </c>
      <c r="B19" s="187" t="s">
        <v>1</v>
      </c>
      <c r="C19" s="487" t="s">
        <v>113</v>
      </c>
      <c r="D19" s="280">
        <v>10</v>
      </c>
      <c r="E19" s="62">
        <f t="shared" si="0"/>
        <v>53000000</v>
      </c>
      <c r="F19" s="242">
        <v>53000000</v>
      </c>
      <c r="G19" s="62">
        <v>0</v>
      </c>
      <c r="H19" s="62">
        <v>0</v>
      </c>
      <c r="I19" s="62">
        <v>0</v>
      </c>
      <c r="J19" s="893">
        <v>44981</v>
      </c>
      <c r="K19" s="893">
        <v>45290</v>
      </c>
      <c r="L19" s="762">
        <f>D20/D19</f>
        <v>1</v>
      </c>
      <c r="M19" s="762">
        <f>E20/E19</f>
        <v>1</v>
      </c>
      <c r="N19" s="883">
        <v>0</v>
      </c>
      <c r="O19" s="221"/>
      <c r="P19" s="111" t="s">
        <v>0</v>
      </c>
      <c r="Q19" s="182"/>
      <c r="R19" s="173">
        <f>E20</f>
        <v>53000000</v>
      </c>
      <c r="W19" s="86"/>
    </row>
    <row r="20" spans="1:52" s="74" customFormat="1" ht="42" customHeight="1">
      <c r="A20" s="486"/>
      <c r="B20" s="187" t="s">
        <v>0</v>
      </c>
      <c r="C20" s="488"/>
      <c r="D20" s="280">
        <v>10</v>
      </c>
      <c r="E20" s="62">
        <f t="shared" si="0"/>
        <v>53000000</v>
      </c>
      <c r="F20" s="242">
        <v>53000000</v>
      </c>
      <c r="G20" s="62">
        <v>0</v>
      </c>
      <c r="H20" s="62">
        <v>0</v>
      </c>
      <c r="I20" s="62">
        <v>0</v>
      </c>
      <c r="J20" s="894"/>
      <c r="K20" s="894"/>
      <c r="L20" s="895"/>
      <c r="M20" s="895"/>
      <c r="N20" s="884"/>
      <c r="O20" s="221"/>
      <c r="P20" s="111" t="s">
        <v>1</v>
      </c>
      <c r="Q20" s="200">
        <v>4</v>
      </c>
      <c r="R20" s="173">
        <f>F21</f>
        <v>36149000</v>
      </c>
      <c r="AA20" s="78"/>
    </row>
    <row r="21" spans="1:52" s="74" customFormat="1" ht="39" customHeight="1">
      <c r="A21" s="485" t="s">
        <v>299</v>
      </c>
      <c r="B21" s="187" t="s">
        <v>1</v>
      </c>
      <c r="C21" s="487" t="s">
        <v>109</v>
      </c>
      <c r="D21" s="280">
        <v>8</v>
      </c>
      <c r="E21" s="62">
        <f t="shared" si="0"/>
        <v>36149000</v>
      </c>
      <c r="F21" s="242">
        <f>35000000+90851000+14149000-103851000</f>
        <v>36149000</v>
      </c>
      <c r="G21" s="62">
        <v>0</v>
      </c>
      <c r="H21" s="62">
        <v>0</v>
      </c>
      <c r="I21" s="62">
        <v>0</v>
      </c>
      <c r="J21" s="893">
        <v>44987</v>
      </c>
      <c r="K21" s="893">
        <v>45290</v>
      </c>
      <c r="L21" s="762">
        <f>D22/D21</f>
        <v>1</v>
      </c>
      <c r="M21" s="762">
        <f>E22/E21</f>
        <v>0.97298680461423548</v>
      </c>
      <c r="N21" s="883">
        <v>0</v>
      </c>
      <c r="O21" s="221"/>
      <c r="P21" s="111" t="s">
        <v>0</v>
      </c>
      <c r="Q21" s="182"/>
      <c r="R21" s="173">
        <f>E22</f>
        <v>35172500</v>
      </c>
    </row>
    <row r="22" spans="1:52" s="74" customFormat="1" ht="39" customHeight="1">
      <c r="A22" s="486"/>
      <c r="B22" s="187" t="s">
        <v>0</v>
      </c>
      <c r="C22" s="488"/>
      <c r="D22" s="280">
        <v>8</v>
      </c>
      <c r="E22" s="62">
        <f t="shared" si="0"/>
        <v>35172500</v>
      </c>
      <c r="F22" s="62">
        <v>35172500</v>
      </c>
      <c r="G22" s="62">
        <v>0</v>
      </c>
      <c r="H22" s="62">
        <v>0</v>
      </c>
      <c r="I22" s="62">
        <v>0</v>
      </c>
      <c r="J22" s="894"/>
      <c r="K22" s="894"/>
      <c r="L22" s="895"/>
      <c r="M22" s="895"/>
      <c r="N22" s="884"/>
      <c r="O22" s="221"/>
    </row>
    <row r="23" spans="1:52" s="74" customFormat="1" ht="34.5" customHeight="1">
      <c r="A23" s="485" t="s">
        <v>331</v>
      </c>
      <c r="B23" s="257" t="s">
        <v>1</v>
      </c>
      <c r="C23" s="487" t="s">
        <v>453</v>
      </c>
      <c r="D23" s="281">
        <v>1</v>
      </c>
      <c r="E23" s="62">
        <f t="shared" si="0"/>
        <v>5000000</v>
      </c>
      <c r="F23" s="62">
        <v>5000000</v>
      </c>
      <c r="G23" s="62">
        <v>0</v>
      </c>
      <c r="H23" s="62">
        <v>0</v>
      </c>
      <c r="I23" s="62">
        <v>0</v>
      </c>
      <c r="J23" s="893">
        <v>45017</v>
      </c>
      <c r="K23" s="893">
        <v>45290</v>
      </c>
      <c r="L23" s="762">
        <f>D24/D23</f>
        <v>1</v>
      </c>
      <c r="M23" s="762">
        <f>E24/E23</f>
        <v>1</v>
      </c>
      <c r="N23" s="883">
        <v>0</v>
      </c>
      <c r="O23" s="221"/>
      <c r="P23" s="111" t="s">
        <v>1</v>
      </c>
      <c r="Q23" s="200">
        <v>1</v>
      </c>
      <c r="R23" s="173">
        <f>E23</f>
        <v>5000000</v>
      </c>
      <c r="W23" s="86"/>
      <c r="Y23" s="76"/>
      <c r="Z23" s="77"/>
      <c r="AA23" s="78"/>
    </row>
    <row r="24" spans="1:52" s="74" customFormat="1" ht="34.5" customHeight="1">
      <c r="A24" s="486"/>
      <c r="B24" s="257" t="s">
        <v>0</v>
      </c>
      <c r="C24" s="488"/>
      <c r="D24" s="281">
        <v>1</v>
      </c>
      <c r="E24" s="62">
        <f t="shared" si="0"/>
        <v>5000000</v>
      </c>
      <c r="F24" s="62">
        <v>5000000</v>
      </c>
      <c r="G24" s="62">
        <v>0</v>
      </c>
      <c r="H24" s="62">
        <v>0</v>
      </c>
      <c r="I24" s="62">
        <v>0</v>
      </c>
      <c r="J24" s="894"/>
      <c r="K24" s="894"/>
      <c r="L24" s="895"/>
      <c r="M24" s="895"/>
      <c r="N24" s="884"/>
      <c r="O24" s="221"/>
      <c r="P24" s="111" t="s">
        <v>0</v>
      </c>
      <c r="Q24" s="182"/>
      <c r="R24" s="173">
        <f>E24</f>
        <v>5000000</v>
      </c>
      <c r="W24" s="86"/>
      <c r="Y24" s="76"/>
      <c r="Z24" s="77"/>
      <c r="AA24" s="78"/>
    </row>
    <row r="25" spans="1:52" ht="21.75" customHeight="1">
      <c r="A25" s="885" t="s">
        <v>6</v>
      </c>
      <c r="B25" s="26" t="s">
        <v>1</v>
      </c>
      <c r="C25" s="755"/>
      <c r="D25" s="63"/>
      <c r="E25" s="64">
        <f>SUM(E17+E19+E21+E23)</f>
        <v>104149000</v>
      </c>
      <c r="F25" s="64">
        <f t="shared" ref="F25:I26" si="1">SUM(F17+F19+F21+F23)</f>
        <v>104149000</v>
      </c>
      <c r="G25" s="64">
        <f t="shared" si="1"/>
        <v>0</v>
      </c>
      <c r="H25" s="64">
        <f t="shared" si="1"/>
        <v>0</v>
      </c>
      <c r="I25" s="64">
        <f t="shared" si="1"/>
        <v>0</v>
      </c>
      <c r="J25" s="28"/>
      <c r="K25" s="65"/>
      <c r="L25" s="65"/>
      <c r="M25" s="65"/>
      <c r="N25" s="30"/>
      <c r="O25" s="74"/>
      <c r="P25" s="150" t="s">
        <v>1</v>
      </c>
      <c r="Q25" s="157"/>
      <c r="R25" s="255">
        <f>R13+R18+R20+R23</f>
        <v>104149000</v>
      </c>
    </row>
    <row r="26" spans="1:52" ht="21.75" customHeight="1">
      <c r="A26" s="886"/>
      <c r="B26" s="26" t="s">
        <v>0</v>
      </c>
      <c r="C26" s="756"/>
      <c r="D26" s="63"/>
      <c r="E26" s="64">
        <f>SUM(E18+E20+E22+E24)</f>
        <v>103172500</v>
      </c>
      <c r="F26" s="64">
        <f t="shared" si="1"/>
        <v>103172500</v>
      </c>
      <c r="G26" s="64">
        <f t="shared" si="1"/>
        <v>0</v>
      </c>
      <c r="H26" s="64">
        <f t="shared" si="1"/>
        <v>0</v>
      </c>
      <c r="I26" s="64">
        <f t="shared" si="1"/>
        <v>0</v>
      </c>
      <c r="J26" s="28"/>
      <c r="K26" s="65"/>
      <c r="L26" s="65"/>
      <c r="M26" s="65"/>
      <c r="N26" s="30"/>
      <c r="O26" s="74"/>
      <c r="P26" s="150" t="s">
        <v>0</v>
      </c>
      <c r="Q26" s="157"/>
      <c r="R26" s="144">
        <f>R14+R19+R21+R24</f>
        <v>103172500</v>
      </c>
    </row>
    <row r="27" spans="1:52" ht="44.25" customHeight="1">
      <c r="A27" s="120" t="s">
        <v>5</v>
      </c>
      <c r="B27" s="887" t="s">
        <v>4</v>
      </c>
      <c r="C27" s="888"/>
      <c r="D27" s="889"/>
      <c r="E27" s="887" t="s">
        <v>3</v>
      </c>
      <c r="F27" s="888"/>
      <c r="G27" s="888"/>
      <c r="H27" s="889"/>
      <c r="I27" s="120"/>
      <c r="J27" s="890" t="s">
        <v>2</v>
      </c>
      <c r="K27" s="891"/>
      <c r="L27" s="891"/>
      <c r="M27" s="891"/>
      <c r="N27" s="892"/>
      <c r="O27" s="230"/>
      <c r="P27" s="230"/>
      <c r="Q27" s="230"/>
    </row>
    <row r="28" spans="1:52" ht="30.75" customHeight="1">
      <c r="A28" s="847" t="s">
        <v>102</v>
      </c>
      <c r="B28" s="849" t="s">
        <v>103</v>
      </c>
      <c r="C28" s="850"/>
      <c r="D28" s="851"/>
      <c r="E28" s="868" t="s">
        <v>63</v>
      </c>
      <c r="F28" s="869"/>
      <c r="G28" s="870"/>
      <c r="H28" s="68" t="s">
        <v>1</v>
      </c>
      <c r="I28" s="188">
        <v>1</v>
      </c>
      <c r="J28" s="874" t="s">
        <v>465</v>
      </c>
      <c r="K28" s="875"/>
      <c r="L28" s="875"/>
      <c r="M28" s="875"/>
      <c r="N28" s="876"/>
      <c r="O28" s="230"/>
      <c r="P28" s="230"/>
      <c r="Q28" s="230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</row>
    <row r="29" spans="1:52" ht="30.75" customHeight="1">
      <c r="A29" s="864"/>
      <c r="B29" s="865"/>
      <c r="C29" s="866"/>
      <c r="D29" s="867"/>
      <c r="E29" s="871"/>
      <c r="F29" s="872"/>
      <c r="G29" s="873"/>
      <c r="H29" s="68" t="s">
        <v>0</v>
      </c>
      <c r="I29" s="188">
        <v>0</v>
      </c>
      <c r="J29" s="877"/>
      <c r="K29" s="878"/>
      <c r="L29" s="878"/>
      <c r="M29" s="878"/>
      <c r="N29" s="879"/>
      <c r="O29" s="230"/>
      <c r="P29" s="230"/>
      <c r="Q29" s="230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</row>
    <row r="30" spans="1:52" ht="32.25" customHeight="1">
      <c r="A30" s="847" t="s">
        <v>102</v>
      </c>
      <c r="B30" s="849" t="s">
        <v>104</v>
      </c>
      <c r="C30" s="850"/>
      <c r="D30" s="851"/>
      <c r="E30" s="868" t="s">
        <v>64</v>
      </c>
      <c r="F30" s="869"/>
      <c r="G30" s="870"/>
      <c r="H30" s="68" t="s">
        <v>1</v>
      </c>
      <c r="I30" s="188">
        <v>1</v>
      </c>
      <c r="J30" s="877"/>
      <c r="K30" s="878"/>
      <c r="L30" s="878"/>
      <c r="M30" s="878"/>
      <c r="N30" s="879"/>
      <c r="O30" s="230"/>
      <c r="P30" s="230"/>
      <c r="Q30" s="230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</row>
    <row r="31" spans="1:52" ht="32.25" customHeight="1">
      <c r="A31" s="864"/>
      <c r="B31" s="865"/>
      <c r="C31" s="866"/>
      <c r="D31" s="867"/>
      <c r="E31" s="871"/>
      <c r="F31" s="872"/>
      <c r="G31" s="873"/>
      <c r="H31" s="68" t="s">
        <v>0</v>
      </c>
      <c r="I31" s="188">
        <v>0</v>
      </c>
      <c r="J31" s="877"/>
      <c r="K31" s="878"/>
      <c r="L31" s="878"/>
      <c r="M31" s="878"/>
      <c r="N31" s="879"/>
      <c r="O31" s="230"/>
      <c r="P31" s="230"/>
      <c r="Q31" s="230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</row>
    <row r="32" spans="1:52" ht="36.75" customHeight="1">
      <c r="A32" s="847" t="s">
        <v>102</v>
      </c>
      <c r="B32" s="849" t="s">
        <v>105</v>
      </c>
      <c r="C32" s="850"/>
      <c r="D32" s="851"/>
      <c r="E32" s="849" t="s">
        <v>65</v>
      </c>
      <c r="F32" s="850"/>
      <c r="G32" s="851"/>
      <c r="H32" s="68" t="s">
        <v>1</v>
      </c>
      <c r="I32" s="188">
        <v>1</v>
      </c>
      <c r="J32" s="877"/>
      <c r="K32" s="878"/>
      <c r="L32" s="878"/>
      <c r="M32" s="878"/>
      <c r="N32" s="879"/>
      <c r="O32" s="230"/>
      <c r="P32" s="230"/>
      <c r="Q32" s="230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</row>
    <row r="33" spans="1:52" ht="36.75" customHeight="1">
      <c r="A33" s="864"/>
      <c r="B33" s="865"/>
      <c r="C33" s="866"/>
      <c r="D33" s="867"/>
      <c r="E33" s="865"/>
      <c r="F33" s="866"/>
      <c r="G33" s="867"/>
      <c r="H33" s="68" t="s">
        <v>0</v>
      </c>
      <c r="I33" s="188">
        <v>0</v>
      </c>
      <c r="J33" s="877"/>
      <c r="K33" s="878"/>
      <c r="L33" s="878"/>
      <c r="M33" s="878"/>
      <c r="N33" s="879"/>
      <c r="O33" s="230"/>
      <c r="P33" s="230"/>
      <c r="Q33" s="230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</row>
    <row r="34" spans="1:52" ht="59.25" customHeight="1">
      <c r="A34" s="847" t="s">
        <v>106</v>
      </c>
      <c r="B34" s="849" t="s">
        <v>107</v>
      </c>
      <c r="C34" s="850"/>
      <c r="D34" s="851"/>
      <c r="E34" s="855" t="s">
        <v>66</v>
      </c>
      <c r="F34" s="856"/>
      <c r="G34" s="857"/>
      <c r="H34" s="68" t="s">
        <v>1</v>
      </c>
      <c r="I34" s="188">
        <v>1</v>
      </c>
      <c r="J34" s="877"/>
      <c r="K34" s="878"/>
      <c r="L34" s="878"/>
      <c r="M34" s="878"/>
      <c r="N34" s="879"/>
      <c r="O34" s="230"/>
      <c r="P34" s="230"/>
      <c r="Q34" s="230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</row>
    <row r="35" spans="1:52" ht="59.25" customHeight="1">
      <c r="A35" s="848"/>
      <c r="B35" s="852"/>
      <c r="C35" s="853"/>
      <c r="D35" s="854"/>
      <c r="E35" s="858"/>
      <c r="F35" s="859"/>
      <c r="G35" s="860"/>
      <c r="H35" s="68" t="s">
        <v>0</v>
      </c>
      <c r="I35" s="188">
        <v>0</v>
      </c>
      <c r="J35" s="880"/>
      <c r="K35" s="881"/>
      <c r="L35" s="881"/>
      <c r="M35" s="881"/>
      <c r="N35" s="882"/>
      <c r="O35" s="230"/>
      <c r="P35" s="230"/>
      <c r="Q35" s="230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</row>
    <row r="36" spans="1:52" ht="48.6" customHeight="1">
      <c r="A36" s="861" t="s">
        <v>458</v>
      </c>
      <c r="B36" s="862"/>
      <c r="C36" s="862"/>
      <c r="D36" s="862"/>
      <c r="E36" s="862"/>
      <c r="F36" s="862"/>
      <c r="G36" s="862"/>
      <c r="H36" s="862"/>
      <c r="I36" s="862"/>
      <c r="J36" s="862"/>
      <c r="K36" s="862"/>
      <c r="L36" s="862"/>
      <c r="M36" s="862"/>
      <c r="N36" s="863"/>
      <c r="O36" s="226"/>
      <c r="P36" s="226"/>
      <c r="Q36" s="226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</row>
    <row r="37" spans="1:52"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</row>
    <row r="38" spans="1:52"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</row>
    <row r="39" spans="1:52"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</row>
    <row r="40" spans="1:52"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</row>
    <row r="41" spans="1:52" ht="15.75" customHeight="1"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</row>
    <row r="42" spans="1:52"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</row>
    <row r="43" spans="1:52" ht="15.75" customHeight="1"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</row>
    <row r="45" spans="1:52" ht="15.75" customHeight="1"/>
  </sheetData>
  <mergeCells count="85">
    <mergeCell ref="A1:A4"/>
    <mergeCell ref="B1:H2"/>
    <mergeCell ref="I1:L1"/>
    <mergeCell ref="M1:N4"/>
    <mergeCell ref="I2:L2"/>
    <mergeCell ref="B3:H4"/>
    <mergeCell ref="I3:L3"/>
    <mergeCell ref="I4:L4"/>
    <mergeCell ref="B11:F11"/>
    <mergeCell ref="K11:M11"/>
    <mergeCell ref="A5:N5"/>
    <mergeCell ref="A6:N6"/>
    <mergeCell ref="B7:N7"/>
    <mergeCell ref="B8:F8"/>
    <mergeCell ref="G8:I13"/>
    <mergeCell ref="J8:N8"/>
    <mergeCell ref="B12:F12"/>
    <mergeCell ref="K12:M12"/>
    <mergeCell ref="B13:F13"/>
    <mergeCell ref="K13:M13"/>
    <mergeCell ref="S8:W8"/>
    <mergeCell ref="B9:F9"/>
    <mergeCell ref="K9:M9"/>
    <mergeCell ref="B10:F10"/>
    <mergeCell ref="K10:M10"/>
    <mergeCell ref="T15:U15"/>
    <mergeCell ref="T16:U16"/>
    <mergeCell ref="A14:A16"/>
    <mergeCell ref="B14:B16"/>
    <mergeCell ref="C14:C16"/>
    <mergeCell ref="D14:D16"/>
    <mergeCell ref="E14:E16"/>
    <mergeCell ref="F14:I15"/>
    <mergeCell ref="J14:K15"/>
    <mergeCell ref="L14:N14"/>
    <mergeCell ref="L15:L16"/>
    <mergeCell ref="M15:M16"/>
    <mergeCell ref="N15:N16"/>
    <mergeCell ref="N17:N18"/>
    <mergeCell ref="A19:A20"/>
    <mergeCell ref="C19:C20"/>
    <mergeCell ref="J19:J20"/>
    <mergeCell ref="K19:K20"/>
    <mergeCell ref="L19:L20"/>
    <mergeCell ref="M19:M20"/>
    <mergeCell ref="N19:N20"/>
    <mergeCell ref="A17:A18"/>
    <mergeCell ref="C17:C18"/>
    <mergeCell ref="J17:J18"/>
    <mergeCell ref="K17:K18"/>
    <mergeCell ref="L17:L18"/>
    <mergeCell ref="M17:M18"/>
    <mergeCell ref="N21:N22"/>
    <mergeCell ref="A21:A22"/>
    <mergeCell ref="C21:C22"/>
    <mergeCell ref="J21:J22"/>
    <mergeCell ref="K21:K22"/>
    <mergeCell ref="L21:L22"/>
    <mergeCell ref="M21:M22"/>
    <mergeCell ref="N23:N24"/>
    <mergeCell ref="A25:A26"/>
    <mergeCell ref="C25:C26"/>
    <mergeCell ref="B27:D27"/>
    <mergeCell ref="E27:H27"/>
    <mergeCell ref="J27:N27"/>
    <mergeCell ref="A23:A24"/>
    <mergeCell ref="C23:C24"/>
    <mergeCell ref="J23:J24"/>
    <mergeCell ref="K23:K24"/>
    <mergeCell ref="L23:L24"/>
    <mergeCell ref="M23:M24"/>
    <mergeCell ref="A34:A35"/>
    <mergeCell ref="B34:D35"/>
    <mergeCell ref="E34:G35"/>
    <mergeCell ref="A36:N36"/>
    <mergeCell ref="A28:A29"/>
    <mergeCell ref="B28:D29"/>
    <mergeCell ref="E28:G29"/>
    <mergeCell ref="J28:N35"/>
    <mergeCell ref="A30:A31"/>
    <mergeCell ref="B30:D31"/>
    <mergeCell ref="E30:G31"/>
    <mergeCell ref="A32:A33"/>
    <mergeCell ref="B32:D33"/>
    <mergeCell ref="E32:G33"/>
  </mergeCells>
  <pageMargins left="0.7" right="0.7" top="0.75" bottom="0.75" header="0.3" footer="0.3"/>
  <pageSetup paperSize="14" scale="58" orientation="landscape" r:id="rId1"/>
  <rowBreaks count="1" manualBreakCount="1">
    <brk id="26" max="16383" man="1"/>
  </rowBreaks>
  <colBreaks count="1" manualBreakCount="1">
    <brk id="14" max="1048575" man="1"/>
  </colBreaks>
  <drawing r:id="rId2"/>
  <legacyDrawing r:id="rId3"/>
  <oleObjects>
    <mc:AlternateContent xmlns:mc="http://schemas.openxmlformats.org/markup-compatibility/2006">
      <mc:Choice Requires="x14">
        <oleObject shapeId="4403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76200</xdr:rowOff>
              </from>
              <to>
                <xdr:col>0</xdr:col>
                <xdr:colOff>4295775</xdr:colOff>
                <xdr:row>3</xdr:row>
                <xdr:rowOff>38100</xdr:rowOff>
              </to>
            </anchor>
          </objectPr>
        </oleObject>
      </mc:Choice>
      <mc:Fallback>
        <oleObject shapeId="4403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IP80"/>
  <sheetViews>
    <sheetView topLeftCell="A14" zoomScale="60" zoomScaleNormal="60" zoomScalePageLayoutView="50" workbookViewId="0">
      <selection activeCell="H40" sqref="H40"/>
    </sheetView>
  </sheetViews>
  <sheetFormatPr baseColWidth="10" defaultColWidth="12.5703125" defaultRowHeight="15"/>
  <cols>
    <col min="1" max="1" width="60.140625" style="1" customWidth="1"/>
    <col min="2" max="2" width="10.28515625" style="1" customWidth="1"/>
    <col min="3" max="3" width="20.140625" style="1" customWidth="1"/>
    <col min="4" max="4" width="13" style="1" customWidth="1"/>
    <col min="5" max="5" width="23.28515625" style="1" customWidth="1"/>
    <col min="6" max="6" width="24.5703125" style="1" customWidth="1"/>
    <col min="7" max="7" width="10.28515625" style="3" customWidth="1"/>
    <col min="8" max="8" width="14.140625" style="1" customWidth="1"/>
    <col min="9" max="9" width="10.42578125" style="1" customWidth="1"/>
    <col min="10" max="10" width="14.28515625" style="2" customWidth="1"/>
    <col min="11" max="11" width="19.7109375" style="2" customWidth="1"/>
    <col min="12" max="12" width="13.28515625" style="1" customWidth="1"/>
    <col min="13" max="13" width="15.7109375" style="1" customWidth="1"/>
    <col min="14" max="14" width="16.42578125" style="1" customWidth="1"/>
    <col min="15" max="15" width="12.28515625" style="1" customWidth="1"/>
    <col min="16" max="16" width="5.140625" style="1" customWidth="1"/>
    <col min="17" max="17" width="8.7109375" style="1" customWidth="1"/>
    <col min="18" max="18" width="20.7109375" style="1" customWidth="1"/>
    <col min="19" max="19" width="25.140625" style="1" customWidth="1"/>
    <col min="20" max="20" width="18.5703125" style="1" customWidth="1"/>
    <col min="21" max="21" width="37.4257812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50" ht="37.5" customHeight="1">
      <c r="A1" s="675"/>
      <c r="B1" s="678" t="s">
        <v>95</v>
      </c>
      <c r="C1" s="679"/>
      <c r="D1" s="679"/>
      <c r="E1" s="679"/>
      <c r="F1" s="679"/>
      <c r="G1" s="679"/>
      <c r="H1" s="680"/>
      <c r="I1" s="684" t="s">
        <v>96</v>
      </c>
      <c r="J1" s="685"/>
      <c r="K1" s="685"/>
      <c r="L1" s="686"/>
      <c r="M1" s="687"/>
      <c r="N1" s="688"/>
      <c r="O1" s="39"/>
      <c r="P1" s="39"/>
      <c r="Q1" s="39"/>
    </row>
    <row r="2" spans="1:250" ht="15.75">
      <c r="A2" s="676"/>
      <c r="B2" s="681"/>
      <c r="C2" s="682"/>
      <c r="D2" s="682"/>
      <c r="E2" s="682"/>
      <c r="F2" s="682"/>
      <c r="G2" s="682"/>
      <c r="H2" s="683"/>
      <c r="I2" s="684" t="s">
        <v>97</v>
      </c>
      <c r="J2" s="685"/>
      <c r="K2" s="685"/>
      <c r="L2" s="686"/>
      <c r="M2" s="689"/>
      <c r="N2" s="690"/>
      <c r="O2" s="39"/>
      <c r="P2" s="39"/>
      <c r="Q2" s="39"/>
    </row>
    <row r="3" spans="1:250" ht="33.75" customHeight="1">
      <c r="A3" s="676"/>
      <c r="B3" s="678" t="s">
        <v>98</v>
      </c>
      <c r="C3" s="679"/>
      <c r="D3" s="679"/>
      <c r="E3" s="679"/>
      <c r="F3" s="679"/>
      <c r="G3" s="679"/>
      <c r="H3" s="680"/>
      <c r="I3" s="684" t="s">
        <v>99</v>
      </c>
      <c r="J3" s="685"/>
      <c r="K3" s="685"/>
      <c r="L3" s="686"/>
      <c r="M3" s="689"/>
      <c r="N3" s="690"/>
      <c r="O3" s="39"/>
      <c r="P3" s="39"/>
      <c r="Q3" s="39"/>
    </row>
    <row r="4" spans="1:250" ht="15.75">
      <c r="A4" s="677"/>
      <c r="B4" s="681"/>
      <c r="C4" s="682"/>
      <c r="D4" s="682"/>
      <c r="E4" s="682"/>
      <c r="F4" s="682"/>
      <c r="G4" s="682"/>
      <c r="H4" s="683"/>
      <c r="I4" s="684" t="s">
        <v>100</v>
      </c>
      <c r="J4" s="685"/>
      <c r="K4" s="685"/>
      <c r="L4" s="686"/>
      <c r="M4" s="691"/>
      <c r="N4" s="692"/>
      <c r="O4" s="39"/>
      <c r="P4" s="39"/>
      <c r="Q4" s="39"/>
    </row>
    <row r="5" spans="1:250" ht="15.75">
      <c r="A5" s="530"/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39"/>
      <c r="P5" s="39"/>
      <c r="Q5" s="39"/>
    </row>
    <row r="6" spans="1:250" ht="15.75">
      <c r="A6" s="532" t="s">
        <v>138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39"/>
      <c r="P6" s="39"/>
      <c r="Q6" s="39"/>
    </row>
    <row r="7" spans="1:250" ht="24.75" customHeight="1">
      <c r="A7" s="40" t="s">
        <v>328</v>
      </c>
      <c r="B7" s="532" t="s">
        <v>468</v>
      </c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</row>
    <row r="8" spans="1:250" ht="15.75">
      <c r="A8" s="103" t="s">
        <v>32</v>
      </c>
      <c r="B8" s="544" t="s">
        <v>33</v>
      </c>
      <c r="C8" s="544"/>
      <c r="D8" s="544"/>
      <c r="E8" s="544"/>
      <c r="F8" s="544"/>
      <c r="G8" s="940" t="s">
        <v>393</v>
      </c>
      <c r="H8" s="940"/>
      <c r="I8" s="940"/>
      <c r="J8" s="546" t="s">
        <v>31</v>
      </c>
      <c r="K8" s="546"/>
      <c r="L8" s="546"/>
      <c r="M8" s="546"/>
      <c r="N8" s="546"/>
      <c r="O8" s="42"/>
      <c r="P8" s="42"/>
      <c r="Q8" s="42"/>
      <c r="S8" s="790"/>
      <c r="T8" s="790"/>
      <c r="U8" s="790"/>
      <c r="V8" s="790"/>
      <c r="W8" s="790"/>
    </row>
    <row r="9" spans="1:250" ht="15.75">
      <c r="A9" s="129" t="s">
        <v>30</v>
      </c>
      <c r="B9" s="536" t="s">
        <v>36</v>
      </c>
      <c r="C9" s="544"/>
      <c r="D9" s="544"/>
      <c r="E9" s="544"/>
      <c r="F9" s="544"/>
      <c r="G9" s="940"/>
      <c r="H9" s="940"/>
      <c r="I9" s="940"/>
      <c r="J9" s="82" t="s">
        <v>29</v>
      </c>
      <c r="K9" s="547" t="s">
        <v>28</v>
      </c>
      <c r="L9" s="547"/>
      <c r="M9" s="547"/>
      <c r="N9" s="82" t="s">
        <v>27</v>
      </c>
      <c r="O9" s="42"/>
      <c r="P9" s="42"/>
      <c r="Q9" s="42"/>
      <c r="S9" s="169"/>
      <c r="T9" s="169"/>
      <c r="U9" s="169"/>
      <c r="V9" s="169"/>
      <c r="W9" s="169"/>
    </row>
    <row r="10" spans="1:250" ht="15.75">
      <c r="A10" s="100" t="s">
        <v>26</v>
      </c>
      <c r="B10" s="536" t="s">
        <v>452</v>
      </c>
      <c r="C10" s="536"/>
      <c r="D10" s="536"/>
      <c r="E10" s="536"/>
      <c r="F10" s="536"/>
      <c r="G10" s="940"/>
      <c r="H10" s="940"/>
      <c r="I10" s="940"/>
      <c r="J10" s="45"/>
      <c r="K10" s="935"/>
      <c r="L10" s="935"/>
      <c r="M10" s="935"/>
      <c r="N10" s="239"/>
      <c r="O10" s="42"/>
      <c r="P10" s="42"/>
      <c r="Q10" s="42"/>
      <c r="S10" s="170"/>
      <c r="T10" s="791"/>
      <c r="U10" s="791"/>
      <c r="V10" s="791"/>
      <c r="W10" s="170"/>
      <c r="Y10" s="81"/>
      <c r="Z10" s="81"/>
    </row>
    <row r="11" spans="1:250" ht="42.75" customHeight="1">
      <c r="A11" s="102" t="s">
        <v>25</v>
      </c>
      <c r="B11" s="536" t="s">
        <v>67</v>
      </c>
      <c r="C11" s="536"/>
      <c r="D11" s="536"/>
      <c r="E11" s="536"/>
      <c r="F11" s="536"/>
      <c r="G11" s="940"/>
      <c r="H11" s="940"/>
      <c r="I11" s="940"/>
      <c r="J11" s="83"/>
      <c r="K11" s="539"/>
      <c r="L11" s="539"/>
      <c r="M11" s="539"/>
      <c r="N11" s="48"/>
      <c r="O11" s="42"/>
      <c r="P11" s="42"/>
      <c r="Q11" s="42"/>
      <c r="S11" s="49"/>
      <c r="T11" s="789"/>
      <c r="U11" s="789"/>
      <c r="V11" s="789"/>
      <c r="W11" s="7"/>
      <c r="Y11" s="14"/>
      <c r="Z11" s="5"/>
      <c r="AA11" s="12"/>
    </row>
    <row r="12" spans="1:250" ht="15.75">
      <c r="A12" s="238" t="s">
        <v>24</v>
      </c>
      <c r="B12" s="941">
        <v>2020730010051</v>
      </c>
      <c r="C12" s="941"/>
      <c r="D12" s="941"/>
      <c r="E12" s="941"/>
      <c r="F12" s="941"/>
      <c r="G12" s="940"/>
      <c r="H12" s="940"/>
      <c r="I12" s="940"/>
      <c r="J12" s="51"/>
      <c r="K12" s="543"/>
      <c r="L12" s="543"/>
      <c r="M12" s="543"/>
      <c r="N12" s="52"/>
      <c r="O12" s="42"/>
      <c r="P12" s="42"/>
      <c r="Q12" s="42"/>
      <c r="S12" s="49"/>
      <c r="T12" s="789"/>
      <c r="U12" s="789"/>
      <c r="V12" s="789"/>
      <c r="W12" s="7"/>
      <c r="Y12" s="14"/>
      <c r="Z12" s="5"/>
      <c r="AA12" s="12"/>
    </row>
    <row r="13" spans="1:250" ht="35.25" customHeight="1">
      <c r="A13" s="237" t="s">
        <v>343</v>
      </c>
      <c r="B13" s="765" t="s">
        <v>133</v>
      </c>
      <c r="C13" s="765"/>
      <c r="D13" s="765"/>
      <c r="E13" s="765"/>
      <c r="F13" s="765"/>
      <c r="G13" s="940"/>
      <c r="H13" s="940"/>
      <c r="I13" s="940"/>
      <c r="J13" s="85"/>
      <c r="K13" s="543"/>
      <c r="L13" s="543"/>
      <c r="M13" s="543"/>
      <c r="N13" s="53"/>
      <c r="O13" s="42"/>
      <c r="P13" s="42"/>
      <c r="Q13" s="42"/>
      <c r="S13" s="54"/>
      <c r="T13" s="789"/>
      <c r="U13" s="789"/>
      <c r="V13" s="218"/>
      <c r="W13" s="7"/>
      <c r="X13" s="17"/>
      <c r="Y13" s="14"/>
      <c r="Z13" s="5"/>
      <c r="AA13" s="12"/>
    </row>
    <row r="14" spans="1:250" ht="15.75" customHeight="1">
      <c r="A14" s="541" t="s">
        <v>23</v>
      </c>
      <c r="B14" s="533" t="s">
        <v>22</v>
      </c>
      <c r="C14" s="534" t="s">
        <v>21</v>
      </c>
      <c r="D14" s="534" t="s">
        <v>20</v>
      </c>
      <c r="E14" s="534" t="s">
        <v>128</v>
      </c>
      <c r="F14" s="534" t="s">
        <v>135</v>
      </c>
      <c r="G14" s="534"/>
      <c r="H14" s="534"/>
      <c r="I14" s="534"/>
      <c r="J14" s="534" t="s">
        <v>17</v>
      </c>
      <c r="K14" s="534"/>
      <c r="L14" s="936" t="s">
        <v>16</v>
      </c>
      <c r="M14" s="937"/>
      <c r="N14" s="937"/>
      <c r="O14" s="3"/>
      <c r="P14" s="3"/>
      <c r="Q14" s="3"/>
      <c r="R14" s="3"/>
      <c r="S14" s="18"/>
      <c r="T14" s="942"/>
      <c r="U14" s="942"/>
      <c r="V14" s="3"/>
      <c r="W14" s="7"/>
      <c r="X14" s="3"/>
      <c r="Y14" s="16"/>
      <c r="Z14" s="5"/>
      <c r="AA14" s="12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pans="1:250" ht="15" customHeight="1">
      <c r="A15" s="541"/>
      <c r="B15" s="534"/>
      <c r="C15" s="534"/>
      <c r="D15" s="534"/>
      <c r="E15" s="534"/>
      <c r="F15" s="534"/>
      <c r="G15" s="534"/>
      <c r="H15" s="534"/>
      <c r="I15" s="534"/>
      <c r="J15" s="534"/>
      <c r="K15" s="534"/>
      <c r="L15" s="938"/>
      <c r="M15" s="939"/>
      <c r="N15" s="939"/>
      <c r="O15" s="3"/>
      <c r="P15" s="3"/>
      <c r="Q15" s="3"/>
      <c r="R15" s="3"/>
      <c r="S15" s="17"/>
      <c r="T15" s="942"/>
      <c r="U15" s="942"/>
      <c r="V15" s="3"/>
      <c r="W15" s="6"/>
      <c r="X15" s="3"/>
      <c r="Y15" s="16"/>
      <c r="Z15" s="5"/>
      <c r="AA15" s="12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30">
      <c r="A16" s="541"/>
      <c r="B16" s="534"/>
      <c r="C16" s="534"/>
      <c r="D16" s="534"/>
      <c r="E16" s="534"/>
      <c r="F16" s="84" t="s">
        <v>12</v>
      </c>
      <c r="G16" s="84" t="s">
        <v>11</v>
      </c>
      <c r="H16" s="84" t="s">
        <v>10</v>
      </c>
      <c r="I16" s="10" t="s">
        <v>9</v>
      </c>
      <c r="J16" s="84" t="s">
        <v>8</v>
      </c>
      <c r="K16" s="256" t="s">
        <v>7</v>
      </c>
      <c r="L16" s="256" t="s">
        <v>15</v>
      </c>
      <c r="M16" s="256" t="s">
        <v>14</v>
      </c>
      <c r="N16" s="256" t="s">
        <v>13</v>
      </c>
      <c r="O16" s="3"/>
      <c r="P16" s="143"/>
      <c r="Q16" s="84" t="s">
        <v>321</v>
      </c>
      <c r="R16" s="84" t="s">
        <v>27</v>
      </c>
      <c r="S16" s="261" t="s">
        <v>366</v>
      </c>
      <c r="T16" s="942"/>
      <c r="U16" s="942"/>
      <c r="W16" s="5"/>
      <c r="Y16" s="16"/>
      <c r="Z16" s="5"/>
      <c r="AA16" s="12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7" ht="33" customHeight="1">
      <c r="A17" s="484" t="s">
        <v>444</v>
      </c>
      <c r="B17" s="258" t="s">
        <v>1</v>
      </c>
      <c r="C17" s="483" t="s">
        <v>304</v>
      </c>
      <c r="D17" s="283">
        <v>1</v>
      </c>
      <c r="E17" s="207">
        <f t="shared" ref="E17:E48" si="0">F17</f>
        <v>800000000</v>
      </c>
      <c r="F17" s="207">
        <v>800000000</v>
      </c>
      <c r="G17" s="11">
        <v>0</v>
      </c>
      <c r="H17" s="11">
        <v>0</v>
      </c>
      <c r="I17" s="11">
        <v>0</v>
      </c>
      <c r="J17" s="932">
        <v>44929</v>
      </c>
      <c r="K17" s="932">
        <v>45290</v>
      </c>
      <c r="L17" s="933">
        <f>D18/D17</f>
        <v>1</v>
      </c>
      <c r="M17" s="933">
        <f>E18/E17</f>
        <v>0.99762150000000005</v>
      </c>
      <c r="N17" s="934">
        <f>L17*L17/M17</f>
        <v>1.0023841707501291</v>
      </c>
      <c r="O17" s="80"/>
      <c r="P17" s="150" t="s">
        <v>1</v>
      </c>
      <c r="Q17" s="148">
        <v>1</v>
      </c>
      <c r="R17" s="163">
        <f>F17+F19+F21+F23+F25</f>
        <v>864950000</v>
      </c>
      <c r="S17" s="164"/>
      <c r="T17" s="942"/>
      <c r="U17" s="942"/>
      <c r="W17" s="4"/>
      <c r="Y17" s="14"/>
      <c r="Z17" s="5"/>
      <c r="AA17" s="12"/>
    </row>
    <row r="18" spans="1:27" ht="33" customHeight="1">
      <c r="A18" s="484"/>
      <c r="B18" s="258" t="s">
        <v>0</v>
      </c>
      <c r="C18" s="483"/>
      <c r="D18" s="283">
        <v>1</v>
      </c>
      <c r="E18" s="207">
        <f t="shared" si="0"/>
        <v>798097200</v>
      </c>
      <c r="F18" s="207">
        <f>798912500-210000-510000-510000+414700</f>
        <v>798097200</v>
      </c>
      <c r="G18" s="11">
        <v>0</v>
      </c>
      <c r="H18" s="11">
        <v>0</v>
      </c>
      <c r="I18" s="11">
        <v>0</v>
      </c>
      <c r="J18" s="932"/>
      <c r="K18" s="932"/>
      <c r="L18" s="933"/>
      <c r="M18" s="933"/>
      <c r="N18" s="934"/>
      <c r="O18" s="80"/>
      <c r="P18" s="150" t="s">
        <v>0</v>
      </c>
      <c r="Q18" s="149"/>
      <c r="R18" s="163">
        <f>F18+F20+F22+F24+F26</f>
        <v>859828200</v>
      </c>
      <c r="S18" s="166">
        <f>63879500+3600000</f>
        <v>67479500</v>
      </c>
      <c r="W18" s="13"/>
      <c r="Y18" s="14"/>
      <c r="Z18" s="5"/>
      <c r="AA18" s="12"/>
    </row>
    <row r="19" spans="1:27" ht="37.9" customHeight="1">
      <c r="A19" s="484" t="s">
        <v>338</v>
      </c>
      <c r="B19" s="258" t="s">
        <v>1</v>
      </c>
      <c r="C19" s="483" t="s">
        <v>120</v>
      </c>
      <c r="D19" s="283">
        <v>1</v>
      </c>
      <c r="E19" s="207">
        <f t="shared" si="0"/>
        <v>20000000</v>
      </c>
      <c r="F19" s="207">
        <v>20000000</v>
      </c>
      <c r="G19" s="11">
        <v>0</v>
      </c>
      <c r="H19" s="11">
        <v>0</v>
      </c>
      <c r="I19" s="11">
        <v>0</v>
      </c>
      <c r="J19" s="932">
        <v>44927</v>
      </c>
      <c r="K19" s="932">
        <v>45290</v>
      </c>
      <c r="L19" s="933">
        <f>D20/D19</f>
        <v>1</v>
      </c>
      <c r="M19" s="933">
        <f>E20/E19</f>
        <v>1</v>
      </c>
      <c r="N19" s="934">
        <f t="shared" ref="N19" si="1">L19*L19/M19</f>
        <v>1</v>
      </c>
      <c r="S19" s="166"/>
      <c r="W19" s="13"/>
      <c r="Y19" s="14"/>
      <c r="Z19" s="5"/>
      <c r="AA19" s="12"/>
    </row>
    <row r="20" spans="1:27" ht="36.6" customHeight="1">
      <c r="A20" s="484"/>
      <c r="B20" s="258" t="s">
        <v>0</v>
      </c>
      <c r="C20" s="483"/>
      <c r="D20" s="283">
        <v>1</v>
      </c>
      <c r="E20" s="207">
        <f t="shared" si="0"/>
        <v>20000000</v>
      </c>
      <c r="F20" s="207">
        <v>20000000</v>
      </c>
      <c r="G20" s="11">
        <v>0</v>
      </c>
      <c r="H20" s="11">
        <v>0</v>
      </c>
      <c r="I20" s="11">
        <v>0</v>
      </c>
      <c r="J20" s="932"/>
      <c r="K20" s="932"/>
      <c r="L20" s="933"/>
      <c r="M20" s="933"/>
      <c r="N20" s="934"/>
      <c r="S20" s="166"/>
      <c r="W20" s="13"/>
      <c r="Y20" s="14"/>
      <c r="Z20" s="5"/>
      <c r="AA20" s="12"/>
    </row>
    <row r="21" spans="1:27" ht="31.5" customHeight="1">
      <c r="A21" s="484" t="s">
        <v>392</v>
      </c>
      <c r="B21" s="258" t="s">
        <v>1</v>
      </c>
      <c r="C21" s="483" t="s">
        <v>391</v>
      </c>
      <c r="D21" s="283">
        <v>1</v>
      </c>
      <c r="E21" s="207">
        <f t="shared" si="0"/>
        <v>13440000</v>
      </c>
      <c r="F21" s="11">
        <f>10000000+3440000</f>
        <v>13440000</v>
      </c>
      <c r="G21" s="11">
        <v>0</v>
      </c>
      <c r="H21" s="11">
        <v>0</v>
      </c>
      <c r="I21" s="11">
        <v>0</v>
      </c>
      <c r="J21" s="932">
        <v>44927</v>
      </c>
      <c r="K21" s="932">
        <v>45290</v>
      </c>
      <c r="L21" s="933">
        <f>D22/D21</f>
        <v>1</v>
      </c>
      <c r="M21" s="933">
        <f>E22/E21</f>
        <v>1</v>
      </c>
      <c r="N21" s="934">
        <f t="shared" ref="N21" si="2">L21*L21/M21</f>
        <v>1</v>
      </c>
      <c r="S21" s="166"/>
      <c r="W21" s="13"/>
    </row>
    <row r="22" spans="1:27" ht="31.5" customHeight="1">
      <c r="A22" s="484"/>
      <c r="B22" s="258" t="s">
        <v>0</v>
      </c>
      <c r="C22" s="483"/>
      <c r="D22" s="283">
        <v>1</v>
      </c>
      <c r="E22" s="207">
        <f t="shared" si="0"/>
        <v>13440000</v>
      </c>
      <c r="F22" s="11">
        <v>13440000</v>
      </c>
      <c r="G22" s="11">
        <v>0</v>
      </c>
      <c r="H22" s="11">
        <v>0</v>
      </c>
      <c r="I22" s="11">
        <v>0</v>
      </c>
      <c r="J22" s="932"/>
      <c r="K22" s="932"/>
      <c r="L22" s="933"/>
      <c r="M22" s="933"/>
      <c r="N22" s="934"/>
      <c r="S22" s="166"/>
      <c r="AA22" s="12"/>
    </row>
    <row r="23" spans="1:27" ht="24.75" customHeight="1">
      <c r="A23" s="484" t="s">
        <v>390</v>
      </c>
      <c r="B23" s="258" t="s">
        <v>1</v>
      </c>
      <c r="C23" s="483" t="s">
        <v>122</v>
      </c>
      <c r="D23" s="283">
        <v>1</v>
      </c>
      <c r="E23" s="207">
        <f t="shared" si="0"/>
        <v>21510000</v>
      </c>
      <c r="F23" s="11">
        <f>20000000+1510000</f>
        <v>21510000</v>
      </c>
      <c r="G23" s="11">
        <v>0</v>
      </c>
      <c r="H23" s="11">
        <v>0</v>
      </c>
      <c r="I23" s="11">
        <v>0</v>
      </c>
      <c r="J23" s="932">
        <v>44958</v>
      </c>
      <c r="K23" s="932">
        <v>45290</v>
      </c>
      <c r="L23" s="933">
        <f>D24/D23</f>
        <v>1</v>
      </c>
      <c r="M23" s="933">
        <f>E24/E23</f>
        <v>1</v>
      </c>
      <c r="N23" s="934">
        <f t="shared" ref="N23" si="3">L23*L23/M23</f>
        <v>1</v>
      </c>
      <c r="S23" s="166"/>
      <c r="AA23" s="12"/>
    </row>
    <row r="24" spans="1:27" ht="24.75" customHeight="1">
      <c r="A24" s="484"/>
      <c r="B24" s="258" t="s">
        <v>0</v>
      </c>
      <c r="C24" s="483"/>
      <c r="D24" s="283">
        <v>1</v>
      </c>
      <c r="E24" s="207">
        <f t="shared" si="0"/>
        <v>21510000</v>
      </c>
      <c r="F24" s="11">
        <v>21510000</v>
      </c>
      <c r="G24" s="11">
        <v>0</v>
      </c>
      <c r="H24" s="11">
        <v>0</v>
      </c>
      <c r="I24" s="11">
        <v>0</v>
      </c>
      <c r="J24" s="932"/>
      <c r="K24" s="932"/>
      <c r="L24" s="933"/>
      <c r="M24" s="933"/>
      <c r="N24" s="934"/>
      <c r="S24" s="166"/>
      <c r="AA24" s="12"/>
    </row>
    <row r="25" spans="1:27" ht="32.25" customHeight="1">
      <c r="A25" s="484" t="s">
        <v>136</v>
      </c>
      <c r="B25" s="258" t="s">
        <v>1</v>
      </c>
      <c r="C25" s="483" t="s">
        <v>303</v>
      </c>
      <c r="D25" s="283">
        <v>1</v>
      </c>
      <c r="E25" s="207">
        <f t="shared" si="0"/>
        <v>10000000</v>
      </c>
      <c r="F25" s="207">
        <v>10000000</v>
      </c>
      <c r="G25" s="11">
        <v>0</v>
      </c>
      <c r="H25" s="11">
        <v>0</v>
      </c>
      <c r="I25" s="11">
        <v>0</v>
      </c>
      <c r="J25" s="932">
        <v>44958</v>
      </c>
      <c r="K25" s="932">
        <v>45290</v>
      </c>
      <c r="L25" s="933">
        <f>D26/D25</f>
        <v>1</v>
      </c>
      <c r="M25" s="933">
        <f>E26/E25</f>
        <v>0.67810000000000004</v>
      </c>
      <c r="N25" s="934">
        <f t="shared" ref="N25" si="4">L25*L25/M25</f>
        <v>1.474708745022858</v>
      </c>
      <c r="S25" s="166"/>
      <c r="AA25" s="12"/>
    </row>
    <row r="26" spans="1:27" ht="32.25" customHeight="1">
      <c r="A26" s="484"/>
      <c r="B26" s="258" t="s">
        <v>0</v>
      </c>
      <c r="C26" s="483"/>
      <c r="D26" s="316">
        <v>1</v>
      </c>
      <c r="E26" s="207">
        <f t="shared" si="0"/>
        <v>6781000</v>
      </c>
      <c r="F26" s="11">
        <v>6781000</v>
      </c>
      <c r="G26" s="11">
        <v>0</v>
      </c>
      <c r="H26" s="11">
        <v>0</v>
      </c>
      <c r="I26" s="11">
        <v>0</v>
      </c>
      <c r="J26" s="932"/>
      <c r="K26" s="932"/>
      <c r="L26" s="933"/>
      <c r="M26" s="933"/>
      <c r="N26" s="934"/>
      <c r="S26" s="166"/>
      <c r="AA26" s="12"/>
    </row>
    <row r="27" spans="1:27" ht="24" customHeight="1">
      <c r="A27" s="454" t="s">
        <v>302</v>
      </c>
      <c r="B27" s="258" t="s">
        <v>1</v>
      </c>
      <c r="C27" s="483" t="s">
        <v>301</v>
      </c>
      <c r="D27" s="316">
        <v>1</v>
      </c>
      <c r="E27" s="207">
        <f t="shared" si="0"/>
        <v>20800000</v>
      </c>
      <c r="F27" s="11">
        <f>20000000+800000</f>
        <v>20800000</v>
      </c>
      <c r="G27" s="11">
        <v>0</v>
      </c>
      <c r="H27" s="11">
        <v>0</v>
      </c>
      <c r="I27" s="11">
        <v>0</v>
      </c>
      <c r="J27" s="932">
        <v>44971</v>
      </c>
      <c r="K27" s="932">
        <v>45290</v>
      </c>
      <c r="L27" s="933">
        <f>D28/D27</f>
        <v>1</v>
      </c>
      <c r="M27" s="933">
        <f>E28/E27</f>
        <v>1</v>
      </c>
      <c r="N27" s="934">
        <f t="shared" ref="N27" si="5">L27*L27/M27</f>
        <v>1</v>
      </c>
      <c r="O27" s="80"/>
      <c r="P27" s="143"/>
      <c r="Q27" s="84" t="s">
        <v>321</v>
      </c>
      <c r="R27" s="84" t="s">
        <v>27</v>
      </c>
      <c r="S27" s="166"/>
    </row>
    <row r="28" spans="1:27" ht="24" customHeight="1">
      <c r="A28" s="454"/>
      <c r="B28" s="258" t="s">
        <v>0</v>
      </c>
      <c r="C28" s="483"/>
      <c r="D28" s="316">
        <v>1</v>
      </c>
      <c r="E28" s="207">
        <f t="shared" si="0"/>
        <v>20800000</v>
      </c>
      <c r="F28" s="11">
        <v>20800000</v>
      </c>
      <c r="G28" s="11">
        <v>0</v>
      </c>
      <c r="H28" s="11">
        <v>0</v>
      </c>
      <c r="I28" s="11">
        <v>0</v>
      </c>
      <c r="J28" s="932"/>
      <c r="K28" s="932"/>
      <c r="L28" s="933"/>
      <c r="M28" s="933"/>
      <c r="N28" s="934"/>
      <c r="O28" s="80"/>
      <c r="P28" s="150" t="s">
        <v>1</v>
      </c>
      <c r="Q28" s="148">
        <v>2</v>
      </c>
      <c r="R28" s="173">
        <f>F27</f>
        <v>20800000</v>
      </c>
      <c r="S28" s="166"/>
    </row>
    <row r="29" spans="1:27" ht="36" customHeight="1">
      <c r="A29" s="482" t="s">
        <v>389</v>
      </c>
      <c r="B29" s="153" t="s">
        <v>1</v>
      </c>
      <c r="C29" s="483" t="s">
        <v>424</v>
      </c>
      <c r="D29" s="317">
        <v>1</v>
      </c>
      <c r="E29" s="207">
        <f t="shared" si="0"/>
        <v>3999000</v>
      </c>
      <c r="F29" s="11">
        <f>20000000-3440000-1510000-800000-10251000</f>
        <v>3999000</v>
      </c>
      <c r="G29" s="11">
        <v>0</v>
      </c>
      <c r="H29" s="11">
        <v>0</v>
      </c>
      <c r="I29" s="11">
        <v>0</v>
      </c>
      <c r="J29" s="932">
        <v>44958</v>
      </c>
      <c r="K29" s="932">
        <v>45290</v>
      </c>
      <c r="L29" s="933">
        <f>D30/D29</f>
        <v>1</v>
      </c>
      <c r="M29" s="933">
        <f>E30/E29</f>
        <v>1</v>
      </c>
      <c r="N29" s="934">
        <f t="shared" ref="N29" si="6">L29*L29/M29</f>
        <v>1</v>
      </c>
      <c r="O29" s="80"/>
      <c r="P29" s="150" t="s">
        <v>0</v>
      </c>
      <c r="Q29" s="149"/>
      <c r="R29" s="173">
        <f>F28</f>
        <v>20800000</v>
      </c>
      <c r="S29" s="166">
        <v>7200000</v>
      </c>
    </row>
    <row r="30" spans="1:27" ht="36" customHeight="1">
      <c r="A30" s="482"/>
      <c r="B30" s="153" t="s">
        <v>0</v>
      </c>
      <c r="C30" s="483"/>
      <c r="D30" s="317">
        <v>1</v>
      </c>
      <c r="E30" s="207">
        <f t="shared" si="0"/>
        <v>3999000</v>
      </c>
      <c r="F30" s="11">
        <f>2187000+31000+1781000</f>
        <v>3999000</v>
      </c>
      <c r="G30" s="11">
        <v>0</v>
      </c>
      <c r="H30" s="11">
        <v>0</v>
      </c>
      <c r="I30" s="11">
        <v>0</v>
      </c>
      <c r="J30" s="932"/>
      <c r="K30" s="932"/>
      <c r="L30" s="933"/>
      <c r="M30" s="933"/>
      <c r="N30" s="934"/>
      <c r="O30" s="80"/>
      <c r="P30" s="150" t="s">
        <v>1</v>
      </c>
      <c r="Q30" s="148">
        <v>3</v>
      </c>
      <c r="R30" s="173">
        <f t="shared" ref="R30:R35" si="7">F29</f>
        <v>3999000</v>
      </c>
      <c r="S30" s="166"/>
    </row>
    <row r="31" spans="1:27" ht="31.5" customHeight="1">
      <c r="A31" s="454" t="s">
        <v>332</v>
      </c>
      <c r="B31" s="258" t="s">
        <v>1</v>
      </c>
      <c r="C31" s="483" t="s">
        <v>425</v>
      </c>
      <c r="D31" s="276">
        <v>15</v>
      </c>
      <c r="E31" s="207">
        <f t="shared" si="0"/>
        <v>18000000</v>
      </c>
      <c r="F31" s="11">
        <v>18000000</v>
      </c>
      <c r="G31" s="11">
        <v>0</v>
      </c>
      <c r="H31" s="11">
        <v>0</v>
      </c>
      <c r="I31" s="11">
        <v>0</v>
      </c>
      <c r="J31" s="932">
        <v>44986</v>
      </c>
      <c r="K31" s="932">
        <v>45290</v>
      </c>
      <c r="L31" s="933">
        <f>D32/D31</f>
        <v>1</v>
      </c>
      <c r="M31" s="933">
        <f>E32/E31</f>
        <v>2.8333333333333332E-2</v>
      </c>
      <c r="N31" s="934">
        <v>0</v>
      </c>
      <c r="O31" s="80"/>
      <c r="P31" s="150" t="s">
        <v>0</v>
      </c>
      <c r="Q31" s="149"/>
      <c r="R31" s="173">
        <f t="shared" si="7"/>
        <v>3999000</v>
      </c>
      <c r="S31" s="166"/>
      <c r="AA31" s="12"/>
    </row>
    <row r="32" spans="1:27" ht="31.5" customHeight="1">
      <c r="A32" s="454"/>
      <c r="B32" s="258" t="s">
        <v>0</v>
      </c>
      <c r="C32" s="483"/>
      <c r="D32" s="276">
        <v>15</v>
      </c>
      <c r="E32" s="207">
        <f t="shared" si="0"/>
        <v>510000</v>
      </c>
      <c r="F32" s="11">
        <v>510000</v>
      </c>
      <c r="G32" s="11">
        <v>0</v>
      </c>
      <c r="H32" s="11">
        <v>0</v>
      </c>
      <c r="I32" s="11">
        <v>0</v>
      </c>
      <c r="J32" s="932"/>
      <c r="K32" s="932"/>
      <c r="L32" s="933"/>
      <c r="M32" s="933"/>
      <c r="N32" s="934"/>
      <c r="O32" s="80"/>
      <c r="P32" s="150" t="s">
        <v>1</v>
      </c>
      <c r="Q32" s="148">
        <v>5</v>
      </c>
      <c r="R32" s="173">
        <f t="shared" si="7"/>
        <v>18000000</v>
      </c>
      <c r="S32" s="166"/>
      <c r="AA32" s="12"/>
    </row>
    <row r="33" spans="1:27" ht="27.75" customHeight="1">
      <c r="A33" s="482" t="s">
        <v>300</v>
      </c>
      <c r="B33" s="258" t="s">
        <v>1</v>
      </c>
      <c r="C33" s="483" t="s">
        <v>122</v>
      </c>
      <c r="D33" s="318">
        <v>1</v>
      </c>
      <c r="E33" s="207">
        <f t="shared" si="0"/>
        <v>5000000</v>
      </c>
      <c r="F33" s="11">
        <v>5000000</v>
      </c>
      <c r="G33" s="11">
        <v>0</v>
      </c>
      <c r="H33" s="11">
        <v>0</v>
      </c>
      <c r="I33" s="11">
        <v>0</v>
      </c>
      <c r="J33" s="932">
        <v>44958</v>
      </c>
      <c r="K33" s="932">
        <v>45290</v>
      </c>
      <c r="L33" s="933">
        <f>D34/D33</f>
        <v>1</v>
      </c>
      <c r="M33" s="933">
        <f>E34/E33</f>
        <v>4.2000000000000003E-2</v>
      </c>
      <c r="N33" s="934">
        <v>0</v>
      </c>
      <c r="O33" s="80"/>
      <c r="P33" s="150" t="s">
        <v>0</v>
      </c>
      <c r="Q33" s="149"/>
      <c r="R33" s="173">
        <f t="shared" si="7"/>
        <v>510000</v>
      </c>
      <c r="S33" s="166"/>
    </row>
    <row r="34" spans="1:27" ht="27.75" customHeight="1">
      <c r="A34" s="482"/>
      <c r="B34" s="258" t="s">
        <v>0</v>
      </c>
      <c r="C34" s="483"/>
      <c r="D34" s="318">
        <v>1</v>
      </c>
      <c r="E34" s="207">
        <f t="shared" si="0"/>
        <v>210000</v>
      </c>
      <c r="F34" s="11">
        <v>210000</v>
      </c>
      <c r="G34" s="11">
        <v>0</v>
      </c>
      <c r="H34" s="11">
        <v>0</v>
      </c>
      <c r="I34" s="11">
        <v>0</v>
      </c>
      <c r="J34" s="932"/>
      <c r="K34" s="932"/>
      <c r="L34" s="933"/>
      <c r="M34" s="933"/>
      <c r="N34" s="934"/>
      <c r="O34" s="80"/>
      <c r="P34" s="150" t="s">
        <v>1</v>
      </c>
      <c r="Q34" s="148">
        <v>10</v>
      </c>
      <c r="R34" s="173">
        <f t="shared" si="7"/>
        <v>5000000</v>
      </c>
      <c r="S34" s="166"/>
    </row>
    <row r="35" spans="1:27" ht="27.75" customHeight="1">
      <c r="A35" s="482" t="s">
        <v>335</v>
      </c>
      <c r="B35" s="258" t="s">
        <v>1</v>
      </c>
      <c r="C35" s="483" t="s">
        <v>426</v>
      </c>
      <c r="D35" s="319">
        <v>1</v>
      </c>
      <c r="E35" s="207">
        <f t="shared" si="0"/>
        <v>85000000</v>
      </c>
      <c r="F35" s="11">
        <v>85000000</v>
      </c>
      <c r="G35" s="11">
        <v>0</v>
      </c>
      <c r="H35" s="11">
        <v>0</v>
      </c>
      <c r="I35" s="11">
        <v>0</v>
      </c>
      <c r="J35" s="932">
        <v>44958</v>
      </c>
      <c r="K35" s="932">
        <v>45290</v>
      </c>
      <c r="L35" s="933">
        <f>D36/D35</f>
        <v>1</v>
      </c>
      <c r="M35" s="933">
        <f>E36/E35</f>
        <v>0.99917411764705877</v>
      </c>
      <c r="N35" s="934">
        <f t="shared" ref="N35" si="8">L35*L35/M35</f>
        <v>1.000826564998387</v>
      </c>
      <c r="O35" s="80"/>
      <c r="P35" s="150"/>
      <c r="Q35" s="177"/>
      <c r="R35" s="173">
        <f t="shared" si="7"/>
        <v>210000</v>
      </c>
      <c r="S35" s="166"/>
    </row>
    <row r="36" spans="1:27" ht="27.75" customHeight="1">
      <c r="A36" s="482"/>
      <c r="B36" s="258" t="s">
        <v>0</v>
      </c>
      <c r="C36" s="483"/>
      <c r="D36" s="319">
        <v>1</v>
      </c>
      <c r="E36" s="207">
        <f t="shared" si="0"/>
        <v>84929800</v>
      </c>
      <c r="F36" s="11">
        <v>84929800</v>
      </c>
      <c r="G36" s="11">
        <v>0</v>
      </c>
      <c r="H36" s="11">
        <v>0</v>
      </c>
      <c r="I36" s="11">
        <v>0</v>
      </c>
      <c r="J36" s="932"/>
      <c r="K36" s="932"/>
      <c r="L36" s="933"/>
      <c r="M36" s="933"/>
      <c r="N36" s="934"/>
      <c r="O36" s="80"/>
      <c r="P36" s="222"/>
      <c r="Q36" s="236"/>
      <c r="R36" s="193"/>
      <c r="S36" s="166"/>
    </row>
    <row r="37" spans="1:27" ht="27" customHeight="1">
      <c r="A37" s="482" t="s">
        <v>121</v>
      </c>
      <c r="B37" s="153" t="s">
        <v>1</v>
      </c>
      <c r="C37" s="483" t="s">
        <v>134</v>
      </c>
      <c r="D37" s="319">
        <v>1</v>
      </c>
      <c r="E37" s="207">
        <f t="shared" si="0"/>
        <v>58251000</v>
      </c>
      <c r="F37" s="11">
        <f>47000000+10251000+1000000</f>
        <v>58251000</v>
      </c>
      <c r="G37" s="11">
        <v>0</v>
      </c>
      <c r="H37" s="11">
        <v>0</v>
      </c>
      <c r="I37" s="11">
        <v>0</v>
      </c>
      <c r="J37" s="932">
        <v>44958</v>
      </c>
      <c r="K37" s="932">
        <v>45290</v>
      </c>
      <c r="L37" s="538">
        <f>D38/D37</f>
        <v>1</v>
      </c>
      <c r="M37" s="538">
        <f>E38/E37</f>
        <v>0.99629982317900123</v>
      </c>
      <c r="N37" s="934">
        <f t="shared" ref="N37" si="9">L37*L37/M37</f>
        <v>1.0037139189779158</v>
      </c>
      <c r="O37" s="80"/>
      <c r="P37" s="150" t="s">
        <v>1</v>
      </c>
      <c r="Q37" s="148">
        <v>6</v>
      </c>
      <c r="R37" s="173">
        <f>F35+F37</f>
        <v>143251000</v>
      </c>
      <c r="S37" s="166"/>
      <c r="AA37" s="12"/>
    </row>
    <row r="38" spans="1:27" ht="27" customHeight="1">
      <c r="A38" s="482"/>
      <c r="B38" s="153" t="s">
        <v>0</v>
      </c>
      <c r="C38" s="483"/>
      <c r="D38" s="319">
        <v>1</v>
      </c>
      <c r="E38" s="207">
        <f t="shared" si="0"/>
        <v>58035461</v>
      </c>
      <c r="F38" s="11">
        <v>58035461</v>
      </c>
      <c r="G38" s="11">
        <v>0</v>
      </c>
      <c r="H38" s="11">
        <v>0</v>
      </c>
      <c r="I38" s="11">
        <v>0</v>
      </c>
      <c r="J38" s="932"/>
      <c r="K38" s="932"/>
      <c r="L38" s="538"/>
      <c r="M38" s="538"/>
      <c r="N38" s="934"/>
      <c r="O38" s="80"/>
      <c r="P38" s="150" t="s">
        <v>0</v>
      </c>
      <c r="Q38" s="149"/>
      <c r="R38" s="173">
        <f>F36+F38</f>
        <v>142965261</v>
      </c>
      <c r="S38" s="166">
        <f>289992+20730723</f>
        <v>21020715</v>
      </c>
      <c r="AA38" s="12"/>
    </row>
    <row r="39" spans="1:27" ht="33" customHeight="1">
      <c r="A39" s="454" t="s">
        <v>445</v>
      </c>
      <c r="B39" s="258" t="s">
        <v>1</v>
      </c>
      <c r="C39" s="483" t="s">
        <v>427</v>
      </c>
      <c r="D39" s="318">
        <v>1</v>
      </c>
      <c r="E39" s="207">
        <f t="shared" si="0"/>
        <v>4000000</v>
      </c>
      <c r="F39" s="11">
        <v>4000000</v>
      </c>
      <c r="G39" s="11">
        <v>0</v>
      </c>
      <c r="H39" s="11">
        <v>0</v>
      </c>
      <c r="I39" s="11">
        <v>0</v>
      </c>
      <c r="J39" s="932">
        <v>44958</v>
      </c>
      <c r="K39" s="932">
        <v>45290</v>
      </c>
      <c r="L39" s="933">
        <f>D40/D39</f>
        <v>1</v>
      </c>
      <c r="M39" s="933">
        <f>E40/E39</f>
        <v>0.1275</v>
      </c>
      <c r="N39" s="934">
        <v>0</v>
      </c>
      <c r="O39" s="80"/>
      <c r="P39" s="150" t="s">
        <v>1</v>
      </c>
      <c r="Q39" s="148">
        <v>7</v>
      </c>
      <c r="R39" s="173">
        <f>F39</f>
        <v>4000000</v>
      </c>
      <c r="S39" s="166"/>
    </row>
    <row r="40" spans="1:27" ht="33" customHeight="1">
      <c r="A40" s="493"/>
      <c r="B40" s="258" t="s">
        <v>0</v>
      </c>
      <c r="C40" s="483"/>
      <c r="D40" s="318">
        <v>1</v>
      </c>
      <c r="E40" s="207">
        <f t="shared" si="0"/>
        <v>510000</v>
      </c>
      <c r="F40" s="11">
        <v>510000</v>
      </c>
      <c r="G40" s="11">
        <v>0</v>
      </c>
      <c r="H40" s="11">
        <v>0</v>
      </c>
      <c r="I40" s="11">
        <v>0</v>
      </c>
      <c r="J40" s="932"/>
      <c r="K40" s="932"/>
      <c r="L40" s="933"/>
      <c r="M40" s="933"/>
      <c r="N40" s="934"/>
      <c r="O40" s="80"/>
      <c r="P40" s="150" t="s">
        <v>1</v>
      </c>
      <c r="Q40" s="149"/>
      <c r="R40" s="173">
        <f>F40</f>
        <v>510000</v>
      </c>
      <c r="S40" s="166"/>
    </row>
    <row r="41" spans="1:27" ht="22.5" customHeight="1">
      <c r="A41" s="454" t="s">
        <v>137</v>
      </c>
      <c r="B41" s="258" t="s">
        <v>1</v>
      </c>
      <c r="C41" s="483" t="s">
        <v>115</v>
      </c>
      <c r="D41" s="320">
        <v>2</v>
      </c>
      <c r="E41" s="207">
        <f t="shared" si="0"/>
        <v>30000000</v>
      </c>
      <c r="F41" s="11">
        <v>30000000</v>
      </c>
      <c r="G41" s="11">
        <v>0</v>
      </c>
      <c r="H41" s="11">
        <v>0</v>
      </c>
      <c r="I41" s="11">
        <v>0</v>
      </c>
      <c r="J41" s="932">
        <v>44929</v>
      </c>
      <c r="K41" s="932">
        <v>45290</v>
      </c>
      <c r="L41" s="933">
        <f>D42/D41</f>
        <v>1.5</v>
      </c>
      <c r="M41" s="933">
        <f>E42/E41</f>
        <v>1</v>
      </c>
      <c r="N41" s="934">
        <f t="shared" ref="N41" si="10">L41*L41/M41</f>
        <v>2.25</v>
      </c>
      <c r="O41" s="80"/>
      <c r="P41" s="150" t="s">
        <v>0</v>
      </c>
      <c r="Q41" s="148">
        <v>8</v>
      </c>
      <c r="R41" s="173">
        <f>F41</f>
        <v>30000000</v>
      </c>
      <c r="S41" s="166"/>
    </row>
    <row r="42" spans="1:27" ht="22.5" customHeight="1">
      <c r="A42" s="454"/>
      <c r="B42" s="258" t="s">
        <v>0</v>
      </c>
      <c r="C42" s="483"/>
      <c r="D42" s="320">
        <v>3</v>
      </c>
      <c r="E42" s="207">
        <f t="shared" si="0"/>
        <v>30000000</v>
      </c>
      <c r="F42" s="11">
        <v>30000000</v>
      </c>
      <c r="G42" s="11">
        <v>0</v>
      </c>
      <c r="H42" s="11">
        <v>0</v>
      </c>
      <c r="I42" s="11">
        <v>0</v>
      </c>
      <c r="J42" s="932"/>
      <c r="K42" s="932"/>
      <c r="L42" s="933"/>
      <c r="M42" s="933"/>
      <c r="N42" s="934"/>
      <c r="O42" s="80"/>
      <c r="P42" s="150" t="s">
        <v>1</v>
      </c>
      <c r="Q42" s="149"/>
      <c r="R42" s="173">
        <f>F42</f>
        <v>30000000</v>
      </c>
      <c r="S42" s="166"/>
    </row>
    <row r="43" spans="1:27" ht="22.5" customHeight="1">
      <c r="A43" s="484" t="s">
        <v>446</v>
      </c>
      <c r="B43" s="258" t="s">
        <v>1</v>
      </c>
      <c r="C43" s="483" t="s">
        <v>339</v>
      </c>
      <c r="D43" s="320">
        <v>2</v>
      </c>
      <c r="E43" s="207">
        <f t="shared" si="0"/>
        <v>5000000</v>
      </c>
      <c r="F43" s="11">
        <v>5000000</v>
      </c>
      <c r="G43" s="11">
        <v>0</v>
      </c>
      <c r="H43" s="11">
        <v>0</v>
      </c>
      <c r="I43" s="11">
        <v>0</v>
      </c>
      <c r="J43" s="932">
        <v>44971</v>
      </c>
      <c r="K43" s="932">
        <v>45290</v>
      </c>
      <c r="L43" s="933">
        <f>D44/D43</f>
        <v>1</v>
      </c>
      <c r="M43" s="933">
        <f>E44/E43</f>
        <v>1</v>
      </c>
      <c r="N43" s="934">
        <f t="shared" ref="N43" si="11">L43*L43/M43</f>
        <v>1</v>
      </c>
      <c r="O43" s="80"/>
      <c r="P43" s="147"/>
      <c r="Q43" s="81"/>
      <c r="R43" s="193"/>
      <c r="S43" s="166"/>
    </row>
    <row r="44" spans="1:27" ht="22.5" customHeight="1">
      <c r="A44" s="493"/>
      <c r="B44" s="258" t="s">
        <v>0</v>
      </c>
      <c r="C44" s="483"/>
      <c r="D44" s="320">
        <v>2</v>
      </c>
      <c r="E44" s="207">
        <f t="shared" si="0"/>
        <v>5000000</v>
      </c>
      <c r="F44" s="11">
        <f>3000000+2000000</f>
        <v>5000000</v>
      </c>
      <c r="G44" s="11">
        <v>0</v>
      </c>
      <c r="H44" s="11">
        <v>0</v>
      </c>
      <c r="I44" s="11">
        <v>0</v>
      </c>
      <c r="J44" s="932"/>
      <c r="K44" s="932"/>
      <c r="L44" s="933"/>
      <c r="M44" s="933"/>
      <c r="N44" s="934"/>
      <c r="O44" s="80"/>
      <c r="P44" s="147"/>
      <c r="Q44" s="81"/>
      <c r="R44" s="193"/>
      <c r="S44" s="166"/>
    </row>
    <row r="45" spans="1:27" ht="22.5" customHeight="1">
      <c r="A45" s="484" t="s">
        <v>333</v>
      </c>
      <c r="B45" s="258" t="s">
        <v>1</v>
      </c>
      <c r="C45" s="483" t="s">
        <v>340</v>
      </c>
      <c r="D45" s="320">
        <v>1</v>
      </c>
      <c r="E45" s="207">
        <f t="shared" si="0"/>
        <v>2500000</v>
      </c>
      <c r="F45" s="11">
        <v>2500000</v>
      </c>
      <c r="G45" s="11">
        <v>0</v>
      </c>
      <c r="H45" s="11">
        <v>0</v>
      </c>
      <c r="I45" s="11">
        <v>0</v>
      </c>
      <c r="J45" s="932">
        <v>44971</v>
      </c>
      <c r="K45" s="932">
        <v>45290</v>
      </c>
      <c r="L45" s="933">
        <f>D46/D45</f>
        <v>0</v>
      </c>
      <c r="M45" s="933">
        <f>E46/E45</f>
        <v>1</v>
      </c>
      <c r="N45" s="934">
        <f t="shared" ref="N45" si="12">L45*L45/M45</f>
        <v>0</v>
      </c>
      <c r="O45" s="80"/>
      <c r="P45" s="147"/>
      <c r="Q45" s="81"/>
      <c r="R45" s="193"/>
      <c r="S45" s="166"/>
    </row>
    <row r="46" spans="1:27" ht="22.5" customHeight="1">
      <c r="A46" s="493"/>
      <c r="B46" s="258" t="s">
        <v>0</v>
      </c>
      <c r="C46" s="483"/>
      <c r="D46" s="320">
        <v>0</v>
      </c>
      <c r="E46" s="207">
        <f t="shared" si="0"/>
        <v>2500000</v>
      </c>
      <c r="F46" s="11">
        <v>2500000</v>
      </c>
      <c r="G46" s="11">
        <v>0</v>
      </c>
      <c r="H46" s="11">
        <v>0</v>
      </c>
      <c r="I46" s="11">
        <v>0</v>
      </c>
      <c r="J46" s="932"/>
      <c r="K46" s="932"/>
      <c r="L46" s="933"/>
      <c r="M46" s="933"/>
      <c r="N46" s="934"/>
      <c r="O46" s="80"/>
      <c r="P46" s="143"/>
      <c r="Q46" s="84" t="s">
        <v>321</v>
      </c>
      <c r="R46" s="132" t="s">
        <v>27</v>
      </c>
      <c r="S46" s="166"/>
    </row>
    <row r="47" spans="1:27" ht="38.25" customHeight="1">
      <c r="A47" s="504" t="s">
        <v>334</v>
      </c>
      <c r="B47" s="123" t="s">
        <v>1</v>
      </c>
      <c r="C47" s="506" t="s">
        <v>339</v>
      </c>
      <c r="D47" s="320">
        <v>1</v>
      </c>
      <c r="E47" s="207">
        <f t="shared" si="0"/>
        <v>2500000</v>
      </c>
      <c r="F47" s="11">
        <v>2500000</v>
      </c>
      <c r="G47" s="11">
        <v>0</v>
      </c>
      <c r="H47" s="11">
        <v>0</v>
      </c>
      <c r="I47" s="11">
        <v>0</v>
      </c>
      <c r="J47" s="932">
        <v>44971</v>
      </c>
      <c r="K47" s="932">
        <v>45290</v>
      </c>
      <c r="L47" s="933">
        <f>D48/D47</f>
        <v>1</v>
      </c>
      <c r="M47" s="933">
        <f>E48/E47</f>
        <v>1</v>
      </c>
      <c r="N47" s="934">
        <f>L47*L47/M47</f>
        <v>1</v>
      </c>
      <c r="O47" s="80"/>
      <c r="P47" s="228" t="s">
        <v>1</v>
      </c>
      <c r="Q47" s="176">
        <v>9</v>
      </c>
      <c r="R47" s="259">
        <f>F43+F45+F47</f>
        <v>10000000</v>
      </c>
      <c r="S47" s="166"/>
    </row>
    <row r="48" spans="1:27" ht="38.25" customHeight="1">
      <c r="A48" s="505"/>
      <c r="B48" s="123" t="s">
        <v>0</v>
      </c>
      <c r="C48" s="506"/>
      <c r="D48" s="320">
        <v>1</v>
      </c>
      <c r="E48" s="207">
        <f t="shared" si="0"/>
        <v>2500000</v>
      </c>
      <c r="F48" s="11">
        <v>2500000</v>
      </c>
      <c r="G48" s="11">
        <v>0</v>
      </c>
      <c r="H48" s="11">
        <v>0</v>
      </c>
      <c r="I48" s="11">
        <v>0</v>
      </c>
      <c r="J48" s="932"/>
      <c r="K48" s="932"/>
      <c r="L48" s="933"/>
      <c r="M48" s="933"/>
      <c r="N48" s="934"/>
      <c r="O48" s="80"/>
      <c r="P48" s="150" t="s">
        <v>0</v>
      </c>
      <c r="Q48" s="149"/>
      <c r="R48" s="259">
        <f>F44+F46+F48</f>
        <v>10000000</v>
      </c>
      <c r="S48" s="166"/>
      <c r="U48" s="80"/>
      <c r="W48" s="159"/>
    </row>
    <row r="49" spans="1:52" ht="18">
      <c r="A49" s="799" t="s">
        <v>6</v>
      </c>
      <c r="B49" s="26" t="s">
        <v>1</v>
      </c>
      <c r="C49" s="784"/>
      <c r="D49" s="27"/>
      <c r="E49" s="32">
        <f t="shared" ref="E49:I50" si="13">SUM(E17+E19+E21+E23+E25+E27+E29+E31+E33+E35+E37+E39+E41+E43+E45+E47)</f>
        <v>1100000000</v>
      </c>
      <c r="F49" s="32">
        <f t="shared" si="13"/>
        <v>1100000000</v>
      </c>
      <c r="G49" s="32">
        <f t="shared" si="13"/>
        <v>0</v>
      </c>
      <c r="H49" s="32">
        <f t="shared" si="13"/>
        <v>0</v>
      </c>
      <c r="I49" s="32">
        <f t="shared" si="13"/>
        <v>0</v>
      </c>
      <c r="J49" s="28"/>
      <c r="K49" s="29"/>
      <c r="L49" s="29"/>
      <c r="M49" s="29"/>
      <c r="N49" s="30"/>
      <c r="P49" s="228" t="s">
        <v>1</v>
      </c>
      <c r="Q49" s="154"/>
      <c r="R49" s="174">
        <f>R17+R28+R30+R32+R34+R37+R39+R41+R47</f>
        <v>1100000000</v>
      </c>
      <c r="S49" s="166"/>
      <c r="U49" s="80"/>
    </row>
    <row r="50" spans="1:52" ht="18">
      <c r="A50" s="799"/>
      <c r="B50" s="26" t="s">
        <v>0</v>
      </c>
      <c r="C50" s="785"/>
      <c r="D50" s="27"/>
      <c r="E50" s="32">
        <f t="shared" si="13"/>
        <v>1068822461</v>
      </c>
      <c r="F50" s="32">
        <f t="shared" si="13"/>
        <v>1068822461</v>
      </c>
      <c r="G50" s="32">
        <f t="shared" si="13"/>
        <v>0</v>
      </c>
      <c r="H50" s="32">
        <f t="shared" si="13"/>
        <v>0</v>
      </c>
      <c r="I50" s="32">
        <f t="shared" si="13"/>
        <v>0</v>
      </c>
      <c r="J50" s="31"/>
      <c r="K50" s="29"/>
      <c r="L50" s="29"/>
      <c r="M50" s="29"/>
      <c r="N50" s="30"/>
      <c r="P50" s="150" t="s">
        <v>0</v>
      </c>
      <c r="Q50" s="235"/>
      <c r="R50" s="174">
        <f>R18+R29+R31+R33+R35+R38+R40+R42+R48</f>
        <v>1068822461</v>
      </c>
      <c r="S50" s="166"/>
    </row>
    <row r="51" spans="1:52" ht="18">
      <c r="B51" s="9"/>
      <c r="E51" s="22"/>
      <c r="F51" s="21"/>
      <c r="G51" s="16"/>
      <c r="H51" s="16"/>
      <c r="I51" s="16"/>
      <c r="J51" s="8"/>
      <c r="K51" s="8"/>
      <c r="L51" s="21"/>
      <c r="M51" s="19"/>
      <c r="N51" s="20"/>
      <c r="O51" s="19"/>
      <c r="P51" s="19"/>
      <c r="Q51" s="19"/>
      <c r="R51" s="74"/>
      <c r="S51" s="166"/>
    </row>
    <row r="52" spans="1:52" ht="18">
      <c r="A52" s="55" t="s">
        <v>5</v>
      </c>
      <c r="B52" s="795" t="s">
        <v>4</v>
      </c>
      <c r="C52" s="796"/>
      <c r="D52" s="797"/>
      <c r="E52" s="795" t="s">
        <v>3</v>
      </c>
      <c r="F52" s="796"/>
      <c r="G52" s="796"/>
      <c r="H52" s="797"/>
      <c r="I52" s="216"/>
      <c r="J52" s="947" t="s">
        <v>2</v>
      </c>
      <c r="K52" s="948"/>
      <c r="L52" s="948"/>
      <c r="M52" s="948"/>
      <c r="N52" s="948"/>
      <c r="R52" s="74"/>
      <c r="S52" s="166"/>
    </row>
    <row r="53" spans="1:52" s="3" customFormat="1" ht="33.75" customHeight="1">
      <c r="A53" s="949" t="s">
        <v>379</v>
      </c>
      <c r="B53" s="943" t="s">
        <v>388</v>
      </c>
      <c r="C53" s="943"/>
      <c r="D53" s="943"/>
      <c r="E53" s="944" t="s">
        <v>68</v>
      </c>
      <c r="F53" s="944"/>
      <c r="G53" s="944"/>
      <c r="H53" s="233" t="s">
        <v>1</v>
      </c>
      <c r="I53" s="282">
        <v>1</v>
      </c>
      <c r="J53" s="945" t="s">
        <v>466</v>
      </c>
      <c r="K53" s="946"/>
      <c r="L53" s="946"/>
      <c r="M53" s="946"/>
      <c r="N53" s="501"/>
      <c r="O53" s="25"/>
      <c r="P53" s="25"/>
      <c r="Q53" s="25"/>
      <c r="R53" s="260"/>
      <c r="S53" s="168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</row>
    <row r="54" spans="1:52" s="3" customFormat="1" ht="33.75" customHeight="1">
      <c r="A54" s="949"/>
      <c r="B54" s="943"/>
      <c r="C54" s="943"/>
      <c r="D54" s="943"/>
      <c r="E54" s="944"/>
      <c r="F54" s="944"/>
      <c r="G54" s="944"/>
      <c r="H54" s="233" t="s">
        <v>0</v>
      </c>
      <c r="I54" s="282">
        <v>1</v>
      </c>
      <c r="J54" s="501"/>
      <c r="K54" s="946"/>
      <c r="L54" s="946"/>
      <c r="M54" s="946"/>
      <c r="N54" s="501"/>
      <c r="O54" s="25"/>
      <c r="P54" s="25"/>
      <c r="Q54" s="25"/>
      <c r="R54" s="260"/>
      <c r="S54" s="168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</row>
    <row r="55" spans="1:52" s="3" customFormat="1" ht="36" customHeight="1">
      <c r="A55" s="949" t="s">
        <v>379</v>
      </c>
      <c r="B55" s="943" t="s">
        <v>387</v>
      </c>
      <c r="C55" s="943"/>
      <c r="D55" s="943"/>
      <c r="E55" s="944" t="s">
        <v>69</v>
      </c>
      <c r="F55" s="944"/>
      <c r="G55" s="944"/>
      <c r="H55" s="234" t="s">
        <v>1</v>
      </c>
      <c r="I55" s="283">
        <v>1</v>
      </c>
      <c r="J55" s="501"/>
      <c r="K55" s="946"/>
      <c r="L55" s="946"/>
      <c r="M55" s="946"/>
      <c r="N55" s="501"/>
      <c r="O55" s="25"/>
      <c r="P55" s="25"/>
      <c r="Q55" s="25"/>
      <c r="R55" s="260"/>
      <c r="S55" s="168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</row>
    <row r="56" spans="1:52" s="3" customFormat="1" ht="36" customHeight="1">
      <c r="A56" s="949"/>
      <c r="B56" s="943"/>
      <c r="C56" s="943"/>
      <c r="D56" s="943"/>
      <c r="E56" s="944"/>
      <c r="F56" s="944"/>
      <c r="G56" s="944"/>
      <c r="H56" s="234" t="s">
        <v>0</v>
      </c>
      <c r="I56" s="283">
        <v>1</v>
      </c>
      <c r="J56" s="501"/>
      <c r="K56" s="946"/>
      <c r="L56" s="946"/>
      <c r="M56" s="946"/>
      <c r="N56" s="501"/>
      <c r="O56" s="25"/>
      <c r="P56" s="25"/>
      <c r="Q56" s="25"/>
      <c r="R56" s="260"/>
      <c r="S56" s="168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</row>
    <row r="57" spans="1:52" s="3" customFormat="1" ht="39" customHeight="1">
      <c r="A57" s="949" t="s">
        <v>379</v>
      </c>
      <c r="B57" s="950" t="s">
        <v>386</v>
      </c>
      <c r="C57" s="943"/>
      <c r="D57" s="943"/>
      <c r="E57" s="944" t="s">
        <v>70</v>
      </c>
      <c r="F57" s="944"/>
      <c r="G57" s="944"/>
      <c r="H57" s="233" t="s">
        <v>1</v>
      </c>
      <c r="I57" s="284">
        <v>1</v>
      </c>
      <c r="J57" s="501"/>
      <c r="K57" s="946"/>
      <c r="L57" s="946"/>
      <c r="M57" s="946"/>
      <c r="N57" s="501"/>
      <c r="O57" s="25"/>
      <c r="P57" s="25"/>
      <c r="Q57" s="25"/>
      <c r="R57" s="260"/>
      <c r="S57" s="168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</row>
    <row r="58" spans="1:52" s="3" customFormat="1" ht="39" customHeight="1">
      <c r="A58" s="949"/>
      <c r="B58" s="943"/>
      <c r="C58" s="943"/>
      <c r="D58" s="943"/>
      <c r="E58" s="944"/>
      <c r="F58" s="944"/>
      <c r="G58" s="944"/>
      <c r="H58" s="233" t="s">
        <v>0</v>
      </c>
      <c r="I58" s="284">
        <v>0.35</v>
      </c>
      <c r="J58" s="501"/>
      <c r="K58" s="946"/>
      <c r="L58" s="946"/>
      <c r="M58" s="946"/>
      <c r="N58" s="501"/>
      <c r="O58" s="25"/>
      <c r="P58" s="25"/>
      <c r="Q58" s="25"/>
      <c r="R58" s="260"/>
      <c r="S58" s="168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</row>
    <row r="59" spans="1:52" s="3" customFormat="1" ht="43.5" customHeight="1">
      <c r="A59" s="949" t="s">
        <v>379</v>
      </c>
      <c r="B59" s="951" t="s">
        <v>385</v>
      </c>
      <c r="C59" s="943"/>
      <c r="D59" s="943"/>
      <c r="E59" s="944" t="s">
        <v>71</v>
      </c>
      <c r="F59" s="944"/>
      <c r="G59" s="944"/>
      <c r="H59" s="233" t="s">
        <v>1</v>
      </c>
      <c r="I59" s="284">
        <v>1</v>
      </c>
      <c r="J59" s="501"/>
      <c r="K59" s="946"/>
      <c r="L59" s="946"/>
      <c r="M59" s="946"/>
      <c r="N59" s="501"/>
      <c r="O59" s="25"/>
      <c r="P59" s="25"/>
      <c r="Q59" s="25"/>
      <c r="R59" s="260"/>
      <c r="S59" s="168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</row>
    <row r="60" spans="1:52" s="3" customFormat="1" ht="43.5" customHeight="1">
      <c r="A60" s="949"/>
      <c r="B60" s="943"/>
      <c r="C60" s="943"/>
      <c r="D60" s="943"/>
      <c r="E60" s="944"/>
      <c r="F60" s="944"/>
      <c r="G60" s="944"/>
      <c r="H60" s="233" t="s">
        <v>0</v>
      </c>
      <c r="I60" s="284">
        <v>0</v>
      </c>
      <c r="J60" s="501"/>
      <c r="K60" s="946"/>
      <c r="L60" s="946"/>
      <c r="M60" s="946"/>
      <c r="N60" s="501"/>
      <c r="O60" s="25"/>
      <c r="P60" s="25"/>
      <c r="Q60" s="25"/>
      <c r="R60" s="260"/>
      <c r="S60" s="168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</row>
    <row r="61" spans="1:52" s="3" customFormat="1" ht="43.5" customHeight="1">
      <c r="A61" s="949" t="s">
        <v>379</v>
      </c>
      <c r="B61" s="950" t="s">
        <v>384</v>
      </c>
      <c r="C61" s="943"/>
      <c r="D61" s="943"/>
      <c r="E61" s="944" t="s">
        <v>72</v>
      </c>
      <c r="F61" s="944"/>
      <c r="G61" s="944"/>
      <c r="H61" s="233" t="s">
        <v>1</v>
      </c>
      <c r="I61" s="284">
        <v>15</v>
      </c>
      <c r="J61" s="501"/>
      <c r="K61" s="946"/>
      <c r="L61" s="946"/>
      <c r="M61" s="946"/>
      <c r="N61" s="501"/>
      <c r="O61" s="25"/>
      <c r="P61" s="25"/>
      <c r="Q61" s="25"/>
      <c r="R61" s="260"/>
      <c r="S61" s="168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</row>
    <row r="62" spans="1:52" s="3" customFormat="1" ht="43.5" customHeight="1">
      <c r="A62" s="949"/>
      <c r="B62" s="943"/>
      <c r="C62" s="943"/>
      <c r="D62" s="943"/>
      <c r="E62" s="944"/>
      <c r="F62" s="944"/>
      <c r="G62" s="944"/>
      <c r="H62" s="233" t="s">
        <v>0</v>
      </c>
      <c r="I62" s="284">
        <v>0</v>
      </c>
      <c r="J62" s="501"/>
      <c r="K62" s="946"/>
      <c r="L62" s="946"/>
      <c r="M62" s="946"/>
      <c r="N62" s="501"/>
      <c r="O62" s="25"/>
      <c r="P62" s="25"/>
      <c r="Q62" s="25"/>
      <c r="R62" s="260"/>
      <c r="S62" s="168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</row>
    <row r="63" spans="1:52" s="3" customFormat="1" ht="48.75" customHeight="1">
      <c r="A63" s="949" t="s">
        <v>379</v>
      </c>
      <c r="B63" s="950" t="s">
        <v>383</v>
      </c>
      <c r="C63" s="943"/>
      <c r="D63" s="943"/>
      <c r="E63" s="944" t="s">
        <v>73</v>
      </c>
      <c r="F63" s="944"/>
      <c r="G63" s="944"/>
      <c r="H63" s="233" t="s">
        <v>1</v>
      </c>
      <c r="I63" s="284">
        <v>1</v>
      </c>
      <c r="J63" s="501"/>
      <c r="K63" s="946"/>
      <c r="L63" s="946"/>
      <c r="M63" s="946"/>
      <c r="N63" s="501"/>
      <c r="O63" s="25"/>
      <c r="P63" s="25"/>
      <c r="Q63" s="25"/>
      <c r="R63" s="260"/>
      <c r="S63" s="168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</row>
    <row r="64" spans="1:52" s="3" customFormat="1" ht="48.75" customHeight="1">
      <c r="A64" s="949"/>
      <c r="B64" s="943"/>
      <c r="C64" s="943"/>
      <c r="D64" s="943"/>
      <c r="E64" s="944"/>
      <c r="F64" s="944"/>
      <c r="G64" s="944"/>
      <c r="H64" s="233" t="s">
        <v>0</v>
      </c>
      <c r="I64" s="284">
        <v>1</v>
      </c>
      <c r="J64" s="501"/>
      <c r="K64" s="946"/>
      <c r="L64" s="946"/>
      <c r="M64" s="946"/>
      <c r="N64" s="501"/>
      <c r="O64" s="25"/>
      <c r="P64" s="25"/>
      <c r="Q64" s="25"/>
      <c r="R64" s="260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</row>
    <row r="65" spans="1:52" s="3" customFormat="1" ht="49.5" customHeight="1">
      <c r="A65" s="949" t="s">
        <v>379</v>
      </c>
      <c r="B65" s="943" t="s">
        <v>382</v>
      </c>
      <c r="C65" s="943"/>
      <c r="D65" s="943"/>
      <c r="E65" s="944" t="s">
        <v>74</v>
      </c>
      <c r="F65" s="944"/>
      <c r="G65" s="944"/>
      <c r="H65" s="233" t="s">
        <v>1</v>
      </c>
      <c r="I65" s="284">
        <v>1</v>
      </c>
      <c r="J65" s="501"/>
      <c r="K65" s="946"/>
      <c r="L65" s="946"/>
      <c r="M65" s="946"/>
      <c r="N65" s="501"/>
      <c r="O65" s="25"/>
      <c r="P65" s="25"/>
      <c r="Q65" s="25"/>
      <c r="R65" s="260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</row>
    <row r="66" spans="1:52" s="3" customFormat="1" ht="49.5" customHeight="1">
      <c r="A66" s="949"/>
      <c r="B66" s="943"/>
      <c r="C66" s="943"/>
      <c r="D66" s="943"/>
      <c r="E66" s="944"/>
      <c r="F66" s="944"/>
      <c r="G66" s="944"/>
      <c r="H66" s="233" t="s">
        <v>0</v>
      </c>
      <c r="I66" s="284">
        <v>0</v>
      </c>
      <c r="J66" s="501"/>
      <c r="K66" s="946"/>
      <c r="L66" s="946"/>
      <c r="M66" s="946"/>
      <c r="N66" s="501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</row>
    <row r="67" spans="1:52" s="3" customFormat="1" ht="34.5" customHeight="1">
      <c r="A67" s="949" t="s">
        <v>379</v>
      </c>
      <c r="B67" s="943" t="s">
        <v>381</v>
      </c>
      <c r="C67" s="943"/>
      <c r="D67" s="943"/>
      <c r="E67" s="944" t="s">
        <v>75</v>
      </c>
      <c r="F67" s="944"/>
      <c r="G67" s="944"/>
      <c r="H67" s="233" t="s">
        <v>1</v>
      </c>
      <c r="I67" s="284">
        <v>3</v>
      </c>
      <c r="J67" s="501"/>
      <c r="K67" s="946"/>
      <c r="L67" s="946"/>
      <c r="M67" s="946"/>
      <c r="N67" s="501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</row>
    <row r="68" spans="1:52" s="3" customFormat="1" ht="34.5" customHeight="1">
      <c r="A68" s="949"/>
      <c r="B68" s="943"/>
      <c r="C68" s="943"/>
      <c r="D68" s="943"/>
      <c r="E68" s="944"/>
      <c r="F68" s="944"/>
      <c r="G68" s="944"/>
      <c r="H68" s="233" t="s">
        <v>0</v>
      </c>
      <c r="I68" s="284">
        <v>0</v>
      </c>
      <c r="J68" s="501"/>
      <c r="K68" s="946"/>
      <c r="L68" s="946"/>
      <c r="M68" s="946"/>
      <c r="N68" s="501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</row>
    <row r="69" spans="1:52" s="3" customFormat="1" ht="27" customHeight="1">
      <c r="A69" s="949" t="s">
        <v>379</v>
      </c>
      <c r="B69" s="943" t="s">
        <v>380</v>
      </c>
      <c r="C69" s="943"/>
      <c r="D69" s="943"/>
      <c r="E69" s="944" t="s">
        <v>76</v>
      </c>
      <c r="F69" s="944"/>
      <c r="G69" s="944"/>
      <c r="H69" s="233" t="s">
        <v>1</v>
      </c>
      <c r="I69" s="284">
        <v>1</v>
      </c>
      <c r="J69" s="501"/>
      <c r="K69" s="946"/>
      <c r="L69" s="946"/>
      <c r="M69" s="946"/>
      <c r="N69" s="501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</row>
    <row r="70" spans="1:52" s="3" customFormat="1" ht="27" customHeight="1">
      <c r="A70" s="949"/>
      <c r="B70" s="943"/>
      <c r="C70" s="943"/>
      <c r="D70" s="943"/>
      <c r="E70" s="944"/>
      <c r="F70" s="944"/>
      <c r="G70" s="944"/>
      <c r="H70" s="233" t="s">
        <v>0</v>
      </c>
      <c r="I70" s="284">
        <v>0</v>
      </c>
      <c r="J70" s="501"/>
      <c r="K70" s="946"/>
      <c r="L70" s="946"/>
      <c r="M70" s="946"/>
      <c r="N70" s="501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</row>
    <row r="71" spans="1:52" s="3" customFormat="1" ht="50.25" customHeight="1">
      <c r="A71" s="949" t="s">
        <v>379</v>
      </c>
      <c r="B71" s="943" t="s">
        <v>378</v>
      </c>
      <c r="C71" s="943"/>
      <c r="D71" s="943"/>
      <c r="E71" s="944" t="s">
        <v>77</v>
      </c>
      <c r="F71" s="944"/>
      <c r="G71" s="944"/>
      <c r="H71" s="233" t="s">
        <v>1</v>
      </c>
      <c r="I71" s="282">
        <v>1</v>
      </c>
      <c r="J71" s="501"/>
      <c r="K71" s="946"/>
      <c r="L71" s="946"/>
      <c r="M71" s="946"/>
      <c r="N71" s="501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</row>
    <row r="72" spans="1:52" s="3" customFormat="1" ht="50.25" customHeight="1">
      <c r="A72" s="949"/>
      <c r="B72" s="943"/>
      <c r="C72" s="943"/>
      <c r="D72" s="943"/>
      <c r="E72" s="944"/>
      <c r="F72" s="944"/>
      <c r="G72" s="944"/>
      <c r="H72" s="233" t="s">
        <v>0</v>
      </c>
      <c r="I72" s="282">
        <v>0.25</v>
      </c>
      <c r="J72" s="501"/>
      <c r="K72" s="946"/>
      <c r="L72" s="946"/>
      <c r="M72" s="946"/>
      <c r="N72" s="501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</row>
    <row r="73" spans="1:52" s="3" customFormat="1" ht="60" customHeight="1">
      <c r="A73" s="952" t="s">
        <v>459</v>
      </c>
      <c r="B73" s="952"/>
      <c r="C73" s="952"/>
      <c r="D73" s="952"/>
      <c r="E73" s="952"/>
      <c r="F73" s="952"/>
      <c r="G73" s="952"/>
      <c r="H73" s="952"/>
      <c r="I73" s="952"/>
      <c r="J73" s="952"/>
      <c r="K73" s="952"/>
      <c r="L73" s="952"/>
      <c r="M73" s="952"/>
      <c r="N73" s="952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</row>
    <row r="74" spans="1:52" ht="15.75"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</row>
    <row r="75" spans="1:52" ht="15.75"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</row>
    <row r="76" spans="1:52" ht="15.75"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</row>
    <row r="77" spans="1:52" ht="15.75"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</row>
    <row r="78" spans="1:52" ht="15.75"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</row>
    <row r="79" spans="1:52" ht="15.75">
      <c r="C79" s="80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</row>
    <row r="80" spans="1:52" ht="15.75"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</row>
  </sheetData>
  <mergeCells count="190">
    <mergeCell ref="A73:N73"/>
    <mergeCell ref="A69:A70"/>
    <mergeCell ref="B69:D70"/>
    <mergeCell ref="E69:G70"/>
    <mergeCell ref="A71:A72"/>
    <mergeCell ref="B71:D72"/>
    <mergeCell ref="E71:G72"/>
    <mergeCell ref="A65:A66"/>
    <mergeCell ref="B65:D66"/>
    <mergeCell ref="E65:G66"/>
    <mergeCell ref="A67:A68"/>
    <mergeCell ref="B67:D68"/>
    <mergeCell ref="E67:G68"/>
    <mergeCell ref="B55:D56"/>
    <mergeCell ref="E55:G56"/>
    <mergeCell ref="J53:N72"/>
    <mergeCell ref="A49:A50"/>
    <mergeCell ref="C49:C50"/>
    <mergeCell ref="B52:D52"/>
    <mergeCell ref="E52:H52"/>
    <mergeCell ref="J52:N52"/>
    <mergeCell ref="A61:A62"/>
    <mergeCell ref="B61:D62"/>
    <mergeCell ref="E61:G62"/>
    <mergeCell ref="A63:A64"/>
    <mergeCell ref="B63:D64"/>
    <mergeCell ref="E63:G64"/>
    <mergeCell ref="A57:A58"/>
    <mergeCell ref="B57:D58"/>
    <mergeCell ref="E57:G58"/>
    <mergeCell ref="A59:A60"/>
    <mergeCell ref="B59:D60"/>
    <mergeCell ref="E59:G60"/>
    <mergeCell ref="A53:A54"/>
    <mergeCell ref="B53:D54"/>
    <mergeCell ref="E53:G54"/>
    <mergeCell ref="A55:A56"/>
    <mergeCell ref="N47:N48"/>
    <mergeCell ref="A33:A34"/>
    <mergeCell ref="C33:C34"/>
    <mergeCell ref="J33:J34"/>
    <mergeCell ref="K33:K34"/>
    <mergeCell ref="L33:L34"/>
    <mergeCell ref="M33:M34"/>
    <mergeCell ref="N33:N34"/>
    <mergeCell ref="A47:A48"/>
    <mergeCell ref="C47:C48"/>
    <mergeCell ref="J47:J48"/>
    <mergeCell ref="K47:K48"/>
    <mergeCell ref="L47:L48"/>
    <mergeCell ref="M47:M48"/>
    <mergeCell ref="A41:A42"/>
    <mergeCell ref="C41:C42"/>
    <mergeCell ref="J41:J42"/>
    <mergeCell ref="K41:K42"/>
    <mergeCell ref="L41:L42"/>
    <mergeCell ref="M41:M42"/>
    <mergeCell ref="N41:N42"/>
    <mergeCell ref="N39:N40"/>
    <mergeCell ref="A39:A40"/>
    <mergeCell ref="C39:C40"/>
    <mergeCell ref="M39:M40"/>
    <mergeCell ref="N25:N26"/>
    <mergeCell ref="M25:M26"/>
    <mergeCell ref="L25:L26"/>
    <mergeCell ref="K25:K26"/>
    <mergeCell ref="J25:J26"/>
    <mergeCell ref="J31:J32"/>
    <mergeCell ref="K31:K32"/>
    <mergeCell ref="L31:L32"/>
    <mergeCell ref="C25:C26"/>
    <mergeCell ref="A25:A26"/>
    <mergeCell ref="N29:N30"/>
    <mergeCell ref="A29:A30"/>
    <mergeCell ref="C29:C30"/>
    <mergeCell ref="A27:A28"/>
    <mergeCell ref="C27:C28"/>
    <mergeCell ref="J27:J28"/>
    <mergeCell ref="K27:K28"/>
    <mergeCell ref="L27:L28"/>
    <mergeCell ref="M27:M28"/>
    <mergeCell ref="N27:N28"/>
    <mergeCell ref="T17:U17"/>
    <mergeCell ref="A19:A20"/>
    <mergeCell ref="C19:C20"/>
    <mergeCell ref="J19:J20"/>
    <mergeCell ref="K19:K20"/>
    <mergeCell ref="L19:L20"/>
    <mergeCell ref="M19:M20"/>
    <mergeCell ref="N19:N20"/>
    <mergeCell ref="A17:A18"/>
    <mergeCell ref="C17:C18"/>
    <mergeCell ref="J17:J18"/>
    <mergeCell ref="K17:K18"/>
    <mergeCell ref="L17:L18"/>
    <mergeCell ref="M17:M18"/>
    <mergeCell ref="N17:N18"/>
    <mergeCell ref="T14:U14"/>
    <mergeCell ref="T15:U15"/>
    <mergeCell ref="T16:U16"/>
    <mergeCell ref="A14:A16"/>
    <mergeCell ref="B14:B16"/>
    <mergeCell ref="C14:C16"/>
    <mergeCell ref="D14:D16"/>
    <mergeCell ref="E14:E16"/>
    <mergeCell ref="F14:I15"/>
    <mergeCell ref="J14:K15"/>
    <mergeCell ref="C23:C24"/>
    <mergeCell ref="A23:A24"/>
    <mergeCell ref="A31:A32"/>
    <mergeCell ref="C31:C32"/>
    <mergeCell ref="A37:A38"/>
    <mergeCell ref="C37:C38"/>
    <mergeCell ref="J23:J24"/>
    <mergeCell ref="T11:V11"/>
    <mergeCell ref="A5:N5"/>
    <mergeCell ref="A6:N6"/>
    <mergeCell ref="B7:N7"/>
    <mergeCell ref="B8:F8"/>
    <mergeCell ref="G8:I13"/>
    <mergeCell ref="J8:N8"/>
    <mergeCell ref="B11:F11"/>
    <mergeCell ref="K11:M11"/>
    <mergeCell ref="B12:F12"/>
    <mergeCell ref="K12:M12"/>
    <mergeCell ref="T12:V12"/>
    <mergeCell ref="K13:M13"/>
    <mergeCell ref="T13:U13"/>
    <mergeCell ref="S8:W8"/>
    <mergeCell ref="B9:F9"/>
    <mergeCell ref="T10:V10"/>
    <mergeCell ref="A1:A4"/>
    <mergeCell ref="B1:H2"/>
    <mergeCell ref="I1:L1"/>
    <mergeCell ref="M1:N4"/>
    <mergeCell ref="I2:L2"/>
    <mergeCell ref="B3:H4"/>
    <mergeCell ref="I3:L3"/>
    <mergeCell ref="I4:L4"/>
    <mergeCell ref="K21:K22"/>
    <mergeCell ref="L21:L22"/>
    <mergeCell ref="M21:M22"/>
    <mergeCell ref="N21:N22"/>
    <mergeCell ref="A21:A22"/>
    <mergeCell ref="C21:C22"/>
    <mergeCell ref="J21:J22"/>
    <mergeCell ref="K9:M9"/>
    <mergeCell ref="B10:F10"/>
    <mergeCell ref="K10:M10"/>
    <mergeCell ref="B13:F13"/>
    <mergeCell ref="L14:N15"/>
    <mergeCell ref="K23:K24"/>
    <mergeCell ref="L23:L24"/>
    <mergeCell ref="M23:M24"/>
    <mergeCell ref="N23:N24"/>
    <mergeCell ref="J37:J38"/>
    <mergeCell ref="K37:K38"/>
    <mergeCell ref="L37:L38"/>
    <mergeCell ref="M37:M38"/>
    <mergeCell ref="N37:N38"/>
    <mergeCell ref="M31:M32"/>
    <mergeCell ref="N31:N32"/>
    <mergeCell ref="J29:J30"/>
    <mergeCell ref="K29:K30"/>
    <mergeCell ref="L29:L30"/>
    <mergeCell ref="M29:M30"/>
    <mergeCell ref="A45:A46"/>
    <mergeCell ref="C45:C46"/>
    <mergeCell ref="J45:J46"/>
    <mergeCell ref="K45:K46"/>
    <mergeCell ref="L45:L46"/>
    <mergeCell ref="M45:M46"/>
    <mergeCell ref="N45:N46"/>
    <mergeCell ref="A35:A36"/>
    <mergeCell ref="C35:C36"/>
    <mergeCell ref="J35:J36"/>
    <mergeCell ref="K35:K36"/>
    <mergeCell ref="L35:L36"/>
    <mergeCell ref="M35:M36"/>
    <mergeCell ref="N35:N36"/>
    <mergeCell ref="A43:A44"/>
    <mergeCell ref="C43:C44"/>
    <mergeCell ref="J43:J44"/>
    <mergeCell ref="K43:K44"/>
    <mergeCell ref="L43:L44"/>
    <mergeCell ref="M43:M44"/>
    <mergeCell ref="N43:N44"/>
    <mergeCell ref="J39:J40"/>
    <mergeCell ref="K39:K40"/>
    <mergeCell ref="L39:L40"/>
  </mergeCells>
  <pageMargins left="0.7" right="0.7" top="0.75" bottom="0.75" header="0.3" footer="0.3"/>
  <pageSetup paperSize="14" scale="56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6625" r:id="rId4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25" r:id="rId4"/>
      </mc:Fallback>
    </mc:AlternateContent>
    <mc:AlternateContent xmlns:mc="http://schemas.openxmlformats.org/markup-compatibility/2006">
      <mc:Choice Requires="x14">
        <oleObject shapeId="26631" r:id="rId6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31" r:id="rId6"/>
      </mc:Fallback>
    </mc:AlternateContent>
    <mc:AlternateContent xmlns:mc="http://schemas.openxmlformats.org/markup-compatibility/2006">
      <mc:Choice Requires="x14">
        <oleObject shapeId="26637" r:id="rId7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37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114"/>
  <sheetViews>
    <sheetView showWhiteSpace="0" topLeftCell="A43" zoomScale="75" zoomScaleNormal="75" zoomScalePageLayoutView="48" workbookViewId="0">
      <selection activeCell="E70" sqref="E70"/>
    </sheetView>
  </sheetViews>
  <sheetFormatPr baseColWidth="10" defaultColWidth="12.5703125" defaultRowHeight="15"/>
  <cols>
    <col min="1" max="1" width="74.7109375" style="1" customWidth="1"/>
    <col min="2" max="2" width="10.28515625" style="1" customWidth="1"/>
    <col min="3" max="3" width="17.7109375" style="1" customWidth="1"/>
    <col min="4" max="4" width="10" style="1" customWidth="1"/>
    <col min="5" max="5" width="24.42578125" style="1" customWidth="1"/>
    <col min="6" max="6" width="25" style="74" customWidth="1"/>
    <col min="7" max="7" width="19.140625" style="3" customWidth="1"/>
    <col min="8" max="8" width="13" style="1" bestFit="1" customWidth="1"/>
    <col min="9" max="9" width="9.42578125" style="1" bestFit="1" customWidth="1"/>
    <col min="10" max="10" width="14.42578125" style="2" customWidth="1"/>
    <col min="11" max="11" width="17.5703125" style="2" bestFit="1" customWidth="1"/>
    <col min="12" max="12" width="15.140625" style="1" customWidth="1"/>
    <col min="13" max="13" width="22.7109375" style="1" bestFit="1" customWidth="1"/>
    <col min="14" max="14" width="14.28515625" style="1" bestFit="1" customWidth="1"/>
    <col min="15" max="15" width="13.7109375" style="1" bestFit="1" customWidth="1"/>
    <col min="16" max="16" width="5" style="1" customWidth="1"/>
    <col min="17" max="17" width="9.7109375" style="1" customWidth="1"/>
    <col min="18" max="18" width="22.42578125" style="1" customWidth="1"/>
    <col min="19" max="19" width="18.5703125" style="1" customWidth="1"/>
    <col min="20" max="20" width="23.140625" style="1" customWidth="1"/>
    <col min="21" max="21" width="13.425781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15.75">
      <c r="A1" s="675"/>
      <c r="B1" s="678" t="s">
        <v>95</v>
      </c>
      <c r="C1" s="679"/>
      <c r="D1" s="679"/>
      <c r="E1" s="679"/>
      <c r="F1" s="679"/>
      <c r="G1" s="679"/>
      <c r="H1" s="680"/>
      <c r="I1" s="684" t="s">
        <v>96</v>
      </c>
      <c r="J1" s="685"/>
      <c r="K1" s="685"/>
      <c r="L1" s="686"/>
      <c r="M1" s="687"/>
      <c r="N1" s="688"/>
      <c r="O1" s="81"/>
      <c r="P1" s="81"/>
      <c r="Q1" s="39"/>
    </row>
    <row r="2" spans="1:248" ht="15.75">
      <c r="A2" s="676"/>
      <c r="B2" s="681"/>
      <c r="C2" s="682"/>
      <c r="D2" s="682"/>
      <c r="E2" s="682"/>
      <c r="F2" s="682"/>
      <c r="G2" s="682"/>
      <c r="H2" s="683"/>
      <c r="I2" s="684" t="s">
        <v>97</v>
      </c>
      <c r="J2" s="685"/>
      <c r="K2" s="685"/>
      <c r="L2" s="686"/>
      <c r="M2" s="689"/>
      <c r="N2" s="690"/>
      <c r="O2" s="81"/>
      <c r="P2" s="81"/>
      <c r="Q2" s="39"/>
    </row>
    <row r="3" spans="1:248" ht="15.75">
      <c r="A3" s="676"/>
      <c r="B3" s="678" t="s">
        <v>98</v>
      </c>
      <c r="C3" s="679"/>
      <c r="D3" s="679"/>
      <c r="E3" s="679"/>
      <c r="F3" s="679"/>
      <c r="G3" s="679"/>
      <c r="H3" s="680"/>
      <c r="I3" s="684" t="s">
        <v>99</v>
      </c>
      <c r="J3" s="685"/>
      <c r="K3" s="685"/>
      <c r="L3" s="686"/>
      <c r="M3" s="689"/>
      <c r="N3" s="690"/>
      <c r="O3" s="81"/>
      <c r="P3" s="81"/>
      <c r="Q3" s="39"/>
    </row>
    <row r="4" spans="1:248" ht="15.75">
      <c r="A4" s="677"/>
      <c r="B4" s="681"/>
      <c r="C4" s="682"/>
      <c r="D4" s="682"/>
      <c r="E4" s="682"/>
      <c r="F4" s="682"/>
      <c r="G4" s="682"/>
      <c r="H4" s="683"/>
      <c r="I4" s="684" t="s">
        <v>100</v>
      </c>
      <c r="J4" s="685"/>
      <c r="K4" s="685"/>
      <c r="L4" s="686"/>
      <c r="M4" s="691"/>
      <c r="N4" s="692"/>
      <c r="O4" s="81"/>
      <c r="P4" s="81"/>
      <c r="Q4" s="39"/>
    </row>
    <row r="5" spans="1:248" ht="15.75">
      <c r="A5" s="693"/>
      <c r="B5" s="693"/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81"/>
      <c r="P5" s="81"/>
      <c r="Q5" s="39"/>
    </row>
    <row r="6" spans="1:248" ht="15.75">
      <c r="A6" s="684" t="s">
        <v>255</v>
      </c>
      <c r="B6" s="685"/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686"/>
      <c r="O6" s="134"/>
      <c r="P6" s="134"/>
      <c r="Q6" s="39"/>
    </row>
    <row r="7" spans="1:248" ht="15.75">
      <c r="A7" s="40" t="s">
        <v>327</v>
      </c>
      <c r="B7" s="532" t="s">
        <v>468</v>
      </c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134"/>
      <c r="P7" s="134"/>
    </row>
    <row r="8" spans="1:248" ht="15.75">
      <c r="A8" s="41" t="s">
        <v>32</v>
      </c>
      <c r="B8" s="694" t="s">
        <v>33</v>
      </c>
      <c r="C8" s="695"/>
      <c r="D8" s="695"/>
      <c r="E8" s="695"/>
      <c r="F8" s="696"/>
      <c r="G8" s="697" t="s">
        <v>254</v>
      </c>
      <c r="H8" s="698"/>
      <c r="I8" s="699"/>
      <c r="J8" s="706" t="s">
        <v>31</v>
      </c>
      <c r="K8" s="707"/>
      <c r="L8" s="707"/>
      <c r="M8" s="707"/>
      <c r="N8" s="708"/>
      <c r="O8" s="135"/>
      <c r="P8" s="135"/>
      <c r="Q8" s="42"/>
      <c r="S8" s="790"/>
      <c r="T8" s="790"/>
      <c r="U8" s="790"/>
    </row>
    <row r="9" spans="1:248" ht="15.75">
      <c r="A9" s="43" t="s">
        <v>30</v>
      </c>
      <c r="B9" s="715" t="s">
        <v>253</v>
      </c>
      <c r="C9" s="695"/>
      <c r="D9" s="695"/>
      <c r="E9" s="695"/>
      <c r="F9" s="696"/>
      <c r="G9" s="700"/>
      <c r="H9" s="701"/>
      <c r="I9" s="702"/>
      <c r="J9" s="82" t="s">
        <v>29</v>
      </c>
      <c r="K9" s="547" t="s">
        <v>28</v>
      </c>
      <c r="L9" s="547"/>
      <c r="M9" s="547"/>
      <c r="N9" s="82" t="s">
        <v>27</v>
      </c>
      <c r="O9" s="136"/>
    </row>
    <row r="10" spans="1:248" ht="15.75">
      <c r="A10" s="44" t="s">
        <v>26</v>
      </c>
      <c r="B10" s="716" t="s">
        <v>252</v>
      </c>
      <c r="C10" s="715"/>
      <c r="D10" s="715"/>
      <c r="E10" s="715"/>
      <c r="F10" s="717"/>
      <c r="G10" s="700"/>
      <c r="H10" s="701"/>
      <c r="I10" s="702"/>
      <c r="J10" s="45"/>
      <c r="K10" s="718"/>
      <c r="L10" s="719"/>
      <c r="M10" s="720"/>
      <c r="N10" s="46"/>
    </row>
    <row r="11" spans="1:248" ht="15.75">
      <c r="A11" s="47" t="s">
        <v>25</v>
      </c>
      <c r="B11" s="716" t="s">
        <v>251</v>
      </c>
      <c r="C11" s="715"/>
      <c r="D11" s="715"/>
      <c r="E11" s="715"/>
      <c r="F11" s="717"/>
      <c r="G11" s="700"/>
      <c r="H11" s="701"/>
      <c r="I11" s="702"/>
      <c r="J11" s="83"/>
      <c r="K11" s="712"/>
      <c r="L11" s="713"/>
      <c r="M11" s="714"/>
      <c r="N11" s="48"/>
      <c r="O11" s="136"/>
    </row>
    <row r="12" spans="1:248" ht="22.5" customHeight="1">
      <c r="A12" s="70" t="s">
        <v>315</v>
      </c>
      <c r="B12" s="925">
        <v>2020730010055</v>
      </c>
      <c r="C12" s="926"/>
      <c r="D12" s="926"/>
      <c r="E12" s="926"/>
      <c r="F12" s="927"/>
      <c r="G12" s="700"/>
      <c r="H12" s="701"/>
      <c r="I12" s="702"/>
      <c r="J12" s="51"/>
      <c r="K12" s="722"/>
      <c r="L12" s="723"/>
      <c r="M12" s="724"/>
      <c r="N12" s="52"/>
      <c r="O12" s="136"/>
    </row>
    <row r="13" spans="1:248" ht="51" customHeight="1">
      <c r="A13" s="110" t="s">
        <v>354</v>
      </c>
      <c r="B13" s="545" t="s">
        <v>250</v>
      </c>
      <c r="C13" s="545"/>
      <c r="D13" s="545"/>
      <c r="E13" s="545"/>
      <c r="F13" s="545"/>
      <c r="G13" s="703"/>
      <c r="H13" s="704"/>
      <c r="I13" s="705"/>
      <c r="J13" s="85"/>
      <c r="K13" s="722"/>
      <c r="L13" s="723"/>
      <c r="M13" s="724"/>
      <c r="N13" s="53"/>
      <c r="O13" s="136"/>
      <c r="P13" s="42"/>
      <c r="R13" s="169"/>
      <c r="S13" s="136"/>
      <c r="T13" s="42"/>
      <c r="U13" s="7"/>
      <c r="V13" s="17"/>
      <c r="W13" s="14"/>
      <c r="X13" s="5"/>
      <c r="Y13" s="12"/>
    </row>
    <row r="14" spans="1:248" ht="15.75">
      <c r="A14" s="541" t="s">
        <v>23</v>
      </c>
      <c r="B14" s="533" t="s">
        <v>22</v>
      </c>
      <c r="C14" s="534" t="s">
        <v>21</v>
      </c>
      <c r="D14" s="534" t="s">
        <v>20</v>
      </c>
      <c r="E14" s="534" t="s">
        <v>128</v>
      </c>
      <c r="F14" s="776" t="s">
        <v>447</v>
      </c>
      <c r="G14" s="777"/>
      <c r="H14" s="777"/>
      <c r="I14" s="778"/>
      <c r="J14" s="534" t="s">
        <v>17</v>
      </c>
      <c r="K14" s="534"/>
      <c r="L14" s="540" t="s">
        <v>16</v>
      </c>
      <c r="M14" s="540"/>
      <c r="N14" s="540"/>
      <c r="O14" s="139"/>
      <c r="P14" s="139"/>
      <c r="Q14" s="3"/>
      <c r="R14" s="3"/>
      <c r="S14" s="942"/>
      <c r="T14" s="942"/>
      <c r="U14" s="7"/>
      <c r="V14" s="3"/>
      <c r="W14" s="16"/>
      <c r="X14" s="5"/>
      <c r="Y14" s="12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15.75">
      <c r="A15" s="541"/>
      <c r="B15" s="534"/>
      <c r="C15" s="534"/>
      <c r="D15" s="534"/>
      <c r="E15" s="534"/>
      <c r="F15" s="779"/>
      <c r="G15" s="780"/>
      <c r="H15" s="780"/>
      <c r="I15" s="781"/>
      <c r="J15" s="534"/>
      <c r="K15" s="534"/>
      <c r="L15" s="534" t="s">
        <v>15</v>
      </c>
      <c r="M15" s="534" t="s">
        <v>14</v>
      </c>
      <c r="N15" s="541" t="s">
        <v>13</v>
      </c>
      <c r="O15" s="140"/>
      <c r="P15" s="140"/>
      <c r="Q15" s="3"/>
      <c r="R15" s="3"/>
      <c r="S15" s="942"/>
      <c r="T15" s="942"/>
      <c r="U15" s="6"/>
      <c r="V15" s="3"/>
      <c r="W15" s="16"/>
      <c r="X15" s="5"/>
      <c r="Y15" s="12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15.75">
      <c r="A16" s="541"/>
      <c r="B16" s="534"/>
      <c r="C16" s="534"/>
      <c r="D16" s="534"/>
      <c r="E16" s="534"/>
      <c r="F16" s="132" t="s">
        <v>12</v>
      </c>
      <c r="G16" s="84" t="s">
        <v>11</v>
      </c>
      <c r="H16" s="84" t="s">
        <v>10</v>
      </c>
      <c r="I16" s="10" t="s">
        <v>9</v>
      </c>
      <c r="J16" s="84" t="s">
        <v>8</v>
      </c>
      <c r="K16" s="130" t="s">
        <v>7</v>
      </c>
      <c r="L16" s="534"/>
      <c r="M16" s="534"/>
      <c r="N16" s="541"/>
      <c r="O16" s="140"/>
      <c r="P16" s="143"/>
      <c r="Q16" s="84" t="s">
        <v>321</v>
      </c>
      <c r="R16" s="84" t="s">
        <v>27</v>
      </c>
      <c r="S16" s="942" t="s">
        <v>366</v>
      </c>
      <c r="T16" s="942"/>
      <c r="U16" s="5"/>
      <c r="W16" s="16"/>
      <c r="X16" s="5"/>
      <c r="Y16" s="12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88" ht="24" customHeight="1">
      <c r="A17" s="498" t="s">
        <v>249</v>
      </c>
      <c r="B17" s="108" t="s">
        <v>1</v>
      </c>
      <c r="C17" s="441" t="s">
        <v>248</v>
      </c>
      <c r="D17" s="96">
        <v>10</v>
      </c>
      <c r="E17" s="11">
        <f t="shared" ref="E17:E68" si="0">SUM(F17:I17)</f>
        <v>25866000</v>
      </c>
      <c r="F17" s="11">
        <f>10100000+15000000+766000</f>
        <v>25866000</v>
      </c>
      <c r="G17" s="11">
        <v>0</v>
      </c>
      <c r="H17" s="11">
        <v>0</v>
      </c>
      <c r="I17" s="11">
        <v>0</v>
      </c>
      <c r="J17" s="953">
        <v>44946</v>
      </c>
      <c r="K17" s="953">
        <v>45275</v>
      </c>
      <c r="L17" s="933">
        <f>D18/D17</f>
        <v>1</v>
      </c>
      <c r="M17" s="933">
        <f>E18/E17</f>
        <v>1</v>
      </c>
      <c r="N17" s="954">
        <f>L17*L17/M17</f>
        <v>1</v>
      </c>
      <c r="O17" s="138"/>
      <c r="P17" s="150" t="s">
        <v>1</v>
      </c>
      <c r="Q17" s="148">
        <v>2</v>
      </c>
      <c r="R17" s="202">
        <f>F17</f>
        <v>25866000</v>
      </c>
      <c r="U17" s="13"/>
      <c r="W17" s="14"/>
      <c r="X17" s="5"/>
      <c r="Y17" s="12"/>
    </row>
    <row r="18" spans="1:88" ht="24" customHeight="1">
      <c r="A18" s="499"/>
      <c r="B18" s="108" t="s">
        <v>0</v>
      </c>
      <c r="C18" s="442"/>
      <c r="D18" s="96">
        <v>10</v>
      </c>
      <c r="E18" s="11">
        <f t="shared" si="0"/>
        <v>25866000</v>
      </c>
      <c r="F18" s="11">
        <v>25866000</v>
      </c>
      <c r="G18" s="11">
        <v>0</v>
      </c>
      <c r="H18" s="11">
        <v>0</v>
      </c>
      <c r="I18" s="11">
        <v>0</v>
      </c>
      <c r="J18" s="953"/>
      <c r="K18" s="953"/>
      <c r="L18" s="933"/>
      <c r="M18" s="933"/>
      <c r="N18" s="954"/>
      <c r="O18" s="138"/>
      <c r="P18" s="150" t="s">
        <v>0</v>
      </c>
      <c r="Q18" s="149"/>
      <c r="R18" s="202">
        <f>F18</f>
        <v>25866000</v>
      </c>
      <c r="T18" s="323">
        <v>19900000</v>
      </c>
      <c r="U18" s="13"/>
      <c r="W18" s="14"/>
      <c r="X18" s="5"/>
      <c r="Y18" s="12"/>
    </row>
    <row r="19" spans="1:88" ht="21.75" customHeight="1">
      <c r="A19" s="499" t="s">
        <v>247</v>
      </c>
      <c r="B19" s="108" t="s">
        <v>1</v>
      </c>
      <c r="C19" s="441" t="s">
        <v>262</v>
      </c>
      <c r="D19" s="96">
        <v>40</v>
      </c>
      <c r="E19" s="11">
        <f t="shared" si="0"/>
        <v>22557000</v>
      </c>
      <c r="F19" s="109">
        <f>18400000+4157000</f>
        <v>22557000</v>
      </c>
      <c r="G19" s="11">
        <v>0</v>
      </c>
      <c r="H19" s="11">
        <v>0</v>
      </c>
      <c r="I19" s="11">
        <v>0</v>
      </c>
      <c r="J19" s="953">
        <v>44946</v>
      </c>
      <c r="K19" s="953">
        <v>45275</v>
      </c>
      <c r="L19" s="933">
        <f>D20/D19</f>
        <v>1</v>
      </c>
      <c r="M19" s="933">
        <f>E20/E19</f>
        <v>0.99821195194396417</v>
      </c>
      <c r="N19" s="954">
        <f>L19*L19/M19</f>
        <v>1.0017912508987232</v>
      </c>
      <c r="O19" s="138"/>
      <c r="P19" s="138"/>
      <c r="R19" s="203"/>
    </row>
    <row r="20" spans="1:88" ht="21.75" customHeight="1">
      <c r="A20" s="499"/>
      <c r="B20" s="108" t="s">
        <v>0</v>
      </c>
      <c r="C20" s="442"/>
      <c r="D20" s="96">
        <v>40</v>
      </c>
      <c r="E20" s="11">
        <f t="shared" si="0"/>
        <v>22516667</v>
      </c>
      <c r="F20" s="109">
        <v>22516667</v>
      </c>
      <c r="G20" s="11">
        <v>0</v>
      </c>
      <c r="H20" s="11">
        <v>0</v>
      </c>
      <c r="I20" s="11">
        <v>0</v>
      </c>
      <c r="J20" s="953"/>
      <c r="K20" s="953"/>
      <c r="L20" s="933"/>
      <c r="M20" s="933"/>
      <c r="N20" s="954"/>
      <c r="O20" s="138"/>
      <c r="P20" s="143"/>
      <c r="Q20" s="84" t="s">
        <v>321</v>
      </c>
      <c r="R20" s="204" t="s">
        <v>27</v>
      </c>
    </row>
    <row r="21" spans="1:88" ht="23.25" customHeight="1">
      <c r="A21" s="499" t="s">
        <v>246</v>
      </c>
      <c r="B21" s="108" t="s">
        <v>1</v>
      </c>
      <c r="C21" s="441" t="s">
        <v>403</v>
      </c>
      <c r="D21" s="96">
        <v>5</v>
      </c>
      <c r="E21" s="11">
        <f t="shared" si="0"/>
        <v>20000000</v>
      </c>
      <c r="F21" s="11">
        <f>5000000+15000000</f>
        <v>20000000</v>
      </c>
      <c r="G21" s="11">
        <v>0</v>
      </c>
      <c r="H21" s="11">
        <v>0</v>
      </c>
      <c r="I21" s="11">
        <v>0</v>
      </c>
      <c r="J21" s="953">
        <v>44946</v>
      </c>
      <c r="K21" s="953">
        <v>45275</v>
      </c>
      <c r="L21" s="933">
        <f>D22/D21</f>
        <v>1</v>
      </c>
      <c r="M21" s="933">
        <f>E22/E21</f>
        <v>0.5</v>
      </c>
      <c r="N21" s="531">
        <f>L21*L21/M21</f>
        <v>2</v>
      </c>
      <c r="O21" s="138"/>
      <c r="P21" s="150" t="s">
        <v>1</v>
      </c>
      <c r="Q21" s="148">
        <v>3</v>
      </c>
      <c r="R21" s="202">
        <f>F19</f>
        <v>22557000</v>
      </c>
    </row>
    <row r="22" spans="1:88" ht="23.25" customHeight="1">
      <c r="A22" s="499"/>
      <c r="B22" s="108" t="s">
        <v>0</v>
      </c>
      <c r="C22" s="442"/>
      <c r="D22" s="96">
        <v>5</v>
      </c>
      <c r="E22" s="11">
        <f t="shared" si="0"/>
        <v>10000000</v>
      </c>
      <c r="F22" s="11">
        <f>5000000+5000000</f>
        <v>10000000</v>
      </c>
      <c r="G22" s="11">
        <v>0</v>
      </c>
      <c r="H22" s="11">
        <v>0</v>
      </c>
      <c r="I22" s="11">
        <v>0</v>
      </c>
      <c r="J22" s="953"/>
      <c r="K22" s="953"/>
      <c r="L22" s="933"/>
      <c r="M22" s="933"/>
      <c r="N22" s="531"/>
      <c r="O22" s="138"/>
      <c r="P22" s="150" t="s">
        <v>0</v>
      </c>
      <c r="Q22" s="149"/>
      <c r="R22" s="202">
        <f>F20</f>
        <v>22516667</v>
      </c>
      <c r="T22" s="324">
        <v>13300000</v>
      </c>
    </row>
    <row r="23" spans="1:88" ht="28.5" customHeight="1">
      <c r="A23" s="499" t="s">
        <v>245</v>
      </c>
      <c r="B23" s="108" t="s">
        <v>1</v>
      </c>
      <c r="C23" s="441" t="s">
        <v>309</v>
      </c>
      <c r="D23" s="96">
        <v>1</v>
      </c>
      <c r="E23" s="11">
        <f t="shared" si="0"/>
        <v>24798716</v>
      </c>
      <c r="F23" s="109">
        <f>18633716+5000000+1165000</f>
        <v>24798716</v>
      </c>
      <c r="G23" s="11">
        <v>0</v>
      </c>
      <c r="H23" s="11">
        <v>0</v>
      </c>
      <c r="I23" s="11">
        <v>0</v>
      </c>
      <c r="J23" s="953">
        <v>44946</v>
      </c>
      <c r="K23" s="953">
        <v>45275</v>
      </c>
      <c r="L23" s="933">
        <f>D24/D23</f>
        <v>1</v>
      </c>
      <c r="M23" s="933">
        <f>E24/E23</f>
        <v>0.99985015353214257</v>
      </c>
      <c r="N23" s="934">
        <f>L23*L23/M23</f>
        <v>1.0001498689251864</v>
      </c>
      <c r="O23" s="138"/>
      <c r="P23" s="150" t="s">
        <v>1</v>
      </c>
      <c r="Q23" s="148">
        <v>4</v>
      </c>
      <c r="R23" s="202">
        <f>F21</f>
        <v>20000000</v>
      </c>
    </row>
    <row r="24" spans="1:88" ht="28.5" customHeight="1">
      <c r="A24" s="499"/>
      <c r="B24" s="108" t="s">
        <v>0</v>
      </c>
      <c r="C24" s="442"/>
      <c r="D24" s="96">
        <v>1</v>
      </c>
      <c r="E24" s="11">
        <f t="shared" si="0"/>
        <v>24795000</v>
      </c>
      <c r="F24" s="109">
        <v>24795000</v>
      </c>
      <c r="G24" s="11">
        <v>0</v>
      </c>
      <c r="H24" s="11">
        <v>0</v>
      </c>
      <c r="I24" s="11">
        <v>0</v>
      </c>
      <c r="J24" s="953"/>
      <c r="K24" s="953"/>
      <c r="L24" s="933"/>
      <c r="M24" s="933"/>
      <c r="N24" s="934"/>
      <c r="O24" s="138"/>
      <c r="P24" s="150" t="s">
        <v>0</v>
      </c>
      <c r="Q24" s="149"/>
      <c r="R24" s="202">
        <f>F22</f>
        <v>10000000</v>
      </c>
      <c r="T24" s="323">
        <v>3600000</v>
      </c>
    </row>
    <row r="25" spans="1:88" ht="28.5" customHeight="1">
      <c r="A25" s="499" t="s">
        <v>352</v>
      </c>
      <c r="B25" s="108" t="s">
        <v>1</v>
      </c>
      <c r="C25" s="441" t="s">
        <v>404</v>
      </c>
      <c r="D25" s="96">
        <v>1</v>
      </c>
      <c r="E25" s="11">
        <f t="shared" si="0"/>
        <v>1366284</v>
      </c>
      <c r="F25" s="109">
        <v>1366284</v>
      </c>
      <c r="G25" s="11">
        <v>0</v>
      </c>
      <c r="H25" s="11">
        <v>0</v>
      </c>
      <c r="I25" s="11">
        <v>0</v>
      </c>
      <c r="J25" s="953">
        <v>44946</v>
      </c>
      <c r="K25" s="953">
        <v>45275</v>
      </c>
      <c r="L25" s="933">
        <f>D26/D25</f>
        <v>1</v>
      </c>
      <c r="M25" s="933">
        <f>E26/E25</f>
        <v>1</v>
      </c>
      <c r="N25" s="531">
        <f>L25*L25/M25</f>
        <v>1</v>
      </c>
      <c r="O25" s="138"/>
      <c r="P25" s="147"/>
      <c r="Q25" s="81"/>
      <c r="R25" s="206"/>
    </row>
    <row r="26" spans="1:88" ht="28.5" customHeight="1">
      <c r="A26" s="499"/>
      <c r="B26" s="108" t="s">
        <v>0</v>
      </c>
      <c r="C26" s="442"/>
      <c r="D26" s="96">
        <v>1</v>
      </c>
      <c r="E26" s="11">
        <f t="shared" si="0"/>
        <v>1366284</v>
      </c>
      <c r="F26" s="109">
        <v>1366284</v>
      </c>
      <c r="G26" s="11">
        <v>0</v>
      </c>
      <c r="H26" s="11">
        <v>0</v>
      </c>
      <c r="I26" s="11">
        <v>0</v>
      </c>
      <c r="J26" s="953"/>
      <c r="K26" s="953"/>
      <c r="L26" s="933"/>
      <c r="M26" s="933"/>
      <c r="N26" s="531"/>
      <c r="O26" s="138"/>
      <c r="P26" s="147"/>
      <c r="Q26" s="81"/>
      <c r="R26" s="206"/>
    </row>
    <row r="27" spans="1:88" s="74" customFormat="1" ht="23.25" customHeight="1">
      <c r="A27" s="494" t="s">
        <v>244</v>
      </c>
      <c r="B27" s="108" t="s">
        <v>1</v>
      </c>
      <c r="C27" s="441" t="s">
        <v>243</v>
      </c>
      <c r="D27" s="97">
        <v>4391</v>
      </c>
      <c r="E27" s="11">
        <f t="shared" si="0"/>
        <v>4221312893</v>
      </c>
      <c r="F27" s="11">
        <f>3373484489+1005000000-5000000-4000000-12000000-10000000-25000000-10000000-10000000-10000000-64071596-6500000-600000</f>
        <v>4221312893</v>
      </c>
      <c r="G27" s="11">
        <v>0</v>
      </c>
      <c r="H27" s="11">
        <v>0</v>
      </c>
      <c r="I27" s="11">
        <v>0</v>
      </c>
      <c r="J27" s="953">
        <v>44946</v>
      </c>
      <c r="K27" s="953">
        <v>45275</v>
      </c>
      <c r="L27" s="933">
        <f>D28/D27</f>
        <v>1</v>
      </c>
      <c r="M27" s="933">
        <f>E28/E27</f>
        <v>0.98680911379672043</v>
      </c>
      <c r="N27" s="934">
        <f>L27*L27/M27</f>
        <v>1.0133672115699539</v>
      </c>
      <c r="O27" s="1"/>
      <c r="P27" s="138"/>
      <c r="Q27" s="1"/>
      <c r="R27" s="203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</row>
    <row r="28" spans="1:88" ht="23.25" customHeight="1">
      <c r="A28" s="495"/>
      <c r="B28" s="108" t="s">
        <v>0</v>
      </c>
      <c r="C28" s="442"/>
      <c r="D28" s="96">
        <v>4391</v>
      </c>
      <c r="E28" s="11">
        <f t="shared" si="0"/>
        <v>4165630035</v>
      </c>
      <c r="F28" s="11">
        <f>322999775 +3842630260</f>
        <v>4165630035</v>
      </c>
      <c r="G28" s="11">
        <v>0</v>
      </c>
      <c r="H28" s="11">
        <v>0</v>
      </c>
      <c r="I28" s="11">
        <v>0</v>
      </c>
      <c r="J28" s="953"/>
      <c r="K28" s="953"/>
      <c r="L28" s="933"/>
      <c r="M28" s="933"/>
      <c r="N28" s="934"/>
      <c r="P28" s="143"/>
      <c r="Q28" s="84" t="s">
        <v>321</v>
      </c>
      <c r="R28" s="204" t="s">
        <v>27</v>
      </c>
    </row>
    <row r="29" spans="1:88" ht="23.25" customHeight="1">
      <c r="A29" s="494" t="s">
        <v>242</v>
      </c>
      <c r="B29" s="108" t="s">
        <v>1</v>
      </c>
      <c r="C29" s="441" t="s">
        <v>241</v>
      </c>
      <c r="D29" s="96">
        <v>60</v>
      </c>
      <c r="E29" s="11">
        <f t="shared" si="0"/>
        <v>115171000</v>
      </c>
      <c r="F29" s="11">
        <f>70000000+30000000+5000000+10171000</f>
        <v>115171000</v>
      </c>
      <c r="G29" s="11">
        <v>0</v>
      </c>
      <c r="H29" s="11">
        <v>0</v>
      </c>
      <c r="I29" s="11">
        <v>0</v>
      </c>
      <c r="J29" s="953">
        <v>44946</v>
      </c>
      <c r="K29" s="953">
        <v>45275</v>
      </c>
      <c r="L29" s="933">
        <f>D30/D29</f>
        <v>1</v>
      </c>
      <c r="M29" s="933">
        <f>E30/E29</f>
        <v>1.0052096447890528</v>
      </c>
      <c r="N29" s="954">
        <f>L29*L29/M29</f>
        <v>0.99481735495072166</v>
      </c>
      <c r="P29" s="150" t="s">
        <v>1</v>
      </c>
      <c r="Q29" s="148">
        <v>14</v>
      </c>
      <c r="R29" s="202">
        <f>F23+F25</f>
        <v>26165000</v>
      </c>
    </row>
    <row r="30" spans="1:88" ht="23.25" customHeight="1">
      <c r="A30" s="495"/>
      <c r="B30" s="108" t="s">
        <v>0</v>
      </c>
      <c r="C30" s="442"/>
      <c r="D30" s="96">
        <v>60</v>
      </c>
      <c r="E30" s="11">
        <f t="shared" si="0"/>
        <v>115771000</v>
      </c>
      <c r="F30" s="11">
        <v>115771000</v>
      </c>
      <c r="G30" s="11">
        <v>0</v>
      </c>
      <c r="H30" s="11">
        <v>0</v>
      </c>
      <c r="I30" s="11">
        <v>0</v>
      </c>
      <c r="J30" s="953"/>
      <c r="K30" s="953"/>
      <c r="L30" s="933"/>
      <c r="M30" s="933"/>
      <c r="N30" s="954"/>
      <c r="P30" s="150" t="s">
        <v>0</v>
      </c>
      <c r="Q30" s="149"/>
      <c r="R30" s="202">
        <f>F24+F26</f>
        <v>26161284</v>
      </c>
      <c r="T30" s="323">
        <v>10966284</v>
      </c>
    </row>
    <row r="31" spans="1:88" ht="27.75" customHeight="1">
      <c r="A31" s="494" t="s">
        <v>240</v>
      </c>
      <c r="B31" s="108" t="s">
        <v>1</v>
      </c>
      <c r="C31" s="441" t="s">
        <v>310</v>
      </c>
      <c r="D31" s="96">
        <v>30</v>
      </c>
      <c r="E31" s="11">
        <f t="shared" si="0"/>
        <v>9274166</v>
      </c>
      <c r="F31" s="11">
        <f>5000000+4274166</f>
        <v>9274166</v>
      </c>
      <c r="G31" s="11">
        <v>0</v>
      </c>
      <c r="H31" s="11">
        <v>0</v>
      </c>
      <c r="I31" s="11">
        <v>0</v>
      </c>
      <c r="J31" s="953">
        <v>44946</v>
      </c>
      <c r="K31" s="953">
        <v>45275</v>
      </c>
      <c r="L31" s="933">
        <f>D32/D31</f>
        <v>1</v>
      </c>
      <c r="M31" s="933">
        <f>E32/E31</f>
        <v>1</v>
      </c>
      <c r="N31" s="531">
        <f>L31*L31/M31</f>
        <v>1</v>
      </c>
      <c r="O31" s="138"/>
      <c r="P31" s="138"/>
      <c r="R31" s="203"/>
    </row>
    <row r="32" spans="1:88" ht="27.75" customHeight="1">
      <c r="A32" s="495"/>
      <c r="B32" s="108" t="s">
        <v>0</v>
      </c>
      <c r="C32" s="442"/>
      <c r="D32" s="96">
        <v>30</v>
      </c>
      <c r="E32" s="11">
        <f t="shared" si="0"/>
        <v>9274166</v>
      </c>
      <c r="F32" s="11">
        <v>9274166</v>
      </c>
      <c r="G32" s="11">
        <v>0</v>
      </c>
      <c r="H32" s="11">
        <v>0</v>
      </c>
      <c r="I32" s="11">
        <v>0</v>
      </c>
      <c r="J32" s="953"/>
      <c r="K32" s="953"/>
      <c r="L32" s="933"/>
      <c r="M32" s="933"/>
      <c r="N32" s="531"/>
      <c r="O32" s="138"/>
      <c r="P32" s="143"/>
      <c r="Q32" s="84" t="s">
        <v>321</v>
      </c>
      <c r="R32" s="204" t="s">
        <v>27</v>
      </c>
    </row>
    <row r="33" spans="1:20" ht="29.25" customHeight="1">
      <c r="A33" s="494" t="s">
        <v>344</v>
      </c>
      <c r="B33" s="108" t="s">
        <v>1</v>
      </c>
      <c r="C33" s="441" t="s">
        <v>239</v>
      </c>
      <c r="D33" s="96">
        <v>1</v>
      </c>
      <c r="E33" s="11">
        <f t="shared" si="0"/>
        <v>11000000</v>
      </c>
      <c r="F33" s="109">
        <f>7000000+4000000</f>
        <v>11000000</v>
      </c>
      <c r="G33" s="11">
        <v>0</v>
      </c>
      <c r="H33" s="11">
        <v>0</v>
      </c>
      <c r="I33" s="11">
        <v>0</v>
      </c>
      <c r="J33" s="953">
        <v>44946</v>
      </c>
      <c r="K33" s="953">
        <v>45275</v>
      </c>
      <c r="L33" s="933">
        <f>D34/D33</f>
        <v>1</v>
      </c>
      <c r="M33" s="933">
        <f>E34/E33</f>
        <v>0.92200000000000004</v>
      </c>
      <c r="N33" s="954">
        <f>L33*L33/M33</f>
        <v>1.0845986984815619</v>
      </c>
      <c r="O33" s="138"/>
      <c r="P33" s="150" t="s">
        <v>1</v>
      </c>
      <c r="Q33" s="148">
        <v>15</v>
      </c>
      <c r="R33" s="202">
        <f>F27+F29+F31</f>
        <v>4345758059</v>
      </c>
    </row>
    <row r="34" spans="1:20" ht="29.25" customHeight="1">
      <c r="A34" s="495"/>
      <c r="B34" s="108" t="s">
        <v>0</v>
      </c>
      <c r="C34" s="442"/>
      <c r="D34" s="96">
        <v>1</v>
      </c>
      <c r="E34" s="11">
        <f t="shared" si="0"/>
        <v>10142000</v>
      </c>
      <c r="F34" s="109">
        <f>6062000+4080000</f>
        <v>10142000</v>
      </c>
      <c r="G34" s="11">
        <v>0</v>
      </c>
      <c r="H34" s="11">
        <v>0</v>
      </c>
      <c r="I34" s="11">
        <v>0</v>
      </c>
      <c r="J34" s="953"/>
      <c r="K34" s="953"/>
      <c r="L34" s="933"/>
      <c r="M34" s="933"/>
      <c r="N34" s="954"/>
      <c r="O34" s="138"/>
      <c r="P34" s="150" t="s">
        <v>0</v>
      </c>
      <c r="Q34" s="149"/>
      <c r="R34" s="202">
        <f>F28+F30+F32</f>
        <v>4290675201</v>
      </c>
      <c r="T34" s="323">
        <v>375336675</v>
      </c>
    </row>
    <row r="35" spans="1:20" ht="24.75" customHeight="1">
      <c r="A35" s="494" t="s">
        <v>238</v>
      </c>
      <c r="B35" s="108" t="s">
        <v>1</v>
      </c>
      <c r="C35" s="441" t="s">
        <v>237</v>
      </c>
      <c r="D35" s="96">
        <v>1</v>
      </c>
      <c r="E35" s="11">
        <f t="shared" si="0"/>
        <v>32000000</v>
      </c>
      <c r="F35" s="11">
        <f>20000000+12000000</f>
        <v>32000000</v>
      </c>
      <c r="G35" s="11">
        <v>0</v>
      </c>
      <c r="H35" s="11">
        <v>0</v>
      </c>
      <c r="I35" s="11">
        <v>0</v>
      </c>
      <c r="J35" s="953">
        <v>44946</v>
      </c>
      <c r="K35" s="953">
        <v>45275</v>
      </c>
      <c r="L35" s="933">
        <f>D36/D35</f>
        <v>1</v>
      </c>
      <c r="M35" s="933">
        <f>E36/E35</f>
        <v>0.99856299999999998</v>
      </c>
      <c r="N35" s="954">
        <v>0</v>
      </c>
      <c r="O35" s="138"/>
      <c r="P35" s="150" t="s">
        <v>1</v>
      </c>
      <c r="Q35" s="148">
        <v>16</v>
      </c>
      <c r="R35" s="202">
        <f>F33</f>
        <v>11000000</v>
      </c>
    </row>
    <row r="36" spans="1:20" ht="24.75" customHeight="1">
      <c r="A36" s="495"/>
      <c r="B36" s="108" t="s">
        <v>0</v>
      </c>
      <c r="C36" s="442"/>
      <c r="D36" s="96">
        <v>1</v>
      </c>
      <c r="E36" s="11">
        <f t="shared" si="0"/>
        <v>31954016</v>
      </c>
      <c r="F36" s="11">
        <v>31954016</v>
      </c>
      <c r="G36" s="11">
        <v>0</v>
      </c>
      <c r="H36" s="11">
        <v>0</v>
      </c>
      <c r="I36" s="11">
        <v>0</v>
      </c>
      <c r="J36" s="953"/>
      <c r="K36" s="953"/>
      <c r="L36" s="933"/>
      <c r="M36" s="933"/>
      <c r="N36" s="954"/>
      <c r="O36" s="138"/>
      <c r="P36" s="150" t="s">
        <v>0</v>
      </c>
      <c r="Q36" s="149"/>
      <c r="R36" s="202">
        <f>F34</f>
        <v>10142000</v>
      </c>
      <c r="T36" s="323">
        <v>3385000</v>
      </c>
    </row>
    <row r="37" spans="1:20" ht="24" customHeight="1">
      <c r="A37" s="494" t="s">
        <v>236</v>
      </c>
      <c r="B37" s="108" t="s">
        <v>1</v>
      </c>
      <c r="C37" s="441" t="s">
        <v>311</v>
      </c>
      <c r="D37" s="96">
        <v>4</v>
      </c>
      <c r="E37" s="11">
        <f t="shared" si="0"/>
        <v>47887911</v>
      </c>
      <c r="F37" s="11">
        <f>30887911+7000000+10000000</f>
        <v>47887911</v>
      </c>
      <c r="G37" s="11">
        <v>0</v>
      </c>
      <c r="H37" s="11">
        <v>0</v>
      </c>
      <c r="I37" s="11">
        <v>0</v>
      </c>
      <c r="J37" s="953">
        <v>44946</v>
      </c>
      <c r="K37" s="953">
        <v>45275</v>
      </c>
      <c r="L37" s="933">
        <f>D38/D37</f>
        <v>1</v>
      </c>
      <c r="M37" s="933">
        <f>E38/E37</f>
        <v>0.94680125011090999</v>
      </c>
      <c r="N37" s="954">
        <f>L37*L37/M37</f>
        <v>1.0561878745754278</v>
      </c>
      <c r="O37" s="138"/>
      <c r="P37" s="150" t="s">
        <v>1</v>
      </c>
      <c r="Q37" s="148">
        <v>1</v>
      </c>
      <c r="R37" s="202">
        <f>F35+F37+F39+F41+G39</f>
        <v>194780269</v>
      </c>
      <c r="S37" s="158">
        <f>G39</f>
        <v>66892358</v>
      </c>
    </row>
    <row r="38" spans="1:20" ht="24" customHeight="1">
      <c r="A38" s="495"/>
      <c r="B38" s="108" t="s">
        <v>0</v>
      </c>
      <c r="C38" s="442"/>
      <c r="D38" s="96">
        <v>4</v>
      </c>
      <c r="E38" s="11">
        <f t="shared" si="0"/>
        <v>45340334</v>
      </c>
      <c r="F38" s="11">
        <v>45340334</v>
      </c>
      <c r="G38" s="11">
        <v>0</v>
      </c>
      <c r="H38" s="11">
        <v>0</v>
      </c>
      <c r="I38" s="11">
        <v>0</v>
      </c>
      <c r="J38" s="953"/>
      <c r="K38" s="953"/>
      <c r="L38" s="933"/>
      <c r="M38" s="933"/>
      <c r="N38" s="954"/>
      <c r="O38" s="138"/>
      <c r="P38" s="150" t="s">
        <v>0</v>
      </c>
      <c r="Q38" s="149"/>
      <c r="R38" s="202">
        <f>F36+F38+F40+F42+G40</f>
        <v>125161469</v>
      </c>
      <c r="T38" s="323">
        <v>69258119</v>
      </c>
    </row>
    <row r="39" spans="1:20" ht="34.5" customHeight="1">
      <c r="A39" s="494" t="s">
        <v>345</v>
      </c>
      <c r="B39" s="108" t="s">
        <v>1</v>
      </c>
      <c r="C39" s="441" t="s">
        <v>346</v>
      </c>
      <c r="D39" s="96">
        <v>1</v>
      </c>
      <c r="E39" s="11">
        <f t="shared" si="0"/>
        <v>94892358</v>
      </c>
      <c r="F39" s="11">
        <v>28000000</v>
      </c>
      <c r="G39" s="11">
        <v>66892358</v>
      </c>
      <c r="H39" s="11">
        <v>0</v>
      </c>
      <c r="I39" s="11">
        <v>0</v>
      </c>
      <c r="J39" s="953">
        <v>44581</v>
      </c>
      <c r="K39" s="953">
        <v>44545</v>
      </c>
      <c r="L39" s="933">
        <f>D40/D39</f>
        <v>1</v>
      </c>
      <c r="M39" s="933">
        <f>E40/E39</f>
        <v>0.29367084544363414</v>
      </c>
      <c r="N39" s="934">
        <f>L39*L39/M39</f>
        <v>3.4051728849329561</v>
      </c>
      <c r="O39" s="138"/>
      <c r="P39" s="147"/>
      <c r="Q39" s="81"/>
      <c r="R39" s="206"/>
    </row>
    <row r="40" spans="1:20" ht="34.5" customHeight="1">
      <c r="A40" s="495"/>
      <c r="B40" s="108" t="s">
        <v>0</v>
      </c>
      <c r="C40" s="442"/>
      <c r="D40" s="96">
        <v>1</v>
      </c>
      <c r="E40" s="11">
        <f t="shared" si="0"/>
        <v>27867119</v>
      </c>
      <c r="F40" s="11">
        <v>27867119</v>
      </c>
      <c r="G40" s="11">
        <v>0</v>
      </c>
      <c r="H40" s="11">
        <v>0</v>
      </c>
      <c r="I40" s="11">
        <v>0</v>
      </c>
      <c r="J40" s="953"/>
      <c r="K40" s="953"/>
      <c r="L40" s="933"/>
      <c r="M40" s="933"/>
      <c r="N40" s="934"/>
      <c r="O40" s="138"/>
      <c r="P40" s="147"/>
      <c r="Q40" s="81"/>
      <c r="R40" s="206"/>
    </row>
    <row r="41" spans="1:20" ht="15.75">
      <c r="A41" s="494" t="s">
        <v>316</v>
      </c>
      <c r="B41" s="108" t="s">
        <v>1</v>
      </c>
      <c r="C41" s="500" t="s">
        <v>317</v>
      </c>
      <c r="D41" s="112">
        <v>1</v>
      </c>
      <c r="E41" s="11">
        <f t="shared" si="0"/>
        <v>20000000</v>
      </c>
      <c r="F41" s="11">
        <f>10000000+10000000</f>
        <v>20000000</v>
      </c>
      <c r="G41" s="11">
        <v>0</v>
      </c>
      <c r="H41" s="11">
        <v>0</v>
      </c>
      <c r="I41" s="11">
        <v>0</v>
      </c>
      <c r="J41" s="953">
        <v>44946</v>
      </c>
      <c r="K41" s="953">
        <v>45275</v>
      </c>
      <c r="L41" s="933">
        <f>D42/D41</f>
        <v>1</v>
      </c>
      <c r="M41" s="933">
        <f>E42/E41</f>
        <v>1</v>
      </c>
      <c r="N41" s="531">
        <f>L41*L41/M41</f>
        <v>1</v>
      </c>
      <c r="O41" s="138"/>
      <c r="P41" s="138"/>
      <c r="R41" s="203"/>
    </row>
    <row r="42" spans="1:20" ht="15.75">
      <c r="A42" s="495"/>
      <c r="B42" s="108" t="s">
        <v>0</v>
      </c>
      <c r="C42" s="501"/>
      <c r="D42" s="112">
        <v>1</v>
      </c>
      <c r="E42" s="11">
        <f t="shared" si="0"/>
        <v>20000000</v>
      </c>
      <c r="F42" s="11">
        <v>20000000</v>
      </c>
      <c r="G42" s="11">
        <v>0</v>
      </c>
      <c r="H42" s="11">
        <v>0</v>
      </c>
      <c r="I42" s="11">
        <v>0</v>
      </c>
      <c r="J42" s="953"/>
      <c r="K42" s="953"/>
      <c r="L42" s="933"/>
      <c r="M42" s="933"/>
      <c r="N42" s="531"/>
      <c r="O42" s="138"/>
      <c r="P42" s="143"/>
      <c r="Q42" s="84" t="s">
        <v>321</v>
      </c>
      <c r="R42" s="204" t="s">
        <v>27</v>
      </c>
    </row>
    <row r="43" spans="1:20" ht="30.75" customHeight="1">
      <c r="A43" s="445" t="s">
        <v>235</v>
      </c>
      <c r="B43" s="108" t="s">
        <v>1</v>
      </c>
      <c r="C43" s="441" t="s">
        <v>225</v>
      </c>
      <c r="D43" s="97">
        <v>1</v>
      </c>
      <c r="E43" s="11">
        <f t="shared" si="0"/>
        <v>5000000</v>
      </c>
      <c r="F43" s="11">
        <v>5000000</v>
      </c>
      <c r="G43" s="11">
        <v>0</v>
      </c>
      <c r="H43" s="11">
        <v>0</v>
      </c>
      <c r="I43" s="11">
        <v>0</v>
      </c>
      <c r="J43" s="953">
        <v>44946</v>
      </c>
      <c r="K43" s="953">
        <v>45275</v>
      </c>
      <c r="L43" s="933">
        <f>D44/D43</f>
        <v>1</v>
      </c>
      <c r="M43" s="933">
        <f>E44/E43</f>
        <v>2.3719000000000001</v>
      </c>
      <c r="N43" s="954">
        <f>L43*L43/M43</f>
        <v>0.4216029343564231</v>
      </c>
      <c r="O43" s="138"/>
      <c r="P43" s="150" t="s">
        <v>1</v>
      </c>
      <c r="Q43" s="148">
        <v>5</v>
      </c>
      <c r="R43" s="202">
        <f>F43+F45</f>
        <v>10000000</v>
      </c>
    </row>
    <row r="44" spans="1:20" ht="30.75" customHeight="1">
      <c r="A44" s="446"/>
      <c r="B44" s="108" t="s">
        <v>0</v>
      </c>
      <c r="C44" s="442"/>
      <c r="D44" s="97">
        <v>1</v>
      </c>
      <c r="E44" s="11">
        <f t="shared" si="0"/>
        <v>11859500</v>
      </c>
      <c r="F44" s="11">
        <v>11859500</v>
      </c>
      <c r="G44" s="11">
        <v>0</v>
      </c>
      <c r="H44" s="11">
        <v>0</v>
      </c>
      <c r="I44" s="11">
        <v>0</v>
      </c>
      <c r="J44" s="953"/>
      <c r="K44" s="953"/>
      <c r="L44" s="933"/>
      <c r="M44" s="933"/>
      <c r="N44" s="954"/>
      <c r="O44" s="138"/>
      <c r="P44" s="150" t="s">
        <v>0</v>
      </c>
      <c r="Q44" s="149"/>
      <c r="R44" s="202">
        <f>F44+F46</f>
        <v>16569500</v>
      </c>
      <c r="T44" s="323">
        <v>3045000</v>
      </c>
    </row>
    <row r="45" spans="1:20" ht="20.25">
      <c r="A45" s="445" t="s">
        <v>234</v>
      </c>
      <c r="B45" s="108" t="s">
        <v>1</v>
      </c>
      <c r="C45" s="441" t="s">
        <v>233</v>
      </c>
      <c r="D45" s="96">
        <v>1</v>
      </c>
      <c r="E45" s="11">
        <f t="shared" si="0"/>
        <v>5000000</v>
      </c>
      <c r="F45" s="109">
        <v>5000000</v>
      </c>
      <c r="G45" s="11">
        <v>0</v>
      </c>
      <c r="H45" s="11">
        <v>0</v>
      </c>
      <c r="I45" s="11">
        <v>0</v>
      </c>
      <c r="J45" s="953">
        <v>44946</v>
      </c>
      <c r="K45" s="953">
        <v>45275</v>
      </c>
      <c r="L45" s="933">
        <f>D46/D45</f>
        <v>1</v>
      </c>
      <c r="M45" s="933">
        <f>E46/E45</f>
        <v>0.94199999999999995</v>
      </c>
      <c r="N45" s="954">
        <f>L45*L45/M45</f>
        <v>1.0615711252653928</v>
      </c>
      <c r="O45" s="138"/>
      <c r="P45" s="150" t="s">
        <v>1</v>
      </c>
      <c r="Q45" s="148">
        <v>6</v>
      </c>
      <c r="R45" s="202">
        <f>F47+F49</f>
        <v>148501334</v>
      </c>
    </row>
    <row r="46" spans="1:20" ht="15.75">
      <c r="A46" s="446"/>
      <c r="B46" s="108" t="s">
        <v>0</v>
      </c>
      <c r="C46" s="442"/>
      <c r="D46" s="96">
        <v>1</v>
      </c>
      <c r="E46" s="11">
        <f t="shared" si="0"/>
        <v>4710000</v>
      </c>
      <c r="F46" s="109">
        <v>4710000</v>
      </c>
      <c r="G46" s="11">
        <v>0</v>
      </c>
      <c r="H46" s="11">
        <v>0</v>
      </c>
      <c r="I46" s="11">
        <v>0</v>
      </c>
      <c r="J46" s="953"/>
      <c r="K46" s="953"/>
      <c r="L46" s="933"/>
      <c r="M46" s="933"/>
      <c r="N46" s="954"/>
      <c r="O46" s="138"/>
      <c r="P46" s="150" t="s">
        <v>0</v>
      </c>
      <c r="Q46" s="149"/>
      <c r="R46" s="202">
        <f>F48+F50</f>
        <v>131566351</v>
      </c>
      <c r="T46" s="323">
        <v>87747000</v>
      </c>
    </row>
    <row r="47" spans="1:20" ht="15.75">
      <c r="A47" s="445" t="s">
        <v>232</v>
      </c>
      <c r="B47" s="108" t="s">
        <v>1</v>
      </c>
      <c r="C47" s="441" t="s">
        <v>231</v>
      </c>
      <c r="D47" s="96">
        <v>1</v>
      </c>
      <c r="E47" s="11">
        <f t="shared" si="0"/>
        <v>20000000</v>
      </c>
      <c r="F47" s="11">
        <v>20000000</v>
      </c>
      <c r="G47" s="11">
        <v>0</v>
      </c>
      <c r="H47" s="11">
        <v>0</v>
      </c>
      <c r="I47" s="11">
        <v>0</v>
      </c>
      <c r="J47" s="953">
        <v>44946</v>
      </c>
      <c r="K47" s="953">
        <v>45275</v>
      </c>
      <c r="L47" s="933">
        <f>D48/D47</f>
        <v>1</v>
      </c>
      <c r="M47" s="933">
        <f>E48/E47</f>
        <v>0.75325085000000003</v>
      </c>
      <c r="N47" s="531">
        <f>L47*L47/M47</f>
        <v>1.3275789864691159</v>
      </c>
      <c r="O47" s="138"/>
    </row>
    <row r="48" spans="1:20" ht="15.75">
      <c r="A48" s="446"/>
      <c r="B48" s="108" t="s">
        <v>0</v>
      </c>
      <c r="C48" s="442"/>
      <c r="D48" s="96">
        <v>1</v>
      </c>
      <c r="E48" s="11">
        <f t="shared" si="0"/>
        <v>15065017</v>
      </c>
      <c r="F48" s="11">
        <v>15065017</v>
      </c>
      <c r="G48" s="11">
        <v>0</v>
      </c>
      <c r="H48" s="11">
        <v>0</v>
      </c>
      <c r="I48" s="11">
        <v>0</v>
      </c>
      <c r="J48" s="953"/>
      <c r="K48" s="953"/>
      <c r="L48" s="933"/>
      <c r="M48" s="933"/>
      <c r="N48" s="531"/>
      <c r="O48" s="138"/>
      <c r="P48" s="138"/>
      <c r="R48" s="203"/>
    </row>
    <row r="49" spans="1:20" ht="34.5" customHeight="1">
      <c r="A49" s="445" t="s">
        <v>230</v>
      </c>
      <c r="B49" s="108" t="s">
        <v>1</v>
      </c>
      <c r="C49" s="441" t="s">
        <v>225</v>
      </c>
      <c r="D49" s="96">
        <v>1</v>
      </c>
      <c r="E49" s="11">
        <f t="shared" si="0"/>
        <v>128501334</v>
      </c>
      <c r="F49" s="11">
        <f>80000000+7000000+25000000+6501334+10000000</f>
        <v>128501334</v>
      </c>
      <c r="G49" s="11">
        <v>0</v>
      </c>
      <c r="H49" s="11">
        <v>0</v>
      </c>
      <c r="I49" s="11">
        <v>0</v>
      </c>
      <c r="J49" s="953">
        <v>44946</v>
      </c>
      <c r="K49" s="953">
        <v>45275</v>
      </c>
      <c r="L49" s="933">
        <f>D50/D49</f>
        <v>1</v>
      </c>
      <c r="M49" s="933">
        <f>E50/E49</f>
        <v>0.9066157554442198</v>
      </c>
      <c r="N49" s="954">
        <f>L49*L49/M49</f>
        <v>1.1030031123935455</v>
      </c>
      <c r="O49" s="138"/>
      <c r="P49" s="138"/>
      <c r="Q49" s="80"/>
      <c r="R49" s="203"/>
    </row>
    <row r="50" spans="1:20" ht="34.5" customHeight="1">
      <c r="A50" s="446"/>
      <c r="B50" s="108" t="s">
        <v>0</v>
      </c>
      <c r="C50" s="442"/>
      <c r="D50" s="96">
        <v>1</v>
      </c>
      <c r="E50" s="11">
        <f t="shared" si="0"/>
        <v>116501334</v>
      </c>
      <c r="F50" s="11">
        <v>116501334</v>
      </c>
      <c r="G50" s="11">
        <v>0</v>
      </c>
      <c r="H50" s="11">
        <v>0</v>
      </c>
      <c r="I50" s="11">
        <v>0</v>
      </c>
      <c r="J50" s="953"/>
      <c r="K50" s="953"/>
      <c r="L50" s="933"/>
      <c r="M50" s="933"/>
      <c r="N50" s="954"/>
      <c r="O50" s="138"/>
    </row>
    <row r="51" spans="1:20" ht="15.75">
      <c r="A51" s="494" t="s">
        <v>229</v>
      </c>
      <c r="B51" s="108" t="s">
        <v>1</v>
      </c>
      <c r="C51" s="441" t="s">
        <v>228</v>
      </c>
      <c r="D51" s="96">
        <v>4</v>
      </c>
      <c r="E51" s="11">
        <f t="shared" si="0"/>
        <v>15000000</v>
      </c>
      <c r="F51" s="109">
        <v>15000000</v>
      </c>
      <c r="G51" s="11">
        <v>0</v>
      </c>
      <c r="H51" s="11">
        <v>0</v>
      </c>
      <c r="I51" s="11">
        <v>0</v>
      </c>
      <c r="J51" s="953">
        <v>44946</v>
      </c>
      <c r="K51" s="953">
        <v>45275</v>
      </c>
      <c r="L51" s="933">
        <f>D52/D51</f>
        <v>1</v>
      </c>
      <c r="M51" s="933">
        <f>E52/E51</f>
        <v>0.91200000000000003</v>
      </c>
      <c r="N51" s="954">
        <f>L51*L51/M51</f>
        <v>1.0964912280701753</v>
      </c>
      <c r="O51" s="138"/>
      <c r="P51" s="138"/>
      <c r="R51" s="203"/>
    </row>
    <row r="52" spans="1:20" ht="15.75">
      <c r="A52" s="495"/>
      <c r="B52" s="108" t="s">
        <v>0</v>
      </c>
      <c r="C52" s="442"/>
      <c r="D52" s="97">
        <v>4</v>
      </c>
      <c r="E52" s="11">
        <f t="shared" si="0"/>
        <v>13680000</v>
      </c>
      <c r="F52" s="109">
        <f>3680000+10000000</f>
        <v>13680000</v>
      </c>
      <c r="G52" s="11">
        <v>0</v>
      </c>
      <c r="H52" s="11">
        <v>0</v>
      </c>
      <c r="I52" s="11">
        <v>0</v>
      </c>
      <c r="J52" s="953"/>
      <c r="K52" s="953"/>
      <c r="L52" s="933"/>
      <c r="M52" s="933"/>
      <c r="N52" s="954"/>
      <c r="O52" s="138"/>
      <c r="P52" s="138"/>
      <c r="R52" s="203"/>
    </row>
    <row r="53" spans="1:20" ht="24.75" customHeight="1">
      <c r="A53" s="494" t="s">
        <v>227</v>
      </c>
      <c r="B53" s="108" t="s">
        <v>1</v>
      </c>
      <c r="C53" s="441" t="s">
        <v>226</v>
      </c>
      <c r="D53" s="96">
        <v>20</v>
      </c>
      <c r="E53" s="11">
        <f t="shared" si="0"/>
        <v>39744000</v>
      </c>
      <c r="F53" s="11">
        <f>33000000+6744000</f>
        <v>39744000</v>
      </c>
      <c r="G53" s="11">
        <v>0</v>
      </c>
      <c r="H53" s="11">
        <v>0</v>
      </c>
      <c r="I53" s="11">
        <v>0</v>
      </c>
      <c r="J53" s="953">
        <v>44946</v>
      </c>
      <c r="K53" s="953">
        <v>45275</v>
      </c>
      <c r="L53" s="933">
        <f>D54/D53</f>
        <v>1</v>
      </c>
      <c r="M53" s="933">
        <f>E54/E53</f>
        <v>1</v>
      </c>
      <c r="N53" s="954">
        <f>L53*L53/M53</f>
        <v>1</v>
      </c>
      <c r="O53" s="138"/>
      <c r="P53" s="150" t="s">
        <v>1</v>
      </c>
      <c r="Q53" s="148">
        <v>7</v>
      </c>
      <c r="R53" s="202">
        <f t="shared" ref="R53:R58" si="1">F51</f>
        <v>15000000</v>
      </c>
    </row>
    <row r="54" spans="1:20" ht="24.75" customHeight="1">
      <c r="A54" s="495"/>
      <c r="B54" s="108" t="s">
        <v>0</v>
      </c>
      <c r="C54" s="442"/>
      <c r="D54" s="96">
        <v>20</v>
      </c>
      <c r="E54" s="11">
        <f t="shared" si="0"/>
        <v>39744000</v>
      </c>
      <c r="F54" s="11">
        <v>39744000</v>
      </c>
      <c r="G54" s="11">
        <v>0</v>
      </c>
      <c r="H54" s="11">
        <v>0</v>
      </c>
      <c r="I54" s="11">
        <v>0</v>
      </c>
      <c r="J54" s="953"/>
      <c r="K54" s="953"/>
      <c r="L54" s="933"/>
      <c r="M54" s="933"/>
      <c r="N54" s="954"/>
      <c r="O54" s="138"/>
      <c r="P54" s="150" t="s">
        <v>0</v>
      </c>
      <c r="Q54" s="149"/>
      <c r="R54" s="202">
        <f t="shared" si="1"/>
        <v>13680000</v>
      </c>
      <c r="T54" s="323">
        <v>9000000</v>
      </c>
    </row>
    <row r="55" spans="1:20" ht="20.25">
      <c r="A55" s="494" t="s">
        <v>224</v>
      </c>
      <c r="B55" s="108" t="s">
        <v>1</v>
      </c>
      <c r="C55" s="441" t="s">
        <v>223</v>
      </c>
      <c r="D55" s="96">
        <v>1</v>
      </c>
      <c r="E55" s="11">
        <f t="shared" si="0"/>
        <v>32000000</v>
      </c>
      <c r="F55" s="109">
        <v>32000000</v>
      </c>
      <c r="G55" s="11">
        <v>0</v>
      </c>
      <c r="H55" s="11">
        <v>0</v>
      </c>
      <c r="I55" s="11">
        <v>0</v>
      </c>
      <c r="J55" s="953">
        <v>44946</v>
      </c>
      <c r="K55" s="953">
        <v>45275</v>
      </c>
      <c r="L55" s="933">
        <f>D56/D55</f>
        <v>1</v>
      </c>
      <c r="M55" s="933">
        <f>E56/E55</f>
        <v>0.96</v>
      </c>
      <c r="N55" s="954">
        <f>L55*L55/M55</f>
        <v>1.0416666666666667</v>
      </c>
      <c r="O55" s="138"/>
      <c r="P55" s="150" t="s">
        <v>1</v>
      </c>
      <c r="Q55" s="148">
        <v>8</v>
      </c>
      <c r="R55" s="202">
        <f t="shared" si="1"/>
        <v>39744000</v>
      </c>
    </row>
    <row r="56" spans="1:20" ht="15.75">
      <c r="A56" s="495"/>
      <c r="B56" s="108" t="s">
        <v>0</v>
      </c>
      <c r="C56" s="442"/>
      <c r="D56" s="96">
        <v>1</v>
      </c>
      <c r="E56" s="11">
        <f t="shared" si="0"/>
        <v>30720000</v>
      </c>
      <c r="F56" s="109">
        <v>30720000</v>
      </c>
      <c r="G56" s="11">
        <v>0</v>
      </c>
      <c r="H56" s="11">
        <v>0</v>
      </c>
      <c r="I56" s="11">
        <v>0</v>
      </c>
      <c r="J56" s="953"/>
      <c r="K56" s="953"/>
      <c r="L56" s="933"/>
      <c r="M56" s="933"/>
      <c r="N56" s="954"/>
      <c r="O56" s="138"/>
      <c r="P56" s="150" t="s">
        <v>0</v>
      </c>
      <c r="Q56" s="149"/>
      <c r="R56" s="202">
        <f t="shared" si="1"/>
        <v>39744000</v>
      </c>
      <c r="T56" s="323">
        <v>26500000</v>
      </c>
    </row>
    <row r="57" spans="1:20" ht="15.75" customHeight="1">
      <c r="A57" s="494" t="s">
        <v>355</v>
      </c>
      <c r="B57" s="108" t="s">
        <v>1</v>
      </c>
      <c r="C57" s="441" t="s">
        <v>351</v>
      </c>
      <c r="D57" s="96">
        <v>1</v>
      </c>
      <c r="E57" s="11">
        <f t="shared" si="0"/>
        <v>1000000</v>
      </c>
      <c r="F57" s="11">
        <v>1000000</v>
      </c>
      <c r="G57" s="11">
        <v>0</v>
      </c>
      <c r="H57" s="11">
        <v>0</v>
      </c>
      <c r="I57" s="11">
        <v>0</v>
      </c>
      <c r="J57" s="953">
        <v>44946</v>
      </c>
      <c r="K57" s="953">
        <v>45275</v>
      </c>
      <c r="L57" s="933">
        <f>D58/D57</f>
        <v>1</v>
      </c>
      <c r="M57" s="933">
        <f>E58/E57</f>
        <v>1</v>
      </c>
      <c r="N57" s="531">
        <f>L57*L57/M57</f>
        <v>1</v>
      </c>
      <c r="O57" s="138"/>
      <c r="P57" s="150" t="s">
        <v>1</v>
      </c>
      <c r="Q57" s="148">
        <v>9</v>
      </c>
      <c r="R57" s="202">
        <f t="shared" si="1"/>
        <v>32000000</v>
      </c>
    </row>
    <row r="58" spans="1:20" ht="15.75">
      <c r="A58" s="495"/>
      <c r="B58" s="108" t="s">
        <v>0</v>
      </c>
      <c r="C58" s="442"/>
      <c r="D58" s="96">
        <v>1</v>
      </c>
      <c r="E58" s="11">
        <f t="shared" si="0"/>
        <v>1000000</v>
      </c>
      <c r="F58" s="11">
        <v>1000000</v>
      </c>
      <c r="G58" s="11">
        <v>0</v>
      </c>
      <c r="H58" s="11">
        <v>0</v>
      </c>
      <c r="I58" s="11">
        <v>0</v>
      </c>
      <c r="J58" s="953"/>
      <c r="K58" s="953"/>
      <c r="L58" s="933"/>
      <c r="M58" s="933"/>
      <c r="N58" s="531"/>
      <c r="O58" s="138"/>
      <c r="P58" s="150" t="s">
        <v>0</v>
      </c>
      <c r="Q58" s="149"/>
      <c r="R58" s="202">
        <f t="shared" si="1"/>
        <v>30720000</v>
      </c>
      <c r="T58" s="323">
        <v>18000000</v>
      </c>
    </row>
    <row r="59" spans="1:20" ht="25.5" customHeight="1">
      <c r="A59" s="494" t="s">
        <v>222</v>
      </c>
      <c r="B59" s="108" t="s">
        <v>1</v>
      </c>
      <c r="C59" s="441" t="s">
        <v>221</v>
      </c>
      <c r="D59" s="96">
        <v>40</v>
      </c>
      <c r="E59" s="11">
        <f t="shared" si="0"/>
        <v>174191600</v>
      </c>
      <c r="F59" s="11">
        <v>174191600</v>
      </c>
      <c r="G59" s="11">
        <v>0</v>
      </c>
      <c r="H59" s="11">
        <v>0</v>
      </c>
      <c r="I59" s="11">
        <v>0</v>
      </c>
      <c r="J59" s="953">
        <v>44946</v>
      </c>
      <c r="K59" s="953">
        <v>45275</v>
      </c>
      <c r="L59" s="933">
        <f>D60/D59</f>
        <v>0.92500000000000004</v>
      </c>
      <c r="M59" s="933">
        <f>E60/E59</f>
        <v>1</v>
      </c>
      <c r="N59" s="934">
        <f>L59*L59/M59</f>
        <v>0.85562500000000008</v>
      </c>
      <c r="O59" s="138"/>
      <c r="P59" s="150" t="s">
        <v>1</v>
      </c>
      <c r="Q59" s="148">
        <v>10</v>
      </c>
      <c r="R59" s="202">
        <f>F57+F59</f>
        <v>175191600</v>
      </c>
    </row>
    <row r="60" spans="1:20" ht="25.5" customHeight="1">
      <c r="A60" s="495"/>
      <c r="B60" s="108" t="s">
        <v>0</v>
      </c>
      <c r="C60" s="442"/>
      <c r="D60" s="96">
        <v>37</v>
      </c>
      <c r="E60" s="11">
        <f t="shared" si="0"/>
        <v>174191600</v>
      </c>
      <c r="F60" s="11">
        <v>174191600</v>
      </c>
      <c r="G60" s="11">
        <v>0</v>
      </c>
      <c r="H60" s="11">
        <v>0</v>
      </c>
      <c r="I60" s="11">
        <v>0</v>
      </c>
      <c r="J60" s="953"/>
      <c r="K60" s="953"/>
      <c r="L60" s="933"/>
      <c r="M60" s="933"/>
      <c r="N60" s="934"/>
      <c r="O60" s="138"/>
      <c r="P60" s="150" t="s">
        <v>0</v>
      </c>
      <c r="Q60" s="149"/>
      <c r="R60" s="202">
        <f>F58+F60</f>
        <v>175191600</v>
      </c>
      <c r="T60" s="323">
        <v>170414550</v>
      </c>
    </row>
    <row r="61" spans="1:20" ht="15.75">
      <c r="A61" s="494" t="s">
        <v>220</v>
      </c>
      <c r="B61" s="108" t="s">
        <v>1</v>
      </c>
      <c r="C61" s="441" t="s">
        <v>219</v>
      </c>
      <c r="D61" s="96">
        <v>1</v>
      </c>
      <c r="E61" s="11">
        <f t="shared" si="0"/>
        <v>865772120</v>
      </c>
      <c r="F61" s="109">
        <f>436436000+167000000+198264524+64071596</f>
        <v>865772120</v>
      </c>
      <c r="G61" s="11">
        <v>0</v>
      </c>
      <c r="H61" s="11">
        <v>0</v>
      </c>
      <c r="I61" s="11">
        <v>0</v>
      </c>
      <c r="J61" s="953">
        <v>44946</v>
      </c>
      <c r="K61" s="953">
        <v>45275</v>
      </c>
      <c r="L61" s="933">
        <f>D62/D61</f>
        <v>1</v>
      </c>
      <c r="M61" s="933">
        <f>E62/E61</f>
        <v>1</v>
      </c>
      <c r="N61" s="934">
        <f>L61*L61/M61</f>
        <v>1</v>
      </c>
      <c r="O61" s="138"/>
    </row>
    <row r="62" spans="1:20" ht="20.25">
      <c r="A62" s="495"/>
      <c r="B62" s="108" t="s">
        <v>0</v>
      </c>
      <c r="C62" s="442"/>
      <c r="D62" s="96">
        <v>1</v>
      </c>
      <c r="E62" s="11">
        <f t="shared" si="0"/>
        <v>865772120</v>
      </c>
      <c r="F62" s="109">
        <v>865772120</v>
      </c>
      <c r="G62" s="11">
        <v>0</v>
      </c>
      <c r="H62" s="11">
        <v>0</v>
      </c>
      <c r="I62" s="11">
        <v>0</v>
      </c>
      <c r="J62" s="953"/>
      <c r="K62" s="953"/>
      <c r="L62" s="933"/>
      <c r="M62" s="933"/>
      <c r="N62" s="934"/>
      <c r="O62" s="138"/>
      <c r="P62" s="150" t="s">
        <v>1</v>
      </c>
      <c r="Q62" s="148">
        <v>11</v>
      </c>
      <c r="R62" s="202">
        <f>F61</f>
        <v>865772120</v>
      </c>
    </row>
    <row r="63" spans="1:20" ht="15.75">
      <c r="A63" s="496" t="s">
        <v>448</v>
      </c>
      <c r="B63" s="115" t="s">
        <v>1</v>
      </c>
      <c r="C63" s="441" t="s">
        <v>405</v>
      </c>
      <c r="D63" s="96">
        <v>1</v>
      </c>
      <c r="E63" s="11">
        <f t="shared" si="0"/>
        <v>15000000</v>
      </c>
      <c r="F63" s="11">
        <f>5000000+10000000</f>
        <v>15000000</v>
      </c>
      <c r="G63" s="11">
        <v>0</v>
      </c>
      <c r="H63" s="11">
        <v>0</v>
      </c>
      <c r="I63" s="11">
        <v>0</v>
      </c>
      <c r="J63" s="953">
        <v>44946</v>
      </c>
      <c r="K63" s="953">
        <v>45275</v>
      </c>
      <c r="L63" s="955">
        <f>D64/D63</f>
        <v>1</v>
      </c>
      <c r="M63" s="955">
        <f>E64/E63</f>
        <v>0.94533333333333336</v>
      </c>
      <c r="N63" s="959">
        <f>L63*L63/M63</f>
        <v>1.0578279266572637</v>
      </c>
      <c r="O63" s="23"/>
      <c r="P63" s="150" t="s">
        <v>0</v>
      </c>
      <c r="Q63" s="149"/>
      <c r="R63" s="202">
        <f>F62</f>
        <v>865772120</v>
      </c>
      <c r="T63" s="323">
        <v>603216867</v>
      </c>
    </row>
    <row r="64" spans="1:20" ht="20.25">
      <c r="A64" s="497"/>
      <c r="B64" s="115" t="s">
        <v>0</v>
      </c>
      <c r="C64" s="442"/>
      <c r="D64" s="96">
        <v>1</v>
      </c>
      <c r="E64" s="11">
        <f t="shared" si="0"/>
        <v>14180000</v>
      </c>
      <c r="F64" s="11">
        <v>14180000</v>
      </c>
      <c r="G64" s="11">
        <v>0</v>
      </c>
      <c r="H64" s="11">
        <v>0</v>
      </c>
      <c r="I64" s="11">
        <v>0</v>
      </c>
      <c r="J64" s="953"/>
      <c r="K64" s="953"/>
      <c r="L64" s="956"/>
      <c r="M64" s="956"/>
      <c r="N64" s="960"/>
      <c r="O64" s="23"/>
      <c r="P64" s="150" t="s">
        <v>1</v>
      </c>
      <c r="Q64" s="148">
        <v>12</v>
      </c>
      <c r="R64" s="202">
        <f t="shared" ref="R64:R69" si="2">F63</f>
        <v>15000000</v>
      </c>
    </row>
    <row r="65" spans="1:20" ht="25.5" customHeight="1">
      <c r="A65" s="445" t="s">
        <v>218</v>
      </c>
      <c r="B65" s="108" t="s">
        <v>1</v>
      </c>
      <c r="C65" s="441" t="s">
        <v>406</v>
      </c>
      <c r="D65" s="96">
        <v>5</v>
      </c>
      <c r="E65" s="11">
        <f t="shared" si="0"/>
        <v>40000000</v>
      </c>
      <c r="F65" s="109">
        <f>32000000+1500000+6500000</f>
        <v>40000000</v>
      </c>
      <c r="G65" s="11">
        <v>0</v>
      </c>
      <c r="H65" s="11">
        <v>0</v>
      </c>
      <c r="I65" s="11">
        <v>0</v>
      </c>
      <c r="J65" s="953">
        <v>44946</v>
      </c>
      <c r="K65" s="953">
        <v>45275</v>
      </c>
      <c r="L65" s="955">
        <f>D66/D65</f>
        <v>1</v>
      </c>
      <c r="M65" s="955">
        <f>E66/E65</f>
        <v>0.98724999999999996</v>
      </c>
      <c r="N65" s="957">
        <f>L65*L65/M65</f>
        <v>1.0129146619397316</v>
      </c>
      <c r="O65" s="138"/>
      <c r="P65" s="150" t="s">
        <v>0</v>
      </c>
      <c r="Q65" s="149"/>
      <c r="R65" s="202">
        <f t="shared" si="2"/>
        <v>14180000</v>
      </c>
      <c r="T65" s="324">
        <v>0</v>
      </c>
    </row>
    <row r="66" spans="1:20" ht="25.5" customHeight="1">
      <c r="A66" s="446"/>
      <c r="B66" s="108" t="s">
        <v>0</v>
      </c>
      <c r="C66" s="442"/>
      <c r="D66" s="96">
        <v>5</v>
      </c>
      <c r="E66" s="11">
        <f t="shared" si="0"/>
        <v>39490000</v>
      </c>
      <c r="F66" s="109">
        <v>39490000</v>
      </c>
      <c r="G66" s="11">
        <v>0</v>
      </c>
      <c r="H66" s="11">
        <v>0</v>
      </c>
      <c r="I66" s="11">
        <v>0</v>
      </c>
      <c r="J66" s="953"/>
      <c r="K66" s="953"/>
      <c r="L66" s="956"/>
      <c r="M66" s="956"/>
      <c r="N66" s="958"/>
      <c r="O66" s="138"/>
      <c r="P66" s="150" t="s">
        <v>1</v>
      </c>
      <c r="Q66" s="148">
        <v>13</v>
      </c>
      <c r="R66" s="202">
        <f t="shared" si="2"/>
        <v>40000000</v>
      </c>
    </row>
    <row r="67" spans="1:20" ht="24" customHeight="1">
      <c r="A67" s="494" t="s">
        <v>407</v>
      </c>
      <c r="B67" s="108" t="s">
        <v>1</v>
      </c>
      <c r="C67" s="441" t="s">
        <v>408</v>
      </c>
      <c r="D67" s="96">
        <v>4</v>
      </c>
      <c r="E67" s="11">
        <f t="shared" si="0"/>
        <v>48100000</v>
      </c>
      <c r="F67" s="109">
        <f>44000000+3500000+600000</f>
        <v>48100000</v>
      </c>
      <c r="G67" s="11">
        <v>0</v>
      </c>
      <c r="H67" s="11">
        <v>0</v>
      </c>
      <c r="I67" s="11">
        <v>0</v>
      </c>
      <c r="J67" s="953">
        <v>44946</v>
      </c>
      <c r="K67" s="953">
        <v>45275</v>
      </c>
      <c r="L67" s="933">
        <f>D68/D67</f>
        <v>1.5</v>
      </c>
      <c r="M67" s="933">
        <f>E68/E67</f>
        <v>0.97796257796257802</v>
      </c>
      <c r="N67" s="954">
        <f>L67*L67/M67</f>
        <v>2.3007015306122449</v>
      </c>
      <c r="O67" s="138"/>
      <c r="P67" s="150" t="s">
        <v>0</v>
      </c>
      <c r="Q67" s="149"/>
      <c r="R67" s="202">
        <f t="shared" si="2"/>
        <v>39490000</v>
      </c>
      <c r="T67" s="323">
        <v>23500000</v>
      </c>
    </row>
    <row r="68" spans="1:20" ht="24" customHeight="1">
      <c r="A68" s="495"/>
      <c r="B68" s="108" t="s">
        <v>0</v>
      </c>
      <c r="C68" s="442"/>
      <c r="D68" s="96">
        <v>6</v>
      </c>
      <c r="E68" s="11">
        <f t="shared" si="0"/>
        <v>47040000</v>
      </c>
      <c r="F68" s="109">
        <v>47040000</v>
      </c>
      <c r="G68" s="11">
        <v>0</v>
      </c>
      <c r="H68" s="11">
        <v>0</v>
      </c>
      <c r="I68" s="11">
        <v>0</v>
      </c>
      <c r="J68" s="953"/>
      <c r="K68" s="953"/>
      <c r="L68" s="933"/>
      <c r="M68" s="933"/>
      <c r="N68" s="954"/>
      <c r="O68" s="138"/>
      <c r="P68" s="150" t="s">
        <v>1</v>
      </c>
      <c r="Q68" s="148">
        <v>17</v>
      </c>
      <c r="R68" s="202">
        <f t="shared" si="2"/>
        <v>48100000</v>
      </c>
    </row>
    <row r="69" spans="1:20" ht="15.75">
      <c r="A69" s="964" t="s">
        <v>6</v>
      </c>
      <c r="B69" s="108" t="s">
        <v>1</v>
      </c>
      <c r="C69" s="441"/>
      <c r="D69" s="27"/>
      <c r="E69" s="32">
        <f>E17+E19+E21+E23+E25+E27+E29+E31+E33+E35+E37+E39+E41+E43+E45+E47+E49+E51+E53+E55+E57+E59+E61+E63+E65+E67</f>
        <v>6035435382</v>
      </c>
      <c r="F69" s="32">
        <f t="shared" ref="F69:I70" si="3">F17+F19+F21+F23+F25+F27+F29+F31+F33+F35+F37+F39+F41+F43+F45+F47+F49+F51+F53+F55+F57+F59+F61+F63+F65+F67</f>
        <v>5968543024</v>
      </c>
      <c r="G69" s="32">
        <f t="shared" si="3"/>
        <v>66892358</v>
      </c>
      <c r="H69" s="32">
        <f t="shared" si="3"/>
        <v>0</v>
      </c>
      <c r="I69" s="32">
        <f t="shared" si="3"/>
        <v>0</v>
      </c>
      <c r="J69" s="28"/>
      <c r="K69" s="29"/>
      <c r="L69" s="29"/>
      <c r="M69" s="29"/>
      <c r="N69" s="30"/>
      <c r="O69" s="141"/>
      <c r="P69" s="150" t="s">
        <v>0</v>
      </c>
      <c r="Q69" s="149"/>
      <c r="R69" s="202">
        <f t="shared" si="2"/>
        <v>47040000</v>
      </c>
      <c r="T69" s="323">
        <v>37400000</v>
      </c>
    </row>
    <row r="70" spans="1:20" ht="15.75">
      <c r="A70" s="964"/>
      <c r="B70" s="108" t="s">
        <v>0</v>
      </c>
      <c r="C70" s="442"/>
      <c r="D70" s="27"/>
      <c r="E70" s="32">
        <f>E18+E20+E22+E24+E26+E28+E30+E32+E34+E36+E38+E40+E42+E44+E46+E48+E50+E52+E54+E56+E58+E60+E62+E64+E66+E68</f>
        <v>5884476192</v>
      </c>
      <c r="F70" s="32">
        <f t="shared" si="3"/>
        <v>5884476192</v>
      </c>
      <c r="G70" s="32">
        <f t="shared" si="3"/>
        <v>0</v>
      </c>
      <c r="H70" s="32">
        <f t="shared" si="3"/>
        <v>0</v>
      </c>
      <c r="I70" s="32">
        <f t="shared" si="3"/>
        <v>0</v>
      </c>
      <c r="J70" s="31"/>
      <c r="K70" s="29"/>
      <c r="L70" s="29"/>
      <c r="M70" s="29"/>
      <c r="N70" s="30"/>
      <c r="O70" s="141"/>
      <c r="P70" s="150" t="s">
        <v>1</v>
      </c>
      <c r="Q70" s="205"/>
      <c r="R70" s="144">
        <f>R17+R21+R23+R29+R33+R35+R37+R43+R45+R53+R55+R57+R59+R62+R64+R66+R68</f>
        <v>6035435382</v>
      </c>
    </row>
    <row r="71" spans="1:20" ht="15.75">
      <c r="B71" s="9"/>
      <c r="E71" s="22"/>
      <c r="F71" s="133"/>
      <c r="G71" s="16"/>
      <c r="H71" s="16"/>
      <c r="I71" s="16"/>
      <c r="J71" s="8"/>
      <c r="K71" s="8"/>
      <c r="L71" s="21"/>
      <c r="M71" s="19"/>
      <c r="N71" s="20"/>
      <c r="O71" s="141"/>
      <c r="P71" s="150" t="s">
        <v>0</v>
      </c>
      <c r="Q71" s="205"/>
      <c r="R71" s="144">
        <f>R18+R22+R24+R30+R34+R36+R38+R44+R46+R54+R56+R58+R60+R63+R65+R67+R69</f>
        <v>5884476192</v>
      </c>
      <c r="S71" s="144"/>
      <c r="T71" s="144">
        <f>T18+T22+T24+T30+T34+T36+T38+T44+T46+T54+T56+T58+T60+T63+T65+T67+T69</f>
        <v>1474569495</v>
      </c>
    </row>
    <row r="72" spans="1:20" ht="15.75">
      <c r="A72" s="55" t="s">
        <v>5</v>
      </c>
      <c r="B72" s="795" t="s">
        <v>4</v>
      </c>
      <c r="C72" s="796"/>
      <c r="D72" s="797"/>
      <c r="E72" s="795" t="s">
        <v>3</v>
      </c>
      <c r="F72" s="796"/>
      <c r="G72" s="796"/>
      <c r="H72" s="797"/>
      <c r="I72" s="55"/>
      <c r="J72" s="798" t="s">
        <v>2</v>
      </c>
      <c r="K72" s="796"/>
      <c r="L72" s="796"/>
      <c r="M72" s="796"/>
      <c r="N72" s="797"/>
      <c r="O72" s="141"/>
    </row>
    <row r="73" spans="1:20" ht="32.25" customHeight="1">
      <c r="A73" s="961" t="s">
        <v>217</v>
      </c>
      <c r="B73" s="961" t="s">
        <v>216</v>
      </c>
      <c r="C73" s="962"/>
      <c r="D73" s="962"/>
      <c r="E73" s="961" t="s">
        <v>215</v>
      </c>
      <c r="F73" s="962"/>
      <c r="G73" s="962"/>
      <c r="H73" s="105" t="s">
        <v>1</v>
      </c>
      <c r="I73" s="106">
        <v>1</v>
      </c>
      <c r="J73" s="965" t="s">
        <v>474</v>
      </c>
      <c r="K73" s="788"/>
      <c r="L73" s="788"/>
      <c r="M73" s="788"/>
      <c r="N73" s="788"/>
      <c r="O73" s="141"/>
      <c r="P73" s="141"/>
    </row>
    <row r="74" spans="1:20" ht="32.25" customHeight="1">
      <c r="A74" s="961"/>
      <c r="B74" s="962"/>
      <c r="C74" s="962"/>
      <c r="D74" s="962"/>
      <c r="E74" s="962"/>
      <c r="F74" s="962"/>
      <c r="G74" s="962"/>
      <c r="H74" s="105" t="s">
        <v>0</v>
      </c>
      <c r="I74" s="106">
        <v>1</v>
      </c>
      <c r="J74" s="788"/>
      <c r="K74" s="787"/>
      <c r="L74" s="787"/>
      <c r="M74" s="787"/>
      <c r="N74" s="788"/>
      <c r="O74" s="141"/>
      <c r="P74" s="141"/>
    </row>
    <row r="75" spans="1:20" ht="43.5" customHeight="1">
      <c r="A75" s="961"/>
      <c r="B75" s="961" t="s">
        <v>214</v>
      </c>
      <c r="C75" s="962"/>
      <c r="D75" s="962"/>
      <c r="E75" s="961" t="s">
        <v>213</v>
      </c>
      <c r="F75" s="962"/>
      <c r="G75" s="962"/>
      <c r="H75" s="105" t="s">
        <v>1</v>
      </c>
      <c r="I75" s="104">
        <v>1</v>
      </c>
      <c r="J75" s="788"/>
      <c r="K75" s="787"/>
      <c r="L75" s="787"/>
      <c r="M75" s="787"/>
      <c r="N75" s="788"/>
      <c r="O75" s="141"/>
      <c r="P75" s="141"/>
    </row>
    <row r="76" spans="1:20" ht="43.5" customHeight="1">
      <c r="A76" s="961"/>
      <c r="B76" s="962"/>
      <c r="C76" s="962"/>
      <c r="D76" s="962"/>
      <c r="E76" s="962"/>
      <c r="F76" s="962"/>
      <c r="G76" s="962"/>
      <c r="H76" s="105" t="s">
        <v>0</v>
      </c>
      <c r="I76" s="104">
        <v>1</v>
      </c>
      <c r="J76" s="788"/>
      <c r="K76" s="787"/>
      <c r="L76" s="787"/>
      <c r="M76" s="787"/>
      <c r="N76" s="788"/>
      <c r="O76" s="141"/>
      <c r="P76" s="141"/>
    </row>
    <row r="77" spans="1:20" ht="36" customHeight="1">
      <c r="A77" s="961"/>
      <c r="B77" s="961" t="s">
        <v>212</v>
      </c>
      <c r="C77" s="962"/>
      <c r="D77" s="962"/>
      <c r="E77" s="961" t="s">
        <v>211</v>
      </c>
      <c r="F77" s="962"/>
      <c r="G77" s="962"/>
      <c r="H77" s="105" t="s">
        <v>1</v>
      </c>
      <c r="I77" s="104">
        <v>1</v>
      </c>
      <c r="J77" s="788"/>
      <c r="K77" s="787"/>
      <c r="L77" s="787"/>
      <c r="M77" s="787"/>
      <c r="N77" s="788"/>
      <c r="O77" s="141"/>
      <c r="P77" s="141"/>
    </row>
    <row r="78" spans="1:20" ht="36" customHeight="1">
      <c r="A78" s="961"/>
      <c r="B78" s="962"/>
      <c r="C78" s="962"/>
      <c r="D78" s="962"/>
      <c r="E78" s="962"/>
      <c r="F78" s="962"/>
      <c r="G78" s="962"/>
      <c r="H78" s="105" t="s">
        <v>0</v>
      </c>
      <c r="I78" s="104">
        <v>1</v>
      </c>
      <c r="J78" s="788"/>
      <c r="K78" s="787"/>
      <c r="L78" s="787"/>
      <c r="M78" s="787"/>
      <c r="N78" s="788"/>
      <c r="O78" s="141"/>
      <c r="P78" s="141"/>
    </row>
    <row r="79" spans="1:20" ht="56.25" customHeight="1">
      <c r="A79" s="961"/>
      <c r="B79" s="963" t="s">
        <v>210</v>
      </c>
      <c r="C79" s="963"/>
      <c r="D79" s="963"/>
      <c r="E79" s="961" t="s">
        <v>209</v>
      </c>
      <c r="F79" s="962"/>
      <c r="G79" s="962"/>
      <c r="H79" s="105" t="s">
        <v>1</v>
      </c>
      <c r="I79" s="104">
        <v>1</v>
      </c>
      <c r="J79" s="788"/>
      <c r="K79" s="787"/>
      <c r="L79" s="787"/>
      <c r="M79" s="787"/>
      <c r="N79" s="788"/>
      <c r="O79" s="141"/>
      <c r="P79" s="141"/>
    </row>
    <row r="80" spans="1:20" ht="56.25" customHeight="1">
      <c r="A80" s="961"/>
      <c r="B80" s="963"/>
      <c r="C80" s="963"/>
      <c r="D80" s="963"/>
      <c r="E80" s="962"/>
      <c r="F80" s="962"/>
      <c r="G80" s="962"/>
      <c r="H80" s="105" t="s">
        <v>0</v>
      </c>
      <c r="I80" s="104">
        <v>1</v>
      </c>
      <c r="J80" s="788"/>
      <c r="K80" s="787"/>
      <c r="L80" s="787"/>
      <c r="M80" s="787"/>
      <c r="N80" s="788"/>
      <c r="O80" s="141"/>
      <c r="P80" s="141"/>
    </row>
    <row r="81" spans="1:50" ht="50.25" customHeight="1">
      <c r="A81" s="961"/>
      <c r="B81" s="961" t="s">
        <v>208</v>
      </c>
      <c r="C81" s="961"/>
      <c r="D81" s="961"/>
      <c r="E81" s="961" t="s">
        <v>207</v>
      </c>
      <c r="F81" s="962"/>
      <c r="G81" s="962"/>
      <c r="H81" s="105" t="s">
        <v>1</v>
      </c>
      <c r="I81" s="104">
        <v>1</v>
      </c>
      <c r="J81" s="788"/>
      <c r="K81" s="787"/>
      <c r="L81" s="787"/>
      <c r="M81" s="787"/>
      <c r="N81" s="788"/>
      <c r="O81" s="141"/>
      <c r="P81" s="141"/>
    </row>
    <row r="82" spans="1:50" ht="50.25" customHeight="1">
      <c r="A82" s="961"/>
      <c r="B82" s="961"/>
      <c r="C82" s="961"/>
      <c r="D82" s="961"/>
      <c r="E82" s="962"/>
      <c r="F82" s="962"/>
      <c r="G82" s="962"/>
      <c r="H82" s="105" t="s">
        <v>0</v>
      </c>
      <c r="I82" s="104">
        <v>1</v>
      </c>
      <c r="J82" s="788"/>
      <c r="K82" s="787"/>
      <c r="L82" s="787"/>
      <c r="M82" s="787"/>
      <c r="N82" s="788"/>
      <c r="O82" s="141"/>
      <c r="P82" s="141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</row>
    <row r="83" spans="1:50" ht="36" customHeight="1">
      <c r="A83" s="963" t="s">
        <v>206</v>
      </c>
      <c r="B83" s="961" t="s">
        <v>205</v>
      </c>
      <c r="C83" s="961"/>
      <c r="D83" s="961"/>
      <c r="E83" s="961" t="s">
        <v>204</v>
      </c>
      <c r="F83" s="962"/>
      <c r="G83" s="962"/>
      <c r="H83" s="105" t="s">
        <v>1</v>
      </c>
      <c r="I83" s="104">
        <v>1</v>
      </c>
      <c r="J83" s="788"/>
      <c r="K83" s="787"/>
      <c r="L83" s="787"/>
      <c r="M83" s="787"/>
      <c r="N83" s="788"/>
      <c r="O83" s="141"/>
      <c r="P83" s="141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</row>
    <row r="84" spans="1:50" ht="36" customHeight="1">
      <c r="A84" s="963"/>
      <c r="B84" s="961"/>
      <c r="C84" s="961"/>
      <c r="D84" s="961"/>
      <c r="E84" s="962"/>
      <c r="F84" s="962"/>
      <c r="G84" s="962"/>
      <c r="H84" s="105" t="s">
        <v>0</v>
      </c>
      <c r="I84" s="104">
        <v>1</v>
      </c>
      <c r="J84" s="788"/>
      <c r="K84" s="787"/>
      <c r="L84" s="787"/>
      <c r="M84" s="787"/>
      <c r="N84" s="788"/>
      <c r="O84" s="141"/>
      <c r="P84" s="141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</row>
    <row r="85" spans="1:50" ht="51" customHeight="1">
      <c r="A85" s="963"/>
      <c r="B85" s="961" t="s">
        <v>203</v>
      </c>
      <c r="C85" s="961"/>
      <c r="D85" s="961"/>
      <c r="E85" s="961" t="s">
        <v>198</v>
      </c>
      <c r="F85" s="962"/>
      <c r="G85" s="962"/>
      <c r="H85" s="105" t="s">
        <v>1</v>
      </c>
      <c r="I85" s="104">
        <v>1</v>
      </c>
      <c r="J85" s="788"/>
      <c r="K85" s="787"/>
      <c r="L85" s="787"/>
      <c r="M85" s="787"/>
      <c r="N85" s="788"/>
      <c r="O85" s="141"/>
      <c r="P85" s="141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</row>
    <row r="86" spans="1:50" ht="51" customHeight="1">
      <c r="A86" s="963"/>
      <c r="B86" s="961"/>
      <c r="C86" s="961"/>
      <c r="D86" s="961"/>
      <c r="E86" s="962"/>
      <c r="F86" s="962"/>
      <c r="G86" s="962"/>
      <c r="H86" s="105" t="s">
        <v>0</v>
      </c>
      <c r="I86" s="104">
        <v>1</v>
      </c>
      <c r="J86" s="788"/>
      <c r="K86" s="787"/>
      <c r="L86" s="787"/>
      <c r="M86" s="787"/>
      <c r="N86" s="788"/>
      <c r="O86" s="141"/>
      <c r="P86" s="141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</row>
    <row r="87" spans="1:50" ht="71.25" customHeight="1">
      <c r="A87" s="961" t="s">
        <v>202</v>
      </c>
      <c r="B87" s="961" t="s">
        <v>201</v>
      </c>
      <c r="C87" s="961"/>
      <c r="D87" s="961"/>
      <c r="E87" s="961" t="s">
        <v>198</v>
      </c>
      <c r="F87" s="962"/>
      <c r="G87" s="962"/>
      <c r="H87" s="105" t="s">
        <v>1</v>
      </c>
      <c r="I87" s="104">
        <v>1</v>
      </c>
      <c r="J87" s="788"/>
      <c r="K87" s="787"/>
      <c r="L87" s="787"/>
      <c r="M87" s="787"/>
      <c r="N87" s="788"/>
      <c r="O87" s="141"/>
      <c r="P87" s="141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</row>
    <row r="88" spans="1:50" ht="71.25" customHeight="1">
      <c r="A88" s="962"/>
      <c r="B88" s="961"/>
      <c r="C88" s="961"/>
      <c r="D88" s="961"/>
      <c r="E88" s="962"/>
      <c r="F88" s="962"/>
      <c r="G88" s="962"/>
      <c r="H88" s="105" t="s">
        <v>0</v>
      </c>
      <c r="I88" s="104">
        <v>1</v>
      </c>
      <c r="J88" s="788"/>
      <c r="K88" s="787"/>
      <c r="L88" s="787"/>
      <c r="M88" s="787"/>
      <c r="N88" s="788"/>
      <c r="O88" s="141"/>
      <c r="P88" s="141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</row>
    <row r="89" spans="1:50" ht="90" customHeight="1">
      <c r="A89" s="961" t="s">
        <v>200</v>
      </c>
      <c r="B89" s="963" t="s">
        <v>199</v>
      </c>
      <c r="C89" s="962"/>
      <c r="D89" s="962"/>
      <c r="E89" s="961" t="s">
        <v>198</v>
      </c>
      <c r="F89" s="962"/>
      <c r="G89" s="962"/>
      <c r="H89" s="105" t="s">
        <v>1</v>
      </c>
      <c r="I89" s="104">
        <v>1</v>
      </c>
      <c r="J89" s="788"/>
      <c r="K89" s="787"/>
      <c r="L89" s="787"/>
      <c r="M89" s="787"/>
      <c r="N89" s="788"/>
      <c r="O89" s="141"/>
      <c r="P89" s="141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</row>
    <row r="90" spans="1:50" ht="90" customHeight="1">
      <c r="A90" s="962"/>
      <c r="B90" s="962"/>
      <c r="C90" s="962"/>
      <c r="D90" s="962"/>
      <c r="E90" s="962"/>
      <c r="F90" s="962"/>
      <c r="G90" s="962"/>
      <c r="H90" s="105" t="s">
        <v>0</v>
      </c>
      <c r="I90" s="104">
        <v>1</v>
      </c>
      <c r="J90" s="788"/>
      <c r="K90" s="787"/>
      <c r="L90" s="787"/>
      <c r="M90" s="787"/>
      <c r="N90" s="788"/>
      <c r="O90" s="141"/>
      <c r="P90" s="141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</row>
    <row r="91" spans="1:50" ht="59.25" customHeight="1">
      <c r="A91" s="963" t="s">
        <v>197</v>
      </c>
      <c r="B91" s="963" t="s">
        <v>196</v>
      </c>
      <c r="C91" s="962"/>
      <c r="D91" s="962"/>
      <c r="E91" s="961" t="s">
        <v>34</v>
      </c>
      <c r="F91" s="962"/>
      <c r="G91" s="962"/>
      <c r="H91" s="105" t="s">
        <v>1</v>
      </c>
      <c r="I91" s="104">
        <v>1</v>
      </c>
      <c r="J91" s="788"/>
      <c r="K91" s="787"/>
      <c r="L91" s="787"/>
      <c r="M91" s="787"/>
      <c r="N91" s="788"/>
      <c r="O91" s="141"/>
      <c r="P91" s="141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</row>
    <row r="92" spans="1:50" ht="59.25" customHeight="1">
      <c r="A92" s="962"/>
      <c r="B92" s="962"/>
      <c r="C92" s="962"/>
      <c r="D92" s="962"/>
      <c r="E92" s="962"/>
      <c r="F92" s="962"/>
      <c r="G92" s="962"/>
      <c r="H92" s="105" t="s">
        <v>0</v>
      </c>
      <c r="I92" s="104">
        <v>1</v>
      </c>
      <c r="J92" s="788"/>
      <c r="K92" s="787"/>
      <c r="L92" s="787"/>
      <c r="M92" s="787"/>
      <c r="N92" s="788"/>
      <c r="O92" s="141"/>
      <c r="P92" s="141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</row>
    <row r="93" spans="1:50" ht="32.25" customHeight="1">
      <c r="A93" s="961" t="s">
        <v>189</v>
      </c>
      <c r="B93" s="963" t="s">
        <v>195</v>
      </c>
      <c r="C93" s="962"/>
      <c r="D93" s="962"/>
      <c r="E93" s="961" t="s">
        <v>194</v>
      </c>
      <c r="F93" s="962"/>
      <c r="G93" s="962"/>
      <c r="H93" s="105" t="s">
        <v>1</v>
      </c>
      <c r="I93" s="107">
        <v>1</v>
      </c>
      <c r="J93" s="788"/>
      <c r="K93" s="787"/>
      <c r="L93" s="787"/>
      <c r="M93" s="787"/>
      <c r="N93" s="788"/>
      <c r="O93" s="141"/>
      <c r="P93" s="141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</row>
    <row r="94" spans="1:50" ht="32.25" customHeight="1">
      <c r="A94" s="962"/>
      <c r="B94" s="962"/>
      <c r="C94" s="962"/>
      <c r="D94" s="962"/>
      <c r="E94" s="962"/>
      <c r="F94" s="962"/>
      <c r="G94" s="962"/>
      <c r="H94" s="105" t="s">
        <v>0</v>
      </c>
      <c r="I94" s="107">
        <v>1</v>
      </c>
      <c r="J94" s="788"/>
      <c r="K94" s="787"/>
      <c r="L94" s="787"/>
      <c r="M94" s="787"/>
      <c r="N94" s="788"/>
      <c r="O94" s="141"/>
      <c r="P94" s="141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</row>
    <row r="95" spans="1:50" ht="50.25" customHeight="1">
      <c r="A95" s="961" t="s">
        <v>193</v>
      </c>
      <c r="B95" s="963" t="s">
        <v>192</v>
      </c>
      <c r="C95" s="962"/>
      <c r="D95" s="962"/>
      <c r="E95" s="961" t="s">
        <v>191</v>
      </c>
      <c r="F95" s="962"/>
      <c r="G95" s="962"/>
      <c r="H95" s="105" t="s">
        <v>1</v>
      </c>
      <c r="I95" s="107">
        <v>1</v>
      </c>
      <c r="J95" s="788"/>
      <c r="K95" s="787"/>
      <c r="L95" s="787"/>
      <c r="M95" s="787"/>
      <c r="N95" s="788"/>
      <c r="O95" s="141"/>
      <c r="P95" s="141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</row>
    <row r="96" spans="1:50" ht="50.25" customHeight="1">
      <c r="A96" s="962"/>
      <c r="B96" s="962"/>
      <c r="C96" s="962"/>
      <c r="D96" s="962"/>
      <c r="E96" s="962"/>
      <c r="F96" s="962"/>
      <c r="G96" s="962"/>
      <c r="H96" s="105" t="s">
        <v>0</v>
      </c>
      <c r="I96" s="107">
        <v>1</v>
      </c>
      <c r="J96" s="788"/>
      <c r="K96" s="787"/>
      <c r="L96" s="787"/>
      <c r="M96" s="787"/>
      <c r="N96" s="788"/>
      <c r="O96" s="141"/>
      <c r="P96" s="141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</row>
    <row r="97" spans="1:50" ht="51" customHeight="1">
      <c r="A97" s="961" t="s">
        <v>189</v>
      </c>
      <c r="B97" s="963" t="s">
        <v>190</v>
      </c>
      <c r="C97" s="962"/>
      <c r="D97" s="962"/>
      <c r="E97" s="961" t="s">
        <v>187</v>
      </c>
      <c r="F97" s="962"/>
      <c r="G97" s="962"/>
      <c r="H97" s="105" t="s">
        <v>1</v>
      </c>
      <c r="I97" s="106">
        <v>1</v>
      </c>
      <c r="J97" s="788"/>
      <c r="K97" s="787"/>
      <c r="L97" s="787"/>
      <c r="M97" s="787"/>
      <c r="N97" s="788"/>
      <c r="O97" s="141"/>
      <c r="P97" s="141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</row>
    <row r="98" spans="1:50" ht="51" customHeight="1">
      <c r="A98" s="962"/>
      <c r="B98" s="962"/>
      <c r="C98" s="962"/>
      <c r="D98" s="962"/>
      <c r="E98" s="962"/>
      <c r="F98" s="962"/>
      <c r="G98" s="962"/>
      <c r="H98" s="105" t="s">
        <v>0</v>
      </c>
      <c r="I98" s="106">
        <v>1</v>
      </c>
      <c r="J98" s="788"/>
      <c r="K98" s="787"/>
      <c r="L98" s="787"/>
      <c r="M98" s="787"/>
      <c r="N98" s="788"/>
      <c r="O98" s="141"/>
      <c r="P98" s="141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</row>
    <row r="99" spans="1:50" ht="72.75" customHeight="1">
      <c r="A99" s="961" t="s">
        <v>189</v>
      </c>
      <c r="B99" s="963" t="s">
        <v>188</v>
      </c>
      <c r="C99" s="962"/>
      <c r="D99" s="962"/>
      <c r="E99" s="961" t="s">
        <v>187</v>
      </c>
      <c r="F99" s="962"/>
      <c r="G99" s="962"/>
      <c r="H99" s="105" t="s">
        <v>1</v>
      </c>
      <c r="I99" s="106">
        <v>1</v>
      </c>
      <c r="J99" s="788"/>
      <c r="K99" s="787"/>
      <c r="L99" s="787"/>
      <c r="M99" s="787"/>
      <c r="N99" s="788"/>
      <c r="O99" s="141"/>
      <c r="P99" s="141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</row>
    <row r="100" spans="1:50" ht="72.75" customHeight="1">
      <c r="A100" s="962"/>
      <c r="B100" s="962"/>
      <c r="C100" s="962"/>
      <c r="D100" s="962"/>
      <c r="E100" s="962"/>
      <c r="F100" s="962"/>
      <c r="G100" s="962"/>
      <c r="H100" s="105" t="s">
        <v>0</v>
      </c>
      <c r="I100" s="106">
        <v>1</v>
      </c>
      <c r="J100" s="788"/>
      <c r="K100" s="787"/>
      <c r="L100" s="787"/>
      <c r="M100" s="787"/>
      <c r="N100" s="788"/>
      <c r="O100" s="141"/>
      <c r="P100" s="141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</row>
    <row r="101" spans="1:50" ht="51" customHeight="1">
      <c r="A101" s="961" t="s">
        <v>186</v>
      </c>
      <c r="B101" s="963" t="s">
        <v>185</v>
      </c>
      <c r="C101" s="962"/>
      <c r="D101" s="962"/>
      <c r="E101" s="961" t="s">
        <v>184</v>
      </c>
      <c r="F101" s="962"/>
      <c r="G101" s="962"/>
      <c r="H101" s="105" t="s">
        <v>1</v>
      </c>
      <c r="I101" s="106">
        <v>60</v>
      </c>
      <c r="J101" s="788"/>
      <c r="K101" s="787"/>
      <c r="L101" s="787"/>
      <c r="M101" s="787"/>
      <c r="N101" s="788"/>
      <c r="O101" s="141"/>
      <c r="P101" s="141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</row>
    <row r="102" spans="1:50" ht="51" customHeight="1">
      <c r="A102" s="962"/>
      <c r="B102" s="962"/>
      <c r="C102" s="962"/>
      <c r="D102" s="962"/>
      <c r="E102" s="962"/>
      <c r="F102" s="962"/>
      <c r="G102" s="962"/>
      <c r="H102" s="105" t="s">
        <v>0</v>
      </c>
      <c r="I102" s="106">
        <v>60</v>
      </c>
      <c r="J102" s="788"/>
      <c r="K102" s="787"/>
      <c r="L102" s="787"/>
      <c r="M102" s="787"/>
      <c r="N102" s="788"/>
      <c r="O102" s="141"/>
      <c r="P102" s="141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</row>
    <row r="103" spans="1:50" ht="59.25" customHeight="1">
      <c r="A103" s="961" t="s">
        <v>182</v>
      </c>
      <c r="B103" s="963" t="s">
        <v>183</v>
      </c>
      <c r="C103" s="962"/>
      <c r="D103" s="962"/>
      <c r="E103" s="961" t="s">
        <v>34</v>
      </c>
      <c r="F103" s="962"/>
      <c r="G103" s="962"/>
      <c r="H103" s="105" t="s">
        <v>1</v>
      </c>
      <c r="I103" s="106">
        <v>1</v>
      </c>
      <c r="J103" s="788"/>
      <c r="K103" s="787"/>
      <c r="L103" s="787"/>
      <c r="M103" s="787"/>
      <c r="N103" s="788"/>
      <c r="O103" s="141"/>
      <c r="P103" s="141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</row>
    <row r="104" spans="1:50" ht="59.25" customHeight="1">
      <c r="A104" s="962"/>
      <c r="B104" s="962"/>
      <c r="C104" s="962"/>
      <c r="D104" s="962"/>
      <c r="E104" s="962"/>
      <c r="F104" s="962"/>
      <c r="G104" s="962"/>
      <c r="H104" s="105" t="s">
        <v>0</v>
      </c>
      <c r="I104" s="106">
        <v>1</v>
      </c>
      <c r="J104" s="788"/>
      <c r="K104" s="787"/>
      <c r="L104" s="787"/>
      <c r="M104" s="787"/>
      <c r="N104" s="788"/>
      <c r="O104" s="141"/>
      <c r="P104" s="141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</row>
    <row r="105" spans="1:50" ht="51" customHeight="1">
      <c r="A105" s="961" t="s">
        <v>182</v>
      </c>
      <c r="B105" s="961" t="s">
        <v>181</v>
      </c>
      <c r="C105" s="962"/>
      <c r="D105" s="962"/>
      <c r="E105" s="961" t="s">
        <v>34</v>
      </c>
      <c r="F105" s="962"/>
      <c r="G105" s="962"/>
      <c r="H105" s="105" t="s">
        <v>1</v>
      </c>
      <c r="I105" s="104">
        <v>1</v>
      </c>
      <c r="J105" s="788"/>
      <c r="K105" s="787"/>
      <c r="L105" s="787"/>
      <c r="M105" s="787"/>
      <c r="N105" s="788"/>
      <c r="O105" s="141"/>
      <c r="P105" s="141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</row>
    <row r="106" spans="1:50" ht="51" customHeight="1">
      <c r="A106" s="962"/>
      <c r="B106" s="962"/>
      <c r="C106" s="962"/>
      <c r="D106" s="962"/>
      <c r="E106" s="962"/>
      <c r="F106" s="962"/>
      <c r="G106" s="962"/>
      <c r="H106" s="105" t="s">
        <v>0</v>
      </c>
      <c r="I106" s="104">
        <v>1</v>
      </c>
      <c r="J106" s="788"/>
      <c r="K106" s="787"/>
      <c r="L106" s="787"/>
      <c r="M106" s="787"/>
      <c r="N106" s="788"/>
      <c r="O106" s="141"/>
      <c r="P106" s="141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</row>
    <row r="107" spans="1:50" ht="125.25" customHeight="1">
      <c r="A107" s="507" t="s">
        <v>471</v>
      </c>
      <c r="B107" s="507"/>
      <c r="C107" s="507"/>
      <c r="D107" s="507"/>
      <c r="E107" s="507"/>
      <c r="F107" s="507"/>
      <c r="G107" s="507"/>
      <c r="H107" s="507"/>
      <c r="I107" s="507"/>
      <c r="J107" s="507"/>
      <c r="K107" s="507"/>
      <c r="L107" s="507"/>
      <c r="M107" s="507"/>
      <c r="N107" s="507"/>
      <c r="O107" s="142"/>
      <c r="P107" s="142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</row>
    <row r="108" spans="1:50" ht="15.75"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</row>
    <row r="109" spans="1:50" ht="15.75"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</row>
    <row r="110" spans="1:50" ht="15.75"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</row>
    <row r="111" spans="1:50" ht="15.75"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</row>
    <row r="112" spans="1:50" ht="15.75"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</row>
    <row r="113" spans="17:50" ht="15.75"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</row>
    <row r="114" spans="17:50" ht="15.75"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</row>
  </sheetData>
  <mergeCells count="274">
    <mergeCell ref="A25:A26"/>
    <mergeCell ref="C25:C26"/>
    <mergeCell ref="J25:J26"/>
    <mergeCell ref="K25:K26"/>
    <mergeCell ref="L25:L26"/>
    <mergeCell ref="M25:M26"/>
    <mergeCell ref="N25:N26"/>
    <mergeCell ref="K31:K32"/>
    <mergeCell ref="J29:J30"/>
    <mergeCell ref="M27:M28"/>
    <mergeCell ref="L29:L30"/>
    <mergeCell ref="M29:M30"/>
    <mergeCell ref="N29:N30"/>
    <mergeCell ref="K29:K30"/>
    <mergeCell ref="L31:L32"/>
    <mergeCell ref="L27:L28"/>
    <mergeCell ref="C29:C30"/>
    <mergeCell ref="A29:A30"/>
    <mergeCell ref="J27:J28"/>
    <mergeCell ref="K27:K28"/>
    <mergeCell ref="N43:N44"/>
    <mergeCell ref="L45:L46"/>
    <mergeCell ref="M45:M46"/>
    <mergeCell ref="N45:N46"/>
    <mergeCell ref="L47:L48"/>
    <mergeCell ref="L51:L52"/>
    <mergeCell ref="M53:M54"/>
    <mergeCell ref="L43:L44"/>
    <mergeCell ref="L49:L50"/>
    <mergeCell ref="M47:M48"/>
    <mergeCell ref="N49:N50"/>
    <mergeCell ref="N41:N42"/>
    <mergeCell ref="A33:A34"/>
    <mergeCell ref="A31:A32"/>
    <mergeCell ref="C31:C32"/>
    <mergeCell ref="M31:M32"/>
    <mergeCell ref="L33:L34"/>
    <mergeCell ref="N33:N34"/>
    <mergeCell ref="N35:N36"/>
    <mergeCell ref="J31:J32"/>
    <mergeCell ref="K41:K42"/>
    <mergeCell ref="M33:M34"/>
    <mergeCell ref="A73:A82"/>
    <mergeCell ref="B79:D80"/>
    <mergeCell ref="E79:G80"/>
    <mergeCell ref="B81:D82"/>
    <mergeCell ref="E81:G82"/>
    <mergeCell ref="C45:C46"/>
    <mergeCell ref="J45:J46"/>
    <mergeCell ref="J35:J36"/>
    <mergeCell ref="K33:K34"/>
    <mergeCell ref="C47:C48"/>
    <mergeCell ref="A49:A50"/>
    <mergeCell ref="A51:A52"/>
    <mergeCell ref="C51:C52"/>
    <mergeCell ref="A53:A54"/>
    <mergeCell ref="C53:C54"/>
    <mergeCell ref="C49:C50"/>
    <mergeCell ref="J51:J52"/>
    <mergeCell ref="A57:A58"/>
    <mergeCell ref="C57:C58"/>
    <mergeCell ref="J57:J58"/>
    <mergeCell ref="K57:K58"/>
    <mergeCell ref="K53:K54"/>
    <mergeCell ref="A63:A64"/>
    <mergeCell ref="C63:C64"/>
    <mergeCell ref="E99:G100"/>
    <mergeCell ref="A27:A28"/>
    <mergeCell ref="C27:C28"/>
    <mergeCell ref="B72:D72"/>
    <mergeCell ref="E72:H72"/>
    <mergeCell ref="E75:G76"/>
    <mergeCell ref="B77:D78"/>
    <mergeCell ref="E77:G78"/>
    <mergeCell ref="A45:A46"/>
    <mergeCell ref="A37:A38"/>
    <mergeCell ref="C37:C38"/>
    <mergeCell ref="C33:C34"/>
    <mergeCell ref="E85:G86"/>
    <mergeCell ref="B75:D76"/>
    <mergeCell ref="B83:D84"/>
    <mergeCell ref="E83:G84"/>
    <mergeCell ref="B85:D86"/>
    <mergeCell ref="A97:A98"/>
    <mergeCell ref="B97:D98"/>
    <mergeCell ref="E97:G98"/>
    <mergeCell ref="A91:A92"/>
    <mergeCell ref="B91:D92"/>
    <mergeCell ref="A65:A66"/>
    <mergeCell ref="C65:C66"/>
    <mergeCell ref="A101:A102"/>
    <mergeCell ref="B101:D102"/>
    <mergeCell ref="E101:G102"/>
    <mergeCell ref="N47:N48"/>
    <mergeCell ref="A47:A48"/>
    <mergeCell ref="A95:A96"/>
    <mergeCell ref="B95:D96"/>
    <mergeCell ref="E95:G96"/>
    <mergeCell ref="A87:A88"/>
    <mergeCell ref="B87:D88"/>
    <mergeCell ref="E87:G88"/>
    <mergeCell ref="A89:A90"/>
    <mergeCell ref="E91:G92"/>
    <mergeCell ref="A93:A94"/>
    <mergeCell ref="B93:D94"/>
    <mergeCell ref="E93:G94"/>
    <mergeCell ref="J72:N72"/>
    <mergeCell ref="B73:D74"/>
    <mergeCell ref="E73:G74"/>
    <mergeCell ref="J73:N106"/>
    <mergeCell ref="C69:C70"/>
    <mergeCell ref="A83:A86"/>
    <mergeCell ref="A99:A100"/>
    <mergeCell ref="B99:D100"/>
    <mergeCell ref="A107:N107"/>
    <mergeCell ref="A103:A104"/>
    <mergeCell ref="B103:D104"/>
    <mergeCell ref="E103:G104"/>
    <mergeCell ref="A105:A106"/>
    <mergeCell ref="B105:D106"/>
    <mergeCell ref="E105:G106"/>
    <mergeCell ref="A69:A70"/>
    <mergeCell ref="A55:A56"/>
    <mergeCell ref="C55:C56"/>
    <mergeCell ref="A59:A60"/>
    <mergeCell ref="C59:C60"/>
    <mergeCell ref="B89:D90"/>
    <mergeCell ref="E89:G90"/>
    <mergeCell ref="J55:J56"/>
    <mergeCell ref="K55:K56"/>
    <mergeCell ref="L55:L56"/>
    <mergeCell ref="M55:M56"/>
    <mergeCell ref="K59:K60"/>
    <mergeCell ref="L59:L60"/>
    <mergeCell ref="M59:M60"/>
    <mergeCell ref="A67:A68"/>
    <mergeCell ref="C67:C68"/>
    <mergeCell ref="L67:L68"/>
    <mergeCell ref="M67:M68"/>
    <mergeCell ref="N53:N54"/>
    <mergeCell ref="N55:N56"/>
    <mergeCell ref="L53:L54"/>
    <mergeCell ref="N59:N60"/>
    <mergeCell ref="J53:J54"/>
    <mergeCell ref="J59:J60"/>
    <mergeCell ref="M65:M66"/>
    <mergeCell ref="N65:N66"/>
    <mergeCell ref="N61:N62"/>
    <mergeCell ref="K65:K66"/>
    <mergeCell ref="N63:N64"/>
    <mergeCell ref="K67:K68"/>
    <mergeCell ref="K63:K64"/>
    <mergeCell ref="M63:M64"/>
    <mergeCell ref="N67:N68"/>
    <mergeCell ref="J67:J68"/>
    <mergeCell ref="L57:L58"/>
    <mergeCell ref="M57:M58"/>
    <mergeCell ref="N57:N58"/>
    <mergeCell ref="K61:K62"/>
    <mergeCell ref="J63:J64"/>
    <mergeCell ref="J61:J62"/>
    <mergeCell ref="L65:L66"/>
    <mergeCell ref="J65:J66"/>
    <mergeCell ref="L63:L64"/>
    <mergeCell ref="J33:J34"/>
    <mergeCell ref="J37:J38"/>
    <mergeCell ref="M35:M36"/>
    <mergeCell ref="K37:K38"/>
    <mergeCell ref="A35:A36"/>
    <mergeCell ref="C35:C36"/>
    <mergeCell ref="M37:M38"/>
    <mergeCell ref="M43:M44"/>
    <mergeCell ref="A61:A62"/>
    <mergeCell ref="C61:C62"/>
    <mergeCell ref="L61:L62"/>
    <mergeCell ref="M61:M62"/>
    <mergeCell ref="K49:K50"/>
    <mergeCell ref="A41:A42"/>
    <mergeCell ref="C41:C42"/>
    <mergeCell ref="L37:L38"/>
    <mergeCell ref="L35:L36"/>
    <mergeCell ref="L41:L42"/>
    <mergeCell ref="M41:M42"/>
    <mergeCell ref="N23:N24"/>
    <mergeCell ref="N51:N52"/>
    <mergeCell ref="N27:N28"/>
    <mergeCell ref="N31:N32"/>
    <mergeCell ref="N37:N38"/>
    <mergeCell ref="A23:A24"/>
    <mergeCell ref="C23:C24"/>
    <mergeCell ref="J23:J24"/>
    <mergeCell ref="K23:K24"/>
    <mergeCell ref="L23:L24"/>
    <mergeCell ref="M23:M24"/>
    <mergeCell ref="K51:K52"/>
    <mergeCell ref="M51:M52"/>
    <mergeCell ref="M49:M50"/>
    <mergeCell ref="J47:J48"/>
    <mergeCell ref="K47:K48"/>
    <mergeCell ref="K35:K36"/>
    <mergeCell ref="K45:K46"/>
    <mergeCell ref="J49:J50"/>
    <mergeCell ref="A43:A44"/>
    <mergeCell ref="C43:C44"/>
    <mergeCell ref="J41:J42"/>
    <mergeCell ref="J43:J44"/>
    <mergeCell ref="K43:K44"/>
    <mergeCell ref="N19:N20"/>
    <mergeCell ref="A21:A22"/>
    <mergeCell ref="C21:C22"/>
    <mergeCell ref="J21:J22"/>
    <mergeCell ref="K21:K22"/>
    <mergeCell ref="L21:L22"/>
    <mergeCell ref="M21:M22"/>
    <mergeCell ref="N21:N22"/>
    <mergeCell ref="A19:A20"/>
    <mergeCell ref="C19:C20"/>
    <mergeCell ref="J19:J20"/>
    <mergeCell ref="K19:K20"/>
    <mergeCell ref="L19:L20"/>
    <mergeCell ref="M19:M20"/>
    <mergeCell ref="S14:T14"/>
    <mergeCell ref="L15:L16"/>
    <mergeCell ref="M15:M16"/>
    <mergeCell ref="N15:N16"/>
    <mergeCell ref="S15:T15"/>
    <mergeCell ref="S16:T16"/>
    <mergeCell ref="A14:A16"/>
    <mergeCell ref="B14:B16"/>
    <mergeCell ref="C14:C16"/>
    <mergeCell ref="D14:D16"/>
    <mergeCell ref="E14:E16"/>
    <mergeCell ref="F14:I15"/>
    <mergeCell ref="S8:U8"/>
    <mergeCell ref="B9:F9"/>
    <mergeCell ref="K9:M9"/>
    <mergeCell ref="B10:F10"/>
    <mergeCell ref="K10:M10"/>
    <mergeCell ref="B11:F11"/>
    <mergeCell ref="K11:M11"/>
    <mergeCell ref="A5:N5"/>
    <mergeCell ref="A6:N6"/>
    <mergeCell ref="B7:N7"/>
    <mergeCell ref="B8:F8"/>
    <mergeCell ref="G8:I13"/>
    <mergeCell ref="J8:N8"/>
    <mergeCell ref="B12:F12"/>
    <mergeCell ref="K12:M12"/>
    <mergeCell ref="B13:F13"/>
    <mergeCell ref="K13:M13"/>
    <mergeCell ref="A1:A4"/>
    <mergeCell ref="B1:H2"/>
    <mergeCell ref="I1:L1"/>
    <mergeCell ref="M1:N4"/>
    <mergeCell ref="I2:L2"/>
    <mergeCell ref="B3:H4"/>
    <mergeCell ref="I3:L3"/>
    <mergeCell ref="I4:L4"/>
    <mergeCell ref="A39:A40"/>
    <mergeCell ref="C39:C40"/>
    <mergeCell ref="J39:J40"/>
    <mergeCell ref="K39:K40"/>
    <mergeCell ref="L39:L40"/>
    <mergeCell ref="M39:M40"/>
    <mergeCell ref="N39:N40"/>
    <mergeCell ref="J14:K15"/>
    <mergeCell ref="L14:N14"/>
    <mergeCell ref="N17:N18"/>
    <mergeCell ref="A17:A18"/>
    <mergeCell ref="C17:C18"/>
    <mergeCell ref="J17:J18"/>
    <mergeCell ref="K17:K18"/>
    <mergeCell ref="L17:L18"/>
    <mergeCell ref="M17:M18"/>
  </mergeCells>
  <pageMargins left="0.51181102362204722" right="0.51181102362204722" top="0.55118110236220474" bottom="0.55118110236220474" header="0.31496062992125984" footer="0.31496062992125984"/>
  <pageSetup paperSize="14" scale="55" orientation="landscape" r:id="rId1"/>
  <drawing r:id="rId2"/>
  <legacyDrawing r:id="rId3"/>
  <oleObjects>
    <mc:AlternateContent xmlns:mc="http://schemas.openxmlformats.org/markup-compatibility/2006">
      <mc:Choice Requires="x14">
        <oleObject shapeId="39938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38100</xdr:rowOff>
              </from>
              <to>
                <xdr:col>0</xdr:col>
                <xdr:colOff>3714750</xdr:colOff>
                <xdr:row>3</xdr:row>
                <xdr:rowOff>190500</xdr:rowOff>
              </to>
            </anchor>
          </objectPr>
        </oleObject>
      </mc:Choice>
      <mc:Fallback>
        <oleObject shapeId="39938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63"/>
  <sheetViews>
    <sheetView topLeftCell="A28" zoomScale="77" zoomScaleNormal="77" zoomScalePageLayoutView="60" workbookViewId="0">
      <selection activeCell="F17" sqref="F17:F46"/>
    </sheetView>
  </sheetViews>
  <sheetFormatPr baseColWidth="10" defaultColWidth="6.42578125" defaultRowHeight="15"/>
  <cols>
    <col min="1" max="1" width="71.140625" style="1" customWidth="1"/>
    <col min="2" max="2" width="10.28515625" style="1" customWidth="1"/>
    <col min="3" max="3" width="20.85546875" style="1" customWidth="1"/>
    <col min="4" max="4" width="10" style="1" customWidth="1"/>
    <col min="5" max="5" width="26" style="1" customWidth="1"/>
    <col min="6" max="6" width="24.85546875" style="1" customWidth="1"/>
    <col min="7" max="7" width="9.7109375" style="3" customWidth="1"/>
    <col min="8" max="8" width="15.85546875" style="1" bestFit="1" customWidth="1"/>
    <col min="9" max="9" width="11.85546875" style="1" bestFit="1" customWidth="1"/>
    <col min="10" max="10" width="15.140625" style="2" customWidth="1"/>
    <col min="11" max="11" width="20.42578125" style="2" customWidth="1"/>
    <col min="12" max="12" width="14.42578125" style="1" customWidth="1"/>
    <col min="13" max="13" width="18.28515625" style="1" customWidth="1"/>
    <col min="14" max="14" width="16.85546875" style="1" bestFit="1" customWidth="1"/>
    <col min="15" max="15" width="17.7109375" style="1" bestFit="1" customWidth="1"/>
    <col min="16" max="16" width="9" style="1" bestFit="1" customWidth="1"/>
    <col min="17" max="17" width="14.42578125" style="1" customWidth="1"/>
    <col min="18" max="18" width="20.42578125" style="1" customWidth="1"/>
    <col min="19" max="19" width="12.5703125" style="1" hidden="1" customWidth="1"/>
    <col min="20" max="20" width="24.28515625" style="1" customWidth="1"/>
    <col min="21" max="21" width="22.5703125" style="1" customWidth="1"/>
    <col min="22" max="23" width="6.42578125" style="1"/>
    <col min="24" max="24" width="16.85546875" style="1" customWidth="1"/>
    <col min="25" max="25" width="6.42578125" style="1"/>
    <col min="26" max="26" width="30.140625" style="1" customWidth="1"/>
    <col min="27" max="27" width="15.42578125" style="1" customWidth="1"/>
    <col min="28" max="28" width="15.85546875" style="1" customWidth="1"/>
    <col min="29" max="29" width="24.42578125" style="1" customWidth="1"/>
    <col min="30" max="30" width="17.140625" style="1" customWidth="1"/>
    <col min="31" max="16384" width="6.42578125" style="1"/>
  </cols>
  <sheetData>
    <row r="1" spans="1:247" ht="37.5" customHeight="1">
      <c r="A1" s="675"/>
      <c r="B1" s="678" t="s">
        <v>95</v>
      </c>
      <c r="C1" s="679"/>
      <c r="D1" s="679"/>
      <c r="E1" s="679"/>
      <c r="F1" s="679"/>
      <c r="G1" s="679"/>
      <c r="H1" s="680"/>
      <c r="I1" s="684" t="s">
        <v>96</v>
      </c>
      <c r="J1" s="685"/>
      <c r="K1" s="685"/>
      <c r="L1" s="686"/>
      <c r="M1" s="687"/>
      <c r="N1" s="688"/>
      <c r="O1" s="39"/>
    </row>
    <row r="2" spans="1:247" ht="37.5" customHeight="1">
      <c r="A2" s="676"/>
      <c r="B2" s="681"/>
      <c r="C2" s="682"/>
      <c r="D2" s="682"/>
      <c r="E2" s="682"/>
      <c r="F2" s="682"/>
      <c r="G2" s="682"/>
      <c r="H2" s="683"/>
      <c r="I2" s="684" t="s">
        <v>97</v>
      </c>
      <c r="J2" s="685"/>
      <c r="K2" s="685"/>
      <c r="L2" s="686"/>
      <c r="M2" s="689"/>
      <c r="N2" s="690"/>
      <c r="O2" s="39"/>
    </row>
    <row r="3" spans="1:247" ht="33.75" customHeight="1">
      <c r="A3" s="676"/>
      <c r="B3" s="678" t="s">
        <v>98</v>
      </c>
      <c r="C3" s="679"/>
      <c r="D3" s="679"/>
      <c r="E3" s="679"/>
      <c r="F3" s="679"/>
      <c r="G3" s="679"/>
      <c r="H3" s="680"/>
      <c r="I3" s="684" t="s">
        <v>99</v>
      </c>
      <c r="J3" s="685"/>
      <c r="K3" s="685"/>
      <c r="L3" s="686"/>
      <c r="M3" s="689"/>
      <c r="N3" s="690"/>
      <c r="O3" s="39"/>
    </row>
    <row r="4" spans="1:247" ht="38.25" customHeight="1">
      <c r="A4" s="677"/>
      <c r="B4" s="681"/>
      <c r="C4" s="682"/>
      <c r="D4" s="682"/>
      <c r="E4" s="682"/>
      <c r="F4" s="682"/>
      <c r="G4" s="682"/>
      <c r="H4" s="683"/>
      <c r="I4" s="684" t="s">
        <v>100</v>
      </c>
      <c r="J4" s="685"/>
      <c r="K4" s="685"/>
      <c r="L4" s="686"/>
      <c r="M4" s="691"/>
      <c r="N4" s="692"/>
      <c r="O4" s="39"/>
    </row>
    <row r="5" spans="1:247" ht="15.75">
      <c r="A5" s="693"/>
      <c r="B5" s="693"/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39"/>
    </row>
    <row r="6" spans="1:247" ht="15.75">
      <c r="A6" s="684" t="s">
        <v>256</v>
      </c>
      <c r="B6" s="685"/>
      <c r="C6" s="685"/>
      <c r="D6" s="685"/>
      <c r="E6" s="685"/>
      <c r="F6" s="685"/>
      <c r="G6" s="685"/>
      <c r="H6" s="685"/>
      <c r="I6" s="685"/>
      <c r="J6" s="685"/>
      <c r="K6" s="685"/>
      <c r="L6" s="685"/>
      <c r="M6" s="685"/>
      <c r="N6" s="686"/>
      <c r="O6" s="39"/>
    </row>
    <row r="7" spans="1:247" ht="15.75">
      <c r="A7" s="40" t="s">
        <v>327</v>
      </c>
      <c r="B7" s="532" t="s">
        <v>468</v>
      </c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</row>
    <row r="8" spans="1:247" ht="15.75">
      <c r="A8" s="41" t="s">
        <v>32</v>
      </c>
      <c r="B8" s="694" t="s">
        <v>33</v>
      </c>
      <c r="C8" s="695"/>
      <c r="D8" s="695"/>
      <c r="E8" s="695"/>
      <c r="F8" s="696"/>
      <c r="G8" s="697" t="s">
        <v>257</v>
      </c>
      <c r="H8" s="698"/>
      <c r="I8" s="699"/>
      <c r="J8" s="706" t="s">
        <v>31</v>
      </c>
      <c r="K8" s="707"/>
      <c r="L8" s="707"/>
      <c r="M8" s="707"/>
      <c r="N8" s="708"/>
      <c r="O8" s="42"/>
    </row>
    <row r="9" spans="1:247" ht="15.75">
      <c r="A9" s="43" t="s">
        <v>30</v>
      </c>
      <c r="B9" s="715" t="s">
        <v>253</v>
      </c>
      <c r="C9" s="695"/>
      <c r="D9" s="695"/>
      <c r="E9" s="695"/>
      <c r="F9" s="696"/>
      <c r="G9" s="700"/>
      <c r="H9" s="701"/>
      <c r="I9" s="702"/>
      <c r="J9" s="82" t="s">
        <v>29</v>
      </c>
      <c r="K9" s="547" t="s">
        <v>28</v>
      </c>
      <c r="L9" s="547"/>
      <c r="M9" s="547"/>
      <c r="N9" s="82" t="s">
        <v>27</v>
      </c>
      <c r="O9" s="42"/>
    </row>
    <row r="10" spans="1:247" ht="15.75">
      <c r="A10" s="44" t="s">
        <v>26</v>
      </c>
      <c r="B10" s="716" t="s">
        <v>252</v>
      </c>
      <c r="C10" s="715"/>
      <c r="D10" s="715"/>
      <c r="E10" s="715"/>
      <c r="F10" s="717"/>
      <c r="G10" s="700"/>
      <c r="H10" s="701"/>
      <c r="I10" s="702"/>
      <c r="J10" s="45"/>
      <c r="K10" s="718"/>
      <c r="L10" s="719"/>
      <c r="M10" s="720"/>
      <c r="N10" s="46"/>
      <c r="O10" s="42"/>
      <c r="V10" s="81"/>
      <c r="W10" s="81"/>
    </row>
    <row r="11" spans="1:247" ht="15.75">
      <c r="A11" s="47" t="s">
        <v>25</v>
      </c>
      <c r="B11" s="716" t="s">
        <v>258</v>
      </c>
      <c r="C11" s="715"/>
      <c r="D11" s="715"/>
      <c r="E11" s="715"/>
      <c r="F11" s="717"/>
      <c r="G11" s="700"/>
      <c r="H11" s="701"/>
      <c r="I11" s="702"/>
      <c r="J11" s="83"/>
      <c r="K11" s="712"/>
      <c r="L11" s="713"/>
      <c r="M11" s="714"/>
      <c r="N11" s="48"/>
      <c r="O11" s="42"/>
      <c r="V11" s="14"/>
      <c r="W11" s="5"/>
      <c r="X11" s="12"/>
    </row>
    <row r="12" spans="1:247" ht="15.75">
      <c r="A12" s="70" t="s">
        <v>24</v>
      </c>
      <c r="B12" s="925">
        <v>2020730010056</v>
      </c>
      <c r="C12" s="926"/>
      <c r="D12" s="926"/>
      <c r="E12" s="926"/>
      <c r="F12" s="927"/>
      <c r="G12" s="700"/>
      <c r="H12" s="701"/>
      <c r="I12" s="702"/>
      <c r="J12" s="51"/>
      <c r="K12" s="722"/>
      <c r="L12" s="723"/>
      <c r="M12" s="724"/>
      <c r="N12" s="52"/>
      <c r="O12" s="42"/>
      <c r="V12" s="14"/>
      <c r="W12" s="5"/>
      <c r="X12" s="12"/>
    </row>
    <row r="13" spans="1:247" ht="30.75">
      <c r="A13" s="100" t="s">
        <v>356</v>
      </c>
      <c r="B13" s="966" t="s">
        <v>259</v>
      </c>
      <c r="C13" s="967"/>
      <c r="D13" s="967"/>
      <c r="E13" s="967"/>
      <c r="F13" s="968"/>
      <c r="G13" s="703"/>
      <c r="H13" s="704"/>
      <c r="I13" s="705"/>
      <c r="J13" s="85"/>
      <c r="K13" s="722"/>
      <c r="L13" s="723"/>
      <c r="M13" s="724"/>
      <c r="N13" s="53"/>
      <c r="O13" s="42"/>
      <c r="V13" s="14"/>
      <c r="W13" s="5"/>
      <c r="X13" s="12"/>
    </row>
    <row r="14" spans="1:247" ht="15.75">
      <c r="A14" s="541" t="s">
        <v>23</v>
      </c>
      <c r="B14" s="533" t="s">
        <v>22</v>
      </c>
      <c r="C14" s="534" t="s">
        <v>21</v>
      </c>
      <c r="D14" s="534" t="s">
        <v>20</v>
      </c>
      <c r="E14" s="534" t="s">
        <v>19</v>
      </c>
      <c r="F14" s="776" t="s">
        <v>358</v>
      </c>
      <c r="G14" s="777"/>
      <c r="H14" s="777"/>
      <c r="I14" s="778"/>
      <c r="J14" s="534" t="s">
        <v>17</v>
      </c>
      <c r="K14" s="534"/>
      <c r="L14" s="540" t="s">
        <v>16</v>
      </c>
      <c r="M14" s="540"/>
      <c r="N14" s="540"/>
      <c r="O14" s="3"/>
      <c r="P14" s="3"/>
      <c r="V14" s="16"/>
      <c r="W14" s="5"/>
      <c r="X14" s="12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>
      <c r="A15" s="541"/>
      <c r="B15" s="534"/>
      <c r="C15" s="534"/>
      <c r="D15" s="534"/>
      <c r="E15" s="534"/>
      <c r="F15" s="779"/>
      <c r="G15" s="780"/>
      <c r="H15" s="780"/>
      <c r="I15" s="781"/>
      <c r="J15" s="534"/>
      <c r="K15" s="534"/>
      <c r="L15" s="534" t="s">
        <v>15</v>
      </c>
      <c r="M15" s="534" t="s">
        <v>14</v>
      </c>
      <c r="N15" s="541" t="s">
        <v>13</v>
      </c>
      <c r="O15" s="3"/>
      <c r="P15" s="3"/>
      <c r="V15" s="16"/>
      <c r="W15" s="5"/>
      <c r="X15" s="12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15.75">
      <c r="A16" s="541"/>
      <c r="B16" s="534"/>
      <c r="C16" s="534"/>
      <c r="D16" s="534"/>
      <c r="E16" s="534"/>
      <c r="F16" s="84" t="s">
        <v>12</v>
      </c>
      <c r="G16" s="84" t="s">
        <v>11</v>
      </c>
      <c r="H16" s="84" t="s">
        <v>10</v>
      </c>
      <c r="I16" s="10" t="s">
        <v>9</v>
      </c>
      <c r="J16" s="84" t="s">
        <v>8</v>
      </c>
      <c r="K16" s="84" t="s">
        <v>7</v>
      </c>
      <c r="L16" s="534"/>
      <c r="M16" s="534"/>
      <c r="N16" s="541"/>
      <c r="O16" s="3"/>
      <c r="P16" s="143"/>
      <c r="Q16" s="84" t="s">
        <v>321</v>
      </c>
      <c r="R16" s="84" t="s">
        <v>27</v>
      </c>
      <c r="V16" s="16"/>
      <c r="W16" s="5"/>
      <c r="X16" s="12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" ht="27" customHeight="1">
      <c r="A17" s="498" t="s">
        <v>260</v>
      </c>
      <c r="B17" s="111" t="s">
        <v>1</v>
      </c>
      <c r="C17" s="441" t="s">
        <v>261</v>
      </c>
      <c r="D17" s="96">
        <v>1</v>
      </c>
      <c r="E17" s="11">
        <f t="shared" ref="E17:E46" si="0">SUM(F17:I17)</f>
        <v>62382466</v>
      </c>
      <c r="F17" s="207">
        <v>62382466</v>
      </c>
      <c r="G17" s="11">
        <v>0</v>
      </c>
      <c r="H17" s="11">
        <v>0</v>
      </c>
      <c r="I17" s="11">
        <v>0</v>
      </c>
      <c r="J17" s="953">
        <v>44946</v>
      </c>
      <c r="K17" s="953">
        <v>45275</v>
      </c>
      <c r="L17" s="933">
        <f>D18/D17</f>
        <v>1</v>
      </c>
      <c r="M17" s="933">
        <f>E18/E17</f>
        <v>1</v>
      </c>
      <c r="N17" s="959">
        <f>L17*L17/M17</f>
        <v>1</v>
      </c>
      <c r="P17" s="150" t="s">
        <v>1</v>
      </c>
      <c r="Q17" s="148">
        <v>1</v>
      </c>
      <c r="R17" s="210">
        <f>E17++E19+E21+E23+E25+E27+E29</f>
        <v>596733966</v>
      </c>
      <c r="V17" s="14"/>
      <c r="W17" s="5"/>
      <c r="X17" s="12"/>
    </row>
    <row r="18" spans="1:24" ht="27" customHeight="1">
      <c r="A18" s="499"/>
      <c r="B18" s="111" t="s">
        <v>0</v>
      </c>
      <c r="C18" s="442"/>
      <c r="D18" s="99">
        <v>1</v>
      </c>
      <c r="E18" s="11">
        <f t="shared" si="0"/>
        <v>62382466</v>
      </c>
      <c r="F18" s="207">
        <v>62382466</v>
      </c>
      <c r="G18" s="11">
        <v>0</v>
      </c>
      <c r="H18" s="11">
        <v>0</v>
      </c>
      <c r="I18" s="11">
        <v>0</v>
      </c>
      <c r="J18" s="953"/>
      <c r="K18" s="953"/>
      <c r="L18" s="933"/>
      <c r="M18" s="933"/>
      <c r="N18" s="960"/>
      <c r="P18" s="150" t="s">
        <v>0</v>
      </c>
      <c r="Q18" s="149"/>
      <c r="R18" s="210">
        <f>E18++E20+E22+E24+E26+E28+E30</f>
        <v>596733966</v>
      </c>
      <c r="U18" s="80"/>
      <c r="V18" s="14"/>
      <c r="W18" s="5"/>
      <c r="X18" s="12"/>
    </row>
    <row r="19" spans="1:24" ht="27" customHeight="1">
      <c r="A19" s="499" t="s">
        <v>449</v>
      </c>
      <c r="B19" s="111" t="s">
        <v>1</v>
      </c>
      <c r="C19" s="441" t="s">
        <v>262</v>
      </c>
      <c r="D19" s="99">
        <v>2</v>
      </c>
      <c r="E19" s="11">
        <f t="shared" si="0"/>
        <v>36074933</v>
      </c>
      <c r="F19" s="207">
        <v>36074933</v>
      </c>
      <c r="G19" s="11">
        <v>0</v>
      </c>
      <c r="H19" s="11">
        <v>0</v>
      </c>
      <c r="I19" s="11">
        <v>0</v>
      </c>
      <c r="J19" s="953">
        <v>44946</v>
      </c>
      <c r="K19" s="953">
        <v>45275</v>
      </c>
      <c r="L19" s="933">
        <f>D20/D19</f>
        <v>1</v>
      </c>
      <c r="M19" s="933">
        <f>E20/E19</f>
        <v>1</v>
      </c>
      <c r="N19" s="969">
        <f>L19*L19/M19</f>
        <v>1</v>
      </c>
      <c r="P19" s="147"/>
      <c r="Q19" s="81"/>
      <c r="R19" s="80"/>
      <c r="U19" s="80"/>
      <c r="V19" s="14"/>
      <c r="W19" s="5"/>
      <c r="X19" s="12"/>
    </row>
    <row r="20" spans="1:24" ht="27" customHeight="1">
      <c r="A20" s="499"/>
      <c r="B20" s="111" t="s">
        <v>0</v>
      </c>
      <c r="C20" s="442"/>
      <c r="D20" s="99">
        <v>2</v>
      </c>
      <c r="E20" s="11">
        <f t="shared" si="0"/>
        <v>36074933</v>
      </c>
      <c r="F20" s="207">
        <v>36074933</v>
      </c>
      <c r="G20" s="11">
        <v>0</v>
      </c>
      <c r="H20" s="11">
        <v>0</v>
      </c>
      <c r="I20" s="11">
        <v>0</v>
      </c>
      <c r="J20" s="953"/>
      <c r="K20" s="953"/>
      <c r="L20" s="933"/>
      <c r="M20" s="933"/>
      <c r="N20" s="970"/>
      <c r="P20" s="147"/>
      <c r="Q20" s="81"/>
      <c r="R20" s="80"/>
      <c r="U20" s="80"/>
      <c r="V20" s="14"/>
      <c r="W20" s="5"/>
      <c r="X20" s="12"/>
    </row>
    <row r="21" spans="1:24" ht="27" customHeight="1">
      <c r="A21" s="499" t="s">
        <v>319</v>
      </c>
      <c r="B21" s="111" t="s">
        <v>1</v>
      </c>
      <c r="C21" s="441" t="s">
        <v>262</v>
      </c>
      <c r="D21" s="99">
        <v>30</v>
      </c>
      <c r="E21" s="11">
        <f t="shared" si="0"/>
        <v>56443333</v>
      </c>
      <c r="F21" s="11">
        <v>56443333</v>
      </c>
      <c r="G21" s="11">
        <v>0</v>
      </c>
      <c r="H21" s="11">
        <v>0</v>
      </c>
      <c r="I21" s="11">
        <v>0</v>
      </c>
      <c r="J21" s="953">
        <v>44946</v>
      </c>
      <c r="K21" s="953">
        <v>45275</v>
      </c>
      <c r="L21" s="933">
        <f>D22/D21</f>
        <v>1</v>
      </c>
      <c r="M21" s="933">
        <f>E22/E21</f>
        <v>1</v>
      </c>
      <c r="N21" s="969">
        <f>L21*L21/M21</f>
        <v>1</v>
      </c>
      <c r="U21" s="80"/>
    </row>
    <row r="22" spans="1:24" ht="27" customHeight="1">
      <c r="A22" s="499"/>
      <c r="B22" s="111" t="s">
        <v>0</v>
      </c>
      <c r="C22" s="442"/>
      <c r="D22" s="99">
        <v>30</v>
      </c>
      <c r="E22" s="11">
        <f t="shared" si="0"/>
        <v>56443333</v>
      </c>
      <c r="F22" s="11">
        <v>56443333</v>
      </c>
      <c r="G22" s="11">
        <v>0</v>
      </c>
      <c r="H22" s="11">
        <v>0</v>
      </c>
      <c r="I22" s="11">
        <v>0</v>
      </c>
      <c r="J22" s="953"/>
      <c r="K22" s="953"/>
      <c r="L22" s="933"/>
      <c r="M22" s="933"/>
      <c r="N22" s="970"/>
      <c r="U22" s="80"/>
    </row>
    <row r="23" spans="1:24" ht="23.25" customHeight="1">
      <c r="A23" s="499" t="s">
        <v>263</v>
      </c>
      <c r="B23" s="111" t="s">
        <v>1</v>
      </c>
      <c r="C23" s="441" t="s">
        <v>262</v>
      </c>
      <c r="D23" s="99">
        <v>30</v>
      </c>
      <c r="E23" s="11">
        <f t="shared" si="0"/>
        <v>55445000</v>
      </c>
      <c r="F23" s="11">
        <v>55445000</v>
      </c>
      <c r="G23" s="11">
        <v>0</v>
      </c>
      <c r="H23" s="11">
        <v>0</v>
      </c>
      <c r="I23" s="11">
        <v>0</v>
      </c>
      <c r="J23" s="953">
        <v>44946</v>
      </c>
      <c r="K23" s="953">
        <v>45275</v>
      </c>
      <c r="L23" s="933">
        <f>D24/D23</f>
        <v>1</v>
      </c>
      <c r="M23" s="933">
        <f>E24/E23</f>
        <v>1</v>
      </c>
      <c r="N23" s="969">
        <f>L23*L23/M23</f>
        <v>1</v>
      </c>
      <c r="U23" s="80"/>
    </row>
    <row r="24" spans="1:24" ht="23.25" customHeight="1">
      <c r="A24" s="499"/>
      <c r="B24" s="111" t="s">
        <v>0</v>
      </c>
      <c r="C24" s="442"/>
      <c r="D24" s="99">
        <v>30</v>
      </c>
      <c r="E24" s="11">
        <v>55445000</v>
      </c>
      <c r="F24" s="11">
        <v>55445000</v>
      </c>
      <c r="G24" s="11">
        <v>0</v>
      </c>
      <c r="H24" s="11">
        <v>0</v>
      </c>
      <c r="I24" s="11">
        <v>0</v>
      </c>
      <c r="J24" s="953"/>
      <c r="K24" s="953"/>
      <c r="L24" s="933"/>
      <c r="M24" s="933"/>
      <c r="N24" s="970"/>
    </row>
    <row r="25" spans="1:24" ht="21.75" customHeight="1">
      <c r="A25" s="499" t="s">
        <v>312</v>
      </c>
      <c r="B25" s="111" t="s">
        <v>39</v>
      </c>
      <c r="C25" s="441" t="s">
        <v>264</v>
      </c>
      <c r="D25" s="98">
        <v>1</v>
      </c>
      <c r="E25" s="11">
        <f t="shared" si="0"/>
        <v>230388234</v>
      </c>
      <c r="F25" s="11">
        <v>230388234</v>
      </c>
      <c r="G25" s="11">
        <v>0</v>
      </c>
      <c r="H25" s="11">
        <v>0</v>
      </c>
      <c r="I25" s="11">
        <v>0</v>
      </c>
      <c r="J25" s="953">
        <v>44946</v>
      </c>
      <c r="K25" s="953">
        <v>45275</v>
      </c>
      <c r="L25" s="933">
        <f>D26/D25</f>
        <v>1</v>
      </c>
      <c r="M25" s="933">
        <f>E26/E25</f>
        <v>1</v>
      </c>
      <c r="N25" s="959">
        <f>L25*L25/M25</f>
        <v>1</v>
      </c>
    </row>
    <row r="26" spans="1:24" ht="21.75" customHeight="1">
      <c r="A26" s="499"/>
      <c r="B26" s="111" t="s">
        <v>0</v>
      </c>
      <c r="C26" s="442"/>
      <c r="D26" s="98">
        <v>1</v>
      </c>
      <c r="E26" s="11">
        <f t="shared" si="0"/>
        <v>230388234</v>
      </c>
      <c r="F26" s="11">
        <v>230388234</v>
      </c>
      <c r="G26" s="11">
        <v>0</v>
      </c>
      <c r="H26" s="11">
        <v>0</v>
      </c>
      <c r="I26" s="11">
        <v>0</v>
      </c>
      <c r="J26" s="953"/>
      <c r="K26" s="953"/>
      <c r="L26" s="933"/>
      <c r="M26" s="933"/>
      <c r="N26" s="960"/>
    </row>
    <row r="27" spans="1:24" ht="36" customHeight="1">
      <c r="A27" s="499" t="s">
        <v>265</v>
      </c>
      <c r="B27" s="111" t="s">
        <v>1</v>
      </c>
      <c r="C27" s="441" t="s">
        <v>313</v>
      </c>
      <c r="D27" s="99">
        <v>20</v>
      </c>
      <c r="E27" s="11">
        <f t="shared" si="0"/>
        <v>106000000</v>
      </c>
      <c r="F27" s="11">
        <v>106000000</v>
      </c>
      <c r="G27" s="11">
        <v>0</v>
      </c>
      <c r="H27" s="11">
        <v>0</v>
      </c>
      <c r="I27" s="11">
        <v>0</v>
      </c>
      <c r="J27" s="953">
        <v>44946</v>
      </c>
      <c r="K27" s="953">
        <v>45275</v>
      </c>
      <c r="L27" s="933">
        <f>D28/D27</f>
        <v>1</v>
      </c>
      <c r="M27" s="933">
        <f>E28/E27</f>
        <v>1</v>
      </c>
      <c r="N27" s="957">
        <v>0</v>
      </c>
    </row>
    <row r="28" spans="1:24" ht="36" customHeight="1">
      <c r="A28" s="499"/>
      <c r="B28" s="111" t="s">
        <v>0</v>
      </c>
      <c r="C28" s="442"/>
      <c r="D28" s="99">
        <v>20</v>
      </c>
      <c r="E28" s="11">
        <f t="shared" si="0"/>
        <v>106000000</v>
      </c>
      <c r="F28" s="11">
        <v>106000000</v>
      </c>
      <c r="G28" s="11">
        <v>0</v>
      </c>
      <c r="H28" s="11">
        <v>0</v>
      </c>
      <c r="I28" s="11">
        <v>0</v>
      </c>
      <c r="J28" s="953"/>
      <c r="K28" s="953"/>
      <c r="L28" s="933"/>
      <c r="M28" s="933"/>
      <c r="N28" s="958"/>
    </row>
    <row r="29" spans="1:24" ht="26.25" customHeight="1">
      <c r="A29" s="502" t="s">
        <v>266</v>
      </c>
      <c r="B29" s="111" t="s">
        <v>1</v>
      </c>
      <c r="C29" s="441" t="s">
        <v>357</v>
      </c>
      <c r="D29" s="98">
        <v>1</v>
      </c>
      <c r="E29" s="11">
        <f t="shared" si="0"/>
        <v>50000000</v>
      </c>
      <c r="F29" s="11">
        <v>50000000</v>
      </c>
      <c r="G29" s="11">
        <v>0</v>
      </c>
      <c r="H29" s="11">
        <v>0</v>
      </c>
      <c r="I29" s="11">
        <v>0</v>
      </c>
      <c r="J29" s="953">
        <v>44946</v>
      </c>
      <c r="K29" s="953">
        <v>45275</v>
      </c>
      <c r="L29" s="933">
        <f>D30/D29</f>
        <v>1</v>
      </c>
      <c r="M29" s="933">
        <f>E30/E29</f>
        <v>1</v>
      </c>
      <c r="N29" s="957">
        <f>L29*L29/M29</f>
        <v>1</v>
      </c>
    </row>
    <row r="30" spans="1:24" ht="26.25" customHeight="1">
      <c r="A30" s="503"/>
      <c r="B30" s="111" t="s">
        <v>0</v>
      </c>
      <c r="C30" s="442"/>
      <c r="D30" s="98">
        <v>1</v>
      </c>
      <c r="E30" s="11">
        <f t="shared" si="0"/>
        <v>50000000</v>
      </c>
      <c r="F30" s="11">
        <v>50000000</v>
      </c>
      <c r="G30" s="11">
        <v>0</v>
      </c>
      <c r="H30" s="11">
        <v>0</v>
      </c>
      <c r="I30" s="11">
        <v>0</v>
      </c>
      <c r="J30" s="953"/>
      <c r="K30" s="953"/>
      <c r="L30" s="933"/>
      <c r="M30" s="933"/>
      <c r="N30" s="958"/>
      <c r="P30" s="143"/>
      <c r="Q30" s="84" t="s">
        <v>321</v>
      </c>
      <c r="R30" s="84" t="s">
        <v>27</v>
      </c>
    </row>
    <row r="31" spans="1:24" ht="36" customHeight="1">
      <c r="A31" s="494" t="s">
        <v>267</v>
      </c>
      <c r="B31" s="111" t="s">
        <v>1</v>
      </c>
      <c r="C31" s="441" t="s">
        <v>314</v>
      </c>
      <c r="D31" s="99">
        <v>2</v>
      </c>
      <c r="E31" s="11">
        <f t="shared" si="0"/>
        <v>34847333</v>
      </c>
      <c r="F31" s="109">
        <v>34847333</v>
      </c>
      <c r="G31" s="11">
        <v>0</v>
      </c>
      <c r="H31" s="11">
        <v>0</v>
      </c>
      <c r="I31" s="11">
        <v>0</v>
      </c>
      <c r="J31" s="953">
        <v>44946</v>
      </c>
      <c r="K31" s="953">
        <v>45275</v>
      </c>
      <c r="L31" s="933">
        <f>D32/D31</f>
        <v>1</v>
      </c>
      <c r="M31" s="933">
        <f>E32/E31</f>
        <v>1</v>
      </c>
      <c r="N31" s="969">
        <f>L31*L31/M31</f>
        <v>1</v>
      </c>
      <c r="P31" s="150" t="s">
        <v>1</v>
      </c>
      <c r="Q31" s="148">
        <v>6</v>
      </c>
      <c r="R31" s="210">
        <f>E31+E33</f>
        <v>84847333</v>
      </c>
    </row>
    <row r="32" spans="1:24" ht="36" customHeight="1">
      <c r="A32" s="495"/>
      <c r="B32" s="111" t="s">
        <v>0</v>
      </c>
      <c r="C32" s="442"/>
      <c r="D32" s="99">
        <v>2</v>
      </c>
      <c r="E32" s="11">
        <f t="shared" si="0"/>
        <v>34847333</v>
      </c>
      <c r="F32" s="109">
        <v>34847333</v>
      </c>
      <c r="G32" s="11">
        <v>0</v>
      </c>
      <c r="H32" s="11">
        <v>0</v>
      </c>
      <c r="I32" s="11">
        <v>0</v>
      </c>
      <c r="J32" s="953"/>
      <c r="K32" s="953"/>
      <c r="L32" s="933"/>
      <c r="M32" s="933"/>
      <c r="N32" s="970"/>
      <c r="P32" s="150" t="s">
        <v>0</v>
      </c>
      <c r="Q32" s="149"/>
      <c r="R32" s="210">
        <f>E32+E34</f>
        <v>84847333</v>
      </c>
    </row>
    <row r="33" spans="1:22" ht="24.75" customHeight="1">
      <c r="A33" s="494" t="s">
        <v>268</v>
      </c>
      <c r="B33" s="111" t="s">
        <v>1</v>
      </c>
      <c r="C33" s="441" t="s">
        <v>269</v>
      </c>
      <c r="D33" s="99">
        <v>3</v>
      </c>
      <c r="E33" s="11">
        <f t="shared" si="0"/>
        <v>50000000</v>
      </c>
      <c r="F33" s="209">
        <v>50000000</v>
      </c>
      <c r="G33" s="11">
        <v>0</v>
      </c>
      <c r="H33" s="11">
        <v>0</v>
      </c>
      <c r="I33" s="11">
        <v>0</v>
      </c>
      <c r="J33" s="953">
        <v>44946</v>
      </c>
      <c r="K33" s="953">
        <v>45275</v>
      </c>
      <c r="L33" s="933">
        <f>D34/D33</f>
        <v>1</v>
      </c>
      <c r="M33" s="933">
        <f>E34/E33</f>
        <v>1</v>
      </c>
      <c r="N33" s="959">
        <f>L33*L33/M33</f>
        <v>1</v>
      </c>
      <c r="P33" s="150" t="s">
        <v>1</v>
      </c>
      <c r="Q33" s="148">
        <v>5</v>
      </c>
      <c r="R33" s="210">
        <f>E35+E37</f>
        <v>21144284</v>
      </c>
    </row>
    <row r="34" spans="1:22" ht="24.75" customHeight="1">
      <c r="A34" s="495"/>
      <c r="B34" s="111" t="s">
        <v>0</v>
      </c>
      <c r="C34" s="442"/>
      <c r="D34" s="99">
        <v>3</v>
      </c>
      <c r="E34" s="11">
        <f t="shared" si="0"/>
        <v>50000000</v>
      </c>
      <c r="F34" s="209">
        <v>50000000</v>
      </c>
      <c r="G34" s="11">
        <v>0</v>
      </c>
      <c r="H34" s="11">
        <v>0</v>
      </c>
      <c r="I34" s="11">
        <v>0</v>
      </c>
      <c r="J34" s="953"/>
      <c r="K34" s="953"/>
      <c r="L34" s="933"/>
      <c r="M34" s="933"/>
      <c r="N34" s="960"/>
      <c r="P34" s="150" t="s">
        <v>0</v>
      </c>
      <c r="Q34" s="149"/>
      <c r="R34" s="210">
        <f>E36+E38</f>
        <v>21144284</v>
      </c>
    </row>
    <row r="35" spans="1:22" ht="49.5" customHeight="1">
      <c r="A35" s="494" t="s">
        <v>270</v>
      </c>
      <c r="B35" s="111" t="s">
        <v>1</v>
      </c>
      <c r="C35" s="441" t="s">
        <v>409</v>
      </c>
      <c r="D35" s="99">
        <v>4</v>
      </c>
      <c r="E35" s="11">
        <f t="shared" si="0"/>
        <v>19778000</v>
      </c>
      <c r="F35" s="11">
        <f>12278000+7500000</f>
        <v>19778000</v>
      </c>
      <c r="G35" s="11">
        <v>0</v>
      </c>
      <c r="H35" s="11">
        <v>0</v>
      </c>
      <c r="I35" s="11">
        <v>0</v>
      </c>
      <c r="J35" s="953">
        <v>44946</v>
      </c>
      <c r="K35" s="953">
        <v>45275</v>
      </c>
      <c r="L35" s="933">
        <f>D36/D35</f>
        <v>0.25</v>
      </c>
      <c r="M35" s="933">
        <f>E36/E35</f>
        <v>1</v>
      </c>
      <c r="N35" s="969">
        <f>L35*L35/M35</f>
        <v>6.25E-2</v>
      </c>
    </row>
    <row r="36" spans="1:22" ht="31.5" customHeight="1">
      <c r="A36" s="495"/>
      <c r="B36" s="111" t="s">
        <v>0</v>
      </c>
      <c r="C36" s="442"/>
      <c r="D36" s="99">
        <v>1</v>
      </c>
      <c r="E36" s="11">
        <f t="shared" si="0"/>
        <v>19778000</v>
      </c>
      <c r="F36" s="11">
        <f>12278000+7500000</f>
        <v>19778000</v>
      </c>
      <c r="G36" s="11">
        <v>0</v>
      </c>
      <c r="H36" s="11">
        <v>0</v>
      </c>
      <c r="I36" s="11">
        <v>0</v>
      </c>
      <c r="J36" s="953"/>
      <c r="K36" s="953"/>
      <c r="L36" s="933"/>
      <c r="M36" s="933"/>
      <c r="N36" s="970"/>
    </row>
    <row r="37" spans="1:22" ht="27.75" customHeight="1">
      <c r="A37" s="445" t="s">
        <v>350</v>
      </c>
      <c r="B37" s="111" t="s">
        <v>1</v>
      </c>
      <c r="C37" s="441" t="s">
        <v>349</v>
      </c>
      <c r="D37" s="99">
        <v>1</v>
      </c>
      <c r="E37" s="11">
        <f t="shared" si="0"/>
        <v>1366284</v>
      </c>
      <c r="F37" s="11">
        <v>1366284</v>
      </c>
      <c r="G37" s="11">
        <v>0</v>
      </c>
      <c r="H37" s="11">
        <v>0</v>
      </c>
      <c r="I37" s="11">
        <v>0</v>
      </c>
      <c r="J37" s="953">
        <v>44946</v>
      </c>
      <c r="K37" s="953">
        <v>45275</v>
      </c>
      <c r="L37" s="933">
        <f>D38/D37</f>
        <v>0</v>
      </c>
      <c r="M37" s="933">
        <f>E38/E37</f>
        <v>1</v>
      </c>
      <c r="N37" s="969">
        <f t="shared" ref="N37" si="1">L37*L37/M37</f>
        <v>0</v>
      </c>
      <c r="P37" s="143"/>
      <c r="Q37" s="84" t="s">
        <v>321</v>
      </c>
      <c r="R37" s="84" t="s">
        <v>27</v>
      </c>
    </row>
    <row r="38" spans="1:22" ht="27.75" customHeight="1">
      <c r="A38" s="446"/>
      <c r="B38" s="111" t="s">
        <v>0</v>
      </c>
      <c r="C38" s="442"/>
      <c r="D38" s="99">
        <v>0</v>
      </c>
      <c r="E38" s="11">
        <f t="shared" si="0"/>
        <v>1366284</v>
      </c>
      <c r="F38" s="11">
        <v>1366284</v>
      </c>
      <c r="G38" s="11">
        <v>0</v>
      </c>
      <c r="H38" s="11">
        <v>0</v>
      </c>
      <c r="I38" s="11">
        <v>0</v>
      </c>
      <c r="J38" s="953"/>
      <c r="K38" s="953"/>
      <c r="L38" s="933"/>
      <c r="M38" s="933"/>
      <c r="N38" s="970"/>
      <c r="P38" s="150" t="s">
        <v>1</v>
      </c>
      <c r="Q38" s="148">
        <v>2</v>
      </c>
      <c r="R38" s="210">
        <f>E39</f>
        <v>202516500</v>
      </c>
    </row>
    <row r="39" spans="1:22" ht="23.25" customHeight="1">
      <c r="A39" s="445" t="s">
        <v>271</v>
      </c>
      <c r="B39" s="111" t="s">
        <v>1</v>
      </c>
      <c r="C39" s="441" t="s">
        <v>410</v>
      </c>
      <c r="D39" s="99">
        <v>200</v>
      </c>
      <c r="E39" s="11">
        <f t="shared" si="0"/>
        <v>202516500</v>
      </c>
      <c r="F39" s="109">
        <v>202516500</v>
      </c>
      <c r="G39" s="11">
        <v>0</v>
      </c>
      <c r="H39" s="11">
        <v>0</v>
      </c>
      <c r="I39" s="11">
        <v>0</v>
      </c>
      <c r="J39" s="953">
        <v>44946</v>
      </c>
      <c r="K39" s="953">
        <v>45275</v>
      </c>
      <c r="L39" s="933">
        <f>D40/D39</f>
        <v>1</v>
      </c>
      <c r="M39" s="933">
        <f>E40/E39</f>
        <v>1</v>
      </c>
      <c r="N39" s="969">
        <f t="shared" ref="N39" si="2">L39*L39/M39</f>
        <v>1</v>
      </c>
      <c r="P39" s="150" t="s">
        <v>0</v>
      </c>
      <c r="Q39" s="149"/>
      <c r="R39" s="210">
        <f>E40</f>
        <v>202516500</v>
      </c>
    </row>
    <row r="40" spans="1:22" ht="23.25" customHeight="1">
      <c r="A40" s="446"/>
      <c r="B40" s="111" t="s">
        <v>0</v>
      </c>
      <c r="C40" s="442"/>
      <c r="D40" s="99">
        <v>200</v>
      </c>
      <c r="E40" s="11">
        <f t="shared" si="0"/>
        <v>202516500</v>
      </c>
      <c r="F40" s="109">
        <v>202516500</v>
      </c>
      <c r="G40" s="11">
        <v>0</v>
      </c>
      <c r="H40" s="11">
        <v>0</v>
      </c>
      <c r="I40" s="11">
        <v>0</v>
      </c>
      <c r="J40" s="953"/>
      <c r="K40" s="953"/>
      <c r="L40" s="933"/>
      <c r="M40" s="933"/>
      <c r="N40" s="970"/>
    </row>
    <row r="41" spans="1:22" ht="21.75" customHeight="1">
      <c r="A41" s="494" t="s">
        <v>347</v>
      </c>
      <c r="B41" s="111" t="s">
        <v>1</v>
      </c>
      <c r="C41" s="441" t="s">
        <v>348</v>
      </c>
      <c r="D41" s="99">
        <v>1</v>
      </c>
      <c r="E41" s="11">
        <f t="shared" si="0"/>
        <v>18800000</v>
      </c>
      <c r="F41" s="11">
        <v>18800000</v>
      </c>
      <c r="G41" s="11">
        <v>0</v>
      </c>
      <c r="H41" s="11">
        <v>0</v>
      </c>
      <c r="I41" s="11">
        <v>0</v>
      </c>
      <c r="J41" s="953">
        <v>44946</v>
      </c>
      <c r="K41" s="953">
        <v>45275</v>
      </c>
      <c r="L41" s="933">
        <f>D42/D41</f>
        <v>1</v>
      </c>
      <c r="M41" s="933">
        <f>E42/E41</f>
        <v>1</v>
      </c>
      <c r="N41" s="969">
        <f t="shared" ref="N41" si="3">L41*L41/M41</f>
        <v>1</v>
      </c>
      <c r="P41" s="150" t="s">
        <v>1</v>
      </c>
      <c r="Q41" s="148">
        <v>3</v>
      </c>
      <c r="R41" s="210">
        <f>F41+F43</f>
        <v>70367000</v>
      </c>
    </row>
    <row r="42" spans="1:22" ht="21.75" customHeight="1">
      <c r="A42" s="495"/>
      <c r="B42" s="111" t="s">
        <v>0</v>
      </c>
      <c r="C42" s="442"/>
      <c r="D42" s="99">
        <v>1</v>
      </c>
      <c r="E42" s="11">
        <f t="shared" si="0"/>
        <v>18800000</v>
      </c>
      <c r="F42" s="11">
        <v>18800000</v>
      </c>
      <c r="G42" s="11">
        <v>0</v>
      </c>
      <c r="H42" s="11">
        <v>0</v>
      </c>
      <c r="I42" s="11">
        <v>0</v>
      </c>
      <c r="J42" s="953"/>
      <c r="K42" s="953"/>
      <c r="L42" s="933"/>
      <c r="M42" s="933"/>
      <c r="N42" s="970"/>
      <c r="P42" s="150" t="s">
        <v>0</v>
      </c>
      <c r="Q42" s="149"/>
      <c r="R42" s="210">
        <f>F42+F44</f>
        <v>70367000</v>
      </c>
    </row>
    <row r="43" spans="1:22" ht="27.75" customHeight="1">
      <c r="A43" s="494" t="s">
        <v>272</v>
      </c>
      <c r="B43" s="111" t="s">
        <v>1</v>
      </c>
      <c r="C43" s="441" t="s">
        <v>411</v>
      </c>
      <c r="D43" s="99">
        <v>5</v>
      </c>
      <c r="E43" s="11">
        <f t="shared" si="0"/>
        <v>51567000</v>
      </c>
      <c r="F43" s="11">
        <v>51567000</v>
      </c>
      <c r="G43" s="11">
        <v>0</v>
      </c>
      <c r="H43" s="11">
        <v>0</v>
      </c>
      <c r="I43" s="11">
        <v>0</v>
      </c>
      <c r="J43" s="953">
        <v>44946</v>
      </c>
      <c r="K43" s="953">
        <v>45275</v>
      </c>
      <c r="L43" s="933">
        <f>D44/D43</f>
        <v>0</v>
      </c>
      <c r="M43" s="933">
        <f>E44/E43</f>
        <v>1</v>
      </c>
      <c r="N43" s="969">
        <f t="shared" ref="N43" si="4">L43*L43/M43</f>
        <v>0</v>
      </c>
      <c r="P43" s="150" t="s">
        <v>1</v>
      </c>
      <c r="Q43" s="148">
        <v>4</v>
      </c>
      <c r="R43" s="210">
        <f>E45</f>
        <v>548173652</v>
      </c>
    </row>
    <row r="44" spans="1:22" ht="27.75" customHeight="1">
      <c r="A44" s="495"/>
      <c r="B44" s="111" t="s">
        <v>0</v>
      </c>
      <c r="C44" s="442"/>
      <c r="D44" s="99">
        <v>0</v>
      </c>
      <c r="E44" s="11">
        <f t="shared" si="0"/>
        <v>51567000</v>
      </c>
      <c r="F44" s="11">
        <v>51567000</v>
      </c>
      <c r="G44" s="11">
        <v>0</v>
      </c>
      <c r="H44" s="11">
        <v>0</v>
      </c>
      <c r="I44" s="11">
        <v>0</v>
      </c>
      <c r="J44" s="953"/>
      <c r="K44" s="953"/>
      <c r="L44" s="933"/>
      <c r="M44" s="933"/>
      <c r="N44" s="970"/>
      <c r="P44" s="150" t="s">
        <v>0</v>
      </c>
      <c r="Q44" s="160"/>
      <c r="R44" s="210">
        <f>E46</f>
        <v>548173652</v>
      </c>
    </row>
    <row r="45" spans="1:22" ht="15.75">
      <c r="A45" s="494" t="s">
        <v>273</v>
      </c>
      <c r="B45" s="111" t="s">
        <v>1</v>
      </c>
      <c r="C45" s="441" t="s">
        <v>274</v>
      </c>
      <c r="D45" s="99">
        <v>100</v>
      </c>
      <c r="E45" s="11">
        <f t="shared" si="0"/>
        <v>548173652</v>
      </c>
      <c r="F45" s="109">
        <f>548173652</f>
        <v>548173652</v>
      </c>
      <c r="G45" s="11">
        <v>0</v>
      </c>
      <c r="H45" s="11">
        <v>0</v>
      </c>
      <c r="I45" s="11">
        <v>0</v>
      </c>
      <c r="J45" s="953">
        <v>44946</v>
      </c>
      <c r="K45" s="953">
        <v>45275</v>
      </c>
      <c r="L45" s="933">
        <f>D46/D45</f>
        <v>0.74</v>
      </c>
      <c r="M45" s="933">
        <f>E46/E45</f>
        <v>1</v>
      </c>
      <c r="N45" s="969">
        <f t="shared" ref="N45" si="5">L45*L45/M45</f>
        <v>0.54759999999999998</v>
      </c>
      <c r="P45" s="146" t="s">
        <v>1</v>
      </c>
      <c r="Q45" s="157"/>
      <c r="R45" s="211">
        <f>R17+R31+R33+R38+R41+R43</f>
        <v>1523782735</v>
      </c>
      <c r="T45" s="80"/>
      <c r="V45" s="159"/>
    </row>
    <row r="46" spans="1:22" ht="24.75" customHeight="1">
      <c r="A46" s="495"/>
      <c r="B46" s="111" t="s">
        <v>0</v>
      </c>
      <c r="C46" s="442"/>
      <c r="D46" s="99">
        <v>74</v>
      </c>
      <c r="E46" s="11">
        <f t="shared" si="0"/>
        <v>548173652</v>
      </c>
      <c r="F46" s="109">
        <f>548173652</f>
        <v>548173652</v>
      </c>
      <c r="G46" s="11">
        <v>0</v>
      </c>
      <c r="H46" s="11">
        <v>0</v>
      </c>
      <c r="I46" s="11">
        <v>0</v>
      </c>
      <c r="J46" s="953"/>
      <c r="K46" s="953"/>
      <c r="L46" s="933"/>
      <c r="M46" s="933"/>
      <c r="N46" s="970"/>
      <c r="P46" s="146" t="s">
        <v>0</v>
      </c>
      <c r="Q46" s="157"/>
      <c r="R46" s="211">
        <f>R18+R32+R34+R39+R42+R44</f>
        <v>1523782735</v>
      </c>
      <c r="S46" s="262" t="e">
        <f>S18+S32+S36+#REF!+S42+S44</f>
        <v>#REF!</v>
      </c>
      <c r="T46" s="263"/>
      <c r="U46" s="263"/>
    </row>
    <row r="47" spans="1:22" ht="15.75">
      <c r="A47" s="799" t="s">
        <v>6</v>
      </c>
      <c r="B47" s="38" t="s">
        <v>1</v>
      </c>
      <c r="C47" s="784"/>
      <c r="D47" s="95"/>
      <c r="E47" s="94">
        <f>E17+E19+E21+E23+E25+E27+E29+E31+E33+E35+E37+E39+E41+E43+E45</f>
        <v>1523782735</v>
      </c>
      <c r="F47" s="94">
        <f t="shared" ref="F47:I48" si="6">F17+F19+F21+F23+F25+F27+F29+F31+F33+F35+F37+F39+F41+F43+F45</f>
        <v>1523782735</v>
      </c>
      <c r="G47" s="94">
        <f t="shared" si="6"/>
        <v>0</v>
      </c>
      <c r="H47" s="94">
        <f t="shared" si="6"/>
        <v>0</v>
      </c>
      <c r="I47" s="94">
        <f t="shared" si="6"/>
        <v>0</v>
      </c>
      <c r="J47" s="28"/>
      <c r="K47" s="29"/>
      <c r="L47" s="29"/>
      <c r="M47" s="29"/>
      <c r="N47" s="29"/>
    </row>
    <row r="48" spans="1:22" ht="15.75">
      <c r="A48" s="799"/>
      <c r="B48" s="38" t="s">
        <v>0</v>
      </c>
      <c r="C48" s="785"/>
      <c r="D48" s="95"/>
      <c r="E48" s="94">
        <f>E18+E20+E22+E24+E26+E28+E30+E32+E34+E36+E38+E40+E42+E44+E46</f>
        <v>1523782735</v>
      </c>
      <c r="F48" s="94">
        <f t="shared" si="6"/>
        <v>1523782735</v>
      </c>
      <c r="G48" s="94">
        <f t="shared" si="6"/>
        <v>0</v>
      </c>
      <c r="H48" s="94">
        <f t="shared" si="6"/>
        <v>0</v>
      </c>
      <c r="I48" s="94">
        <f t="shared" si="6"/>
        <v>0</v>
      </c>
      <c r="J48" s="31"/>
      <c r="K48" s="29"/>
      <c r="L48" s="29"/>
      <c r="M48" s="29"/>
      <c r="N48" s="29"/>
    </row>
    <row r="49" spans="1:49">
      <c r="B49" s="9"/>
      <c r="E49" s="22"/>
      <c r="F49" s="21"/>
      <c r="G49" s="16"/>
      <c r="H49" s="16"/>
      <c r="I49" s="16"/>
      <c r="J49" s="8"/>
      <c r="K49" s="8"/>
      <c r="L49" s="21"/>
      <c r="M49" s="19"/>
      <c r="N49" s="20"/>
      <c r="O49" s="19"/>
    </row>
    <row r="50" spans="1:49" ht="15.75">
      <c r="A50" s="113" t="s">
        <v>5</v>
      </c>
      <c r="B50" s="971" t="s">
        <v>4</v>
      </c>
      <c r="C50" s="972"/>
      <c r="D50" s="973"/>
      <c r="E50" s="974" t="s">
        <v>3</v>
      </c>
      <c r="F50" s="972"/>
      <c r="G50" s="972"/>
      <c r="H50" s="972"/>
      <c r="I50" s="114"/>
      <c r="J50" s="975" t="s">
        <v>2</v>
      </c>
      <c r="K50" s="972"/>
      <c r="L50" s="972"/>
      <c r="M50" s="972"/>
      <c r="N50" s="973"/>
      <c r="O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</row>
    <row r="51" spans="1:49" ht="36" customHeight="1">
      <c r="A51" s="512" t="s">
        <v>275</v>
      </c>
      <c r="B51" s="507" t="s">
        <v>276</v>
      </c>
      <c r="C51" s="508"/>
      <c r="D51" s="509"/>
      <c r="E51" s="510" t="s">
        <v>277</v>
      </c>
      <c r="F51" s="511"/>
      <c r="G51" s="511"/>
      <c r="H51" s="93" t="s">
        <v>1</v>
      </c>
      <c r="I51" s="92">
        <v>1</v>
      </c>
      <c r="J51" s="515" t="s">
        <v>473</v>
      </c>
      <c r="K51" s="516"/>
      <c r="L51" s="516"/>
      <c r="M51" s="516"/>
      <c r="N51" s="517"/>
      <c r="O51" s="56"/>
      <c r="P51" s="56"/>
      <c r="T51" s="80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</row>
    <row r="52" spans="1:49" ht="36" customHeight="1">
      <c r="A52" s="512"/>
      <c r="B52" s="509"/>
      <c r="C52" s="509"/>
      <c r="D52" s="509"/>
      <c r="E52" s="511"/>
      <c r="F52" s="511"/>
      <c r="G52" s="511"/>
      <c r="H52" s="93" t="s">
        <v>0</v>
      </c>
      <c r="I52" s="92">
        <v>1</v>
      </c>
      <c r="J52" s="518"/>
      <c r="K52" s="519"/>
      <c r="L52" s="519"/>
      <c r="M52" s="519"/>
      <c r="N52" s="520"/>
      <c r="O52" s="56"/>
      <c r="P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</row>
    <row r="53" spans="1:49" ht="57.75" customHeight="1">
      <c r="A53" s="512" t="s">
        <v>275</v>
      </c>
      <c r="B53" s="507" t="s">
        <v>278</v>
      </c>
      <c r="C53" s="509"/>
      <c r="D53" s="509"/>
      <c r="E53" s="510" t="s">
        <v>279</v>
      </c>
      <c r="F53" s="511"/>
      <c r="G53" s="511"/>
      <c r="H53" s="93" t="s">
        <v>1</v>
      </c>
      <c r="I53" s="92">
        <v>1</v>
      </c>
      <c r="J53" s="518"/>
      <c r="K53" s="519"/>
      <c r="L53" s="519"/>
      <c r="M53" s="519"/>
      <c r="N53" s="520"/>
      <c r="O53" s="56"/>
      <c r="P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</row>
    <row r="54" spans="1:49" ht="57.75" customHeight="1">
      <c r="A54" s="512"/>
      <c r="B54" s="509"/>
      <c r="C54" s="509"/>
      <c r="D54" s="509"/>
      <c r="E54" s="511"/>
      <c r="F54" s="511"/>
      <c r="G54" s="511"/>
      <c r="H54" s="93" t="s">
        <v>0</v>
      </c>
      <c r="I54" s="92">
        <v>1</v>
      </c>
      <c r="J54" s="518"/>
      <c r="K54" s="519"/>
      <c r="L54" s="519"/>
      <c r="M54" s="519"/>
      <c r="N54" s="520"/>
      <c r="O54" s="56"/>
      <c r="P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</row>
    <row r="55" spans="1:49" ht="61.5" customHeight="1">
      <c r="A55" s="512" t="s">
        <v>275</v>
      </c>
      <c r="B55" s="507" t="s">
        <v>280</v>
      </c>
      <c r="C55" s="509"/>
      <c r="D55" s="509"/>
      <c r="E55" s="510" t="s">
        <v>281</v>
      </c>
      <c r="F55" s="511"/>
      <c r="G55" s="511"/>
      <c r="H55" s="93" t="s">
        <v>1</v>
      </c>
      <c r="I55" s="92">
        <v>1</v>
      </c>
      <c r="J55" s="518"/>
      <c r="K55" s="519"/>
      <c r="L55" s="519"/>
      <c r="M55" s="519"/>
      <c r="N55" s="520"/>
      <c r="O55" s="56"/>
      <c r="P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</row>
    <row r="56" spans="1:49" ht="61.5" customHeight="1">
      <c r="A56" s="512"/>
      <c r="B56" s="509"/>
      <c r="C56" s="509"/>
      <c r="D56" s="509"/>
      <c r="E56" s="511"/>
      <c r="F56" s="511"/>
      <c r="G56" s="511"/>
      <c r="H56" s="93" t="s">
        <v>0</v>
      </c>
      <c r="I56" s="92">
        <v>1</v>
      </c>
      <c r="J56" s="518"/>
      <c r="K56" s="519"/>
      <c r="L56" s="519"/>
      <c r="M56" s="519"/>
      <c r="N56" s="520"/>
      <c r="O56" s="56"/>
      <c r="P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</row>
    <row r="57" spans="1:49" ht="35.25" customHeight="1">
      <c r="A57" s="512" t="s">
        <v>275</v>
      </c>
      <c r="B57" s="507" t="s">
        <v>282</v>
      </c>
      <c r="C57" s="508"/>
      <c r="D57" s="509"/>
      <c r="E57" s="510" t="s">
        <v>283</v>
      </c>
      <c r="F57" s="511"/>
      <c r="G57" s="511"/>
      <c r="H57" s="93" t="s">
        <v>1</v>
      </c>
      <c r="I57" s="92">
        <v>100</v>
      </c>
      <c r="J57" s="518"/>
      <c r="K57" s="519"/>
      <c r="L57" s="519"/>
      <c r="M57" s="519"/>
      <c r="N57" s="520"/>
    </row>
    <row r="58" spans="1:49" ht="35.25" customHeight="1">
      <c r="A58" s="512"/>
      <c r="B58" s="509"/>
      <c r="C58" s="509"/>
      <c r="D58" s="509"/>
      <c r="E58" s="511"/>
      <c r="F58" s="511"/>
      <c r="G58" s="511"/>
      <c r="H58" s="93" t="s">
        <v>0</v>
      </c>
      <c r="I58" s="92">
        <v>74</v>
      </c>
      <c r="J58" s="518"/>
      <c r="K58" s="519"/>
      <c r="L58" s="519"/>
      <c r="M58" s="519"/>
      <c r="N58" s="520"/>
    </row>
    <row r="59" spans="1:49" ht="41.25" customHeight="1">
      <c r="A59" s="512" t="s">
        <v>275</v>
      </c>
      <c r="B59" s="507" t="s">
        <v>284</v>
      </c>
      <c r="C59" s="508"/>
      <c r="D59" s="509"/>
      <c r="E59" s="510" t="s">
        <v>285</v>
      </c>
      <c r="F59" s="511"/>
      <c r="G59" s="511"/>
      <c r="H59" s="93" t="s">
        <v>1</v>
      </c>
      <c r="I59" s="92">
        <v>1</v>
      </c>
      <c r="J59" s="518"/>
      <c r="K59" s="519"/>
      <c r="L59" s="519"/>
      <c r="M59" s="519"/>
      <c r="N59" s="520"/>
    </row>
    <row r="60" spans="1:49" ht="41.25" customHeight="1">
      <c r="A60" s="512"/>
      <c r="B60" s="509"/>
      <c r="C60" s="509"/>
      <c r="D60" s="509"/>
      <c r="E60" s="511"/>
      <c r="F60" s="511"/>
      <c r="G60" s="511"/>
      <c r="H60" s="93" t="s">
        <v>0</v>
      </c>
      <c r="I60" s="92">
        <v>1</v>
      </c>
      <c r="J60" s="518"/>
      <c r="K60" s="519"/>
      <c r="L60" s="519"/>
      <c r="M60" s="519"/>
      <c r="N60" s="520"/>
    </row>
    <row r="61" spans="1:49" ht="27.75" customHeight="1">
      <c r="A61" s="512" t="s">
        <v>275</v>
      </c>
      <c r="B61" s="507" t="s">
        <v>286</v>
      </c>
      <c r="C61" s="508"/>
      <c r="D61" s="509"/>
      <c r="E61" s="510" t="s">
        <v>287</v>
      </c>
      <c r="F61" s="511"/>
      <c r="G61" s="511"/>
      <c r="H61" s="93" t="s">
        <v>1</v>
      </c>
      <c r="I61" s="92">
        <v>1</v>
      </c>
      <c r="J61" s="518"/>
      <c r="K61" s="519"/>
      <c r="L61" s="519"/>
      <c r="M61" s="519"/>
      <c r="N61" s="520"/>
    </row>
    <row r="62" spans="1:49" ht="27.75" customHeight="1">
      <c r="A62" s="512"/>
      <c r="B62" s="509"/>
      <c r="C62" s="509"/>
      <c r="D62" s="509"/>
      <c r="E62" s="511"/>
      <c r="F62" s="511"/>
      <c r="G62" s="511"/>
      <c r="H62" s="93" t="s">
        <v>0</v>
      </c>
      <c r="I62" s="92">
        <v>1</v>
      </c>
      <c r="J62" s="521"/>
      <c r="K62" s="522"/>
      <c r="L62" s="522"/>
      <c r="M62" s="522"/>
      <c r="N62" s="523"/>
    </row>
    <row r="63" spans="1:49" ht="127.5" customHeight="1">
      <c r="A63" s="507" t="s">
        <v>472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N63" s="507"/>
    </row>
  </sheetData>
  <mergeCells count="165">
    <mergeCell ref="J51:N62"/>
    <mergeCell ref="A63:N63"/>
    <mergeCell ref="A61:A62"/>
    <mergeCell ref="B61:D62"/>
    <mergeCell ref="E61:G62"/>
    <mergeCell ref="A57:A58"/>
    <mergeCell ref="B57:D58"/>
    <mergeCell ref="E57:G58"/>
    <mergeCell ref="A59:A60"/>
    <mergeCell ref="B59:D60"/>
    <mergeCell ref="E59:G60"/>
    <mergeCell ref="A51:A52"/>
    <mergeCell ref="B51:D52"/>
    <mergeCell ref="E51:G52"/>
    <mergeCell ref="A53:A54"/>
    <mergeCell ref="B53:D54"/>
    <mergeCell ref="E53:G54"/>
    <mergeCell ref="A55:A56"/>
    <mergeCell ref="B55:D56"/>
    <mergeCell ref="E55:G56"/>
    <mergeCell ref="N45:N46"/>
    <mergeCell ref="A47:A48"/>
    <mergeCell ref="C47:C48"/>
    <mergeCell ref="B50:D50"/>
    <mergeCell ref="E50:H50"/>
    <mergeCell ref="J50:N50"/>
    <mergeCell ref="A45:A46"/>
    <mergeCell ref="C45:C46"/>
    <mergeCell ref="J45:J46"/>
    <mergeCell ref="K45:K46"/>
    <mergeCell ref="L45:L46"/>
    <mergeCell ref="M45:M46"/>
    <mergeCell ref="K37:K38"/>
    <mergeCell ref="L37:L38"/>
    <mergeCell ref="M37:M38"/>
    <mergeCell ref="N37:N38"/>
    <mergeCell ref="M41:M42"/>
    <mergeCell ref="N41:N42"/>
    <mergeCell ref="A43:A44"/>
    <mergeCell ref="C43:C44"/>
    <mergeCell ref="J43:J44"/>
    <mergeCell ref="K43:K44"/>
    <mergeCell ref="L43:L44"/>
    <mergeCell ref="M43:M44"/>
    <mergeCell ref="N43:N44"/>
    <mergeCell ref="A41:A42"/>
    <mergeCell ref="C41:C42"/>
    <mergeCell ref="J41:J42"/>
    <mergeCell ref="K41:K42"/>
    <mergeCell ref="L41:L42"/>
    <mergeCell ref="N33:N34"/>
    <mergeCell ref="A33:A34"/>
    <mergeCell ref="C33:C34"/>
    <mergeCell ref="J33:J34"/>
    <mergeCell ref="K33:K34"/>
    <mergeCell ref="L33:L34"/>
    <mergeCell ref="M33:M34"/>
    <mergeCell ref="N35:N36"/>
    <mergeCell ref="A39:A40"/>
    <mergeCell ref="C39:C40"/>
    <mergeCell ref="J39:J40"/>
    <mergeCell ref="K39:K40"/>
    <mergeCell ref="L39:L40"/>
    <mergeCell ref="M39:M40"/>
    <mergeCell ref="N39:N40"/>
    <mergeCell ref="A35:A36"/>
    <mergeCell ref="C35:C36"/>
    <mergeCell ref="J35:J36"/>
    <mergeCell ref="K35:K36"/>
    <mergeCell ref="L35:L36"/>
    <mergeCell ref="M35:M36"/>
    <mergeCell ref="A37:A38"/>
    <mergeCell ref="C37:C38"/>
    <mergeCell ref="J37:J38"/>
    <mergeCell ref="A27:A28"/>
    <mergeCell ref="C27:C28"/>
    <mergeCell ref="J27:J28"/>
    <mergeCell ref="K27:K28"/>
    <mergeCell ref="L27:L28"/>
    <mergeCell ref="M27:M28"/>
    <mergeCell ref="N27:N28"/>
    <mergeCell ref="N29:N30"/>
    <mergeCell ref="A31:A32"/>
    <mergeCell ref="C31:C32"/>
    <mergeCell ref="J31:J32"/>
    <mergeCell ref="K31:K32"/>
    <mergeCell ref="L31:L32"/>
    <mergeCell ref="M31:M32"/>
    <mergeCell ref="N31:N32"/>
    <mergeCell ref="A29:A30"/>
    <mergeCell ref="C29:C30"/>
    <mergeCell ref="J29:J30"/>
    <mergeCell ref="K29:K30"/>
    <mergeCell ref="L29:L30"/>
    <mergeCell ref="M29:M30"/>
    <mergeCell ref="N23:N24"/>
    <mergeCell ref="A25:A26"/>
    <mergeCell ref="C25:C26"/>
    <mergeCell ref="J25:J26"/>
    <mergeCell ref="K25:K26"/>
    <mergeCell ref="L25:L26"/>
    <mergeCell ref="M25:M26"/>
    <mergeCell ref="N25:N26"/>
    <mergeCell ref="A23:A24"/>
    <mergeCell ref="C23:C24"/>
    <mergeCell ref="J23:J24"/>
    <mergeCell ref="K23:K24"/>
    <mergeCell ref="L23:L24"/>
    <mergeCell ref="M23:M24"/>
    <mergeCell ref="N21:N22"/>
    <mergeCell ref="A21:A22"/>
    <mergeCell ref="C21:C22"/>
    <mergeCell ref="J21:J22"/>
    <mergeCell ref="K21:K22"/>
    <mergeCell ref="L21:L22"/>
    <mergeCell ref="M21:M22"/>
    <mergeCell ref="N17:N18"/>
    <mergeCell ref="A17:A18"/>
    <mergeCell ref="C17:C18"/>
    <mergeCell ref="J17:J18"/>
    <mergeCell ref="K17:K18"/>
    <mergeCell ref="L17:L18"/>
    <mergeCell ref="M17:M18"/>
    <mergeCell ref="A19:A20"/>
    <mergeCell ref="C19:C20"/>
    <mergeCell ref="J19:J20"/>
    <mergeCell ref="K19:K20"/>
    <mergeCell ref="L19:L20"/>
    <mergeCell ref="M19:M20"/>
    <mergeCell ref="N19:N20"/>
    <mergeCell ref="J14:K15"/>
    <mergeCell ref="L14:N14"/>
    <mergeCell ref="L15:L16"/>
    <mergeCell ref="M15:M16"/>
    <mergeCell ref="N15:N16"/>
    <mergeCell ref="A14:A16"/>
    <mergeCell ref="B14:B16"/>
    <mergeCell ref="C14:C16"/>
    <mergeCell ref="D14:D16"/>
    <mergeCell ref="E14:E16"/>
    <mergeCell ref="F14:I15"/>
    <mergeCell ref="B13:F13"/>
    <mergeCell ref="K13:M13"/>
    <mergeCell ref="B9:F9"/>
    <mergeCell ref="K9:M9"/>
    <mergeCell ref="B10:F10"/>
    <mergeCell ref="K10:M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B12:F12"/>
    <mergeCell ref="K12:M12"/>
  </mergeCells>
  <pageMargins left="0.7" right="0.7" top="0.75" bottom="0.75" header="0.3" footer="0.3"/>
  <pageSetup paperSize="14" scale="52" orientation="landscape" verticalDpi="360" r:id="rId1"/>
  <drawing r:id="rId2"/>
  <legacyDrawing r:id="rId3"/>
  <oleObjects>
    <mc:AlternateContent xmlns:mc="http://schemas.openxmlformats.org/markup-compatibility/2006">
      <mc:Choice Requires="x14">
        <oleObject shapeId="29697" r:id="rId4">
          <objectPr defaultSize="0" autoPict="0" r:id="rId5">
            <anchor moveWithCells="1" sizeWithCells="1">
              <from>
                <xdr:col>0</xdr:col>
                <xdr:colOff>352425</xdr:colOff>
                <xdr:row>0</xdr:row>
                <xdr:rowOff>447675</xdr:rowOff>
              </from>
              <to>
                <xdr:col>0</xdr:col>
                <xdr:colOff>3933825</xdr:colOff>
                <xdr:row>3</xdr:row>
                <xdr:rowOff>238125</xdr:rowOff>
              </to>
            </anchor>
          </objectPr>
        </oleObject>
      </mc:Choice>
      <mc:Fallback>
        <oleObject shapeId="296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MUJER</vt:lpstr>
      <vt:lpstr>ETNIAS.</vt:lpstr>
      <vt:lpstr>LUCHA CONTRA LA POBREZA</vt:lpstr>
      <vt:lpstr>ADULTO MAYOR</vt:lpstr>
      <vt:lpstr>DISCAPACIDAD</vt:lpstr>
      <vt:lpstr>HABITANTE DE CALLE</vt:lpstr>
      <vt:lpstr>VÍCTIMAS</vt:lpstr>
      <vt:lpstr>NNA</vt:lpstr>
      <vt:lpstr>JUVENTUD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equipo 60</cp:lastModifiedBy>
  <cp:lastPrinted>2024-01-29T22:20:51Z</cp:lastPrinted>
  <dcterms:created xsi:type="dcterms:W3CDTF">2017-08-24T15:03:39Z</dcterms:created>
  <dcterms:modified xsi:type="dcterms:W3CDTF">2024-02-14T18:39:05Z</dcterms:modified>
</cp:coreProperties>
</file>