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06 MAY- INNOV TIC SEC TIC/MAPA RISK GESTION/"/>
    </mc:Choice>
  </mc:AlternateContent>
  <xr:revisionPtr revIDLastSave="2" documentId="13_ncr:1_{08277AFB-D614-4CBB-8CC5-7C9964ACD682}" xr6:coauthVersionLast="47" xr6:coauthVersionMax="47" xr10:uidLastSave="{BBAFD693-ACEE-4875-B0C4-0773FD6646C3}"/>
  <bookViews>
    <workbookView xWindow="-108" yWindow="-108" windowWidth="23256" windowHeight="12456" tabRatio="82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91029"/>
  <pivotCaches>
    <pivotCache cacheId="6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1" l="1"/>
  <c r="S13" i="1"/>
  <c r="V12" i="1"/>
  <c r="S12" i="1"/>
  <c r="V11" i="1"/>
  <c r="S11" i="1"/>
  <c r="J27" i="1"/>
  <c r="J33" i="1"/>
  <c r="K33" i="1" s="1"/>
  <c r="J39" i="1"/>
  <c r="K39" i="1" s="1"/>
  <c r="J45" i="1"/>
  <c r="K45" i="1" s="1"/>
  <c r="J51" i="1"/>
  <c r="K51" i="1" s="1"/>
  <c r="J57" i="1"/>
  <c r="K57" i="1" s="1"/>
  <c r="J63" i="1"/>
  <c r="K63" i="1" s="1"/>
  <c r="V32" i="1"/>
  <c r="S32" i="1"/>
  <c r="V31" i="1"/>
  <c r="S31" i="1"/>
  <c r="V30" i="1"/>
  <c r="S30" i="1"/>
  <c r="V29" i="1"/>
  <c r="S29" i="1"/>
  <c r="V28" i="1"/>
  <c r="S28" i="1"/>
  <c r="V27" i="1"/>
  <c r="S27" i="1"/>
  <c r="V14" i="1"/>
  <c r="M38" i="1"/>
  <c r="M55" i="1"/>
  <c r="M29" i="1"/>
  <c r="M28" i="1"/>
  <c r="M56" i="1"/>
  <c r="M46" i="1"/>
  <c r="M52" i="1"/>
  <c r="M30" i="1"/>
  <c r="M47" i="1"/>
  <c r="M64" i="1"/>
  <c r="M31" i="1"/>
  <c r="M48" i="1"/>
  <c r="M65" i="1"/>
  <c r="M32" i="1"/>
  <c r="M49" i="1"/>
  <c r="M66" i="1"/>
  <c r="M67" i="1"/>
  <c r="M41" i="1"/>
  <c r="M58" i="1"/>
  <c r="M59" i="1"/>
  <c r="M50" i="1"/>
  <c r="M36" i="1"/>
  <c r="M37" i="1"/>
  <c r="M54" i="1"/>
  <c r="M40" i="1"/>
  <c r="M68" i="1"/>
  <c r="M42" i="1"/>
  <c r="M53" i="1"/>
  <c r="M43" i="1"/>
  <c r="M60" i="1"/>
  <c r="M44" i="1"/>
  <c r="M61" i="1"/>
  <c r="M62" i="1"/>
  <c r="M35" i="1"/>
  <c r="M34" i="1"/>
  <c r="AD31" i="1" l="1"/>
  <c r="AC31" i="1" s="1"/>
  <c r="Z29" i="1"/>
  <c r="AA29" i="1" s="1"/>
  <c r="AD30" i="1"/>
  <c r="AC30" i="1" s="1"/>
  <c r="AD28" i="1"/>
  <c r="AC28" i="1" s="1"/>
  <c r="AD32" i="1"/>
  <c r="AC32" i="1" s="1"/>
  <c r="K27" i="1"/>
  <c r="Z27" i="1"/>
  <c r="Z31" i="1"/>
  <c r="AD27" i="1"/>
  <c r="AC27" i="1" s="1"/>
  <c r="AD29" i="1"/>
  <c r="AC29" i="1" s="1"/>
  <c r="Z28" i="1"/>
  <c r="Z30" i="1"/>
  <c r="Z32" i="1"/>
  <c r="AB29" i="1" l="1"/>
  <c r="AB31" i="1"/>
  <c r="AA31" i="1"/>
  <c r="AE31" i="1" s="1"/>
  <c r="AB30" i="1"/>
  <c r="AA30" i="1"/>
  <c r="AE30" i="1" s="1"/>
  <c r="AB27" i="1"/>
  <c r="AA27" i="1"/>
  <c r="AE27" i="1" s="1"/>
  <c r="AA32" i="1"/>
  <c r="AE32" i="1" s="1"/>
  <c r="AB32" i="1"/>
  <c r="AB28" i="1"/>
  <c r="AA28" i="1"/>
  <c r="AE28" i="1" s="1"/>
  <c r="AE29" i="1"/>
  <c r="F217" i="13" l="1"/>
  <c r="S14" i="1"/>
  <c r="AD14" i="1" l="1"/>
  <c r="AC14" i="1" s="1"/>
  <c r="V10" i="1" l="1"/>
  <c r="S10" i="1"/>
  <c r="J10" i="1" l="1"/>
  <c r="K10" i="1" s="1"/>
  <c r="F221" i="13" l="1"/>
  <c r="F211" i="13"/>
  <c r="F212" i="13"/>
  <c r="F213" i="13"/>
  <c r="F214" i="13"/>
  <c r="F215" i="13"/>
  <c r="F216" i="13"/>
  <c r="F218" i="13"/>
  <c r="F219" i="13"/>
  <c r="F220" i="13"/>
  <c r="F210" i="13"/>
  <c r="B221" i="13" a="1"/>
  <c r="M14" i="1"/>
  <c r="M12" i="1"/>
  <c r="M13" i="1"/>
  <c r="M11" i="1"/>
  <c r="B221" i="13" l="1"/>
  <c r="S5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8" i="1" l="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V52" i="1"/>
  <c r="S52" i="1"/>
  <c r="AD52" i="1" s="1"/>
  <c r="V51" i="1"/>
  <c r="AD64" i="1" l="1"/>
  <c r="AD58" i="1"/>
  <c r="Z63" i="1"/>
  <c r="Z57" i="1"/>
  <c r="Z51" i="1"/>
  <c r="AA63" i="1" l="1"/>
  <c r="AB63" i="1"/>
  <c r="Z64" i="1" s="1"/>
  <c r="AA64" i="1" s="1"/>
  <c r="AA57" i="1"/>
  <c r="AB57" i="1"/>
  <c r="Z58" i="1" s="1"/>
  <c r="AB58" i="1" s="1"/>
  <c r="Z59" i="1" s="1"/>
  <c r="AA51" i="1"/>
  <c r="AB51" i="1"/>
  <c r="Z52" i="1" s="1"/>
  <c r="AB52" i="1" s="1"/>
  <c r="Z53" i="1" s="1"/>
  <c r="AA58" i="1" l="1"/>
  <c r="AA52" i="1"/>
  <c r="AB59" i="1"/>
  <c r="Z60" i="1" s="1"/>
  <c r="AA59" i="1"/>
  <c r="AB53" i="1"/>
  <c r="Z54" i="1" s="1"/>
  <c r="AA53" i="1"/>
  <c r="AB64" i="1"/>
  <c r="Z65"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60" i="1" l="1"/>
  <c r="AB60" i="1"/>
  <c r="AA54" i="1"/>
  <c r="AB54" i="1"/>
  <c r="Z55" i="1" s="1"/>
  <c r="AA65" i="1"/>
  <c r="AB65" i="1"/>
  <c r="Z66" i="1" s="1"/>
  <c r="AA55" i="1" l="1"/>
  <c r="AB55" i="1"/>
  <c r="Z56" i="1" s="1"/>
  <c r="Z61" i="1"/>
  <c r="Z62" i="1"/>
  <c r="AB66" i="1"/>
  <c r="AA66" i="1"/>
  <c r="AA62" i="1" l="1"/>
  <c r="AB62" i="1"/>
  <c r="AA61" i="1"/>
  <c r="AB61" i="1"/>
  <c r="AA56" i="1"/>
  <c r="AB56" i="1"/>
  <c r="Z67" i="1"/>
  <c r="Z68" i="1"/>
  <c r="Z10" i="1"/>
  <c r="AA10" i="1" s="1"/>
  <c r="AA68" i="1" l="1"/>
  <c r="AB68" i="1"/>
  <c r="AA67" i="1"/>
  <c r="AB67" i="1"/>
  <c r="AB10" i="1" l="1"/>
  <c r="Z11" i="1" l="1"/>
  <c r="AD63" i="1"/>
  <c r="AA11" i="1" l="1"/>
  <c r="AB11" i="1"/>
  <c r="Z12" i="1" s="1"/>
  <c r="AC63" i="1"/>
  <c r="AD65" i="1"/>
  <c r="AD57" i="1"/>
  <c r="AD51" i="1"/>
  <c r="AC51" i="1" s="1"/>
  <c r="AB12" i="1" l="1"/>
  <c r="Z13" i="1" s="1"/>
  <c r="AA12"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3" i="1"/>
  <c r="P25" i="19"/>
  <c r="V55" i="19"/>
  <c r="J15" i="19"/>
  <c r="AB15" i="19"/>
  <c r="J35" i="19"/>
  <c r="AB35" i="19"/>
  <c r="J55" i="19"/>
  <c r="AB25" i="19"/>
  <c r="P35" i="19"/>
  <c r="P55" i="19"/>
  <c r="AB45" i="19"/>
  <c r="P15" i="19"/>
  <c r="AE51"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7" i="1"/>
  <c r="AC6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65" i="1"/>
  <c r="AD66"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2" i="1"/>
  <c r="AD53" i="1"/>
  <c r="AC58" i="1"/>
  <c r="AD59" i="1"/>
  <c r="AB13" i="1" l="1"/>
  <c r="AA13" i="1"/>
  <c r="Z14" i="1"/>
  <c r="AC66" i="1"/>
  <c r="AD67" i="1"/>
  <c r="K35" i="19"/>
  <c r="AC25" i="19"/>
  <c r="K45" i="19"/>
  <c r="AI45" i="19"/>
  <c r="W45" i="19"/>
  <c r="Q35" i="19"/>
  <c r="K55" i="19"/>
  <c r="AC15" i="19"/>
  <c r="Q15" i="19"/>
  <c r="AC35" i="19"/>
  <c r="AI35" i="19"/>
  <c r="Q55" i="19"/>
  <c r="AI25" i="19"/>
  <c r="AE6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3" i="1"/>
  <c r="AD54"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59" i="1"/>
  <c r="AD60"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2"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14" i="1" l="1"/>
  <c r="AE14" i="1" s="1"/>
  <c r="AB14"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4" i="1"/>
  <c r="AD55" i="1"/>
  <c r="AC67" i="1"/>
  <c r="AD68" i="1"/>
  <c r="AC68" i="1" s="1"/>
  <c r="AJ43" i="19"/>
  <c r="AD33" i="19"/>
  <c r="X33" i="19"/>
  <c r="X13" i="19"/>
  <c r="AD43" i="19"/>
  <c r="L43" i="19"/>
  <c r="AE53" i="1"/>
  <c r="X23" i="19"/>
  <c r="R33" i="19"/>
  <c r="R43" i="19"/>
  <c r="AD53" i="19"/>
  <c r="AJ13" i="19"/>
  <c r="R23" i="19"/>
  <c r="R13" i="19"/>
  <c r="AJ53" i="19"/>
  <c r="L33" i="19"/>
  <c r="L23" i="19"/>
  <c r="X43" i="19"/>
  <c r="X53" i="19"/>
  <c r="AD13" i="19"/>
  <c r="L53" i="19"/>
  <c r="L13" i="19"/>
  <c r="AD23" i="19"/>
  <c r="AJ33" i="19"/>
  <c r="AJ23" i="19"/>
  <c r="R53" i="19"/>
  <c r="M55" i="19"/>
  <c r="AK15" i="19"/>
  <c r="AE25" i="19"/>
  <c r="AE6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0" i="1"/>
  <c r="AD61"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9"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0"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8"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5" i="1"/>
  <c r="AD56" i="1"/>
  <c r="AC56"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61" i="1"/>
  <c r="AD62" i="1"/>
  <c r="AC62"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4" i="1"/>
  <c r="M33" i="19"/>
  <c r="AG24" i="19" l="1"/>
  <c r="O44" i="19"/>
  <c r="O24" i="19"/>
  <c r="AM14" i="19"/>
  <c r="AG34" i="19"/>
  <c r="O34" i="19"/>
  <c r="AA44" i="19"/>
  <c r="O14" i="19"/>
  <c r="AA54" i="19"/>
  <c r="U14" i="19"/>
  <c r="AM44" i="19"/>
  <c r="AA34" i="19"/>
  <c r="AM24" i="19"/>
  <c r="AM54" i="19"/>
  <c r="AG14" i="19"/>
  <c r="AM34" i="19"/>
  <c r="U54" i="19"/>
  <c r="AG44" i="19"/>
  <c r="AA24" i="19"/>
  <c r="AG54" i="19"/>
  <c r="U34" i="19"/>
  <c r="U24" i="19"/>
  <c r="AE62" i="1"/>
  <c r="AA14" i="19"/>
  <c r="O54" i="19"/>
  <c r="U44" i="19"/>
  <c r="U43" i="19"/>
  <c r="U13" i="19"/>
  <c r="AM53" i="19"/>
  <c r="AA53" i="19"/>
  <c r="AA43" i="19"/>
  <c r="O53" i="19"/>
  <c r="O23" i="19"/>
  <c r="O13" i="19"/>
  <c r="AG43" i="19"/>
  <c r="U33" i="19"/>
  <c r="U23" i="19"/>
  <c r="AM13" i="19"/>
  <c r="AM23" i="19"/>
  <c r="AG13" i="19"/>
  <c r="AA23" i="19"/>
  <c r="AG33" i="19"/>
  <c r="AA33" i="19"/>
  <c r="AM33" i="19"/>
  <c r="AA13" i="19"/>
  <c r="AE5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1" i="1"/>
  <c r="AF53" i="19"/>
  <c r="T43" i="19"/>
  <c r="Z53" i="19"/>
  <c r="N43" i="19"/>
  <c r="T23" i="19"/>
  <c r="AF43" i="19"/>
  <c r="Z13" i="19"/>
  <c r="Z43" i="19"/>
  <c r="AF23" i="19"/>
  <c r="AL13" i="19"/>
  <c r="Z23" i="19"/>
  <c r="AL43" i="19"/>
  <c r="AF13" i="19"/>
  <c r="AL23" i="19"/>
  <c r="N13" i="19"/>
  <c r="T33" i="19"/>
  <c r="AL53" i="19"/>
  <c r="N23" i="19"/>
  <c r="N53" i="19"/>
  <c r="AF33" i="19"/>
  <c r="N33" i="19"/>
  <c r="AE55"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M45" i="1" l="1"/>
  <c r="N45" i="1" s="1"/>
  <c r="M10" i="1"/>
  <c r="N10" i="1" s="1"/>
  <c r="M27" i="1"/>
  <c r="N27" i="1" s="1"/>
  <c r="M51" i="1"/>
  <c r="N51" i="1" s="1"/>
  <c r="M33" i="1"/>
  <c r="N33" i="1" s="1"/>
  <c r="M57" i="1"/>
  <c r="N57" i="1" s="1"/>
  <c r="M39" i="1"/>
  <c r="N39" i="1" s="1"/>
  <c r="M63" i="1"/>
  <c r="N63" i="1" s="1"/>
  <c r="O63" i="1" l="1"/>
  <c r="P63"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O57" i="1"/>
  <c r="P57"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O33" i="1"/>
  <c r="P33" i="1"/>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O51" i="1"/>
  <c r="P51"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O27" i="1"/>
  <c r="P27" i="1"/>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O10" i="1"/>
  <c r="AD10" i="1" s="1"/>
  <c r="AH38" i="18"/>
  <c r="AH30" i="18"/>
  <c r="J22" i="18"/>
  <c r="V38" i="18"/>
  <c r="P10" i="1"/>
  <c r="P14" i="18"/>
  <c r="V22" i="18"/>
  <c r="V14" i="18"/>
  <c r="AB22" i="18"/>
  <c r="V30" i="18"/>
  <c r="AB14" i="18"/>
  <c r="AH14" i="18"/>
  <c r="O45" i="1"/>
  <c r="P45"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AD22" i="18"/>
  <c r="O39" i="1"/>
  <c r="P39" i="1"/>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C10" i="1" l="1"/>
  <c r="AE10" i="1" s="1"/>
  <c r="AD11" i="1"/>
  <c r="AC11" i="1" l="1"/>
  <c r="AE11" i="1" s="1"/>
  <c r="AD12" i="1"/>
  <c r="AB48" i="19"/>
  <c r="P48" i="19"/>
  <c r="P38" i="19"/>
  <c r="AH28" i="19"/>
  <c r="J8" i="19"/>
  <c r="P28" i="19"/>
  <c r="V28" i="19"/>
  <c r="V48" i="19"/>
  <c r="J28" i="19"/>
  <c r="V18" i="19"/>
  <c r="AB28" i="19"/>
  <c r="AH48" i="19"/>
  <c r="AB8" i="19"/>
  <c r="P18" i="19"/>
  <c r="J48" i="19"/>
  <c r="J38" i="19"/>
  <c r="AH18" i="19"/>
  <c r="V8" i="19"/>
  <c r="AH8" i="19"/>
  <c r="J18" i="19"/>
  <c r="AB18" i="19"/>
  <c r="AH38" i="19"/>
  <c r="P8" i="19"/>
  <c r="AB38" i="19"/>
  <c r="V38" i="19"/>
  <c r="K8" i="19"/>
  <c r="AI18" i="19"/>
  <c r="Q18" i="19"/>
  <c r="AC18" i="19"/>
  <c r="W18" i="19"/>
  <c r="Q48" i="19"/>
  <c r="Q28" i="19"/>
  <c r="W28" i="19"/>
  <c r="W8" i="19"/>
  <c r="K48" i="19"/>
  <c r="K38" i="19"/>
  <c r="K28" i="19"/>
  <c r="AI28" i="19"/>
  <c r="W38" i="19"/>
  <c r="Q38" i="19"/>
  <c r="K18" i="19"/>
  <c r="W48" i="19"/>
  <c r="AC28" i="19"/>
  <c r="AC8" i="19"/>
  <c r="AI8" i="19"/>
  <c r="AC38" i="19"/>
  <c r="AI48" i="19"/>
  <c r="Q8" i="19"/>
  <c r="AC48" i="19"/>
  <c r="AI38" i="19"/>
  <c r="AH7" i="19"/>
  <c r="AB7" i="19"/>
  <c r="J37" i="19"/>
  <c r="J17" i="19"/>
  <c r="AB37" i="19"/>
  <c r="V37" i="19"/>
  <c r="AB17" i="19"/>
  <c r="P37" i="19"/>
  <c r="V17" i="19"/>
  <c r="P47" i="19"/>
  <c r="AB47" i="19"/>
  <c r="J47" i="19"/>
  <c r="P27" i="19"/>
  <c r="V7" i="19"/>
  <c r="AB27" i="19"/>
  <c r="J27" i="19"/>
  <c r="P17" i="19"/>
  <c r="AH47" i="19"/>
  <c r="P7" i="19"/>
  <c r="V27" i="19"/>
  <c r="V47" i="19"/>
  <c r="J7" i="19"/>
  <c r="AH27" i="19"/>
  <c r="AH17" i="19"/>
  <c r="AH37" i="19"/>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C12" i="1" l="1"/>
  <c r="AE12" i="1" s="1"/>
  <c r="AD13" i="1"/>
  <c r="AC13" i="1" s="1"/>
  <c r="AI6" i="19"/>
  <c r="L7" i="19"/>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AE13" i="1" l="1"/>
  <c r="AF26" i="19"/>
  <c r="N26" i="19"/>
  <c r="N6" i="19"/>
  <c r="AF6" i="19"/>
  <c r="T16" i="19"/>
  <c r="AF36" i="19"/>
  <c r="Z6" i="19"/>
  <c r="Z16" i="19"/>
  <c r="N16" i="19"/>
  <c r="AL16" i="19"/>
  <c r="Z46" i="19"/>
  <c r="Z36" i="19"/>
  <c r="AF16" i="19"/>
  <c r="T26" i="19"/>
  <c r="AL26" i="19"/>
  <c r="AL36" i="19"/>
  <c r="N46" i="19"/>
  <c r="AF46" i="19"/>
  <c r="N36" i="19"/>
  <c r="Z26" i="19"/>
  <c r="T46" i="19"/>
  <c r="AL46" i="19"/>
  <c r="AL6" i="19"/>
  <c r="T6" i="19"/>
  <c r="T36" i="19"/>
  <c r="X36" i="19"/>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I10" authorId="0" shapeId="0" xr:uid="{3AADAD11-F890-4EAA-9800-8BAACAF63D43}">
      <text>
        <r>
          <rPr>
            <b/>
            <sz val="9"/>
            <color indexed="81"/>
            <rFont val="Tahoma"/>
            <family val="2"/>
          </rPr>
          <t>MONI:</t>
        </r>
        <r>
          <rPr>
            <sz val="9"/>
            <color indexed="81"/>
            <rFont val="Tahoma"/>
            <family val="2"/>
          </rPr>
          <t xml:space="preserve">
Se cuenta el promedio de contratos sin adiciones, teniendo en cuenta que mensualmente se revisa las necesidades para cumpliento de metas</t>
        </r>
      </text>
    </comment>
    <comment ref="I15" authorId="0" shapeId="0" xr:uid="{8185A129-38CC-40A5-A86D-8039DD649355}">
      <text>
        <r>
          <rPr>
            <b/>
            <sz val="9"/>
            <color indexed="81"/>
            <rFont val="Tahoma"/>
            <family val="2"/>
          </rPr>
          <t>MONI:</t>
        </r>
        <r>
          <rPr>
            <sz val="9"/>
            <color indexed="81"/>
            <rFont val="Tahoma"/>
            <family val="2"/>
          </rPr>
          <t xml:space="preserve">
Se establece como Diaria, porque los recursos tecnológicos están expuestos ante cualquier eventualidad</t>
        </r>
      </text>
    </comment>
    <comment ref="I21" authorId="0" shapeId="0" xr:uid="{938F933F-F08C-4A46-9806-B62B16D9635F}">
      <text>
        <r>
          <rPr>
            <b/>
            <sz val="9"/>
            <color indexed="81"/>
            <rFont val="Tahoma"/>
            <family val="2"/>
          </rPr>
          <t>MONI:</t>
        </r>
        <r>
          <rPr>
            <sz val="9"/>
            <color indexed="81"/>
            <rFont val="Tahoma"/>
            <family val="2"/>
          </rPr>
          <t xml:space="preserve">
Se da este valor porque porque diariamente se debe impactar a la comunicad con recursos tecnológicos</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<sst xmlns="http://schemas.openxmlformats.org/spreadsheetml/2006/main" count="513" uniqueCount="241">
  <si>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</si>
  <si>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</si>
  <si>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</si>
  <si>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</si>
  <si>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</si>
  <si>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</si>
  <si>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</si>
  <si>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</si>
  <si>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</si>
  <si>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</si>
  <si>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</si>
  <si>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</si>
  <si>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</si>
  <si>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</si>
  <si>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</si>
  <si>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</si>
  <si>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</si>
  <si>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</si>
  <si>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</si>
  <si>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</si>
  <si>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</si>
  <si>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</si>
  <si>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</si>
  <si>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</si>
  <si>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</si>
  <si>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</si>
  <si>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</si>
  <si>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</si>
  <si>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</si>
  <si>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</si>
  <si>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</si>
  <si>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</si>
  <si>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</si>
  <si>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</si>
  <si>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</si>
  <si>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</si>
  <si>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</si>
  <si>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</si>
  <si>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</si>
  <si>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</si>
  <si>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</si>
  <si>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</si>
  <si>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</si>
  <si>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</si>
  <si>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</si>
  <si>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</si>
  <si>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</si>
  <si>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</si>
  <si>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</si>
  <si>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</si>
  <si>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</si>
  <si>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</si>
  <si>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</si>
  <si>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</si>
  <si>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</si>
  <si>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</si>
  <si>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</si>
  <si>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</si>
  <si>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</si>
  <si>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</si>
  <si>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</si>
  <si>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</si>
  <si>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</si>
  <si>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</si>
  <si>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</si>
  <si>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</si>
  <si>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</si>
  <si>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</si>
  <si>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</si>
  <si>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</si>
  <si>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</si>
  <si>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</si>
  <si>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</si>
  <si>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</si>
  <si>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</si>
  <si>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</si>
  <si>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</si>
  <si>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</si>
  <si>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</si>
  <si>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</si>
  <si>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</si>
  <si>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</si>
  <si>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</si>
  <si>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</si>
  <si>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</si>
  <si>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</si>
  <si>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</si>
  <si>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</si>
  <si>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</si>
  <si>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</si>
  <si>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</si>
  <si>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</si>
  <si>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</si>
  <si>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</si>
  <si>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</si>
  <si>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</si>
  <si>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</si>
  <si>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</si>
  <si>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</si>
  <si>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</si>
  <si>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</si>
  <si>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</si>
  <si>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</si>
  <si>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</si>
  <si>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</si>
  <si>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</si>
  <si>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</si>
  <si>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</si>
  <si>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</si>
  <si>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</si>
  <si>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</si>
  <si>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</si>
  <si>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</si>
  <si>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</si>
  <si>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</si>
  <si>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</si>
  <si>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</si>
  <si>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</si>
  <si>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</si>
  <si>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</si>
  <si>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</si>
  <si>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</si>
  <si>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</si>
  <si>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</si>
  <si>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</si>
  <si>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</si>
  <si>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</si>
  <si>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</si>
  <si>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</si>
  <si>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</si>
  <si>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</si>
  <si>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</si>
  <si>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</si>
  <si>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</si>
  <si>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</si>
  <si>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</si>
  <si>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</si>
  <si>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</si>
  <si>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</si>
  <si>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</si>
  <si>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</si>
  <si>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</si>
  <si>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</si>
  <si>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</si>
  <si>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</si>
  <si>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</si>
  <si>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</si>
  <si>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</si>
  <si>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</si>
  <si>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</si>
  <si>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</si>
  <si>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</si>
  <si>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</si>
  <si>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</si>
  <si>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</si>
  <si>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</si>
  <si>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</si>
  <si>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</si>
  <si>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</si>
  <si>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</si>
  <si>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</si>
  <si>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</si>
  <si>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</si>
  <si>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</si>
  <si>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</si>
  <si>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</si>
  <si>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</si>
  <si>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</si>
  <si>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</si>
  <si>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</si>
  <si>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</si>
  <si>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</si>
  <si>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</si>
  <si>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</si>
  <si>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</si>
  <si>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</si>
  <si>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</si>
  <si>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</si>
  <si>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</si>
  <si>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</si>
  <si>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</si>
  <si>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</si>
  <si>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</si>
  <si>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</si>
  <si>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</si>
  <si>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</si>
  <si>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</si>
  <si>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</si>
  <si>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</si>
  <si>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</si>
  <si>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</si>
  <si>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</si>
  <si>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</si>
  <si>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</si>
  <si>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</si>
  <si>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</si>
  <si>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</si>
  <si>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</si>
  <si>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</si>
  <si>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</si>
  <si>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</si>
  <si>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</si>
  <si>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</si>
  <si>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</si>
  <si>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</si>
  <si>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</si>
  <si>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</si>
  <si>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</si>
  <si>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</si>
  <si>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</si>
  <si>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</si>
  <si>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</si>
  <si>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</si>
  <si>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</si>
  <si>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</si>
  <si>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Secretaría de las TIC</t>
  </si>
  <si>
    <t>INICIA CON LA FORMULACIÓN DE LA POLÍTICA PÚBLICA DE INNOVACIÓN Y TIC, CONTINÚA CON LA EJECUCIÓN Y SEGUIMIENTO DE LA POLÍTICA PÚBLICA, LA GESTIÓN DE PROYECTOS DE INNOVACIÓN Y TIC, LA GESTIÓN DE TIC PARA SERVICIOS Y GOBIERNO ABIERTO, FINALIZANDO CON EL SEGUIMIENTO Y EVALUACIÓN DEL PROCESO.</t>
  </si>
  <si>
    <t>GESTIÓN DE INNOVACION Y TIC</t>
  </si>
  <si>
    <t>Obsolescencia tecnológica que impacten los programas de masificación y apropiación de TIC</t>
  </si>
  <si>
    <t>Deterioro en la infraestructura de los centros tecnológicos provocado por el ambiente.</t>
  </si>
  <si>
    <t>D1;O5;O6: Obligatoriedad de metas en el plan Desarrollo para la  asignacion de recursos metas para cubrir necesidades de la comunidad para el uso y gestion TIC  e Investigacion de ciencia y tecnologia</t>
  </si>
  <si>
    <t>A1;A2;D1: Aplicar el procedimiento para efectuar mantenimiento a la infraestructura física, bienes muebles y recurso tecnológico.  A1;F5: Estabalece un buen canal de comunicación con los otros pocesos para el apoyo de seguridad o vigilancia  A2;D1: Solicitar vigilancia 24/7 en los Puntos Vive Digitale (Donde la alcaldía tiene moviliario a cargo) a recursos físicos.</t>
  </si>
  <si>
    <t xml:space="preserve"> La Secretario de las TIC en conjutno con Asesor y Profesional Especializado del Grupo de Innovación y TIC,  anualmente realiza procesos contractuales se adquiere de software y hardware con el objeto de potencializar los centros digitales y así mismo impulsar el uso y apropiación de las tecnologías de la información lo anterior contemplado en el plan de anual de adquisiciones,  plan operativo anual de inversión, plan anual de caja y plan de acción. Así mismo el mobiliario y los equipos tecnológicos se encuentran amparados en una póliza de seguro en caso eventuales de daños a equipos. Así mismo se hacen brigadas de mantenimiento preventivo y correctivo a los equipos. La evidencia reposa en Plataforma PISAMI y en la serie documental de Informe de Gestión de la Secretaría de las TIC. En caso de que no se asigne recursos económicos mediante adiciones presupuestales, justificando la necesidad.</t>
  </si>
  <si>
    <t xml:space="preserve"> La Secretario de las TIC en conjutno con Asesor y Profesional Especializado del Grupo de Innovación y TIC ) ,trimestralmente verifica el cumplimiento de los siguientes instrumentos (Plan de Acción Política Pública, plan de anual de adquisiciones, plan operativo anual de inversión, plan anual de caja y plan de acción de metas del plan de desarrollo) donde se encuentra progrmadas las líneas estratégicas con sus actividades, así mismo las metas de producto planteadas en el plan de desarrollo; la evidencia reposará en la serie documental de Informe de Gestión de la Secretaría de las TIC, también en el correo institucional innovaciontic@ibague.gov.co y Plataforma PISAMI. En caso de que no se asigne presupuesto, se debe contemplar alianzas públicas y/o solicitar recursos al alcalde justificando la necesidad.</t>
  </si>
  <si>
    <t xml:space="preserve"> La Secretario de las TIC en conjutno con Asesor y Profesional Especializado del Grupo de Innovación y TIC y con el apoyo del proceso de Gestión de Recursos Físicos, anualmente fortalece la infraestructura de los centros digitales cuando éstos presentan eventos naturales, fallas estructurales y fallas del fluido eléctrico o por factores de orden público o ambientales.  Así mismo el mobiliario y los equipos tecnológicos se encuentran amparados en una póliza de seguro en caso eventuales de daños a equipos. La evidencia reposa en Plataforma PISAMI (Mmemorando, oficicios, circulaes) y en la serie documental de Informe de Gestión de la Secretaría de las TIC y proceso contractual en calidad de comodato o arriendo. Si se presenta el caso de que no se logre la alianza con la Secretaría Administrativa, se debe solicitar recursos económicos justificando la necesidad del servicio.</t>
  </si>
  <si>
    <t>La Secretaría de las TIC en conjutno con Asesor y Profesional Especializado del Grupo de Innovación y TIC, trimestralmente verifica el cumplimiento de las acciones en el Plan de Acción de la Política Pública y las mentas del Plan de desarrollo vigente, teniendo en cuenta el avance mediante el desarrollo estrategias de capacitaciones virtuales para incentivar el uso y apropiación de las TIC. La evidencia reposa en la plataforma ibagueaprendetic.ibague.gov.co, publicacion de oferta insticional, plataforma PISAMI, así mismo en los Formatos de Asistencia Externa que reposa en la gestión documental de la secretaría. Si se presenta el caso de que no se logre las mestas de capacitación se realizará alianzas público privadas para alcanzar el objetivo de la polítca.</t>
  </si>
  <si>
    <t>D2;O8: Realizacion de estudios económicos y análisis de mercado para la celebracion de contratos de tecnologico con el objeto de mejorar la infraestructura tecnológica;</t>
  </si>
  <si>
    <t>A2;D3: Cursos virtuales; Cursos Presenciales con Medidas de Bioseguridad; D1;O1;O3: Crear nuevos y manterner convenios de ofertas academicas gratuitas con entidades público o privadas aliadas para el desarrollo de metas en apropiación y uso de las  TICM; F1;F4;O1;O5: Convenios con entidades público o privadas para impulsar la transformación digital, la ciencia, la innovación e Investigación                                                       
D1;O2: Promover los PVD y VIVELAB a la comunidad por medios publicitarios para impulsar la transformación digital</t>
  </si>
  <si>
    <t>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  POLÍTICA PÚBLICA DE CIENCIA, TECNOLOGÍA E INNOVACIÓN Y PLAN DE DESARROLLO EN UN NIVEL DE CUMPLIMIENTO ESTIMADO EN EL 90%</t>
  </si>
  <si>
    <t>No cumplir anualmente con las metas o acciones de la política pública o plan de desarrollo establecidos ocasionando disminución de la credibilidad ante la ciudadanía y disminución del presupuesto  asignado</t>
  </si>
  <si>
    <t>Observación</t>
  </si>
  <si>
    <t>Ausencia de acciones estratégicas para el cumplimiento de la Política Pública de Ciencia, Tecnología e Innovación y con visión a una Transformación Digital</t>
  </si>
  <si>
    <t>Recursos económicos insuficientes para el Cumplimiento del objetivo de la Polítca Polítca Pública de Ciencia, Tecnología e Innovación</t>
  </si>
  <si>
    <t>Desinterés de la comunidad para capacitarse en apropiación de las TIC;</t>
  </si>
  <si>
    <t>Posible perdida reputacional y económica por Disminución de la credibilidad ante la ciudadania y disminución del presupuesto  asignado debido a estratégias para el cumplimiento del objetivo de la Política Pública de Ciencia, Tecnología e Innovación y con visión a una transformación digital</t>
  </si>
  <si>
    <t>Desde la etapa de planeación, durante la ejecución y el seguimiento de las actividades para el cumplimiento de la Política Pública de CTeI y plan de Transformación Digital</t>
  </si>
  <si>
    <t>01/01/2024 - 31/12/2024</t>
  </si>
  <si>
    <t>Durante el bimestre no se realizaron ajustes presupuestales</t>
  </si>
  <si>
    <r>
      <t xml:space="preserve">Durante el bimestre se realiza jornada de mantenimiento preventivo de equipos de cómputo de los Centros de Experiencia Digital donde se realizó por parte de cada uno de los administradores actualización del portátiles, desfragmento el disco duro, borrados de temporales, borrado de programas y archivos residentes
</t>
    </r>
    <r>
      <rPr>
        <b/>
        <sz val="10"/>
        <color theme="1"/>
        <rFont val="Arial Narrow"/>
        <family val="2"/>
      </rPr>
      <t>Evidencia:</t>
    </r>
    <r>
      <rPr>
        <sz val="10"/>
        <color theme="1"/>
        <rFont val="Arial Narrow"/>
        <family val="2"/>
      </rPr>
      <t xml:space="preserve"> Informes por cada Contratista</t>
    </r>
  </si>
  <si>
    <r>
      <t xml:space="preserve">´-	Solicitud de reparación de aires acondicionados
-	Solicitud de adecuaciones física de los Centro de Experiencia Digital 
</t>
    </r>
    <r>
      <rPr>
        <b/>
        <sz val="10"/>
        <color theme="1"/>
        <rFont val="Arial"/>
        <family val="2"/>
      </rPr>
      <t xml:space="preserve">Evidencia: </t>
    </r>
    <r>
      <rPr>
        <sz val="10"/>
        <color theme="1"/>
        <rFont val="Arial"/>
        <family val="2"/>
      </rPr>
      <t>Correos electrónicos enviados a Recursos Físicos</t>
    </r>
  </si>
  <si>
    <t>Durante el bimestre se tiene en cuenta con la activación del VIVELAB mediante el Contrato de Prestación de Servicios No. 0094 de fecha 26/01/2024, donde Gloria Botero presta el servicio profesional como Administradora del VIVELAB para brindar a la comunidad de Ibagué capacitaciones gratuitas en herramientas tecnológicas
-	Evidencia de correo electrónico con la información de capacitados con corte a 30/06/2024, donde informa que se ha brindado capacitación a 1287 usuarios.
Listado de contratistas para ejecutar acciones o actividades relacionas con el Proceso y Política Pública de Ciencia, Tecnología e innovación y TIC.
AÑO	NRO	FECHA FIRMA	CONTRATISTA
2024	263	2024-02-13	MAIRA CAMILA TRIANA PALMA
2024	677	2024-03-04	JHON EDISON PARRA QUINTERO
2024	678	2024-03-04	ERWIN ERICK IBAÑEZ HERNANDEZ
2024	816	2024-03-11	LAURA MILENA PERILLA MORENO
2024	910	2024-03-14	PAULA ALEXANDRA GARZON MAHECHA
2024	912	2024-03-14	EDWIN ARMANDO GUZMAN CRUZ
2024	1154	2024-03-22	ZAIDA LORENA CRUZ CASTRO
2024	1215	2024-04-03	LUIS EDWIN GARCIA CASTRO
2024	1420	2024-04-17	DIEGO ARMANDO ROZO LOZANO
2024	1531	2024-04-24	EDGAR ALFREDO MURILLO CHICA
2024	1760	2024-05-23	MARIA DEL PILAR ROJAS LIEVANO
2024	1808	2024-05-29	PEDRO EMILIO JIMENEZ LOPEZ
2024	1854	2024-06-04	MONICA CAPERA
2024	1869	2024-06-05	GERARDO RODRIGUEZ LOZANO
2024	1876	2024-06-05	JUAN SEBASTIAN BARRIGA CASTRO
2024	1922	2024/06/11	VICTORIA ARBOLEDA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</si>
</sst>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sz val="10"/>
      <color theme="1"/>
      <name val="Arial"/>
      <family val="2"/>
    </font>
    <font>
      <b/>
      <sz val="10"/>
      <color theme="1"/>
      <name val="Arial Narrow"/>
      <family val="2"/>
    </font>
    <font>
      <b/>
      <sz val="10"/>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diagonal/>
    </border>
    <border>
      <left style="dashed">
        <color theme="9" tint="-0.249977111117893"/>
      </left>
      <right/>
      <top/>
      <bottom/>
      <diagonal/>
    </border>
    <border>
      <left style="dashed">
        <color theme="9" tint="-0.249977111117893"/>
      </left>
      <right/>
      <top/>
      <bottom style="dashed">
        <color theme="9" tint="-0.249977111117893"/>
      </bottom>
      <diagonal/>
    </border>
  </borders>
  <cellStyleXfs count="6">
    <xf numFmtId="0" fontId="0" fillId="0" borderId="0"/>
    <xf numFmtId="9" fontId="13" fillId="0" borderId="0" applyFont="0" applyFill="0" applyBorder="0" applyAlignment="0" applyProtection="0"/>
    <xf numFmtId="0" fontId="38" fillId="0" borderId="0"/>
    <xf numFmtId="0" fontId="39" fillId="0" borderId="0"/>
    <xf numFmtId="0" fontId="5" fillId="0" borderId="0"/>
    <xf numFmtId="0" fontId="13" fillId="0" borderId="0"/>
  </cellStyleXfs>
  <cellXfs count="45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0" fontId="2" fillId="0" borderId="2" xfId="0" applyFont="1" applyBorder="1" applyAlignment="1" applyProtection="1">
      <alignment horizontal="justify" vertical="top" wrapText="1"/>
      <protection locked="0"/>
    </xf>
    <xf numFmtId="14" fontId="27" fillId="0" borderId="2" xfId="0" applyNumberFormat="1" applyFont="1" applyBorder="1" applyAlignment="1" applyProtection="1">
      <alignment horizontal="justify" vertical="top" wrapText="1"/>
      <protection locked="0"/>
    </xf>
    <xf numFmtId="14" fontId="6" fillId="0" borderId="2" xfId="0" applyNumberFormat="1" applyFont="1" applyBorder="1" applyAlignment="1" applyProtection="1">
      <alignment horizontal="justify" vertical="top" wrapText="1"/>
      <protection locked="0"/>
    </xf>
    <xf numFmtId="0" fontId="60" fillId="0" borderId="14" xfId="0" applyFont="1" applyBorder="1" applyAlignment="1">
      <alignment vertical="center" wrapText="1"/>
    </xf>
    <xf numFmtId="0" fontId="46" fillId="0" borderId="64" xfId="2" applyFont="1" applyBorder="1" applyAlignment="1">
      <alignment horizontal="justify" vertical="center" wrapText="1"/>
    </xf>
    <xf numFmtId="0" fontId="46" fillId="0" borderId="65" xfId="2" applyFont="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0" borderId="60" xfId="2" applyFont="1" applyBorder="1" applyAlignment="1">
      <alignment horizontal="justify" vertical="center" wrapText="1"/>
    </xf>
    <xf numFmtId="0" fontId="46" fillId="0" borderId="61" xfId="2" applyFont="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50" fillId="0" borderId="75" xfId="0" applyFont="1" applyBorder="1" applyAlignment="1" applyProtection="1">
      <alignment horizontal="center" vertical="top" wrapText="1"/>
      <protection locked="0"/>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2" fillId="0" borderId="80"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 fillId="0" borderId="82"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50" fillId="0" borderId="78" xfId="0" applyFont="1" applyBorder="1" applyAlignment="1" applyProtection="1">
      <alignment horizontal="center" vertical="top" wrapText="1"/>
      <protection locked="0"/>
    </xf>
    <xf numFmtId="0" fontId="50" fillId="0" borderId="79"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2 3" xfId="5" xr:uid="{10AD72D2-989F-4A40-80F9-5CFC7B715A17}"/>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29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6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Normal="100" workbookViewId="0">
      <selection activeCell="I7" sqref="I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83" t="s">
        <v>154</v>
      </c>
      <c r="C2" s="184"/>
      <c r="D2" s="184"/>
      <c r="E2" s="184"/>
      <c r="F2" s="184"/>
      <c r="G2" s="184"/>
      <c r="H2" s="185"/>
    </row>
    <row r="3" spans="2:8" x14ac:dyDescent="0.3">
      <c r="B3" s="68"/>
      <c r="C3" s="69"/>
      <c r="D3" s="69"/>
      <c r="E3" s="69"/>
      <c r="F3" s="69"/>
      <c r="G3" s="69"/>
      <c r="H3" s="70"/>
    </row>
    <row r="4" spans="2:8" ht="63" customHeight="1" x14ac:dyDescent="0.3">
      <c r="B4" s="186" t="s">
        <v>197</v>
      </c>
      <c r="C4" s="187"/>
      <c r="D4" s="187"/>
      <c r="E4" s="187"/>
      <c r="F4" s="187"/>
      <c r="G4" s="187"/>
      <c r="H4" s="188"/>
    </row>
    <row r="5" spans="2:8" ht="63" customHeight="1" x14ac:dyDescent="0.3">
      <c r="B5" s="189"/>
      <c r="C5" s="190"/>
      <c r="D5" s="190"/>
      <c r="E5" s="190"/>
      <c r="F5" s="190"/>
      <c r="G5" s="190"/>
      <c r="H5" s="191"/>
    </row>
    <row r="6" spans="2:8" x14ac:dyDescent="0.3">
      <c r="B6" s="192" t="s">
        <v>152</v>
      </c>
      <c r="C6" s="193"/>
      <c r="D6" s="193"/>
      <c r="E6" s="193"/>
      <c r="F6" s="193"/>
      <c r="G6" s="193"/>
      <c r="H6" s="194"/>
    </row>
    <row r="7" spans="2:8" ht="95.25" customHeight="1" x14ac:dyDescent="0.3">
      <c r="B7" s="202" t="s">
        <v>157</v>
      </c>
      <c r="C7" s="203"/>
      <c r="D7" s="203"/>
      <c r="E7" s="203"/>
      <c r="F7" s="203"/>
      <c r="G7" s="203"/>
      <c r="H7" s="204"/>
    </row>
    <row r="8" spans="2:8" x14ac:dyDescent="0.3">
      <c r="B8" s="102"/>
      <c r="C8" s="103"/>
      <c r="D8" s="103"/>
      <c r="E8" s="103"/>
      <c r="F8" s="103"/>
      <c r="G8" s="103"/>
      <c r="H8" s="104"/>
    </row>
    <row r="9" spans="2:8" ht="16.5" customHeight="1" x14ac:dyDescent="0.3">
      <c r="B9" s="195" t="s">
        <v>190</v>
      </c>
      <c r="C9" s="196"/>
      <c r="D9" s="196"/>
      <c r="E9" s="196"/>
      <c r="F9" s="196"/>
      <c r="G9" s="196"/>
      <c r="H9" s="197"/>
    </row>
    <row r="10" spans="2:8" ht="44.25" customHeight="1" x14ac:dyDescent="0.3">
      <c r="B10" s="195"/>
      <c r="C10" s="196"/>
      <c r="D10" s="196"/>
      <c r="E10" s="196"/>
      <c r="F10" s="196"/>
      <c r="G10" s="196"/>
      <c r="H10" s="197"/>
    </row>
    <row r="11" spans="2:8" ht="15" thickBot="1" x14ac:dyDescent="0.35">
      <c r="B11" s="91"/>
      <c r="C11" s="94"/>
      <c r="D11" s="99"/>
      <c r="E11" s="100"/>
      <c r="F11" s="100"/>
      <c r="G11" s="101"/>
      <c r="H11" s="95"/>
    </row>
    <row r="12" spans="2:8" ht="15" thickTop="1" x14ac:dyDescent="0.3">
      <c r="B12" s="91"/>
      <c r="C12" s="198" t="s">
        <v>153</v>
      </c>
      <c r="D12" s="199"/>
      <c r="E12" s="200" t="s">
        <v>191</v>
      </c>
      <c r="F12" s="201"/>
      <c r="G12" s="94"/>
      <c r="H12" s="95"/>
    </row>
    <row r="13" spans="2:8" ht="35.25" customHeight="1" x14ac:dyDescent="0.3">
      <c r="B13" s="91"/>
      <c r="C13" s="168" t="s">
        <v>184</v>
      </c>
      <c r="D13" s="169"/>
      <c r="E13" s="170" t="s">
        <v>189</v>
      </c>
      <c r="F13" s="171"/>
      <c r="G13" s="94"/>
      <c r="H13" s="95"/>
    </row>
    <row r="14" spans="2:8" ht="17.25" customHeight="1" x14ac:dyDescent="0.3">
      <c r="B14" s="91"/>
      <c r="C14" s="168" t="s">
        <v>185</v>
      </c>
      <c r="D14" s="169"/>
      <c r="E14" s="170" t="s">
        <v>187</v>
      </c>
      <c r="F14" s="171"/>
      <c r="G14" s="94"/>
      <c r="H14" s="95"/>
    </row>
    <row r="15" spans="2:8" ht="19.5" customHeight="1" x14ac:dyDescent="0.3">
      <c r="B15" s="91"/>
      <c r="C15" s="168" t="s">
        <v>186</v>
      </c>
      <c r="D15" s="169"/>
      <c r="E15" s="170" t="s">
        <v>188</v>
      </c>
      <c r="F15" s="171"/>
      <c r="G15" s="94"/>
      <c r="H15" s="95"/>
    </row>
    <row r="16" spans="2:8" ht="69.75" customHeight="1" x14ac:dyDescent="0.3">
      <c r="B16" s="91"/>
      <c r="C16" s="168" t="s">
        <v>155</v>
      </c>
      <c r="D16" s="169"/>
      <c r="E16" s="170" t="s">
        <v>156</v>
      </c>
      <c r="F16" s="171"/>
      <c r="G16" s="94"/>
      <c r="H16" s="95"/>
    </row>
    <row r="17" spans="2:8" ht="34.5" customHeight="1" x14ac:dyDescent="0.3">
      <c r="B17" s="91"/>
      <c r="C17" s="172" t="s">
        <v>2</v>
      </c>
      <c r="D17" s="173"/>
      <c r="E17" s="164" t="s">
        <v>198</v>
      </c>
      <c r="F17" s="165"/>
      <c r="G17" s="94"/>
      <c r="H17" s="95"/>
    </row>
    <row r="18" spans="2:8" ht="27.75" customHeight="1" x14ac:dyDescent="0.3">
      <c r="B18" s="91"/>
      <c r="C18" s="172" t="s">
        <v>3</v>
      </c>
      <c r="D18" s="173"/>
      <c r="E18" s="164" t="s">
        <v>199</v>
      </c>
      <c r="F18" s="165"/>
      <c r="G18" s="94"/>
      <c r="H18" s="95"/>
    </row>
    <row r="19" spans="2:8" ht="28.5" customHeight="1" x14ac:dyDescent="0.3">
      <c r="B19" s="91"/>
      <c r="C19" s="172" t="s">
        <v>41</v>
      </c>
      <c r="D19" s="173"/>
      <c r="E19" s="164" t="s">
        <v>200</v>
      </c>
      <c r="F19" s="165"/>
      <c r="G19" s="94"/>
      <c r="H19" s="95"/>
    </row>
    <row r="20" spans="2:8" ht="72.75" customHeight="1" x14ac:dyDescent="0.3">
      <c r="B20" s="91"/>
      <c r="C20" s="172" t="s">
        <v>1</v>
      </c>
      <c r="D20" s="173"/>
      <c r="E20" s="164" t="s">
        <v>201</v>
      </c>
      <c r="F20" s="165"/>
      <c r="G20" s="94"/>
      <c r="H20" s="95"/>
    </row>
    <row r="21" spans="2:8" ht="64.5" customHeight="1" x14ac:dyDescent="0.3">
      <c r="B21" s="91"/>
      <c r="C21" s="172" t="s">
        <v>49</v>
      </c>
      <c r="D21" s="173"/>
      <c r="E21" s="164" t="s">
        <v>159</v>
      </c>
      <c r="F21" s="165"/>
      <c r="G21" s="94"/>
      <c r="H21" s="95"/>
    </row>
    <row r="22" spans="2:8" ht="71.25" customHeight="1" x14ac:dyDescent="0.3">
      <c r="B22" s="91"/>
      <c r="C22" s="172" t="s">
        <v>158</v>
      </c>
      <c r="D22" s="173"/>
      <c r="E22" s="164" t="s">
        <v>160</v>
      </c>
      <c r="F22" s="165"/>
      <c r="G22" s="94"/>
      <c r="H22" s="95"/>
    </row>
    <row r="23" spans="2:8" ht="55.5" customHeight="1" x14ac:dyDescent="0.3">
      <c r="B23" s="91"/>
      <c r="C23" s="166" t="s">
        <v>161</v>
      </c>
      <c r="D23" s="167"/>
      <c r="E23" s="164" t="s">
        <v>162</v>
      </c>
      <c r="F23" s="165"/>
      <c r="G23" s="94"/>
      <c r="H23" s="95"/>
    </row>
    <row r="24" spans="2:8" ht="42" customHeight="1" x14ac:dyDescent="0.3">
      <c r="B24" s="91"/>
      <c r="C24" s="166" t="s">
        <v>47</v>
      </c>
      <c r="D24" s="167"/>
      <c r="E24" s="164" t="s">
        <v>163</v>
      </c>
      <c r="F24" s="165"/>
      <c r="G24" s="94"/>
      <c r="H24" s="95"/>
    </row>
    <row r="25" spans="2:8" ht="59.25" customHeight="1" x14ac:dyDescent="0.3">
      <c r="B25" s="91"/>
      <c r="C25" s="166" t="s">
        <v>151</v>
      </c>
      <c r="D25" s="167"/>
      <c r="E25" s="164" t="s">
        <v>164</v>
      </c>
      <c r="F25" s="165"/>
      <c r="G25" s="94"/>
      <c r="H25" s="95"/>
    </row>
    <row r="26" spans="2:8" ht="23.25" customHeight="1" x14ac:dyDescent="0.3">
      <c r="B26" s="91"/>
      <c r="C26" s="166" t="s">
        <v>12</v>
      </c>
      <c r="D26" s="167"/>
      <c r="E26" s="164" t="s">
        <v>165</v>
      </c>
      <c r="F26" s="165"/>
      <c r="G26" s="94"/>
      <c r="H26" s="95"/>
    </row>
    <row r="27" spans="2:8" ht="30.75" customHeight="1" x14ac:dyDescent="0.3">
      <c r="B27" s="91"/>
      <c r="C27" s="166" t="s">
        <v>169</v>
      </c>
      <c r="D27" s="167"/>
      <c r="E27" s="164" t="s">
        <v>166</v>
      </c>
      <c r="F27" s="165"/>
      <c r="G27" s="94"/>
      <c r="H27" s="95"/>
    </row>
    <row r="28" spans="2:8" ht="35.25" customHeight="1" x14ac:dyDescent="0.3">
      <c r="B28" s="91"/>
      <c r="C28" s="166" t="s">
        <v>170</v>
      </c>
      <c r="D28" s="167"/>
      <c r="E28" s="164" t="s">
        <v>167</v>
      </c>
      <c r="F28" s="165"/>
      <c r="G28" s="94"/>
      <c r="H28" s="95"/>
    </row>
    <row r="29" spans="2:8" ht="33" customHeight="1" x14ac:dyDescent="0.3">
      <c r="B29" s="91"/>
      <c r="C29" s="166" t="s">
        <v>170</v>
      </c>
      <c r="D29" s="167"/>
      <c r="E29" s="164" t="s">
        <v>167</v>
      </c>
      <c r="F29" s="165"/>
      <c r="G29" s="94"/>
      <c r="H29" s="95"/>
    </row>
    <row r="30" spans="2:8" ht="30" customHeight="1" x14ac:dyDescent="0.3">
      <c r="B30" s="91"/>
      <c r="C30" s="166" t="s">
        <v>171</v>
      </c>
      <c r="D30" s="167"/>
      <c r="E30" s="164" t="s">
        <v>168</v>
      </c>
      <c r="F30" s="165"/>
      <c r="G30" s="94"/>
      <c r="H30" s="95"/>
    </row>
    <row r="31" spans="2:8" ht="35.25" customHeight="1" x14ac:dyDescent="0.3">
      <c r="B31" s="91"/>
      <c r="C31" s="166" t="s">
        <v>172</v>
      </c>
      <c r="D31" s="167"/>
      <c r="E31" s="164" t="s">
        <v>173</v>
      </c>
      <c r="F31" s="165"/>
      <c r="G31" s="94"/>
      <c r="H31" s="95"/>
    </row>
    <row r="32" spans="2:8" ht="31.5" customHeight="1" x14ac:dyDescent="0.3">
      <c r="B32" s="91"/>
      <c r="C32" s="166" t="s">
        <v>174</v>
      </c>
      <c r="D32" s="167"/>
      <c r="E32" s="164" t="s">
        <v>175</v>
      </c>
      <c r="F32" s="165"/>
      <c r="G32" s="94"/>
      <c r="H32" s="95"/>
    </row>
    <row r="33" spans="2:8" ht="35.25" customHeight="1" x14ac:dyDescent="0.3">
      <c r="B33" s="91"/>
      <c r="C33" s="166" t="s">
        <v>176</v>
      </c>
      <c r="D33" s="167"/>
      <c r="E33" s="164" t="s">
        <v>177</v>
      </c>
      <c r="F33" s="165"/>
      <c r="G33" s="94"/>
      <c r="H33" s="95"/>
    </row>
    <row r="34" spans="2:8" ht="59.25" customHeight="1" x14ac:dyDescent="0.3">
      <c r="B34" s="91"/>
      <c r="C34" s="166" t="s">
        <v>178</v>
      </c>
      <c r="D34" s="167"/>
      <c r="E34" s="164" t="s">
        <v>179</v>
      </c>
      <c r="F34" s="165"/>
      <c r="G34" s="94"/>
      <c r="H34" s="95"/>
    </row>
    <row r="35" spans="2:8" ht="29.25" customHeight="1" x14ac:dyDescent="0.3">
      <c r="B35" s="91"/>
      <c r="C35" s="166" t="s">
        <v>29</v>
      </c>
      <c r="D35" s="167"/>
      <c r="E35" s="181" t="s">
        <v>180</v>
      </c>
      <c r="F35" s="182"/>
      <c r="G35" s="94"/>
      <c r="H35" s="95"/>
    </row>
    <row r="36" spans="2:8" ht="82.5" customHeight="1" x14ac:dyDescent="0.3">
      <c r="B36" s="91"/>
      <c r="C36" s="166" t="s">
        <v>182</v>
      </c>
      <c r="D36" s="167"/>
      <c r="E36" s="181" t="s">
        <v>181</v>
      </c>
      <c r="F36" s="182"/>
      <c r="G36" s="94"/>
      <c r="H36" s="95"/>
    </row>
    <row r="37" spans="2:8" ht="46.5" customHeight="1" x14ac:dyDescent="0.3">
      <c r="B37" s="91"/>
      <c r="C37" s="166" t="s">
        <v>38</v>
      </c>
      <c r="D37" s="167"/>
      <c r="E37" s="181" t="s">
        <v>183</v>
      </c>
      <c r="F37" s="182"/>
      <c r="G37" s="94"/>
      <c r="H37" s="95"/>
    </row>
    <row r="38" spans="2:8" ht="6.75" customHeight="1" thickBot="1" x14ac:dyDescent="0.35">
      <c r="B38" s="91"/>
      <c r="C38" s="177"/>
      <c r="D38" s="178"/>
      <c r="E38" s="179"/>
      <c r="F38" s="180"/>
      <c r="G38" s="94"/>
      <c r="H38" s="95"/>
    </row>
    <row r="39" spans="2:8" ht="15" thickTop="1" x14ac:dyDescent="0.3">
      <c r="B39" s="91"/>
      <c r="C39" s="92"/>
      <c r="D39" s="92"/>
      <c r="E39" s="93"/>
      <c r="F39" s="93"/>
      <c r="G39" s="94"/>
      <c r="H39" s="95"/>
    </row>
    <row r="40" spans="2:8" ht="21" customHeight="1" x14ac:dyDescent="0.3">
      <c r="B40" s="174" t="s">
        <v>192</v>
      </c>
      <c r="C40" s="175"/>
      <c r="D40" s="175"/>
      <c r="E40" s="175"/>
      <c r="F40" s="175"/>
      <c r="G40" s="175"/>
      <c r="H40" s="176"/>
    </row>
    <row r="41" spans="2:8" ht="20.25" customHeight="1" x14ac:dyDescent="0.3">
      <c r="B41" s="174" t="s">
        <v>193</v>
      </c>
      <c r="C41" s="175"/>
      <c r="D41" s="175"/>
      <c r="E41" s="175"/>
      <c r="F41" s="175"/>
      <c r="G41" s="175"/>
      <c r="H41" s="176"/>
    </row>
    <row r="42" spans="2:8" ht="20.25" customHeight="1" x14ac:dyDescent="0.3">
      <c r="B42" s="174" t="s">
        <v>194</v>
      </c>
      <c r="C42" s="175"/>
      <c r="D42" s="175"/>
      <c r="E42" s="175"/>
      <c r="F42" s="175"/>
      <c r="G42" s="175"/>
      <c r="H42" s="176"/>
    </row>
    <row r="43" spans="2:8" ht="20.25" customHeight="1" x14ac:dyDescent="0.3">
      <c r="B43" s="174" t="s">
        <v>195</v>
      </c>
      <c r="C43" s="175"/>
      <c r="D43" s="175"/>
      <c r="E43" s="175"/>
      <c r="F43" s="175"/>
      <c r="G43" s="175"/>
      <c r="H43" s="176"/>
    </row>
    <row r="44" spans="2:8" x14ac:dyDescent="0.3">
      <c r="B44" s="174" t="s">
        <v>196</v>
      </c>
      <c r="C44" s="175"/>
      <c r="D44" s="175"/>
      <c r="E44" s="175"/>
      <c r="F44" s="175"/>
      <c r="G44" s="175"/>
      <c r="H44" s="176"/>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1"/>
  <sheetViews>
    <sheetView tabSelected="1" topLeftCell="Z1" zoomScale="55" zoomScaleNormal="55" workbookViewId="0">
      <selection activeCell="G10" sqref="G10:G14"/>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7" width="35" style="1" customWidth="1"/>
    <col min="8" max="8" width="18.109375" style="5" customWidth="1"/>
    <col min="9" max="9" width="14.33203125" style="1" customWidth="1"/>
    <col min="10" max="10" width="12" style="1" customWidth="1"/>
    <col min="11" max="11" width="6.33203125" style="1" bestFit="1" customWidth="1"/>
    <col min="12" max="12" width="24.44140625" style="1" bestFit="1" customWidth="1"/>
    <col min="13" max="13" width="28.33203125" style="1" customWidth="1"/>
    <col min="14" max="14" width="17.5546875" style="1" customWidth="1"/>
    <col min="15" max="15" width="6.33203125" style="1" bestFit="1" customWidth="1"/>
    <col min="16" max="16" width="16" style="1" customWidth="1"/>
    <col min="17" max="17" width="5.88671875" style="1" customWidth="1"/>
    <col min="18" max="18" width="99.88671875" style="1" customWidth="1"/>
    <col min="19" max="19" width="15.109375" style="1" customWidth="1"/>
    <col min="20" max="20" width="6.88671875" style="1" customWidth="1"/>
    <col min="21" max="21" width="5" style="1" customWidth="1"/>
    <col min="22" max="22" width="5.5546875" style="1" customWidth="1"/>
    <col min="23" max="23" width="7.109375" style="1" customWidth="1"/>
    <col min="24" max="24" width="6.6640625" style="1" customWidth="1"/>
    <col min="25" max="25" width="4.6640625" style="1" customWidth="1"/>
    <col min="26" max="26" width="38.5546875" style="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46.109375" style="1" customWidth="1"/>
    <col min="34" max="34" width="16" style="1" customWidth="1"/>
    <col min="35" max="35" width="13.6640625" style="1" customWidth="1"/>
    <col min="36" max="36" width="12" style="1" customWidth="1"/>
    <col min="37" max="37" width="82.6640625" style="1" customWidth="1"/>
    <col min="38" max="38" width="21" style="1" customWidth="1"/>
    <col min="39" max="16384" width="11.44140625" style="1"/>
  </cols>
  <sheetData>
    <row r="1" spans="1:70" x14ac:dyDescent="0.25">
      <c r="A1" s="206" t="s">
        <v>138</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x14ac:dyDescent="0.25">
      <c r="A2" s="209"/>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1"/>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3.4" x14ac:dyDescent="0.25">
      <c r="A4" s="259" t="s">
        <v>42</v>
      </c>
      <c r="B4" s="260"/>
      <c r="C4" s="269" t="s">
        <v>217</v>
      </c>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23.4" x14ac:dyDescent="0.25">
      <c r="A5" s="259" t="s">
        <v>124</v>
      </c>
      <c r="B5" s="260"/>
      <c r="C5" s="269" t="s">
        <v>228</v>
      </c>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23.4" x14ac:dyDescent="0.25">
      <c r="A6" s="259" t="s">
        <v>43</v>
      </c>
      <c r="B6" s="260"/>
      <c r="C6" s="205" t="s">
        <v>216</v>
      </c>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212" t="s">
        <v>133</v>
      </c>
      <c r="B7" s="213"/>
      <c r="C7" s="214"/>
      <c r="D7" s="214"/>
      <c r="E7" s="214"/>
      <c r="F7" s="214"/>
      <c r="G7" s="214"/>
      <c r="H7" s="214"/>
      <c r="I7" s="215"/>
      <c r="J7" s="216" t="s">
        <v>134</v>
      </c>
      <c r="K7" s="214"/>
      <c r="L7" s="214"/>
      <c r="M7" s="214"/>
      <c r="N7" s="214"/>
      <c r="O7" s="214"/>
      <c r="P7" s="215"/>
      <c r="Q7" s="216" t="s">
        <v>135</v>
      </c>
      <c r="R7" s="214"/>
      <c r="S7" s="214"/>
      <c r="T7" s="214"/>
      <c r="U7" s="214"/>
      <c r="V7" s="214"/>
      <c r="W7" s="214"/>
      <c r="X7" s="214"/>
      <c r="Y7" s="215"/>
      <c r="Z7" s="216" t="s">
        <v>136</v>
      </c>
      <c r="AA7" s="214"/>
      <c r="AB7" s="214"/>
      <c r="AC7" s="214"/>
      <c r="AD7" s="214"/>
      <c r="AE7" s="214"/>
      <c r="AF7" s="215"/>
      <c r="AG7" s="216" t="s">
        <v>34</v>
      </c>
      <c r="AH7" s="214"/>
      <c r="AI7" s="214"/>
      <c r="AJ7" s="214"/>
      <c r="AK7" s="214"/>
      <c r="AL7" s="215"/>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x14ac:dyDescent="0.25">
      <c r="A8" s="261" t="s">
        <v>0</v>
      </c>
      <c r="B8" s="270" t="s">
        <v>2</v>
      </c>
      <c r="C8" s="264" t="s">
        <v>3</v>
      </c>
      <c r="D8" s="264" t="s">
        <v>41</v>
      </c>
      <c r="E8" s="263" t="s">
        <v>202</v>
      </c>
      <c r="F8" s="265" t="s">
        <v>1</v>
      </c>
      <c r="G8" s="143"/>
      <c r="H8" s="263" t="s">
        <v>49</v>
      </c>
      <c r="I8" s="264" t="s">
        <v>129</v>
      </c>
      <c r="J8" s="271" t="s">
        <v>33</v>
      </c>
      <c r="K8" s="288" t="s">
        <v>5</v>
      </c>
      <c r="L8" s="263" t="s">
        <v>85</v>
      </c>
      <c r="M8" s="263" t="s">
        <v>90</v>
      </c>
      <c r="N8" s="289" t="s">
        <v>44</v>
      </c>
      <c r="O8" s="288" t="s">
        <v>5</v>
      </c>
      <c r="P8" s="264" t="s">
        <v>47</v>
      </c>
      <c r="Q8" s="267" t="s">
        <v>11</v>
      </c>
      <c r="R8" s="257" t="s">
        <v>151</v>
      </c>
      <c r="S8" s="263" t="s">
        <v>12</v>
      </c>
      <c r="T8" s="257" t="s">
        <v>8</v>
      </c>
      <c r="U8" s="257"/>
      <c r="V8" s="257"/>
      <c r="W8" s="257"/>
      <c r="X8" s="257"/>
      <c r="Y8" s="257"/>
      <c r="Z8" s="258" t="s">
        <v>132</v>
      </c>
      <c r="AA8" s="258" t="s">
        <v>45</v>
      </c>
      <c r="AB8" s="258" t="s">
        <v>5</v>
      </c>
      <c r="AC8" s="258" t="s">
        <v>46</v>
      </c>
      <c r="AD8" s="258" t="s">
        <v>5</v>
      </c>
      <c r="AE8" s="258" t="s">
        <v>48</v>
      </c>
      <c r="AF8" s="267" t="s">
        <v>29</v>
      </c>
      <c r="AG8" s="257" t="s">
        <v>34</v>
      </c>
      <c r="AH8" s="257" t="s">
        <v>35</v>
      </c>
      <c r="AI8" s="257" t="s">
        <v>36</v>
      </c>
      <c r="AJ8" s="257" t="s">
        <v>37</v>
      </c>
      <c r="AK8" s="257" t="s">
        <v>230</v>
      </c>
      <c r="AL8" s="257"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70.2" x14ac:dyDescent="0.3">
      <c r="A9" s="262"/>
      <c r="B9" s="270"/>
      <c r="C9" s="257"/>
      <c r="D9" s="257"/>
      <c r="E9" s="271"/>
      <c r="F9" s="266"/>
      <c r="G9" s="143" t="s">
        <v>203</v>
      </c>
      <c r="H9" s="264"/>
      <c r="I9" s="257"/>
      <c r="J9" s="264"/>
      <c r="K9" s="216"/>
      <c r="L9" s="264"/>
      <c r="M9" s="264"/>
      <c r="N9" s="216"/>
      <c r="O9" s="216"/>
      <c r="P9" s="257"/>
      <c r="Q9" s="268"/>
      <c r="R9" s="257"/>
      <c r="S9" s="264"/>
      <c r="T9" s="7" t="s">
        <v>13</v>
      </c>
      <c r="U9" s="7" t="s">
        <v>17</v>
      </c>
      <c r="V9" s="7" t="s">
        <v>28</v>
      </c>
      <c r="W9" s="7" t="s">
        <v>18</v>
      </c>
      <c r="X9" s="7" t="s">
        <v>21</v>
      </c>
      <c r="Y9" s="7" t="s">
        <v>24</v>
      </c>
      <c r="Z9" s="258"/>
      <c r="AA9" s="258"/>
      <c r="AB9" s="258"/>
      <c r="AC9" s="258"/>
      <c r="AD9" s="258"/>
      <c r="AE9" s="258"/>
      <c r="AF9" s="268"/>
      <c r="AG9" s="257"/>
      <c r="AH9" s="257"/>
      <c r="AI9" s="257"/>
      <c r="AJ9" s="257"/>
      <c r="AK9" s="257"/>
      <c r="AL9" s="257"/>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96.6" x14ac:dyDescent="0.3">
      <c r="A10" s="226">
        <v>1</v>
      </c>
      <c r="B10" s="272" t="s">
        <v>128</v>
      </c>
      <c r="C10" s="272" t="s">
        <v>229</v>
      </c>
      <c r="D10" s="299" t="s">
        <v>231</v>
      </c>
      <c r="E10" s="159" t="s">
        <v>232</v>
      </c>
      <c r="F10" s="302" t="s">
        <v>234</v>
      </c>
      <c r="G10" s="287" t="s">
        <v>235</v>
      </c>
      <c r="H10" s="293" t="s">
        <v>117</v>
      </c>
      <c r="I10" s="296">
        <v>365</v>
      </c>
      <c r="J10" s="284" t="str">
        <f>IF(I10&lt;=0,"",IF(I10&lt;=2,"Muy Baja",IF(I10&lt;=24,"Baja",IF(I10&lt;=500,"Media",IF(I10&lt;=5000,"Alta","Muy Alta")))))</f>
        <v>Media</v>
      </c>
      <c r="K10" s="278">
        <f>IF(J10="","",IF(J10="Muy Baja",0.2,IF(J10="Baja",0.4,IF(J10="Media",0.6,IF(J10="Alta",0.8,IF(J10="Muy Alta",1,))))))</f>
        <v>0.6</v>
      </c>
      <c r="L10" s="281" t="s">
        <v>146</v>
      </c>
      <c r="M10" s="278" t="str">
        <f>IF(NOT(ISERROR(MATCH(L10,'Tabla Impacto'!$B$221:$B$223,0))),'Tabla Impacto'!$F$223&amp;"Por favor no seleccionar los criterios de impacto(Afectación Económica o presupuestal y Pérdida Reputacional)",L10)</f>
        <v xml:space="preserve">     El riesgo afecta la imagen de la entidad a nivel nacional, con efecto publicitarios sostenible a nivel país</v>
      </c>
      <c r="N10" s="284" t="str">
        <f>IF(OR(M10='Tabla Impacto'!$C$11,M10='Tabla Impacto'!$D$11),"Leve",IF(OR(M10='Tabla Impacto'!$C$12,M10='Tabla Impacto'!$D$12),"Menor",IF(OR(M10='Tabla Impacto'!$C$13,M10='Tabla Impacto'!$D$13),"Moderado",IF(OR(M10='Tabla Impacto'!$C$14,M10='Tabla Impacto'!$D$14),"Mayor",IF(OR(M10='Tabla Impacto'!$C$15,M10='Tabla Impacto'!$D$15),"Catastrófico","")))))</f>
        <v>Catastrófico</v>
      </c>
      <c r="O10" s="278">
        <f>IF(N10="","",IF(N10="Leve",0.2,IF(N10="Menor",0.4,IF(N10="Moderado",0.6,IF(N10="Mayor",0.8,IF(N10="Catastrófico",1,))))))</f>
        <v>1</v>
      </c>
      <c r="P10" s="275"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Extremo</v>
      </c>
      <c r="Q10" s="105">
        <v>1</v>
      </c>
      <c r="R10" s="119" t="s">
        <v>223</v>
      </c>
      <c r="S10" s="107" t="str">
        <f>IF(OR(T10="Preventivo",T10="Detectivo"),"Probabilidad",IF(T10="Correctivo","Impacto",""))</f>
        <v>Probabilidad</v>
      </c>
      <c r="T10" s="120" t="s">
        <v>14</v>
      </c>
      <c r="U10" s="120" t="s">
        <v>9</v>
      </c>
      <c r="V10" s="121" t="str">
        <f>IF(AND(T10="Preventivo",U10="Automático"),"50%",IF(AND(T10="Preventivo",U10="Manual"),"40%",IF(AND(T10="Detectivo",U10="Automático"),"40%",IF(AND(T10="Detectivo",U10="Manual"),"30%",IF(AND(T10="Correctivo",U10="Automático"),"35%",IF(AND(T10="Correctivo",U10="Manual"),"25%",""))))))</f>
        <v>40%</v>
      </c>
      <c r="W10" s="120" t="s">
        <v>19</v>
      </c>
      <c r="X10" s="120" t="s">
        <v>22</v>
      </c>
      <c r="Y10" s="120" t="s">
        <v>113</v>
      </c>
      <c r="Z10" s="110">
        <f>IFERROR(IF(S10="Probabilidad",(K10-(+K10*V10)),IF(S10="Impacto",K10,"")),"")</f>
        <v>0.36</v>
      </c>
      <c r="AA10" s="123" t="str">
        <f>IFERROR(IF(Z10="","",IF(Z10&lt;=0.2,"Muy Baja",IF(Z10&lt;=0.4,"Baja",IF(Z10&lt;=0.6,"Media",IF(Z10&lt;=0.8,"Alta","Muy Alta"))))),"")</f>
        <v>Baja</v>
      </c>
      <c r="AB10" s="124">
        <f>+Z10</f>
        <v>0.36</v>
      </c>
      <c r="AC10" s="123" t="str">
        <f>IFERROR(IF(AD10="","",IF(AD10&lt;=0.2,"Leve",IF(AD10&lt;=0.4,"Menor",IF(AD10&lt;=0.6,"Moderado",IF(AD10&lt;=0.8,"Mayor","Catastrófico"))))),"")</f>
        <v>Catastrófico</v>
      </c>
      <c r="AD10" s="124">
        <f>IFERROR(IF(S10="Impacto",(O10-(+O10*V10)),IF(S10="Probabilidad",O10,"")),"")</f>
        <v>1</v>
      </c>
      <c r="AE10" s="125"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Extremo</v>
      </c>
      <c r="AF10" s="126" t="s">
        <v>130</v>
      </c>
      <c r="AG10" s="157" t="s">
        <v>220</v>
      </c>
      <c r="AH10" s="122" t="s">
        <v>215</v>
      </c>
      <c r="AI10" s="155" t="s">
        <v>236</v>
      </c>
      <c r="AJ10" s="154">
        <v>45476</v>
      </c>
      <c r="AK10" s="162" t="s">
        <v>237</v>
      </c>
      <c r="AL10" s="122" t="s">
        <v>40</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96.6" x14ac:dyDescent="0.25">
      <c r="A11" s="227"/>
      <c r="B11" s="273"/>
      <c r="C11" s="273"/>
      <c r="D11" s="300"/>
      <c r="E11" s="144" t="s">
        <v>218</v>
      </c>
      <c r="F11" s="303"/>
      <c r="G11" s="287"/>
      <c r="H11" s="294"/>
      <c r="I11" s="297"/>
      <c r="J11" s="285"/>
      <c r="K11" s="279"/>
      <c r="L11" s="282"/>
      <c r="M11" s="279">
        <f>IF(NOT(ISERROR(MATCH(L11,_xlfn.ANCHORARRAY(F22),0))),K24&amp;"Por favor no seleccionar los criterios de impacto",L11)</f>
        <v>0</v>
      </c>
      <c r="N11" s="285"/>
      <c r="O11" s="279"/>
      <c r="P11" s="276"/>
      <c r="Q11" s="105">
        <v>3</v>
      </c>
      <c r="R11" s="119" t="s">
        <v>222</v>
      </c>
      <c r="S11" s="107" t="str">
        <f t="shared" ref="S11:S13" si="0">IF(OR(T11="Preventivo",T11="Detectivo"),"Probabilidad",IF(T11="Correctivo","Impacto",""))</f>
        <v>Impacto</v>
      </c>
      <c r="T11" s="120" t="s">
        <v>16</v>
      </c>
      <c r="U11" s="120" t="s">
        <v>9</v>
      </c>
      <c r="V11" s="121" t="str">
        <f t="shared" ref="V11:V13" si="1">IF(AND(T11="Preventivo",U11="Automático"),"50%",IF(AND(T11="Preventivo",U11="Manual"),"40%",IF(AND(T11="Detectivo",U11="Automático"),"40%",IF(AND(T11="Detectivo",U11="Manual"),"30%",IF(AND(T11="Correctivo",U11="Automático"),"35%",IF(AND(T11="Correctivo",U11="Manual"),"25%",""))))))</f>
        <v>25%</v>
      </c>
      <c r="W11" s="120" t="s">
        <v>20</v>
      </c>
      <c r="X11" s="120" t="s">
        <v>22</v>
      </c>
      <c r="Y11" s="120" t="s">
        <v>113</v>
      </c>
      <c r="Z11" s="110" t="str">
        <f>IFERROR(IF(AND(#REF!="Probabilidad",S11="Probabilidad"),(#REF!-(+#REF!*V11)),IF(AND(#REF!="Impacto",S11="Probabilidad"),(AB10-(+AB10*V11)),IF(S11="Impacto",#REF!,""))),"")</f>
        <v/>
      </c>
      <c r="AA11" s="123" t="str">
        <f t="shared" ref="AA11:AA13" si="2">IFERROR(IF(Z11="","",IF(Z11&lt;=0.2,"Muy Baja",IF(Z11&lt;=0.4,"Baja",IF(Z11&lt;=0.6,"Media",IF(Z11&lt;=0.8,"Alta","Muy Alta"))))),"")</f>
        <v/>
      </c>
      <c r="AB11" s="124" t="str">
        <f t="shared" ref="AB11:AB13" si="3">+Z11</f>
        <v/>
      </c>
      <c r="AC11" s="123" t="str">
        <f t="shared" ref="AC11:AC13" si="4">IFERROR(IF(AD11="","",IF(AD11&lt;=0.2,"Leve",IF(AD11&lt;=0.4,"Menor",IF(AD11&lt;=0.6,"Moderado",IF(AD11&lt;=0.8,"Mayor","Catastrófico"))))),"")</f>
        <v/>
      </c>
      <c r="AD11" s="124" t="str">
        <f>IFERROR(IF(AND(#REF!="Impacto",S11="Impacto"),(#REF!-(+#REF!*V11)),IF(AND(#REF!="Probabilidad",S11="Impacto"),(AD10-(+AD10*V11)),IF(S11="Probabilidad",#REF!,""))),"")</f>
        <v/>
      </c>
      <c r="AE11" s="125" t="str">
        <f t="shared" ref="AE11:AE13" si="5">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
      </c>
      <c r="AF11" s="126" t="s">
        <v>130</v>
      </c>
      <c r="AG11" s="157" t="s">
        <v>226</v>
      </c>
      <c r="AH11" s="116" t="s">
        <v>215</v>
      </c>
      <c r="AI11" s="155" t="s">
        <v>236</v>
      </c>
      <c r="AJ11" s="154">
        <v>45476</v>
      </c>
      <c r="AK11" s="162" t="s">
        <v>238</v>
      </c>
      <c r="AL11" s="116" t="s">
        <v>40</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96.6" x14ac:dyDescent="0.25">
      <c r="A12" s="227"/>
      <c r="B12" s="273"/>
      <c r="C12" s="273"/>
      <c r="D12" s="300"/>
      <c r="E12" s="144" t="s">
        <v>219</v>
      </c>
      <c r="F12" s="303"/>
      <c r="G12" s="287"/>
      <c r="H12" s="294"/>
      <c r="I12" s="297"/>
      <c r="J12" s="285"/>
      <c r="K12" s="279"/>
      <c r="L12" s="282"/>
      <c r="M12" s="279">
        <f>IF(NOT(ISERROR(MATCH(L12,_xlfn.ANCHORARRAY(F23),0))),K25&amp;"Por favor no seleccionar los criterios de impacto",L12)</f>
        <v>0</v>
      </c>
      <c r="N12" s="285"/>
      <c r="O12" s="279"/>
      <c r="P12" s="276"/>
      <c r="Q12" s="105">
        <v>4</v>
      </c>
      <c r="R12" s="160" t="s">
        <v>224</v>
      </c>
      <c r="S12" s="107" t="str">
        <f t="shared" si="0"/>
        <v>Impacto</v>
      </c>
      <c r="T12" s="120" t="s">
        <v>16</v>
      </c>
      <c r="U12" s="120" t="s">
        <v>9</v>
      </c>
      <c r="V12" s="121" t="str">
        <f t="shared" si="1"/>
        <v>25%</v>
      </c>
      <c r="W12" s="120" t="s">
        <v>20</v>
      </c>
      <c r="X12" s="120" t="s">
        <v>22</v>
      </c>
      <c r="Y12" s="120" t="s">
        <v>113</v>
      </c>
      <c r="Z12" s="110" t="str">
        <f>IFERROR(IF(AND(S11="Probabilidad",S12="Probabilidad"),(AB11-(+AB11*V12)),IF(AND(S11="Impacto",S12="Probabilidad"),(#REF!-(+#REF!*V12)),IF(S12="Impacto",AB11,""))),"")</f>
        <v/>
      </c>
      <c r="AA12" s="123" t="str">
        <f t="shared" si="2"/>
        <v/>
      </c>
      <c r="AB12" s="124" t="str">
        <f t="shared" si="3"/>
        <v/>
      </c>
      <c r="AC12" s="123" t="str">
        <f t="shared" si="4"/>
        <v/>
      </c>
      <c r="AD12" s="124" t="str">
        <f>IFERROR(IF(AND(S11="Impacto",S12="Impacto"),(AD11-(+AD11*V12)),IF(AND(S11="Probabilidad",S12="Impacto"),(#REF!-(+#REF!*V12)),IF(S12="Probabilidad",AD11,""))),"")</f>
        <v/>
      </c>
      <c r="AE12" s="125" t="str">
        <f t="shared" si="5"/>
        <v/>
      </c>
      <c r="AF12" s="126" t="s">
        <v>131</v>
      </c>
      <c r="AG12" s="157" t="s">
        <v>221</v>
      </c>
      <c r="AH12" s="116" t="s">
        <v>215</v>
      </c>
      <c r="AI12" s="155" t="s">
        <v>236</v>
      </c>
      <c r="AJ12" s="154">
        <v>45476</v>
      </c>
      <c r="AK12" s="163" t="s">
        <v>239</v>
      </c>
      <c r="AL12" s="116" t="s">
        <v>40</v>
      </c>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369.6" x14ac:dyDescent="0.25">
      <c r="A13" s="227"/>
      <c r="B13" s="273"/>
      <c r="C13" s="273"/>
      <c r="D13" s="300"/>
      <c r="E13" s="144" t="s">
        <v>233</v>
      </c>
      <c r="F13" s="303"/>
      <c r="G13" s="287"/>
      <c r="H13" s="294"/>
      <c r="I13" s="297"/>
      <c r="J13" s="285"/>
      <c r="K13" s="279"/>
      <c r="L13" s="282"/>
      <c r="M13" s="279">
        <f>IF(NOT(ISERROR(MATCH(L13,_xlfn.ANCHORARRAY(F24),0))),K26&amp;"Por favor no seleccionar los criterios de impacto",L13)</f>
        <v>0</v>
      </c>
      <c r="N13" s="285"/>
      <c r="O13" s="279"/>
      <c r="P13" s="276"/>
      <c r="Q13" s="105">
        <v>5</v>
      </c>
      <c r="R13" s="160" t="s">
        <v>225</v>
      </c>
      <c r="S13" s="107" t="str">
        <f t="shared" si="0"/>
        <v>Probabilidad</v>
      </c>
      <c r="T13" s="120" t="s">
        <v>15</v>
      </c>
      <c r="U13" s="120" t="s">
        <v>9</v>
      </c>
      <c r="V13" s="121" t="str">
        <f t="shared" si="1"/>
        <v>30%</v>
      </c>
      <c r="W13" s="120" t="s">
        <v>20</v>
      </c>
      <c r="X13" s="120" t="s">
        <v>22</v>
      </c>
      <c r="Y13" s="120" t="s">
        <v>113</v>
      </c>
      <c r="Z13" s="110" t="str">
        <f t="shared" ref="Z13" si="6">IFERROR(IF(AND(S12="Probabilidad",S13="Probabilidad"),(AB12-(+AB12*V13)),IF(AND(S12="Impacto",S13="Probabilidad"),(AB11-(+AB11*V13)),IF(S13="Impacto",AB12,""))),"")</f>
        <v/>
      </c>
      <c r="AA13" s="123" t="str">
        <f t="shared" si="2"/>
        <v/>
      </c>
      <c r="AB13" s="124" t="str">
        <f t="shared" si="3"/>
        <v/>
      </c>
      <c r="AC13" s="123" t="str">
        <f t="shared" si="4"/>
        <v/>
      </c>
      <c r="AD13" s="124" t="str">
        <f t="shared" ref="AD13" si="7">IFERROR(IF(AND(S12="Impacto",S13="Impacto"),(AD12-(+AD12*V13)),IF(AND(S12="Probabilidad",S13="Impacto"),(AD11-(+AD11*V13)),IF(S13="Probabilidad",AD12,""))),"")</f>
        <v/>
      </c>
      <c r="AE13" s="125" t="str">
        <f t="shared" si="5"/>
        <v/>
      </c>
      <c r="AF13" s="126" t="s">
        <v>130</v>
      </c>
      <c r="AG13" s="157" t="s">
        <v>227</v>
      </c>
      <c r="AH13" s="116" t="s">
        <v>215</v>
      </c>
      <c r="AI13" s="155" t="s">
        <v>236</v>
      </c>
      <c r="AJ13" s="154">
        <v>45476</v>
      </c>
      <c r="AK13" s="163" t="s">
        <v>240</v>
      </c>
      <c r="AL13" s="116" t="s">
        <v>40</v>
      </c>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5.6" x14ac:dyDescent="0.25">
      <c r="A14" s="228"/>
      <c r="B14" s="274"/>
      <c r="C14" s="274"/>
      <c r="D14" s="301"/>
      <c r="E14" s="144"/>
      <c r="F14" s="304"/>
      <c r="G14" s="287"/>
      <c r="H14" s="295"/>
      <c r="I14" s="298"/>
      <c r="J14" s="286"/>
      <c r="K14" s="280"/>
      <c r="L14" s="283"/>
      <c r="M14" s="280">
        <f>IF(NOT(ISERROR(MATCH(L14,_xlfn.ANCHORARRAY(F25),0))),K27&amp;"Por favor no seleccionar los criterios de impacto",L14)</f>
        <v>0</v>
      </c>
      <c r="N14" s="286"/>
      <c r="O14" s="280"/>
      <c r="P14" s="277"/>
      <c r="Q14" s="105"/>
      <c r="R14" s="119"/>
      <c r="S14" s="107" t="str">
        <f t="shared" ref="S14" si="8">IF(OR(T14="Preventivo",T14="Detectivo"),"Probabilidad",IF(T14="Correctivo","Impacto",""))</f>
        <v/>
      </c>
      <c r="T14" s="120"/>
      <c r="U14" s="120"/>
      <c r="V14" s="121" t="str">
        <f t="shared" ref="V14" si="9">IF(AND(T14="Preventivo",U14="Automático"),"50%",IF(AND(T14="Preventivo",U14="Manual"),"40%",IF(AND(T14="Detectivo",U14="Automático"),"40%",IF(AND(T14="Detectivo",U14="Manual"),"30%",IF(AND(T14="Correctivo",U14="Automático"),"35%",IF(AND(T14="Correctivo",U14="Manual"),"25%",""))))))</f>
        <v/>
      </c>
      <c r="W14" s="120"/>
      <c r="X14" s="120"/>
      <c r="Y14" s="120"/>
      <c r="Z14" s="110" t="str">
        <f t="shared" ref="Z14" si="10">IFERROR(IF(AND(S13="Probabilidad",S14="Probabilidad"),(AB13-(+AB13*V14)),IF(AND(S13="Impacto",S14="Probabilidad"),(AB12-(+AB12*V14)),IF(S14="Impacto",AB13,""))),"")</f>
        <v/>
      </c>
      <c r="AA14" s="123" t="str">
        <f t="shared" ref="AA14" si="11">IFERROR(IF(Z14="","",IF(Z14&lt;=0.2,"Muy Baja",IF(Z14&lt;=0.4,"Baja",IF(Z14&lt;=0.6,"Media",IF(Z14&lt;=0.8,"Alta","Muy Alta"))))),"")</f>
        <v/>
      </c>
      <c r="AB14" s="124" t="str">
        <f t="shared" ref="AB14" si="12">+Z14</f>
        <v/>
      </c>
      <c r="AC14" s="123" t="str">
        <f t="shared" ref="AC14" si="13">IFERROR(IF(AD14="","",IF(AD14&lt;=0.2,"Leve",IF(AD14&lt;=0.4,"Menor",IF(AD14&lt;=0.6,"Moderado",IF(AD14&lt;=0.8,"Mayor","Catastrófico"))))),"")</f>
        <v/>
      </c>
      <c r="AD14" s="124" t="str">
        <f t="shared" ref="AD14" si="14">IFERROR(IF(AND(S13="Impacto",S14="Impacto"),(AD13-(+AD13*V14)),IF(AND(S13="Probabilidad",S14="Impacto"),(AD12-(+AD12*V14)),IF(S14="Probabilidad",AD13,""))),"")</f>
        <v/>
      </c>
      <c r="AE14" s="125" t="str">
        <f t="shared" ref="AE14" si="15">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26"/>
      <c r="AG14" s="157"/>
      <c r="AH14" s="116"/>
      <c r="AI14" s="155"/>
      <c r="AJ14" s="154"/>
      <c r="AK14" s="161"/>
      <c r="AL14" s="116"/>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15.6" x14ac:dyDescent="0.25">
      <c r="A15" s="226"/>
      <c r="B15" s="272"/>
      <c r="C15" s="229"/>
      <c r="D15" s="244"/>
      <c r="E15" s="156"/>
      <c r="F15" s="247"/>
      <c r="G15" s="290"/>
      <c r="H15" s="248"/>
      <c r="I15" s="235"/>
      <c r="J15" s="238"/>
      <c r="K15" s="220"/>
      <c r="L15" s="241"/>
      <c r="M15" s="220"/>
      <c r="N15" s="238"/>
      <c r="O15" s="220"/>
      <c r="P15" s="223"/>
      <c r="Q15" s="105"/>
      <c r="R15" s="119"/>
      <c r="S15" s="107"/>
      <c r="T15" s="120"/>
      <c r="U15" s="120"/>
      <c r="V15" s="121"/>
      <c r="W15" s="120"/>
      <c r="X15" s="120"/>
      <c r="Y15" s="120"/>
      <c r="Z15" s="110"/>
      <c r="AA15" s="123"/>
      <c r="AB15" s="124"/>
      <c r="AC15" s="123"/>
      <c r="AD15" s="124"/>
      <c r="AE15" s="125"/>
      <c r="AF15" s="114"/>
      <c r="AG15" s="157"/>
      <c r="AH15" s="116"/>
      <c r="AI15" s="155"/>
      <c r="AJ15" s="154"/>
      <c r="AK15" s="161"/>
      <c r="AL15" s="116"/>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5.6" x14ac:dyDescent="0.25">
      <c r="A16" s="227"/>
      <c r="B16" s="273"/>
      <c r="C16" s="230"/>
      <c r="D16" s="245"/>
      <c r="E16" s="156"/>
      <c r="F16" s="247"/>
      <c r="G16" s="291"/>
      <c r="H16" s="249"/>
      <c r="I16" s="236"/>
      <c r="J16" s="239"/>
      <c r="K16" s="221"/>
      <c r="L16" s="242"/>
      <c r="M16" s="221"/>
      <c r="N16" s="239"/>
      <c r="O16" s="221"/>
      <c r="P16" s="224"/>
      <c r="Q16" s="105"/>
      <c r="R16" s="160"/>
      <c r="S16" s="107"/>
      <c r="T16" s="120"/>
      <c r="U16" s="120"/>
      <c r="V16" s="121"/>
      <c r="W16" s="120"/>
      <c r="X16" s="120"/>
      <c r="Y16" s="120"/>
      <c r="Z16" s="110"/>
      <c r="AA16" s="123"/>
      <c r="AB16" s="124"/>
      <c r="AC16" s="123"/>
      <c r="AD16" s="124"/>
      <c r="AE16" s="125"/>
      <c r="AF16" s="114"/>
      <c r="AG16" s="157"/>
      <c r="AH16" s="116"/>
      <c r="AI16" s="155"/>
      <c r="AJ16" s="154"/>
      <c r="AK16" s="161"/>
      <c r="AL16" s="11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6" x14ac:dyDescent="0.25">
      <c r="A17" s="227"/>
      <c r="B17" s="273"/>
      <c r="C17" s="230"/>
      <c r="D17" s="245"/>
      <c r="E17" s="156"/>
      <c r="F17" s="247"/>
      <c r="G17" s="291"/>
      <c r="H17" s="249"/>
      <c r="I17" s="236"/>
      <c r="J17" s="239"/>
      <c r="K17" s="221"/>
      <c r="L17" s="242"/>
      <c r="M17" s="221"/>
      <c r="N17" s="239"/>
      <c r="O17" s="221"/>
      <c r="P17" s="224"/>
      <c r="Q17" s="105"/>
      <c r="R17" s="118"/>
      <c r="S17" s="107"/>
      <c r="T17" s="120"/>
      <c r="U17" s="120"/>
      <c r="V17" s="121"/>
      <c r="W17" s="120"/>
      <c r="X17" s="120"/>
      <c r="Y17" s="120"/>
      <c r="Z17" s="110"/>
      <c r="AA17" s="123"/>
      <c r="AB17" s="124"/>
      <c r="AC17" s="123"/>
      <c r="AD17" s="124"/>
      <c r="AE17" s="125"/>
      <c r="AF17" s="114"/>
      <c r="AG17" s="157"/>
      <c r="AH17" s="115"/>
      <c r="AI17" s="155"/>
      <c r="AJ17" s="117"/>
      <c r="AK17" s="119"/>
      <c r="AL17" s="11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5.6" x14ac:dyDescent="0.25">
      <c r="A18" s="227"/>
      <c r="B18" s="273"/>
      <c r="C18" s="230"/>
      <c r="D18" s="245"/>
      <c r="E18" s="145"/>
      <c r="F18" s="247"/>
      <c r="G18" s="291"/>
      <c r="H18" s="249"/>
      <c r="I18" s="236"/>
      <c r="J18" s="239"/>
      <c r="K18" s="221"/>
      <c r="L18" s="242"/>
      <c r="M18" s="221"/>
      <c r="N18" s="239"/>
      <c r="O18" s="221"/>
      <c r="P18" s="224"/>
      <c r="Q18" s="105"/>
      <c r="R18" s="158"/>
      <c r="S18" s="107"/>
      <c r="T18" s="120"/>
      <c r="U18" s="120"/>
      <c r="V18" s="121"/>
      <c r="W18" s="120"/>
      <c r="X18" s="120"/>
      <c r="Y18" s="120"/>
      <c r="Z18" s="110"/>
      <c r="AA18" s="123"/>
      <c r="AB18" s="124"/>
      <c r="AC18" s="123"/>
      <c r="AD18" s="124"/>
      <c r="AE18" s="125"/>
      <c r="AF18" s="114"/>
      <c r="AG18" s="115"/>
      <c r="AH18" s="116"/>
      <c r="AI18" s="155"/>
      <c r="AJ18" s="117"/>
      <c r="AK18" s="119"/>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15.6" x14ac:dyDescent="0.25">
      <c r="A19" s="227"/>
      <c r="B19" s="273"/>
      <c r="C19" s="230"/>
      <c r="D19" s="245"/>
      <c r="E19" s="145"/>
      <c r="F19" s="247"/>
      <c r="G19" s="291"/>
      <c r="H19" s="249"/>
      <c r="I19" s="236"/>
      <c r="J19" s="239"/>
      <c r="K19" s="221"/>
      <c r="L19" s="242"/>
      <c r="M19" s="221"/>
      <c r="N19" s="239"/>
      <c r="O19" s="221"/>
      <c r="P19" s="224"/>
      <c r="Q19" s="105"/>
      <c r="R19" s="106"/>
      <c r="S19" s="107"/>
      <c r="T19" s="120"/>
      <c r="U19" s="120"/>
      <c r="V19" s="121"/>
      <c r="W19" s="120"/>
      <c r="X19" s="120"/>
      <c r="Y19" s="120"/>
      <c r="Z19" s="110"/>
      <c r="AA19" s="123"/>
      <c r="AB19" s="124"/>
      <c r="AC19" s="123"/>
      <c r="AD19" s="124"/>
      <c r="AE19" s="125"/>
      <c r="AF19" s="114"/>
      <c r="AG19" s="115"/>
      <c r="AH19" s="116"/>
      <c r="AI19" s="117"/>
      <c r="AJ19" s="117"/>
      <c r="AK19" s="119"/>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5.6" x14ac:dyDescent="0.25">
      <c r="A20" s="228"/>
      <c r="B20" s="274"/>
      <c r="C20" s="231"/>
      <c r="D20" s="246"/>
      <c r="E20" s="145"/>
      <c r="F20" s="247"/>
      <c r="G20" s="292"/>
      <c r="H20" s="250"/>
      <c r="I20" s="237"/>
      <c r="J20" s="240"/>
      <c r="K20" s="222"/>
      <c r="L20" s="243"/>
      <c r="M20" s="222"/>
      <c r="N20" s="240"/>
      <c r="O20" s="222"/>
      <c r="P20" s="225"/>
      <c r="Q20" s="105"/>
      <c r="R20" s="106"/>
      <c r="S20" s="107"/>
      <c r="T20" s="120"/>
      <c r="U20" s="120"/>
      <c r="V20" s="121"/>
      <c r="W20" s="120"/>
      <c r="X20" s="120"/>
      <c r="Y20" s="120"/>
      <c r="Z20" s="110"/>
      <c r="AA20" s="123"/>
      <c r="AB20" s="124"/>
      <c r="AC20" s="123"/>
      <c r="AD20" s="124"/>
      <c r="AE20" s="125"/>
      <c r="AF20" s="114"/>
      <c r="AG20" s="115"/>
      <c r="AH20" s="116"/>
      <c r="AI20" s="117"/>
      <c r="AJ20" s="117"/>
      <c r="AK20" s="119"/>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5.6" x14ac:dyDescent="0.25">
      <c r="A21" s="226"/>
      <c r="B21" s="272"/>
      <c r="C21" s="251"/>
      <c r="D21" s="251"/>
      <c r="E21" s="145"/>
      <c r="F21" s="247"/>
      <c r="G21" s="254"/>
      <c r="H21" s="248"/>
      <c r="I21" s="235"/>
      <c r="J21" s="238"/>
      <c r="K21" s="220"/>
      <c r="L21" s="241"/>
      <c r="M21" s="220"/>
      <c r="N21" s="238"/>
      <c r="O21" s="220"/>
      <c r="P21" s="223"/>
      <c r="Q21" s="105"/>
      <c r="R21" s="160"/>
      <c r="S21" s="107"/>
      <c r="T21" s="108"/>
      <c r="U21" s="108"/>
      <c r="V21" s="109"/>
      <c r="W21" s="108"/>
      <c r="X21" s="108"/>
      <c r="Y21" s="108"/>
      <c r="Z21" s="110"/>
      <c r="AA21" s="111"/>
      <c r="AB21" s="112"/>
      <c r="AC21" s="111"/>
      <c r="AD21" s="112"/>
      <c r="AE21" s="113"/>
      <c r="AF21" s="114"/>
      <c r="AG21" s="157"/>
      <c r="AH21" s="116"/>
      <c r="AI21" s="155"/>
      <c r="AJ21" s="154"/>
      <c r="AK21" s="161"/>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5.6" x14ac:dyDescent="0.25">
      <c r="A22" s="227"/>
      <c r="B22" s="273"/>
      <c r="C22" s="252"/>
      <c r="D22" s="252"/>
      <c r="E22" s="145"/>
      <c r="F22" s="247"/>
      <c r="G22" s="255"/>
      <c r="H22" s="249"/>
      <c r="I22" s="236"/>
      <c r="J22" s="239"/>
      <c r="K22" s="221"/>
      <c r="L22" s="242"/>
      <c r="M22" s="221"/>
      <c r="N22" s="239"/>
      <c r="O22" s="221"/>
      <c r="P22" s="224"/>
      <c r="Q22" s="105"/>
      <c r="R22" s="119"/>
      <c r="S22" s="107"/>
      <c r="T22" s="108"/>
      <c r="U22" s="108"/>
      <c r="V22" s="109"/>
      <c r="W22" s="108"/>
      <c r="X22" s="108"/>
      <c r="Y22" s="108"/>
      <c r="Z22" s="110"/>
      <c r="AA22" s="111"/>
      <c r="AB22" s="112"/>
      <c r="AC22" s="111"/>
      <c r="AD22" s="112"/>
      <c r="AE22" s="113"/>
      <c r="AF22" s="114"/>
      <c r="AG22" s="157"/>
      <c r="AH22" s="116"/>
      <c r="AI22" s="155"/>
      <c r="AJ22" s="154"/>
      <c r="AK22" s="161"/>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x14ac:dyDescent="0.25">
      <c r="A23" s="227"/>
      <c r="B23" s="273"/>
      <c r="C23" s="252"/>
      <c r="D23" s="252"/>
      <c r="E23" s="145"/>
      <c r="F23" s="247"/>
      <c r="G23" s="255"/>
      <c r="H23" s="249"/>
      <c r="I23" s="236"/>
      <c r="J23" s="239"/>
      <c r="K23" s="221"/>
      <c r="L23" s="242"/>
      <c r="M23" s="221"/>
      <c r="N23" s="239"/>
      <c r="O23" s="221"/>
      <c r="P23" s="224"/>
      <c r="Q23" s="105"/>
      <c r="R23" s="118"/>
      <c r="S23" s="107"/>
      <c r="T23" s="108"/>
      <c r="U23" s="108"/>
      <c r="V23" s="109"/>
      <c r="W23" s="108"/>
      <c r="X23" s="108"/>
      <c r="Y23" s="108"/>
      <c r="Z23" s="110"/>
      <c r="AA23" s="111"/>
      <c r="AB23" s="112"/>
      <c r="AC23" s="111"/>
      <c r="AD23" s="112"/>
      <c r="AE23" s="113"/>
      <c r="AF23" s="114"/>
      <c r="AG23" s="115"/>
      <c r="AH23" s="116"/>
      <c r="AI23" s="117"/>
      <c r="AJ23" s="117"/>
      <c r="AK23" s="115"/>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x14ac:dyDescent="0.25">
      <c r="A24" s="227"/>
      <c r="B24" s="273"/>
      <c r="C24" s="252"/>
      <c r="D24" s="252"/>
      <c r="E24" s="145"/>
      <c r="F24" s="247"/>
      <c r="G24" s="255"/>
      <c r="H24" s="249"/>
      <c r="I24" s="236"/>
      <c r="J24" s="239"/>
      <c r="K24" s="221"/>
      <c r="L24" s="242"/>
      <c r="M24" s="221"/>
      <c r="N24" s="239"/>
      <c r="O24" s="221"/>
      <c r="P24" s="224"/>
      <c r="Q24" s="105"/>
      <c r="R24" s="106"/>
      <c r="S24" s="107"/>
      <c r="T24" s="108"/>
      <c r="U24" s="108"/>
      <c r="V24" s="109"/>
      <c r="W24" s="108"/>
      <c r="X24" s="108"/>
      <c r="Y24" s="108"/>
      <c r="Z24" s="110"/>
      <c r="AA24" s="111"/>
      <c r="AB24" s="112"/>
      <c r="AC24" s="111"/>
      <c r="AD24" s="112"/>
      <c r="AE24" s="113"/>
      <c r="AF24" s="114"/>
      <c r="AG24" s="115"/>
      <c r="AH24" s="116"/>
      <c r="AI24" s="117"/>
      <c r="AJ24" s="117"/>
      <c r="AK24" s="115"/>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x14ac:dyDescent="0.25">
      <c r="A25" s="227"/>
      <c r="B25" s="273"/>
      <c r="C25" s="252"/>
      <c r="D25" s="252"/>
      <c r="E25" s="145"/>
      <c r="F25" s="247"/>
      <c r="G25" s="255"/>
      <c r="H25" s="249"/>
      <c r="I25" s="236"/>
      <c r="J25" s="239"/>
      <c r="K25" s="221"/>
      <c r="L25" s="242"/>
      <c r="M25" s="221"/>
      <c r="N25" s="239"/>
      <c r="O25" s="221"/>
      <c r="P25" s="224"/>
      <c r="Q25" s="105"/>
      <c r="R25" s="106"/>
      <c r="S25" s="107"/>
      <c r="T25" s="108"/>
      <c r="U25" s="108"/>
      <c r="V25" s="109"/>
      <c r="W25" s="108"/>
      <c r="X25" s="108"/>
      <c r="Y25" s="108"/>
      <c r="Z25" s="110"/>
      <c r="AA25" s="111"/>
      <c r="AB25" s="112"/>
      <c r="AC25" s="111"/>
      <c r="AD25" s="112"/>
      <c r="AE25" s="113"/>
      <c r="AF25" s="114"/>
      <c r="AG25" s="115"/>
      <c r="AH25" s="116"/>
      <c r="AI25" s="117"/>
      <c r="AJ25" s="117"/>
      <c r="AK25" s="115"/>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x14ac:dyDescent="0.25">
      <c r="A26" s="228"/>
      <c r="B26" s="274"/>
      <c r="C26" s="253"/>
      <c r="D26" s="253"/>
      <c r="E26" s="145"/>
      <c r="F26" s="247"/>
      <c r="G26" s="256"/>
      <c r="H26" s="250"/>
      <c r="I26" s="237"/>
      <c r="J26" s="240"/>
      <c r="K26" s="222"/>
      <c r="L26" s="243"/>
      <c r="M26" s="222"/>
      <c r="N26" s="240"/>
      <c r="O26" s="222"/>
      <c r="P26" s="225"/>
      <c r="Q26" s="105"/>
      <c r="R26" s="106"/>
      <c r="S26" s="107"/>
      <c r="T26" s="108"/>
      <c r="U26" s="108"/>
      <c r="V26" s="109"/>
      <c r="W26" s="108"/>
      <c r="X26" s="108"/>
      <c r="Y26" s="108"/>
      <c r="Z26" s="110"/>
      <c r="AA26" s="111"/>
      <c r="AB26" s="112"/>
      <c r="AC26" s="111"/>
      <c r="AD26" s="112"/>
      <c r="AE26" s="113"/>
      <c r="AF26" s="114"/>
      <c r="AG26" s="115"/>
      <c r="AH26" s="116"/>
      <c r="AI26" s="117"/>
      <c r="AJ26" s="117"/>
      <c r="AK26" s="115"/>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x14ac:dyDescent="0.25">
      <c r="A27" s="226">
        <v>4</v>
      </c>
      <c r="B27" s="229"/>
      <c r="C27" s="229"/>
      <c r="D27" s="244"/>
      <c r="E27" s="145"/>
      <c r="F27" s="247"/>
      <c r="G27" s="146"/>
      <c r="H27" s="248"/>
      <c r="I27" s="235"/>
      <c r="J27" s="238" t="str">
        <f t="shared" ref="J27" si="16">IF(I27&lt;=0,"",IF(I27&lt;=2,"Muy Baja",IF(I27&lt;=24,"Baja",IF(I27&lt;=500,"Media",IF(I27&lt;=5000,"Alta","Muy Alta")))))</f>
        <v/>
      </c>
      <c r="K27" s="220" t="str">
        <f t="shared" ref="K27" si="17">IF(J27="","",IF(J27="Muy Baja",0.2,IF(J27="Baja",0.4,IF(J27="Media",0.6,IF(J27="Alta",0.8,IF(J27="Muy Alta",1,))))))</f>
        <v/>
      </c>
      <c r="L27" s="241"/>
      <c r="M27" s="220">
        <f>IF(NOT(ISERROR(MATCH(L27,'Tabla Impacto'!$B$221:$B$223,0))),'Tabla Impacto'!$F$223&amp;"Por favor no seleccionar los criterios de impacto(Afectación Económica o presupuestal y Pérdida Reputacional)",L27)</f>
        <v>0</v>
      </c>
      <c r="N27" s="238" t="str">
        <f>IF(OR(M27='Tabla Impacto'!$C$11,M27='Tabla Impacto'!$D$11),"Leve",IF(OR(M27='Tabla Impacto'!$C$12,M27='Tabla Impacto'!$D$12),"Menor",IF(OR(M27='Tabla Impacto'!$C$13,M27='Tabla Impacto'!$D$13),"Moderado",IF(OR(M27='Tabla Impacto'!$C$14,M27='Tabla Impacto'!$D$14),"Mayor",IF(OR(M27='Tabla Impacto'!$C$15,M27='Tabla Impacto'!$D$15),"Catastrófico","")))))</f>
        <v/>
      </c>
      <c r="O27" s="220" t="str">
        <f t="shared" ref="O27" si="18">IF(N27="","",IF(N27="Leve",0.2,IF(N27="Menor",0.4,IF(N27="Moderado",0.6,IF(N27="Mayor",0.8,IF(N27="Catastrófico",1,))))))</f>
        <v/>
      </c>
      <c r="P27" s="223" t="str">
        <f t="shared" ref="P27" si="19">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
      </c>
      <c r="Q27" s="105">
        <v>1</v>
      </c>
      <c r="R27" s="106"/>
      <c r="S27" s="107" t="str">
        <f>IF(OR(T27="Preventivo",T27="Detectivo"),"Probabilidad",IF(T27="Correctivo","Impacto",""))</f>
        <v/>
      </c>
      <c r="T27" s="108"/>
      <c r="U27" s="108"/>
      <c r="V27" s="109" t="str">
        <f>IF(AND(T27="Preventivo",U27="Automático"),"50%",IF(AND(T27="Preventivo",U27="Manual"),"40%",IF(AND(T27="Detectivo",U27="Automático"),"40%",IF(AND(T27="Detectivo",U27="Manual"),"30%",IF(AND(T27="Correctivo",U27="Automático"),"35%",IF(AND(T27="Correctivo",U27="Manual"),"25%",""))))))</f>
        <v/>
      </c>
      <c r="W27" s="108"/>
      <c r="X27" s="108"/>
      <c r="Y27" s="108"/>
      <c r="Z27" s="110" t="str">
        <f>IFERROR(IF(S27="Probabilidad",(K27-(+K27*V27)),IF(S27="Impacto",K27,"")),"")</f>
        <v/>
      </c>
      <c r="AA27" s="111" t="str">
        <f>IFERROR(IF(Z27="","",IF(Z27&lt;=0.2,"Muy Baja",IF(Z27&lt;=0.4,"Baja",IF(Z27&lt;=0.6,"Media",IF(Z27&lt;=0.8,"Alta","Muy Alta"))))),"")</f>
        <v/>
      </c>
      <c r="AB27" s="112" t="str">
        <f>+Z27</f>
        <v/>
      </c>
      <c r="AC27" s="111" t="str">
        <f>IFERROR(IF(AD27="","",IF(AD27&lt;=0.2,"Leve",IF(AD27&lt;=0.4,"Menor",IF(AD27&lt;=0.6,"Moderado",IF(AD27&lt;=0.8,"Mayor","Catastrófico"))))),"")</f>
        <v/>
      </c>
      <c r="AD27" s="112" t="str">
        <f>IFERROR(IF(S27="Impacto",(O27-(+O27*V27)),IF(S27="Probabilidad",O27,"")),"")</f>
        <v/>
      </c>
      <c r="AE27" s="113" t="str">
        <f>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
      </c>
      <c r="AF27" s="114"/>
      <c r="AG27" s="115"/>
      <c r="AH27" s="116"/>
      <c r="AI27" s="117"/>
      <c r="AJ27" s="117"/>
      <c r="AK27" s="115"/>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x14ac:dyDescent="0.25">
      <c r="A28" s="227"/>
      <c r="B28" s="230"/>
      <c r="C28" s="230"/>
      <c r="D28" s="245"/>
      <c r="E28" s="145"/>
      <c r="F28" s="247"/>
      <c r="G28" s="146"/>
      <c r="H28" s="249"/>
      <c r="I28" s="236"/>
      <c r="J28" s="239"/>
      <c r="K28" s="221"/>
      <c r="L28" s="242"/>
      <c r="M28" s="221">
        <f>IF(NOT(ISERROR(MATCH(L28,_xlfn.ANCHORARRAY(F39),0))),K41&amp;"Por favor no seleccionar los criterios de impacto",L28)</f>
        <v>0</v>
      </c>
      <c r="N28" s="239"/>
      <c r="O28" s="221"/>
      <c r="P28" s="224"/>
      <c r="Q28" s="105">
        <v>2</v>
      </c>
      <c r="R28" s="106"/>
      <c r="S28" s="107" t="str">
        <f>IF(OR(T28="Preventivo",T28="Detectivo"),"Probabilidad",IF(T28="Correctivo","Impacto",""))</f>
        <v/>
      </c>
      <c r="T28" s="108"/>
      <c r="U28" s="108"/>
      <c r="V28" s="109" t="str">
        <f t="shared" ref="V28:V32" si="20">IF(AND(T28="Preventivo",U28="Automático"),"50%",IF(AND(T28="Preventivo",U28="Manual"),"40%",IF(AND(T28="Detectivo",U28="Automático"),"40%",IF(AND(T28="Detectivo",U28="Manual"),"30%",IF(AND(T28="Correctivo",U28="Automático"),"35%",IF(AND(T28="Correctivo",U28="Manual"),"25%",""))))))</f>
        <v/>
      </c>
      <c r="W28" s="108"/>
      <c r="X28" s="108"/>
      <c r="Y28" s="108"/>
      <c r="Z28" s="110" t="str">
        <f>IFERROR(IF(AND(S27="Probabilidad",S28="Probabilidad"),(AB27-(+AB27*V28)),IF(AND(S27="Impacto",S28="Probabilidad"),(AB26-(+AB26*V28)),IF(S28="Impacto",AB27,""))),"")</f>
        <v/>
      </c>
      <c r="AA28" s="111" t="str">
        <f t="shared" ref="AA28:AA32" si="21">IFERROR(IF(Z28="","",IF(Z28&lt;=0.2,"Muy Baja",IF(Z28&lt;=0.4,"Baja",IF(Z28&lt;=0.6,"Media",IF(Z28&lt;=0.8,"Alta","Muy Alta"))))),"")</f>
        <v/>
      </c>
      <c r="AB28" s="112" t="str">
        <f t="shared" ref="AB28:AB32" si="22">+Z28</f>
        <v/>
      </c>
      <c r="AC28" s="111" t="str">
        <f t="shared" ref="AC28:AC32" si="23">IFERROR(IF(AD28="","",IF(AD28&lt;=0.2,"Leve",IF(AD28&lt;=0.4,"Menor",IF(AD28&lt;=0.6,"Moderado",IF(AD28&lt;=0.8,"Mayor","Catastrófico"))))),"")</f>
        <v/>
      </c>
      <c r="AD28" s="112" t="str">
        <f>IFERROR(IF(AND(S27="Impacto",S28="Impacto"),(AD27-(+AD27*V28)),IF(AND(S27="Probabilidad",S28="Impacto"),(AD26-(+AD26*V28)),IF(S28="Probabilidad",AD27,""))),"")</f>
        <v/>
      </c>
      <c r="AE28" s="113" t="str">
        <f t="shared" ref="AE28:AE32" si="24">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4"/>
      <c r="AG28" s="115"/>
      <c r="AH28" s="116"/>
      <c r="AI28" s="117"/>
      <c r="AJ28" s="117"/>
      <c r="AK28" s="115"/>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x14ac:dyDescent="0.25">
      <c r="A29" s="227"/>
      <c r="B29" s="230"/>
      <c r="C29" s="230"/>
      <c r="D29" s="245"/>
      <c r="E29" s="145"/>
      <c r="F29" s="247"/>
      <c r="G29" s="146"/>
      <c r="H29" s="249"/>
      <c r="I29" s="236"/>
      <c r="J29" s="239"/>
      <c r="K29" s="221"/>
      <c r="L29" s="242"/>
      <c r="M29" s="221">
        <f>IF(NOT(ISERROR(MATCH(L29,_xlfn.ANCHORARRAY(F40),0))),K42&amp;"Por favor no seleccionar los criterios de impacto",L29)</f>
        <v>0</v>
      </c>
      <c r="N29" s="239"/>
      <c r="O29" s="221"/>
      <c r="P29" s="224"/>
      <c r="Q29" s="105">
        <v>3</v>
      </c>
      <c r="R29" s="118"/>
      <c r="S29" s="107" t="str">
        <f>IF(OR(T29="Preventivo",T29="Detectivo"),"Probabilidad",IF(T29="Correctivo","Impacto",""))</f>
        <v/>
      </c>
      <c r="T29" s="108"/>
      <c r="U29" s="108"/>
      <c r="V29" s="109" t="str">
        <f t="shared" si="20"/>
        <v/>
      </c>
      <c r="W29" s="108"/>
      <c r="X29" s="108"/>
      <c r="Y29" s="108"/>
      <c r="Z29" s="110" t="str">
        <f t="shared" ref="Z29:Z32" si="25">IFERROR(IF(AND(S28="Probabilidad",S29="Probabilidad"),(AB28-(+AB28*V29)),IF(AND(S28="Impacto",S29="Probabilidad"),(AB27-(+AB27*V29)),IF(S29="Impacto",AB28,""))),"")</f>
        <v/>
      </c>
      <c r="AA29" s="111" t="str">
        <f t="shared" si="21"/>
        <v/>
      </c>
      <c r="AB29" s="112" t="str">
        <f t="shared" si="22"/>
        <v/>
      </c>
      <c r="AC29" s="111" t="str">
        <f t="shared" si="23"/>
        <v/>
      </c>
      <c r="AD29" s="112" t="str">
        <f t="shared" ref="AD29:AD32" si="26">IFERROR(IF(AND(S28="Impacto",S29="Impacto"),(AD28-(+AD28*V29)),IF(AND(S28="Probabilidad",S29="Impacto"),(AD27-(+AD27*V29)),IF(S29="Probabilidad",AD28,""))),"")</f>
        <v/>
      </c>
      <c r="AE29" s="113" t="str">
        <f t="shared" si="24"/>
        <v/>
      </c>
      <c r="AF29" s="114"/>
      <c r="AG29" s="115"/>
      <c r="AH29" s="116"/>
      <c r="AI29" s="117"/>
      <c r="AJ29" s="117"/>
      <c r="AK29" s="115"/>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x14ac:dyDescent="0.25">
      <c r="A30" s="227"/>
      <c r="B30" s="230"/>
      <c r="C30" s="230"/>
      <c r="D30" s="245"/>
      <c r="E30" s="145"/>
      <c r="F30" s="247"/>
      <c r="G30" s="146"/>
      <c r="H30" s="249"/>
      <c r="I30" s="236"/>
      <c r="J30" s="239"/>
      <c r="K30" s="221"/>
      <c r="L30" s="242"/>
      <c r="M30" s="221">
        <f>IF(NOT(ISERROR(MATCH(L30,_xlfn.ANCHORARRAY(F41),0))),K43&amp;"Por favor no seleccionar los criterios de impacto",L30)</f>
        <v>0</v>
      </c>
      <c r="N30" s="239"/>
      <c r="O30" s="221"/>
      <c r="P30" s="224"/>
      <c r="Q30" s="105">
        <v>4</v>
      </c>
      <c r="R30" s="106"/>
      <c r="S30" s="107" t="str">
        <f t="shared" ref="S30:S32" si="27">IF(OR(T30="Preventivo",T30="Detectivo"),"Probabilidad",IF(T30="Correctivo","Impacto",""))</f>
        <v/>
      </c>
      <c r="T30" s="108"/>
      <c r="U30" s="108"/>
      <c r="V30" s="109" t="str">
        <f t="shared" si="20"/>
        <v/>
      </c>
      <c r="W30" s="108"/>
      <c r="X30" s="108"/>
      <c r="Y30" s="108"/>
      <c r="Z30" s="110" t="str">
        <f t="shared" si="25"/>
        <v/>
      </c>
      <c r="AA30" s="111" t="str">
        <f t="shared" si="21"/>
        <v/>
      </c>
      <c r="AB30" s="112" t="str">
        <f t="shared" si="22"/>
        <v/>
      </c>
      <c r="AC30" s="111" t="str">
        <f t="shared" si="23"/>
        <v/>
      </c>
      <c r="AD30" s="112" t="str">
        <f t="shared" si="26"/>
        <v/>
      </c>
      <c r="AE30" s="113" t="str">
        <f t="shared" si="24"/>
        <v/>
      </c>
      <c r="AF30" s="114"/>
      <c r="AG30" s="115"/>
      <c r="AH30" s="116"/>
      <c r="AI30" s="117"/>
      <c r="AJ30" s="117"/>
      <c r="AK30" s="115"/>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x14ac:dyDescent="0.25">
      <c r="A31" s="227"/>
      <c r="B31" s="230"/>
      <c r="C31" s="230"/>
      <c r="D31" s="245"/>
      <c r="E31" s="145"/>
      <c r="F31" s="247"/>
      <c r="G31" s="146"/>
      <c r="H31" s="249"/>
      <c r="I31" s="236"/>
      <c r="J31" s="239"/>
      <c r="K31" s="221"/>
      <c r="L31" s="242"/>
      <c r="M31" s="221">
        <f>IF(NOT(ISERROR(MATCH(L31,_xlfn.ANCHORARRAY(F42),0))),K44&amp;"Por favor no seleccionar los criterios de impacto",L31)</f>
        <v>0</v>
      </c>
      <c r="N31" s="239"/>
      <c r="O31" s="221"/>
      <c r="P31" s="224"/>
      <c r="Q31" s="105">
        <v>5</v>
      </c>
      <c r="R31" s="106"/>
      <c r="S31" s="107" t="str">
        <f t="shared" si="27"/>
        <v/>
      </c>
      <c r="T31" s="108"/>
      <c r="U31" s="108"/>
      <c r="V31" s="109" t="str">
        <f t="shared" si="20"/>
        <v/>
      </c>
      <c r="W31" s="108"/>
      <c r="X31" s="108"/>
      <c r="Y31" s="108"/>
      <c r="Z31" s="110" t="str">
        <f t="shared" si="25"/>
        <v/>
      </c>
      <c r="AA31" s="111" t="str">
        <f t="shared" si="21"/>
        <v/>
      </c>
      <c r="AB31" s="112" t="str">
        <f t="shared" si="22"/>
        <v/>
      </c>
      <c r="AC31" s="111" t="str">
        <f t="shared" si="23"/>
        <v/>
      </c>
      <c r="AD31" s="112" t="str">
        <f t="shared" si="26"/>
        <v/>
      </c>
      <c r="AE31" s="113" t="str">
        <f t="shared" si="24"/>
        <v/>
      </c>
      <c r="AF31" s="114"/>
      <c r="AG31" s="115"/>
      <c r="AH31" s="116"/>
      <c r="AI31" s="117"/>
      <c r="AJ31" s="117"/>
      <c r="AK31" s="115"/>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x14ac:dyDescent="0.25">
      <c r="A32" s="228"/>
      <c r="B32" s="231"/>
      <c r="C32" s="231"/>
      <c r="D32" s="246"/>
      <c r="E32" s="145"/>
      <c r="F32" s="247"/>
      <c r="G32" s="146"/>
      <c r="H32" s="250"/>
      <c r="I32" s="237"/>
      <c r="J32" s="240"/>
      <c r="K32" s="222"/>
      <c r="L32" s="243"/>
      <c r="M32" s="222">
        <f>IF(NOT(ISERROR(MATCH(L32,_xlfn.ANCHORARRAY(F43),0))),K45&amp;"Por favor no seleccionar los criterios de impacto",L32)</f>
        <v>0</v>
      </c>
      <c r="N32" s="240"/>
      <c r="O32" s="222"/>
      <c r="P32" s="225"/>
      <c r="Q32" s="105">
        <v>6</v>
      </c>
      <c r="R32" s="106"/>
      <c r="S32" s="107" t="str">
        <f t="shared" si="27"/>
        <v/>
      </c>
      <c r="T32" s="108"/>
      <c r="U32" s="108"/>
      <c r="V32" s="109" t="str">
        <f t="shared" si="20"/>
        <v/>
      </c>
      <c r="W32" s="108"/>
      <c r="X32" s="108"/>
      <c r="Y32" s="108"/>
      <c r="Z32" s="110" t="str">
        <f t="shared" si="25"/>
        <v/>
      </c>
      <c r="AA32" s="111" t="str">
        <f t="shared" si="21"/>
        <v/>
      </c>
      <c r="AB32" s="112" t="str">
        <f t="shared" si="22"/>
        <v/>
      </c>
      <c r="AC32" s="111" t="str">
        <f t="shared" si="23"/>
        <v/>
      </c>
      <c r="AD32" s="112" t="str">
        <f t="shared" si="26"/>
        <v/>
      </c>
      <c r="AE32" s="113" t="str">
        <f t="shared" si="24"/>
        <v/>
      </c>
      <c r="AF32" s="114"/>
      <c r="AG32" s="115"/>
      <c r="AH32" s="116"/>
      <c r="AI32" s="117"/>
      <c r="AJ32" s="117"/>
      <c r="AK32" s="115"/>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x14ac:dyDescent="0.25">
      <c r="A33" s="226">
        <v>5</v>
      </c>
      <c r="B33" s="229"/>
      <c r="C33" s="229"/>
      <c r="D33" s="244"/>
      <c r="E33" s="145"/>
      <c r="F33" s="247"/>
      <c r="G33" s="146"/>
      <c r="H33" s="248"/>
      <c r="I33" s="235"/>
      <c r="J33" s="238" t="str">
        <f t="shared" ref="J33" si="28">IF(I33&lt;=0,"",IF(I33&lt;=2,"Muy Baja",IF(I33&lt;=24,"Baja",IF(I33&lt;=500,"Media",IF(I33&lt;=5000,"Alta","Muy Alta")))))</f>
        <v/>
      </c>
      <c r="K33" s="220" t="str">
        <f t="shared" ref="K33" si="29">IF(J33="","",IF(J33="Muy Baja",0.2,IF(J33="Baja",0.4,IF(J33="Media",0.6,IF(J33="Alta",0.8,IF(J33="Muy Alta",1,))))))</f>
        <v/>
      </c>
      <c r="L33" s="241"/>
      <c r="M33" s="220">
        <f>IF(NOT(ISERROR(MATCH(L33,'Tabla Impacto'!$B$221:$B$223,0))),'Tabla Impacto'!$F$223&amp;"Por favor no seleccionar los criterios de impacto(Afectación Económica o presupuestal y Pérdida Reputacional)",L33)</f>
        <v>0</v>
      </c>
      <c r="N33" s="238" t="str">
        <f>IF(OR(M33='Tabla Impacto'!$C$11,M33='Tabla Impacto'!$D$11),"Leve",IF(OR(M33='Tabla Impacto'!$C$12,M33='Tabla Impacto'!$D$12),"Menor",IF(OR(M33='Tabla Impacto'!$C$13,M33='Tabla Impacto'!$D$13),"Moderado",IF(OR(M33='Tabla Impacto'!$C$14,M33='Tabla Impacto'!$D$14),"Mayor",IF(OR(M33='Tabla Impacto'!$C$15,M33='Tabla Impacto'!$D$15),"Catastrófico","")))))</f>
        <v/>
      </c>
      <c r="O33" s="220" t="str">
        <f t="shared" ref="O33" si="30">IF(N33="","",IF(N33="Leve",0.2,IF(N33="Menor",0.4,IF(N33="Moderado",0.6,IF(N33="Mayor",0.8,IF(N33="Catastrófico",1,))))))</f>
        <v/>
      </c>
      <c r="P33" s="223" t="str">
        <f t="shared" ref="P33" si="31">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
      </c>
      <c r="Q33" s="105">
        <v>1</v>
      </c>
      <c r="R33" s="106"/>
      <c r="S33" s="107" t="s">
        <v>214</v>
      </c>
      <c r="T33" s="108"/>
      <c r="U33" s="108"/>
      <c r="V33" s="109" t="s">
        <v>214</v>
      </c>
      <c r="W33" s="108"/>
      <c r="X33" s="108"/>
      <c r="Y33" s="108"/>
      <c r="Z33" s="110" t="s">
        <v>214</v>
      </c>
      <c r="AA33" s="111" t="s">
        <v>214</v>
      </c>
      <c r="AB33" s="112" t="s">
        <v>214</v>
      </c>
      <c r="AC33" s="111" t="s">
        <v>214</v>
      </c>
      <c r="AD33" s="112" t="s">
        <v>214</v>
      </c>
      <c r="AE33" s="113" t="s">
        <v>214</v>
      </c>
      <c r="AF33" s="114"/>
      <c r="AG33" s="115"/>
      <c r="AH33" s="116"/>
      <c r="AI33" s="117"/>
      <c r="AJ33" s="117"/>
      <c r="AK33" s="115"/>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x14ac:dyDescent="0.25">
      <c r="A34" s="227"/>
      <c r="B34" s="230"/>
      <c r="C34" s="230"/>
      <c r="D34" s="245"/>
      <c r="E34" s="145"/>
      <c r="F34" s="247"/>
      <c r="G34" s="146"/>
      <c r="H34" s="249"/>
      <c r="I34" s="236"/>
      <c r="J34" s="239"/>
      <c r="K34" s="221"/>
      <c r="L34" s="242"/>
      <c r="M34" s="221">
        <f>IF(NOT(ISERROR(MATCH(L34,_xlfn.ANCHORARRAY(F45),0))),K47&amp;"Por favor no seleccionar los criterios de impacto",L34)</f>
        <v>0</v>
      </c>
      <c r="N34" s="239"/>
      <c r="O34" s="221"/>
      <c r="P34" s="224"/>
      <c r="Q34" s="105">
        <v>2</v>
      </c>
      <c r="R34" s="106"/>
      <c r="S34" s="107" t="s">
        <v>214</v>
      </c>
      <c r="T34" s="108"/>
      <c r="U34" s="108"/>
      <c r="V34" s="109" t="s">
        <v>214</v>
      </c>
      <c r="W34" s="108"/>
      <c r="X34" s="108"/>
      <c r="Y34" s="108"/>
      <c r="Z34" s="110" t="s">
        <v>214</v>
      </c>
      <c r="AA34" s="111" t="s">
        <v>214</v>
      </c>
      <c r="AB34" s="112" t="s">
        <v>214</v>
      </c>
      <c r="AC34" s="111" t="s">
        <v>214</v>
      </c>
      <c r="AD34" s="112" t="s">
        <v>214</v>
      </c>
      <c r="AE34" s="113" t="s">
        <v>214</v>
      </c>
      <c r="AF34" s="114"/>
      <c r="AG34" s="115"/>
      <c r="AH34" s="116"/>
      <c r="AI34" s="117"/>
      <c r="AJ34" s="117"/>
      <c r="AK34" s="115"/>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x14ac:dyDescent="0.25">
      <c r="A35" s="227"/>
      <c r="B35" s="230"/>
      <c r="C35" s="230"/>
      <c r="D35" s="245"/>
      <c r="E35" s="145"/>
      <c r="F35" s="247"/>
      <c r="G35" s="146"/>
      <c r="H35" s="249"/>
      <c r="I35" s="236"/>
      <c r="J35" s="239"/>
      <c r="K35" s="221"/>
      <c r="L35" s="242"/>
      <c r="M35" s="221">
        <f>IF(NOT(ISERROR(MATCH(L35,_xlfn.ANCHORARRAY(F46),0))),K48&amp;"Por favor no seleccionar los criterios de impacto",L35)</f>
        <v>0</v>
      </c>
      <c r="N35" s="239"/>
      <c r="O35" s="221"/>
      <c r="P35" s="224"/>
      <c r="Q35" s="105">
        <v>3</v>
      </c>
      <c r="R35" s="118"/>
      <c r="S35" s="107" t="s">
        <v>214</v>
      </c>
      <c r="T35" s="108"/>
      <c r="U35" s="108"/>
      <c r="V35" s="109" t="s">
        <v>214</v>
      </c>
      <c r="W35" s="108"/>
      <c r="X35" s="108"/>
      <c r="Y35" s="108"/>
      <c r="Z35" s="110" t="s">
        <v>214</v>
      </c>
      <c r="AA35" s="111" t="s">
        <v>214</v>
      </c>
      <c r="AB35" s="112" t="s">
        <v>214</v>
      </c>
      <c r="AC35" s="111" t="s">
        <v>214</v>
      </c>
      <c r="AD35" s="112" t="s">
        <v>214</v>
      </c>
      <c r="AE35" s="113" t="s">
        <v>214</v>
      </c>
      <c r="AF35" s="114"/>
      <c r="AG35" s="115"/>
      <c r="AH35" s="116"/>
      <c r="AI35" s="117"/>
      <c r="AJ35" s="117"/>
      <c r="AK35" s="115"/>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x14ac:dyDescent="0.25">
      <c r="A36" s="227"/>
      <c r="B36" s="230"/>
      <c r="C36" s="230"/>
      <c r="D36" s="245"/>
      <c r="E36" s="145"/>
      <c r="F36" s="247"/>
      <c r="G36" s="146"/>
      <c r="H36" s="249"/>
      <c r="I36" s="236"/>
      <c r="J36" s="239"/>
      <c r="K36" s="221"/>
      <c r="L36" s="242"/>
      <c r="M36" s="221">
        <f>IF(NOT(ISERROR(MATCH(L36,_xlfn.ANCHORARRAY(F47),0))),K49&amp;"Por favor no seleccionar los criterios de impacto",L36)</f>
        <v>0</v>
      </c>
      <c r="N36" s="239"/>
      <c r="O36" s="221"/>
      <c r="P36" s="224"/>
      <c r="Q36" s="105">
        <v>4</v>
      </c>
      <c r="R36" s="106"/>
      <c r="S36" s="107" t="s">
        <v>214</v>
      </c>
      <c r="T36" s="108"/>
      <c r="U36" s="108"/>
      <c r="V36" s="109" t="s">
        <v>214</v>
      </c>
      <c r="W36" s="108"/>
      <c r="X36" s="108"/>
      <c r="Y36" s="108"/>
      <c r="Z36" s="110" t="s">
        <v>214</v>
      </c>
      <c r="AA36" s="111" t="s">
        <v>214</v>
      </c>
      <c r="AB36" s="112" t="s">
        <v>214</v>
      </c>
      <c r="AC36" s="111" t="s">
        <v>214</v>
      </c>
      <c r="AD36" s="112" t="s">
        <v>214</v>
      </c>
      <c r="AE36" s="113" t="s">
        <v>214</v>
      </c>
      <c r="AF36" s="114"/>
      <c r="AG36" s="115"/>
      <c r="AH36" s="116"/>
      <c r="AI36" s="117"/>
      <c r="AJ36" s="117"/>
      <c r="AK36" s="115"/>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x14ac:dyDescent="0.25">
      <c r="A37" s="227"/>
      <c r="B37" s="230"/>
      <c r="C37" s="230"/>
      <c r="D37" s="245"/>
      <c r="E37" s="145"/>
      <c r="F37" s="247"/>
      <c r="G37" s="146"/>
      <c r="H37" s="249"/>
      <c r="I37" s="236"/>
      <c r="J37" s="239"/>
      <c r="K37" s="221"/>
      <c r="L37" s="242"/>
      <c r="M37" s="221">
        <f>IF(NOT(ISERROR(MATCH(L37,_xlfn.ANCHORARRAY(F48),0))),K50&amp;"Por favor no seleccionar los criterios de impacto",L37)</f>
        <v>0</v>
      </c>
      <c r="N37" s="239"/>
      <c r="O37" s="221"/>
      <c r="P37" s="224"/>
      <c r="Q37" s="105">
        <v>5</v>
      </c>
      <c r="R37" s="106"/>
      <c r="S37" s="107" t="s">
        <v>214</v>
      </c>
      <c r="T37" s="108"/>
      <c r="U37" s="108"/>
      <c r="V37" s="109" t="s">
        <v>214</v>
      </c>
      <c r="W37" s="108"/>
      <c r="X37" s="108"/>
      <c r="Y37" s="108"/>
      <c r="Z37" s="110" t="s">
        <v>214</v>
      </c>
      <c r="AA37" s="111" t="s">
        <v>214</v>
      </c>
      <c r="AB37" s="112" t="s">
        <v>214</v>
      </c>
      <c r="AC37" s="111" t="s">
        <v>214</v>
      </c>
      <c r="AD37" s="112" t="s">
        <v>214</v>
      </c>
      <c r="AE37" s="113" t="s">
        <v>214</v>
      </c>
      <c r="AF37" s="114"/>
      <c r="AG37" s="115"/>
      <c r="AH37" s="116"/>
      <c r="AI37" s="117"/>
      <c r="AJ37" s="117"/>
      <c r="AK37" s="115"/>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x14ac:dyDescent="0.25">
      <c r="A38" s="228"/>
      <c r="B38" s="231"/>
      <c r="C38" s="231"/>
      <c r="D38" s="246"/>
      <c r="E38" s="145"/>
      <c r="F38" s="247"/>
      <c r="G38" s="146"/>
      <c r="H38" s="250"/>
      <c r="I38" s="237"/>
      <c r="J38" s="240"/>
      <c r="K38" s="222"/>
      <c r="L38" s="243"/>
      <c r="M38" s="222">
        <f>IF(NOT(ISERROR(MATCH(L38,_xlfn.ANCHORARRAY(F49),0))),K51&amp;"Por favor no seleccionar los criterios de impacto",L38)</f>
        <v>0</v>
      </c>
      <c r="N38" s="240"/>
      <c r="O38" s="222"/>
      <c r="P38" s="225"/>
      <c r="Q38" s="105">
        <v>6</v>
      </c>
      <c r="R38" s="106"/>
      <c r="S38" s="107" t="s">
        <v>214</v>
      </c>
      <c r="T38" s="108"/>
      <c r="U38" s="108"/>
      <c r="V38" s="109" t="s">
        <v>214</v>
      </c>
      <c r="W38" s="108"/>
      <c r="X38" s="108"/>
      <c r="Y38" s="108"/>
      <c r="Z38" s="110" t="s">
        <v>214</v>
      </c>
      <c r="AA38" s="111" t="s">
        <v>214</v>
      </c>
      <c r="AB38" s="112" t="s">
        <v>214</v>
      </c>
      <c r="AC38" s="111" t="s">
        <v>214</v>
      </c>
      <c r="AD38" s="112" t="s">
        <v>214</v>
      </c>
      <c r="AE38" s="113" t="s">
        <v>214</v>
      </c>
      <c r="AF38" s="114"/>
      <c r="AG38" s="115"/>
      <c r="AH38" s="116"/>
      <c r="AI38" s="117"/>
      <c r="AJ38" s="117"/>
      <c r="AK38" s="115"/>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x14ac:dyDescent="0.25">
      <c r="A39" s="226">
        <v>6</v>
      </c>
      <c r="B39" s="229"/>
      <c r="C39" s="229"/>
      <c r="D39" s="244"/>
      <c r="E39" s="145"/>
      <c r="F39" s="247"/>
      <c r="G39" s="146"/>
      <c r="H39" s="248"/>
      <c r="I39" s="235"/>
      <c r="J39" s="238" t="str">
        <f t="shared" ref="J39" si="32">IF(I39&lt;=0,"",IF(I39&lt;=2,"Muy Baja",IF(I39&lt;=24,"Baja",IF(I39&lt;=500,"Media",IF(I39&lt;=5000,"Alta","Muy Alta")))))</f>
        <v/>
      </c>
      <c r="K39" s="220" t="str">
        <f t="shared" ref="K39" si="33">IF(J39="","",IF(J39="Muy Baja",0.2,IF(J39="Baja",0.4,IF(J39="Media",0.6,IF(J39="Alta",0.8,IF(J39="Muy Alta",1,))))))</f>
        <v/>
      </c>
      <c r="L39" s="241"/>
      <c r="M39" s="220">
        <f>IF(NOT(ISERROR(MATCH(L39,'Tabla Impacto'!$B$221:$B$223,0))),'Tabla Impacto'!$F$223&amp;"Por favor no seleccionar los criterios de impacto(Afectación Económica o presupuestal y Pérdida Reputacional)",L39)</f>
        <v>0</v>
      </c>
      <c r="N39" s="238" t="str">
        <f>IF(OR(M39='Tabla Impacto'!$C$11,M39='Tabla Impacto'!$D$11),"Leve",IF(OR(M39='Tabla Impacto'!$C$12,M39='Tabla Impacto'!$D$12),"Menor",IF(OR(M39='Tabla Impacto'!$C$13,M39='Tabla Impacto'!$D$13),"Moderado",IF(OR(M39='Tabla Impacto'!$C$14,M39='Tabla Impacto'!$D$14),"Mayor",IF(OR(M39='Tabla Impacto'!$C$15,M39='Tabla Impacto'!$D$15),"Catastrófico","")))))</f>
        <v/>
      </c>
      <c r="O39" s="220" t="str">
        <f t="shared" ref="O39" si="34">IF(N39="","",IF(N39="Leve",0.2,IF(N39="Menor",0.4,IF(N39="Moderado",0.6,IF(N39="Mayor",0.8,IF(N39="Catastrófico",1,))))))</f>
        <v/>
      </c>
      <c r="P39" s="223" t="str">
        <f t="shared" ref="P39" si="35">IF(OR(AND(J39="Muy Baja",N39="Leve"),AND(J39="Muy Baja",N39="Menor"),AND(J39="Baja",N39="Leve")),"Bajo",IF(OR(AND(J39="Muy baja",N39="Moderado"),AND(J39="Baja",N39="Menor"),AND(J39="Baja",N39="Moderado"),AND(J39="Media",N39="Leve"),AND(J39="Media",N39="Menor"),AND(J39="Media",N39="Moderado"),AND(J39="Alta",N39="Leve"),AND(J39="Alta",N39="Menor")),"Moderado",IF(OR(AND(J39="Muy Baja",N39="Mayor"),AND(J39="Baja",N39="Mayor"),AND(J39="Media",N39="Mayor"),AND(J39="Alta",N39="Moderado"),AND(J39="Alta",N39="Mayor"),AND(J39="Muy Alta",N39="Leve"),AND(J39="Muy Alta",N39="Menor"),AND(J39="Muy Alta",N39="Moderado"),AND(J39="Muy Alta",N39="Mayor")),"Alto",IF(OR(AND(J39="Muy Baja",N39="Catastrófico"),AND(J39="Baja",N39="Catastrófico"),AND(J39="Media",N39="Catastrófico"),AND(J39="Alta",N39="Catastrófico"),AND(J39="Muy Alta",N39="Catastrófico")),"Extremo",""))))</f>
        <v/>
      </c>
      <c r="Q39" s="105">
        <v>1</v>
      </c>
      <c r="R39" s="106"/>
      <c r="S39" s="107" t="s">
        <v>214</v>
      </c>
      <c r="T39" s="108"/>
      <c r="U39" s="108"/>
      <c r="V39" s="109" t="s">
        <v>214</v>
      </c>
      <c r="W39" s="108"/>
      <c r="X39" s="108"/>
      <c r="Y39" s="108"/>
      <c r="Z39" s="110" t="s">
        <v>214</v>
      </c>
      <c r="AA39" s="111" t="s">
        <v>214</v>
      </c>
      <c r="AB39" s="112" t="s">
        <v>214</v>
      </c>
      <c r="AC39" s="111" t="s">
        <v>214</v>
      </c>
      <c r="AD39" s="112" t="s">
        <v>214</v>
      </c>
      <c r="AE39" s="113" t="s">
        <v>214</v>
      </c>
      <c r="AF39" s="114"/>
      <c r="AG39" s="115"/>
      <c r="AH39" s="116"/>
      <c r="AI39" s="117"/>
      <c r="AJ39" s="117"/>
      <c r="AK39" s="115"/>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x14ac:dyDescent="0.25">
      <c r="A40" s="227"/>
      <c r="B40" s="230"/>
      <c r="C40" s="230"/>
      <c r="D40" s="245"/>
      <c r="E40" s="145"/>
      <c r="F40" s="247"/>
      <c r="G40" s="146"/>
      <c r="H40" s="249"/>
      <c r="I40" s="236"/>
      <c r="J40" s="239"/>
      <c r="K40" s="221"/>
      <c r="L40" s="242"/>
      <c r="M40" s="221">
        <f>IF(NOT(ISERROR(MATCH(L40,_xlfn.ANCHORARRAY(F51),0))),K53&amp;"Por favor no seleccionar los criterios de impacto",L40)</f>
        <v>0</v>
      </c>
      <c r="N40" s="239"/>
      <c r="O40" s="221"/>
      <c r="P40" s="224"/>
      <c r="Q40" s="105">
        <v>2</v>
      </c>
      <c r="R40" s="106"/>
      <c r="S40" s="107" t="s">
        <v>214</v>
      </c>
      <c r="T40" s="108"/>
      <c r="U40" s="108"/>
      <c r="V40" s="109" t="s">
        <v>214</v>
      </c>
      <c r="W40" s="108"/>
      <c r="X40" s="108"/>
      <c r="Y40" s="108"/>
      <c r="Z40" s="110" t="s">
        <v>214</v>
      </c>
      <c r="AA40" s="111" t="s">
        <v>214</v>
      </c>
      <c r="AB40" s="112" t="s">
        <v>214</v>
      </c>
      <c r="AC40" s="111" t="s">
        <v>214</v>
      </c>
      <c r="AD40" s="112" t="s">
        <v>214</v>
      </c>
      <c r="AE40" s="113" t="s">
        <v>214</v>
      </c>
      <c r="AF40" s="114"/>
      <c r="AG40" s="115"/>
      <c r="AH40" s="116"/>
      <c r="AI40" s="117"/>
      <c r="AJ40" s="117"/>
      <c r="AK40" s="115"/>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x14ac:dyDescent="0.25">
      <c r="A41" s="227"/>
      <c r="B41" s="230"/>
      <c r="C41" s="230"/>
      <c r="D41" s="245"/>
      <c r="E41" s="145"/>
      <c r="F41" s="247"/>
      <c r="G41" s="146"/>
      <c r="H41" s="249"/>
      <c r="I41" s="236"/>
      <c r="J41" s="239"/>
      <c r="K41" s="221"/>
      <c r="L41" s="242"/>
      <c r="M41" s="221">
        <f>IF(NOT(ISERROR(MATCH(L41,_xlfn.ANCHORARRAY(F52),0))),K54&amp;"Por favor no seleccionar los criterios de impacto",L41)</f>
        <v>0</v>
      </c>
      <c r="N41" s="239"/>
      <c r="O41" s="221"/>
      <c r="P41" s="224"/>
      <c r="Q41" s="105">
        <v>3</v>
      </c>
      <c r="R41" s="118"/>
      <c r="S41" s="107" t="s">
        <v>214</v>
      </c>
      <c r="T41" s="108"/>
      <c r="U41" s="108"/>
      <c r="V41" s="109" t="s">
        <v>214</v>
      </c>
      <c r="W41" s="108"/>
      <c r="X41" s="108"/>
      <c r="Y41" s="108"/>
      <c r="Z41" s="110" t="s">
        <v>214</v>
      </c>
      <c r="AA41" s="111" t="s">
        <v>214</v>
      </c>
      <c r="AB41" s="112" t="s">
        <v>214</v>
      </c>
      <c r="AC41" s="111" t="s">
        <v>214</v>
      </c>
      <c r="AD41" s="112" t="s">
        <v>214</v>
      </c>
      <c r="AE41" s="113" t="s">
        <v>214</v>
      </c>
      <c r="AF41" s="114"/>
      <c r="AG41" s="115"/>
      <c r="AH41" s="116"/>
      <c r="AI41" s="117"/>
      <c r="AJ41" s="117"/>
      <c r="AK41" s="115"/>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x14ac:dyDescent="0.25">
      <c r="A42" s="227"/>
      <c r="B42" s="230"/>
      <c r="C42" s="230"/>
      <c r="D42" s="245"/>
      <c r="E42" s="145"/>
      <c r="F42" s="247"/>
      <c r="G42" s="146"/>
      <c r="H42" s="249"/>
      <c r="I42" s="236"/>
      <c r="J42" s="239"/>
      <c r="K42" s="221"/>
      <c r="L42" s="242"/>
      <c r="M42" s="221">
        <f>IF(NOT(ISERROR(MATCH(L42,_xlfn.ANCHORARRAY(F53),0))),K55&amp;"Por favor no seleccionar los criterios de impacto",L42)</f>
        <v>0</v>
      </c>
      <c r="N42" s="239"/>
      <c r="O42" s="221"/>
      <c r="P42" s="224"/>
      <c r="Q42" s="105">
        <v>4</v>
      </c>
      <c r="R42" s="106"/>
      <c r="S42" s="107" t="s">
        <v>214</v>
      </c>
      <c r="T42" s="108"/>
      <c r="U42" s="108"/>
      <c r="V42" s="109" t="s">
        <v>214</v>
      </c>
      <c r="W42" s="108"/>
      <c r="X42" s="108"/>
      <c r="Y42" s="108"/>
      <c r="Z42" s="110" t="s">
        <v>214</v>
      </c>
      <c r="AA42" s="111" t="s">
        <v>214</v>
      </c>
      <c r="AB42" s="112" t="s">
        <v>214</v>
      </c>
      <c r="AC42" s="111" t="s">
        <v>214</v>
      </c>
      <c r="AD42" s="112" t="s">
        <v>214</v>
      </c>
      <c r="AE42" s="113" t="s">
        <v>214</v>
      </c>
      <c r="AF42" s="114"/>
      <c r="AG42" s="115"/>
      <c r="AH42" s="116"/>
      <c r="AI42" s="117"/>
      <c r="AJ42" s="117"/>
      <c r="AK42" s="115"/>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x14ac:dyDescent="0.25">
      <c r="A43" s="227"/>
      <c r="B43" s="230"/>
      <c r="C43" s="230"/>
      <c r="D43" s="245"/>
      <c r="E43" s="145"/>
      <c r="F43" s="247"/>
      <c r="G43" s="146"/>
      <c r="H43" s="249"/>
      <c r="I43" s="236"/>
      <c r="J43" s="239"/>
      <c r="K43" s="221"/>
      <c r="L43" s="242"/>
      <c r="M43" s="221">
        <f>IF(NOT(ISERROR(MATCH(L43,_xlfn.ANCHORARRAY(F54),0))),K56&amp;"Por favor no seleccionar los criterios de impacto",L43)</f>
        <v>0</v>
      </c>
      <c r="N43" s="239"/>
      <c r="O43" s="221"/>
      <c r="P43" s="224"/>
      <c r="Q43" s="105">
        <v>5</v>
      </c>
      <c r="R43" s="106"/>
      <c r="S43" s="107" t="s">
        <v>214</v>
      </c>
      <c r="T43" s="108"/>
      <c r="U43" s="108"/>
      <c r="V43" s="109" t="s">
        <v>214</v>
      </c>
      <c r="W43" s="108"/>
      <c r="X43" s="108"/>
      <c r="Y43" s="108"/>
      <c r="Z43" s="110" t="s">
        <v>214</v>
      </c>
      <c r="AA43" s="111" t="s">
        <v>214</v>
      </c>
      <c r="AB43" s="112" t="s">
        <v>214</v>
      </c>
      <c r="AC43" s="111" t="s">
        <v>214</v>
      </c>
      <c r="AD43" s="112" t="s">
        <v>214</v>
      </c>
      <c r="AE43" s="113" t="s">
        <v>214</v>
      </c>
      <c r="AF43" s="114"/>
      <c r="AG43" s="115"/>
      <c r="AH43" s="116"/>
      <c r="AI43" s="117"/>
      <c r="AJ43" s="117"/>
      <c r="AK43" s="115"/>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x14ac:dyDescent="0.25">
      <c r="A44" s="228"/>
      <c r="B44" s="231"/>
      <c r="C44" s="231"/>
      <c r="D44" s="246"/>
      <c r="E44" s="145"/>
      <c r="F44" s="247"/>
      <c r="G44" s="146"/>
      <c r="H44" s="250"/>
      <c r="I44" s="237"/>
      <c r="J44" s="240"/>
      <c r="K44" s="222"/>
      <c r="L44" s="243"/>
      <c r="M44" s="222">
        <f>IF(NOT(ISERROR(MATCH(L44,_xlfn.ANCHORARRAY(F55),0))),K57&amp;"Por favor no seleccionar los criterios de impacto",L44)</f>
        <v>0</v>
      </c>
      <c r="N44" s="240"/>
      <c r="O44" s="222"/>
      <c r="P44" s="225"/>
      <c r="Q44" s="105">
        <v>6</v>
      </c>
      <c r="R44" s="106"/>
      <c r="S44" s="107" t="s">
        <v>214</v>
      </c>
      <c r="T44" s="108"/>
      <c r="U44" s="108"/>
      <c r="V44" s="109" t="s">
        <v>214</v>
      </c>
      <c r="W44" s="108"/>
      <c r="X44" s="108"/>
      <c r="Y44" s="108"/>
      <c r="Z44" s="110" t="s">
        <v>214</v>
      </c>
      <c r="AA44" s="111" t="s">
        <v>214</v>
      </c>
      <c r="AB44" s="112" t="s">
        <v>214</v>
      </c>
      <c r="AC44" s="111" t="s">
        <v>214</v>
      </c>
      <c r="AD44" s="112" t="s">
        <v>214</v>
      </c>
      <c r="AE44" s="113" t="s">
        <v>214</v>
      </c>
      <c r="AF44" s="114"/>
      <c r="AG44" s="115"/>
      <c r="AH44" s="116"/>
      <c r="AI44" s="117"/>
      <c r="AJ44" s="117"/>
      <c r="AK44" s="115"/>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x14ac:dyDescent="0.25">
      <c r="A45" s="226">
        <v>7</v>
      </c>
      <c r="B45" s="229"/>
      <c r="C45" s="229"/>
      <c r="D45" s="229"/>
      <c r="E45" s="128"/>
      <c r="F45" s="233"/>
      <c r="G45" s="131"/>
      <c r="H45" s="229"/>
      <c r="I45" s="235"/>
      <c r="J45" s="238" t="str">
        <f t="shared" ref="J45" si="36">IF(I45&lt;=0,"",IF(I45&lt;=2,"Muy Baja",IF(I45&lt;=24,"Baja",IF(I45&lt;=500,"Media",IF(I45&lt;=5000,"Alta","Muy Alta")))))</f>
        <v/>
      </c>
      <c r="K45" s="220" t="str">
        <f t="shared" ref="K45" si="37">IF(J45="","",IF(J45="Muy Baja",0.2,IF(J45="Baja",0.4,IF(J45="Media",0.6,IF(J45="Alta",0.8,IF(J45="Muy Alta",1,))))))</f>
        <v/>
      </c>
      <c r="L45" s="241"/>
      <c r="M45" s="220">
        <f>IF(NOT(ISERROR(MATCH(L45,'Tabla Impacto'!$B$221:$B$223,0))),'Tabla Impacto'!$F$223&amp;"Por favor no seleccionar los criterios de impacto(Afectación Económica o presupuestal y Pérdida Reputacional)",L45)</f>
        <v>0</v>
      </c>
      <c r="N45" s="238" t="str">
        <f>IF(OR(M45='Tabla Impacto'!$C$11,M45='Tabla Impacto'!$D$11),"Leve",IF(OR(M45='Tabla Impacto'!$C$12,M45='Tabla Impacto'!$D$12),"Menor",IF(OR(M45='Tabla Impacto'!$C$13,M45='Tabla Impacto'!$D$13),"Moderado",IF(OR(M45='Tabla Impacto'!$C$14,M45='Tabla Impacto'!$D$14),"Mayor",IF(OR(M45='Tabla Impacto'!$C$15,M45='Tabla Impacto'!$D$15),"Catastrófico","")))))</f>
        <v/>
      </c>
      <c r="O45" s="220" t="str">
        <f t="shared" ref="O45" si="38">IF(N45="","",IF(N45="Leve",0.2,IF(N45="Menor",0.4,IF(N45="Moderado",0.6,IF(N45="Mayor",0.8,IF(N45="Catastrófico",1,))))))</f>
        <v/>
      </c>
      <c r="P45" s="223" t="str">
        <f t="shared" ref="P45" si="39">IF(OR(AND(J45="Muy Baja",N45="Leve"),AND(J45="Muy Baja",N45="Menor"),AND(J45="Baja",N45="Leve")),"Bajo",IF(OR(AND(J45="Muy baja",N45="Moderado"),AND(J45="Baja",N45="Menor"),AND(J45="Baja",N45="Moderado"),AND(J45="Media",N45="Leve"),AND(J45="Media",N45="Menor"),AND(J45="Media",N45="Moderado"),AND(J45="Alta",N45="Leve"),AND(J45="Alta",N45="Menor")),"Moderado",IF(OR(AND(J45="Muy Baja",N45="Mayor"),AND(J45="Baja",N45="Mayor"),AND(J45="Media",N45="Mayor"),AND(J45="Alta",N45="Moderado"),AND(J45="Alta",N45="Mayor"),AND(J45="Muy Alta",N45="Leve"),AND(J45="Muy Alta",N45="Menor"),AND(J45="Muy Alta",N45="Moderado"),AND(J45="Muy Alta",N45="Mayor")),"Alto",IF(OR(AND(J45="Muy Baja",N45="Catastrófico"),AND(J45="Baja",N45="Catastrófico"),AND(J45="Media",N45="Catastrófico"),AND(J45="Alta",N45="Catastrófico"),AND(J45="Muy Alta",N45="Catastrófico")),"Extremo",""))))</f>
        <v/>
      </c>
      <c r="Q45" s="105">
        <v>1</v>
      </c>
      <c r="R45" s="106"/>
      <c r="S45" s="107" t="s">
        <v>214</v>
      </c>
      <c r="T45" s="108"/>
      <c r="U45" s="108"/>
      <c r="V45" s="109" t="s">
        <v>214</v>
      </c>
      <c r="W45" s="108"/>
      <c r="X45" s="108"/>
      <c r="Y45" s="108"/>
      <c r="Z45" s="110" t="s">
        <v>214</v>
      </c>
      <c r="AA45" s="111" t="s">
        <v>214</v>
      </c>
      <c r="AB45" s="112" t="s">
        <v>214</v>
      </c>
      <c r="AC45" s="111" t="s">
        <v>214</v>
      </c>
      <c r="AD45" s="112" t="s">
        <v>214</v>
      </c>
      <c r="AE45" s="113" t="s">
        <v>214</v>
      </c>
      <c r="AF45" s="114"/>
      <c r="AG45" s="115"/>
      <c r="AH45" s="116"/>
      <c r="AI45" s="117"/>
      <c r="AJ45" s="117"/>
      <c r="AK45" s="115"/>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x14ac:dyDescent="0.25">
      <c r="A46" s="227"/>
      <c r="B46" s="230"/>
      <c r="C46" s="230"/>
      <c r="D46" s="230"/>
      <c r="E46" s="128"/>
      <c r="F46" s="233"/>
      <c r="G46" s="131"/>
      <c r="H46" s="230"/>
      <c r="I46" s="236"/>
      <c r="J46" s="239"/>
      <c r="K46" s="221"/>
      <c r="L46" s="242"/>
      <c r="M46" s="221">
        <f>IF(NOT(ISERROR(MATCH(L46,_xlfn.ANCHORARRAY(F57),0))),K59&amp;"Por favor no seleccionar los criterios de impacto",L46)</f>
        <v>0</v>
      </c>
      <c r="N46" s="239"/>
      <c r="O46" s="221"/>
      <c r="P46" s="224"/>
      <c r="Q46" s="105">
        <v>2</v>
      </c>
      <c r="R46" s="106"/>
      <c r="S46" s="107" t="s">
        <v>214</v>
      </c>
      <c r="T46" s="108"/>
      <c r="U46" s="108"/>
      <c r="V46" s="109" t="s">
        <v>214</v>
      </c>
      <c r="W46" s="108"/>
      <c r="X46" s="108"/>
      <c r="Y46" s="108"/>
      <c r="Z46" s="110" t="s">
        <v>214</v>
      </c>
      <c r="AA46" s="111" t="s">
        <v>214</v>
      </c>
      <c r="AB46" s="112" t="s">
        <v>214</v>
      </c>
      <c r="AC46" s="111" t="s">
        <v>214</v>
      </c>
      <c r="AD46" s="112" t="s">
        <v>214</v>
      </c>
      <c r="AE46" s="113" t="s">
        <v>214</v>
      </c>
      <c r="AF46" s="114"/>
      <c r="AG46" s="115"/>
      <c r="AH46" s="116"/>
      <c r="AI46" s="117"/>
      <c r="AJ46" s="117"/>
      <c r="AK46" s="115"/>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x14ac:dyDescent="0.25">
      <c r="A47" s="227"/>
      <c r="B47" s="230"/>
      <c r="C47" s="230"/>
      <c r="D47" s="230"/>
      <c r="E47" s="128"/>
      <c r="F47" s="233"/>
      <c r="G47" s="131"/>
      <c r="H47" s="230"/>
      <c r="I47" s="236"/>
      <c r="J47" s="239"/>
      <c r="K47" s="221"/>
      <c r="L47" s="242"/>
      <c r="M47" s="221">
        <f>IF(NOT(ISERROR(MATCH(L47,_xlfn.ANCHORARRAY(F58),0))),K60&amp;"Por favor no seleccionar los criterios de impacto",L47)</f>
        <v>0</v>
      </c>
      <c r="N47" s="239"/>
      <c r="O47" s="221"/>
      <c r="P47" s="224"/>
      <c r="Q47" s="105">
        <v>3</v>
      </c>
      <c r="R47" s="118"/>
      <c r="S47" s="107" t="s">
        <v>214</v>
      </c>
      <c r="T47" s="108"/>
      <c r="U47" s="108"/>
      <c r="V47" s="109" t="s">
        <v>214</v>
      </c>
      <c r="W47" s="108"/>
      <c r="X47" s="108"/>
      <c r="Y47" s="108"/>
      <c r="Z47" s="110" t="s">
        <v>214</v>
      </c>
      <c r="AA47" s="111" t="s">
        <v>214</v>
      </c>
      <c r="AB47" s="112" t="s">
        <v>214</v>
      </c>
      <c r="AC47" s="111" t="s">
        <v>214</v>
      </c>
      <c r="AD47" s="112" t="s">
        <v>214</v>
      </c>
      <c r="AE47" s="113" t="s">
        <v>214</v>
      </c>
      <c r="AF47" s="114"/>
      <c r="AG47" s="115"/>
      <c r="AH47" s="116"/>
      <c r="AI47" s="117"/>
      <c r="AJ47" s="117"/>
      <c r="AK47" s="115"/>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x14ac:dyDescent="0.25">
      <c r="A48" s="227"/>
      <c r="B48" s="230"/>
      <c r="C48" s="230"/>
      <c r="D48" s="230"/>
      <c r="E48" s="128"/>
      <c r="F48" s="233"/>
      <c r="G48" s="131"/>
      <c r="H48" s="230"/>
      <c r="I48" s="236"/>
      <c r="J48" s="239"/>
      <c r="K48" s="221"/>
      <c r="L48" s="242"/>
      <c r="M48" s="221">
        <f>IF(NOT(ISERROR(MATCH(L48,_xlfn.ANCHORARRAY(F59),0))),K61&amp;"Por favor no seleccionar los criterios de impacto",L48)</f>
        <v>0</v>
      </c>
      <c r="N48" s="239"/>
      <c r="O48" s="221"/>
      <c r="P48" s="224"/>
      <c r="Q48" s="105">
        <v>4</v>
      </c>
      <c r="R48" s="106"/>
      <c r="S48" s="107" t="s">
        <v>214</v>
      </c>
      <c r="T48" s="108"/>
      <c r="U48" s="108"/>
      <c r="V48" s="109" t="s">
        <v>214</v>
      </c>
      <c r="W48" s="108"/>
      <c r="X48" s="108"/>
      <c r="Y48" s="108"/>
      <c r="Z48" s="110" t="s">
        <v>214</v>
      </c>
      <c r="AA48" s="111" t="s">
        <v>214</v>
      </c>
      <c r="AB48" s="112" t="s">
        <v>214</v>
      </c>
      <c r="AC48" s="111" t="s">
        <v>214</v>
      </c>
      <c r="AD48" s="112" t="s">
        <v>214</v>
      </c>
      <c r="AE48" s="113" t="s">
        <v>214</v>
      </c>
      <c r="AF48" s="114"/>
      <c r="AG48" s="115"/>
      <c r="AH48" s="116"/>
      <c r="AI48" s="117"/>
      <c r="AJ48" s="117"/>
      <c r="AK48" s="115"/>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x14ac:dyDescent="0.25">
      <c r="A49" s="227"/>
      <c r="B49" s="230"/>
      <c r="C49" s="230"/>
      <c r="D49" s="230"/>
      <c r="E49" s="128"/>
      <c r="F49" s="233"/>
      <c r="G49" s="131"/>
      <c r="H49" s="230"/>
      <c r="I49" s="236"/>
      <c r="J49" s="239"/>
      <c r="K49" s="221"/>
      <c r="L49" s="242"/>
      <c r="M49" s="221">
        <f>IF(NOT(ISERROR(MATCH(L49,_xlfn.ANCHORARRAY(F60),0))),K62&amp;"Por favor no seleccionar los criterios de impacto",L49)</f>
        <v>0</v>
      </c>
      <c r="N49" s="239"/>
      <c r="O49" s="221"/>
      <c r="P49" s="224"/>
      <c r="Q49" s="105">
        <v>5</v>
      </c>
      <c r="R49" s="106"/>
      <c r="S49" s="107" t="s">
        <v>214</v>
      </c>
      <c r="T49" s="108"/>
      <c r="U49" s="108"/>
      <c r="V49" s="109" t="s">
        <v>214</v>
      </c>
      <c r="W49" s="108"/>
      <c r="X49" s="108"/>
      <c r="Y49" s="108"/>
      <c r="Z49" s="110" t="s">
        <v>214</v>
      </c>
      <c r="AA49" s="111" t="s">
        <v>214</v>
      </c>
      <c r="AB49" s="112" t="s">
        <v>214</v>
      </c>
      <c r="AC49" s="111" t="s">
        <v>214</v>
      </c>
      <c r="AD49" s="112" t="s">
        <v>214</v>
      </c>
      <c r="AE49" s="113" t="s">
        <v>214</v>
      </c>
      <c r="AF49" s="114"/>
      <c r="AG49" s="115"/>
      <c r="AH49" s="116"/>
      <c r="AI49" s="117"/>
      <c r="AJ49" s="117"/>
      <c r="AK49" s="115"/>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x14ac:dyDescent="0.25">
      <c r="A50" s="228"/>
      <c r="B50" s="231"/>
      <c r="C50" s="231"/>
      <c r="D50" s="231"/>
      <c r="E50" s="129"/>
      <c r="F50" s="234"/>
      <c r="G50" s="132"/>
      <c r="H50" s="231"/>
      <c r="I50" s="237"/>
      <c r="J50" s="240"/>
      <c r="K50" s="222"/>
      <c r="L50" s="243"/>
      <c r="M50" s="222">
        <f>IF(NOT(ISERROR(MATCH(L50,_xlfn.ANCHORARRAY(F61),0))),K63&amp;"Por favor no seleccionar los criterios de impacto",L50)</f>
        <v>0</v>
      </c>
      <c r="N50" s="240"/>
      <c r="O50" s="222"/>
      <c r="P50" s="225"/>
      <c r="Q50" s="105">
        <v>6</v>
      </c>
      <c r="R50" s="106"/>
      <c r="S50" s="107" t="s">
        <v>214</v>
      </c>
      <c r="T50" s="108"/>
      <c r="U50" s="108"/>
      <c r="V50" s="109" t="s">
        <v>214</v>
      </c>
      <c r="W50" s="108"/>
      <c r="X50" s="108"/>
      <c r="Y50" s="108"/>
      <c r="Z50" s="110" t="s">
        <v>214</v>
      </c>
      <c r="AA50" s="111" t="s">
        <v>214</v>
      </c>
      <c r="AB50" s="112" t="s">
        <v>214</v>
      </c>
      <c r="AC50" s="111" t="s">
        <v>214</v>
      </c>
      <c r="AD50" s="112" t="s">
        <v>214</v>
      </c>
      <c r="AE50" s="113" t="s">
        <v>214</v>
      </c>
      <c r="AF50" s="114"/>
      <c r="AG50" s="115"/>
      <c r="AH50" s="116"/>
      <c r="AI50" s="117"/>
      <c r="AJ50" s="117"/>
      <c r="AK50" s="115"/>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x14ac:dyDescent="0.25">
      <c r="A51" s="226">
        <v>8</v>
      </c>
      <c r="B51" s="229"/>
      <c r="C51" s="229"/>
      <c r="D51" s="229"/>
      <c r="E51" s="127"/>
      <c r="F51" s="232"/>
      <c r="G51" s="130"/>
      <c r="H51" s="229"/>
      <c r="I51" s="235"/>
      <c r="J51" s="238" t="str">
        <f t="shared" ref="J51" si="40">IF(I51&lt;=0,"",IF(I51&lt;=2,"Muy Baja",IF(I51&lt;=24,"Baja",IF(I51&lt;=500,"Media",IF(I51&lt;=5000,"Alta","Muy Alta")))))</f>
        <v/>
      </c>
      <c r="K51" s="220" t="str">
        <f t="shared" ref="K51" si="41">IF(J51="","",IF(J51="Muy Baja",0.2,IF(J51="Baja",0.4,IF(J51="Media",0.6,IF(J51="Alta",0.8,IF(J51="Muy Alta",1,))))))</f>
        <v/>
      </c>
      <c r="L51" s="241"/>
      <c r="M51" s="220">
        <f>IF(NOT(ISERROR(MATCH(L51,'Tabla Impacto'!$B$221:$B$223,0))),'Tabla Impacto'!$F$223&amp;"Por favor no seleccionar los criterios de impacto(Afectación Económica o presupuestal y Pérdida Reputacional)",L51)</f>
        <v>0</v>
      </c>
      <c r="N51" s="238" t="str">
        <f>IF(OR(M51='Tabla Impacto'!$C$11,M51='Tabla Impacto'!$D$11),"Leve",IF(OR(M51='Tabla Impacto'!$C$12,M51='Tabla Impacto'!$D$12),"Menor",IF(OR(M51='Tabla Impacto'!$C$13,M51='Tabla Impacto'!$D$13),"Moderado",IF(OR(M51='Tabla Impacto'!$C$14,M51='Tabla Impacto'!$D$14),"Mayor",IF(OR(M51='Tabla Impacto'!$C$15,M51='Tabla Impacto'!$D$15),"Catastrófico","")))))</f>
        <v/>
      </c>
      <c r="O51" s="220" t="str">
        <f t="shared" ref="O51" si="42">IF(N51="","",IF(N51="Leve",0.2,IF(N51="Menor",0.4,IF(N51="Moderado",0.6,IF(N51="Mayor",0.8,IF(N51="Catastrófico",1,))))))</f>
        <v/>
      </c>
      <c r="P51" s="223" t="str">
        <f t="shared" ref="P51" si="43">IF(OR(AND(J51="Muy Baja",N51="Leve"),AND(J51="Muy Baja",N51="Menor"),AND(J51="Baja",N51="Leve")),"Bajo",IF(OR(AND(J51="Muy baja",N51="Moderado"),AND(J51="Baja",N51="Menor"),AND(J51="Baja",N51="Moderado"),AND(J51="Media",N51="Leve"),AND(J51="Media",N51="Menor"),AND(J51="Media",N51="Moderado"),AND(J51="Alta",N51="Leve"),AND(J51="Alta",N51="Menor")),"Moderado",IF(OR(AND(J51="Muy Baja",N51="Mayor"),AND(J51="Baja",N51="Mayor"),AND(J51="Media",N51="Mayor"),AND(J51="Alta",N51="Moderado"),AND(J51="Alta",N51="Mayor"),AND(J51="Muy Alta",N51="Leve"),AND(J51="Muy Alta",N51="Menor"),AND(J51="Muy Alta",N51="Moderado"),AND(J51="Muy Alta",N51="Mayor")),"Alto",IF(OR(AND(J51="Muy Baja",N51="Catastrófico"),AND(J51="Baja",N51="Catastrófico"),AND(J51="Media",N51="Catastrófico"),AND(J51="Alta",N51="Catastrófico"),AND(J51="Muy Alta",N51="Catastrófico")),"Extremo",""))))</f>
        <v/>
      </c>
      <c r="Q51" s="105">
        <v>1</v>
      </c>
      <c r="R51" s="106"/>
      <c r="S51" s="107" t="str">
        <f>IF(OR(T51="Preventivo",T51="Detectivo"),"Probabilidad",IF(T51="Correctivo","Impacto",""))</f>
        <v/>
      </c>
      <c r="T51" s="108"/>
      <c r="U51" s="108"/>
      <c r="V51" s="109" t="str">
        <f>IF(AND(T51="Preventivo",U51="Automático"),"50%",IF(AND(T51="Preventivo",U51="Manual"),"40%",IF(AND(T51="Detectivo",U51="Automático"),"40%",IF(AND(T51="Detectivo",U51="Manual"),"30%",IF(AND(T51="Correctivo",U51="Automático"),"35%",IF(AND(T51="Correctivo",U51="Manual"),"25%",""))))))</f>
        <v/>
      </c>
      <c r="W51" s="108"/>
      <c r="X51" s="108"/>
      <c r="Y51" s="108"/>
      <c r="Z51" s="110" t="str">
        <f>IFERROR(IF(S51="Probabilidad",(K51-(+K51*V51)),IF(S51="Impacto",K51,"")),"")</f>
        <v/>
      </c>
      <c r="AA51" s="111" t="str">
        <f>IFERROR(IF(Z51="","",IF(Z51&lt;=0.2,"Muy Baja",IF(Z51&lt;=0.4,"Baja",IF(Z51&lt;=0.6,"Media",IF(Z51&lt;=0.8,"Alta","Muy Alta"))))),"")</f>
        <v/>
      </c>
      <c r="AB51" s="112" t="str">
        <f>+Z51</f>
        <v/>
      </c>
      <c r="AC51" s="111" t="str">
        <f>IFERROR(IF(AD51="","",IF(AD51&lt;=0.2,"Leve",IF(AD51&lt;=0.4,"Menor",IF(AD51&lt;=0.6,"Moderado",IF(AD51&lt;=0.8,"Mayor","Catastrófico"))))),"")</f>
        <v/>
      </c>
      <c r="AD51" s="112" t="str">
        <f>IFERROR(IF(S51="Impacto",(O51-(+O51*V51)),IF(S51="Probabilidad",O51,"")),"")</f>
        <v/>
      </c>
      <c r="AE51" s="113"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4"/>
      <c r="AG51" s="115"/>
      <c r="AH51" s="116"/>
      <c r="AI51" s="117"/>
      <c r="AJ51" s="117"/>
      <c r="AK51" s="115"/>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x14ac:dyDescent="0.25">
      <c r="A52" s="227"/>
      <c r="B52" s="230"/>
      <c r="C52" s="230"/>
      <c r="D52" s="230"/>
      <c r="E52" s="128"/>
      <c r="F52" s="233"/>
      <c r="G52" s="131"/>
      <c r="H52" s="230"/>
      <c r="I52" s="236"/>
      <c r="J52" s="239"/>
      <c r="K52" s="221"/>
      <c r="L52" s="242"/>
      <c r="M52" s="221">
        <f>IF(NOT(ISERROR(MATCH(L52,_xlfn.ANCHORARRAY(F63),0))),K65&amp;"Por favor no seleccionar los criterios de impacto",L52)</f>
        <v>0</v>
      </c>
      <c r="N52" s="239"/>
      <c r="O52" s="221"/>
      <c r="P52" s="224"/>
      <c r="Q52" s="105">
        <v>2</v>
      </c>
      <c r="R52" s="106"/>
      <c r="S52" s="107" t="str">
        <f>IF(OR(T52="Preventivo",T52="Detectivo"),"Probabilidad",IF(T52="Correctivo","Impacto",""))</f>
        <v/>
      </c>
      <c r="T52" s="108"/>
      <c r="U52" s="108"/>
      <c r="V52" s="109" t="str">
        <f t="shared" ref="V52:V56" si="44">IF(AND(T52="Preventivo",U52="Automático"),"50%",IF(AND(T52="Preventivo",U52="Manual"),"40%",IF(AND(T52="Detectivo",U52="Automático"),"40%",IF(AND(T52="Detectivo",U52="Manual"),"30%",IF(AND(T52="Correctivo",U52="Automático"),"35%",IF(AND(T52="Correctivo",U52="Manual"),"25%",""))))))</f>
        <v/>
      </c>
      <c r="W52" s="108"/>
      <c r="X52" s="108"/>
      <c r="Y52" s="108"/>
      <c r="Z52" s="110" t="str">
        <f>IFERROR(IF(AND(S51="Probabilidad",S52="Probabilidad"),(AB51-(+AB51*V52)),IF(S52="Probabilidad",(K51-(+K51*V52)),IF(S52="Impacto",AB51,""))),"")</f>
        <v/>
      </c>
      <c r="AA52" s="111" t="str">
        <f t="shared" ref="AA52:AA68" si="45">IFERROR(IF(Z52="","",IF(Z52&lt;=0.2,"Muy Baja",IF(Z52&lt;=0.4,"Baja",IF(Z52&lt;=0.6,"Media",IF(Z52&lt;=0.8,"Alta","Muy Alta"))))),"")</f>
        <v/>
      </c>
      <c r="AB52" s="112" t="str">
        <f t="shared" ref="AB52:AB56" si="46">+Z52</f>
        <v/>
      </c>
      <c r="AC52" s="111" t="str">
        <f t="shared" ref="AC52:AC68" si="47">IFERROR(IF(AD52="","",IF(AD52&lt;=0.2,"Leve",IF(AD52&lt;=0.4,"Menor",IF(AD52&lt;=0.6,"Moderado",IF(AD52&lt;=0.8,"Mayor","Catastrófico"))))),"")</f>
        <v/>
      </c>
      <c r="AD52" s="112" t="str">
        <f>IFERROR(IF(AND(S51="Impacto",S52="Impacto"),(AD51-(+AD51*V52)),IF(S52="Impacto",(O51-(+O51*V52)),IF(S52="Probabilidad",AD51,""))),"")</f>
        <v/>
      </c>
      <c r="AE52" s="113" t="str">
        <f t="shared" ref="AE52:AE53" si="48">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5"/>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x14ac:dyDescent="0.25">
      <c r="A53" s="227"/>
      <c r="B53" s="230"/>
      <c r="C53" s="230"/>
      <c r="D53" s="230"/>
      <c r="E53" s="128"/>
      <c r="F53" s="233"/>
      <c r="G53" s="131"/>
      <c r="H53" s="230"/>
      <c r="I53" s="236"/>
      <c r="J53" s="239"/>
      <c r="K53" s="221"/>
      <c r="L53" s="242"/>
      <c r="M53" s="221">
        <f>IF(NOT(ISERROR(MATCH(L53,_xlfn.ANCHORARRAY(F64),0))),K66&amp;"Por favor no seleccionar los criterios de impacto",L53)</f>
        <v>0</v>
      </c>
      <c r="N53" s="239"/>
      <c r="O53" s="221"/>
      <c r="P53" s="224"/>
      <c r="Q53" s="105">
        <v>3</v>
      </c>
      <c r="R53" s="118"/>
      <c r="S53" s="107" t="str">
        <f>IF(OR(T53="Preventivo",T53="Detectivo"),"Probabilidad",IF(T53="Correctivo","Impacto",""))</f>
        <v/>
      </c>
      <c r="T53" s="108"/>
      <c r="U53" s="108"/>
      <c r="V53" s="109" t="str">
        <f t="shared" si="44"/>
        <v/>
      </c>
      <c r="W53" s="108"/>
      <c r="X53" s="108"/>
      <c r="Y53" s="108"/>
      <c r="Z53" s="110" t="str">
        <f>IFERROR(IF(AND(S52="Probabilidad",S53="Probabilidad"),(AB52-(+AB52*V53)),IF(AND(S52="Impacto",S53="Probabilidad"),(AB51-(+AB51*V53)),IF(S53="Impacto",AB52,""))),"")</f>
        <v/>
      </c>
      <c r="AA53" s="111" t="str">
        <f t="shared" si="45"/>
        <v/>
      </c>
      <c r="AB53" s="112" t="str">
        <f t="shared" si="46"/>
        <v/>
      </c>
      <c r="AC53" s="111" t="str">
        <f t="shared" si="47"/>
        <v/>
      </c>
      <c r="AD53" s="112" t="str">
        <f>IFERROR(IF(AND(S52="Impacto",S53="Impacto"),(AD52-(+AD52*V53)),IF(AND(S52="Probabilidad",S53="Impacto"),(AD51-(+AD51*V53)),IF(S53="Probabilidad",AD52,""))),"")</f>
        <v/>
      </c>
      <c r="AE53" s="113" t="str">
        <f t="shared" si="48"/>
        <v/>
      </c>
      <c r="AF53" s="114"/>
      <c r="AG53" s="115"/>
      <c r="AH53" s="116"/>
      <c r="AI53" s="117"/>
      <c r="AJ53" s="117"/>
      <c r="AK53" s="115"/>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x14ac:dyDescent="0.25">
      <c r="A54" s="227"/>
      <c r="B54" s="230"/>
      <c r="C54" s="230"/>
      <c r="D54" s="230"/>
      <c r="E54" s="128"/>
      <c r="F54" s="233"/>
      <c r="G54" s="131"/>
      <c r="H54" s="230"/>
      <c r="I54" s="236"/>
      <c r="J54" s="239"/>
      <c r="K54" s="221"/>
      <c r="L54" s="242"/>
      <c r="M54" s="221">
        <f>IF(NOT(ISERROR(MATCH(L54,_xlfn.ANCHORARRAY(F65),0))),K67&amp;"Por favor no seleccionar los criterios de impacto",L54)</f>
        <v>0</v>
      </c>
      <c r="N54" s="239"/>
      <c r="O54" s="221"/>
      <c r="P54" s="224"/>
      <c r="Q54" s="105">
        <v>4</v>
      </c>
      <c r="R54" s="106"/>
      <c r="S54" s="107" t="str">
        <f t="shared" ref="S54:S56" si="49">IF(OR(T54="Preventivo",T54="Detectivo"),"Probabilidad",IF(T54="Correctivo","Impacto",""))</f>
        <v/>
      </c>
      <c r="T54" s="108"/>
      <c r="U54" s="108"/>
      <c r="V54" s="109" t="str">
        <f t="shared" si="44"/>
        <v/>
      </c>
      <c r="W54" s="108"/>
      <c r="X54" s="108"/>
      <c r="Y54" s="108"/>
      <c r="Z54" s="110" t="str">
        <f t="shared" ref="Z54:Z56" si="50">IFERROR(IF(AND(S53="Probabilidad",S54="Probabilidad"),(AB53-(+AB53*V54)),IF(AND(S53="Impacto",S54="Probabilidad"),(AB52-(+AB52*V54)),IF(S54="Impacto",AB53,""))),"")</f>
        <v/>
      </c>
      <c r="AA54" s="111" t="str">
        <f t="shared" si="45"/>
        <v/>
      </c>
      <c r="AB54" s="112" t="str">
        <f t="shared" si="46"/>
        <v/>
      </c>
      <c r="AC54" s="111" t="str">
        <f t="shared" si="47"/>
        <v/>
      </c>
      <c r="AD54" s="112" t="str">
        <f t="shared" ref="AD54:AD56" si="51">IFERROR(IF(AND(S53="Impacto",S54="Impacto"),(AD53-(+AD53*V54)),IF(AND(S53="Probabilidad",S54="Impacto"),(AD52-(+AD52*V54)),IF(S54="Probabilidad",AD53,""))),"")</f>
        <v/>
      </c>
      <c r="AE54" s="113"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4"/>
      <c r="AG54" s="115"/>
      <c r="AH54" s="116"/>
      <c r="AI54" s="117"/>
      <c r="AJ54" s="117"/>
      <c r="AK54" s="115"/>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x14ac:dyDescent="0.25">
      <c r="A55" s="227"/>
      <c r="B55" s="230"/>
      <c r="C55" s="230"/>
      <c r="D55" s="230"/>
      <c r="E55" s="128"/>
      <c r="F55" s="233"/>
      <c r="G55" s="131"/>
      <c r="H55" s="230"/>
      <c r="I55" s="236"/>
      <c r="J55" s="239"/>
      <c r="K55" s="221"/>
      <c r="L55" s="242"/>
      <c r="M55" s="221">
        <f>IF(NOT(ISERROR(MATCH(L55,_xlfn.ANCHORARRAY(F66),0))),K68&amp;"Por favor no seleccionar los criterios de impacto",L55)</f>
        <v>0</v>
      </c>
      <c r="N55" s="239"/>
      <c r="O55" s="221"/>
      <c r="P55" s="224"/>
      <c r="Q55" s="105">
        <v>5</v>
      </c>
      <c r="R55" s="106"/>
      <c r="S55" s="107" t="str">
        <f t="shared" si="49"/>
        <v/>
      </c>
      <c r="T55" s="108"/>
      <c r="U55" s="108"/>
      <c r="V55" s="109" t="str">
        <f t="shared" si="44"/>
        <v/>
      </c>
      <c r="W55" s="108"/>
      <c r="X55" s="108"/>
      <c r="Y55" s="108"/>
      <c r="Z55" s="110" t="str">
        <f t="shared" si="50"/>
        <v/>
      </c>
      <c r="AA55" s="111" t="str">
        <f t="shared" si="45"/>
        <v/>
      </c>
      <c r="AB55" s="112" t="str">
        <f t="shared" si="46"/>
        <v/>
      </c>
      <c r="AC55" s="111" t="str">
        <f t="shared" si="47"/>
        <v/>
      </c>
      <c r="AD55" s="112" t="str">
        <f t="shared" si="51"/>
        <v/>
      </c>
      <c r="AE55" s="113" t="str">
        <f t="shared" ref="AE55:AE56" si="52">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5"/>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x14ac:dyDescent="0.25">
      <c r="A56" s="228"/>
      <c r="B56" s="231"/>
      <c r="C56" s="231"/>
      <c r="D56" s="231"/>
      <c r="E56" s="129"/>
      <c r="F56" s="234"/>
      <c r="G56" s="132"/>
      <c r="H56" s="231"/>
      <c r="I56" s="237"/>
      <c r="J56" s="240"/>
      <c r="K56" s="222"/>
      <c r="L56" s="243"/>
      <c r="M56" s="222">
        <f>IF(NOT(ISERROR(MATCH(L56,_xlfn.ANCHORARRAY(F67),0))),K69&amp;"Por favor no seleccionar los criterios de impacto",L56)</f>
        <v>0</v>
      </c>
      <c r="N56" s="240"/>
      <c r="O56" s="222"/>
      <c r="P56" s="225"/>
      <c r="Q56" s="105">
        <v>6</v>
      </c>
      <c r="R56" s="106"/>
      <c r="S56" s="107" t="str">
        <f t="shared" si="49"/>
        <v/>
      </c>
      <c r="T56" s="108"/>
      <c r="U56" s="108"/>
      <c r="V56" s="109" t="str">
        <f t="shared" si="44"/>
        <v/>
      </c>
      <c r="W56" s="108"/>
      <c r="X56" s="108"/>
      <c r="Y56" s="108"/>
      <c r="Z56" s="110" t="str">
        <f t="shared" si="50"/>
        <v/>
      </c>
      <c r="AA56" s="111" t="str">
        <f t="shared" si="45"/>
        <v/>
      </c>
      <c r="AB56" s="112" t="str">
        <f t="shared" si="46"/>
        <v/>
      </c>
      <c r="AC56" s="111" t="str">
        <f t="shared" si="47"/>
        <v/>
      </c>
      <c r="AD56" s="112" t="str">
        <f t="shared" si="51"/>
        <v/>
      </c>
      <c r="AE56" s="113" t="str">
        <f t="shared" si="52"/>
        <v/>
      </c>
      <c r="AF56" s="114"/>
      <c r="AG56" s="115"/>
      <c r="AH56" s="116"/>
      <c r="AI56" s="117"/>
      <c r="AJ56" s="117"/>
      <c r="AK56" s="115"/>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x14ac:dyDescent="0.25">
      <c r="A57" s="226">
        <v>9</v>
      </c>
      <c r="B57" s="229"/>
      <c r="C57" s="229"/>
      <c r="D57" s="229"/>
      <c r="E57" s="127"/>
      <c r="F57" s="232"/>
      <c r="G57" s="130"/>
      <c r="H57" s="229"/>
      <c r="I57" s="235"/>
      <c r="J57" s="238" t="str">
        <f t="shared" ref="J57" si="53">IF(I57&lt;=0,"",IF(I57&lt;=2,"Muy Baja",IF(I57&lt;=24,"Baja",IF(I57&lt;=500,"Media",IF(I57&lt;=5000,"Alta","Muy Alta")))))</f>
        <v/>
      </c>
      <c r="K57" s="220" t="str">
        <f t="shared" ref="K57" si="54">IF(J57="","",IF(J57="Muy Baja",0.2,IF(J57="Baja",0.4,IF(J57="Media",0.6,IF(J57="Alta",0.8,IF(J57="Muy Alta",1,))))))</f>
        <v/>
      </c>
      <c r="L57" s="241"/>
      <c r="M57" s="220">
        <f>IF(NOT(ISERROR(MATCH(L57,'Tabla Impacto'!$B$221:$B$223,0))),'Tabla Impacto'!$F$223&amp;"Por favor no seleccionar los criterios de impacto(Afectación Económica o presupuestal y Pérdida Reputacional)",L57)</f>
        <v>0</v>
      </c>
      <c r="N57" s="238" t="str">
        <f>IF(OR(M57='Tabla Impacto'!$C$11,M57='Tabla Impacto'!$D$11),"Leve",IF(OR(M57='Tabla Impacto'!$C$12,M57='Tabla Impacto'!$D$12),"Menor",IF(OR(M57='Tabla Impacto'!$C$13,M57='Tabla Impacto'!$D$13),"Moderado",IF(OR(M57='Tabla Impacto'!$C$14,M57='Tabla Impacto'!$D$14),"Mayor",IF(OR(M57='Tabla Impacto'!$C$15,M57='Tabla Impacto'!$D$15),"Catastrófico","")))))</f>
        <v/>
      </c>
      <c r="O57" s="220" t="str">
        <f t="shared" ref="O57" si="55">IF(N57="","",IF(N57="Leve",0.2,IF(N57="Menor",0.4,IF(N57="Moderado",0.6,IF(N57="Mayor",0.8,IF(N57="Catastrófico",1,))))))</f>
        <v/>
      </c>
      <c r="P57" s="223" t="str">
        <f t="shared" ref="P57" si="56">IF(OR(AND(J57="Muy Baja",N57="Leve"),AND(J57="Muy Baja",N57="Menor"),AND(J57="Baja",N57="Leve")),"Bajo",IF(OR(AND(J57="Muy baja",N57="Moderado"),AND(J57="Baja",N57="Menor"),AND(J57="Baja",N57="Moderado"),AND(J57="Media",N57="Leve"),AND(J57="Media",N57="Menor"),AND(J57="Media",N57="Moderado"),AND(J57="Alta",N57="Leve"),AND(J57="Alta",N57="Menor")),"Moderado",IF(OR(AND(J57="Muy Baja",N57="Mayor"),AND(J57="Baja",N57="Mayor"),AND(J57="Media",N57="Mayor"),AND(J57="Alta",N57="Moderado"),AND(J57="Alta",N57="Mayor"),AND(J57="Muy Alta",N57="Leve"),AND(J57="Muy Alta",N57="Menor"),AND(J57="Muy Alta",N57="Moderado"),AND(J57="Muy Alta",N57="Mayor")),"Alto",IF(OR(AND(J57="Muy Baja",N57="Catastrófico"),AND(J57="Baja",N57="Catastrófico"),AND(J57="Media",N57="Catastrófico"),AND(J57="Alta",N57="Catastrófico"),AND(J57="Muy Alta",N57="Catastrófico")),"Extremo",""))))</f>
        <v/>
      </c>
      <c r="Q57" s="105">
        <v>1</v>
      </c>
      <c r="R57" s="106"/>
      <c r="S57" s="107" t="str">
        <f>IF(OR(T57="Preventivo",T57="Detectivo"),"Probabilidad",IF(T57="Correctivo","Impacto",""))</f>
        <v/>
      </c>
      <c r="T57" s="108"/>
      <c r="U57" s="108"/>
      <c r="V57" s="109" t="str">
        <f>IF(AND(T57="Preventivo",U57="Automático"),"50%",IF(AND(T57="Preventivo",U57="Manual"),"40%",IF(AND(T57="Detectivo",U57="Automático"),"40%",IF(AND(T57="Detectivo",U57="Manual"),"30%",IF(AND(T57="Correctivo",U57="Automático"),"35%",IF(AND(T57="Correctivo",U57="Manual"),"25%",""))))))</f>
        <v/>
      </c>
      <c r="W57" s="108"/>
      <c r="X57" s="108"/>
      <c r="Y57" s="108"/>
      <c r="Z57" s="110" t="str">
        <f>IFERROR(IF(S57="Probabilidad",(K57-(+K57*V57)),IF(S57="Impacto",K57,"")),"")</f>
        <v/>
      </c>
      <c r="AA57" s="111" t="str">
        <f>IFERROR(IF(Z57="","",IF(Z57&lt;=0.2,"Muy Baja",IF(Z57&lt;=0.4,"Baja",IF(Z57&lt;=0.6,"Media",IF(Z57&lt;=0.8,"Alta","Muy Alta"))))),"")</f>
        <v/>
      </c>
      <c r="AB57" s="112" t="str">
        <f>+Z57</f>
        <v/>
      </c>
      <c r="AC57" s="111" t="str">
        <f>IFERROR(IF(AD57="","",IF(AD57&lt;=0.2,"Leve",IF(AD57&lt;=0.4,"Menor",IF(AD57&lt;=0.6,"Moderado",IF(AD57&lt;=0.8,"Mayor","Catastrófico"))))),"")</f>
        <v/>
      </c>
      <c r="AD57" s="112" t="str">
        <f>IFERROR(IF(S57="Impacto",(O57-(+O57*V57)),IF(S57="Probabilidad",O57,"")),"")</f>
        <v/>
      </c>
      <c r="AE57" s="113"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4"/>
      <c r="AG57" s="115"/>
      <c r="AH57" s="116"/>
      <c r="AI57" s="117"/>
      <c r="AJ57" s="117"/>
      <c r="AK57" s="115"/>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x14ac:dyDescent="0.25">
      <c r="A58" s="227"/>
      <c r="B58" s="230"/>
      <c r="C58" s="230"/>
      <c r="D58" s="230"/>
      <c r="E58" s="128"/>
      <c r="F58" s="233"/>
      <c r="G58" s="131"/>
      <c r="H58" s="230"/>
      <c r="I58" s="236"/>
      <c r="J58" s="239"/>
      <c r="K58" s="221"/>
      <c r="L58" s="242"/>
      <c r="M58" s="221">
        <f>IF(NOT(ISERROR(MATCH(L58,_xlfn.ANCHORARRAY(F69),0))),K71&amp;"Por favor no seleccionar los criterios de impacto",L58)</f>
        <v>0</v>
      </c>
      <c r="N58" s="239"/>
      <c r="O58" s="221"/>
      <c r="P58" s="224"/>
      <c r="Q58" s="105">
        <v>2</v>
      </c>
      <c r="R58" s="106"/>
      <c r="S58" s="107" t="str">
        <f>IF(OR(T58="Preventivo",T58="Detectivo"),"Probabilidad",IF(T58="Correctivo","Impacto",""))</f>
        <v/>
      </c>
      <c r="T58" s="108"/>
      <c r="U58" s="108"/>
      <c r="V58" s="109" t="str">
        <f t="shared" ref="V58:V62" si="57">IF(AND(T58="Preventivo",U58="Automático"),"50%",IF(AND(T58="Preventivo",U58="Manual"),"40%",IF(AND(T58="Detectivo",U58="Automático"),"40%",IF(AND(T58="Detectivo",U58="Manual"),"30%",IF(AND(T58="Correctivo",U58="Automático"),"35%",IF(AND(T58="Correctivo",U58="Manual"),"25%",""))))))</f>
        <v/>
      </c>
      <c r="W58" s="108"/>
      <c r="X58" s="108"/>
      <c r="Y58" s="108"/>
      <c r="Z58" s="110" t="str">
        <f>IFERROR(IF(AND(S57="Probabilidad",S58="Probabilidad"),(AB57-(+AB57*V58)),IF(S58="Probabilidad",(K57-(+K57*V58)),IF(S58="Impacto",AB57,""))),"")</f>
        <v/>
      </c>
      <c r="AA58" s="111" t="str">
        <f t="shared" si="45"/>
        <v/>
      </c>
      <c r="AB58" s="112" t="str">
        <f t="shared" ref="AB58:AB62" si="58">+Z58</f>
        <v/>
      </c>
      <c r="AC58" s="111" t="str">
        <f t="shared" si="47"/>
        <v/>
      </c>
      <c r="AD58" s="112" t="str">
        <f>IFERROR(IF(AND(S57="Impacto",S58="Impacto"),(AD57-(+AD57*V58)),IF(S58="Impacto",(O57-(+O57*V58)),IF(S58="Probabilidad",AD57,""))),"")</f>
        <v/>
      </c>
      <c r="AE58" s="113" t="str">
        <f t="shared" ref="AE58:AE59" si="59">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5"/>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x14ac:dyDescent="0.25">
      <c r="A59" s="227"/>
      <c r="B59" s="230"/>
      <c r="C59" s="230"/>
      <c r="D59" s="230"/>
      <c r="E59" s="128"/>
      <c r="F59" s="233"/>
      <c r="G59" s="131"/>
      <c r="H59" s="230"/>
      <c r="I59" s="236"/>
      <c r="J59" s="239"/>
      <c r="K59" s="221"/>
      <c r="L59" s="242"/>
      <c r="M59" s="221">
        <f>IF(NOT(ISERROR(MATCH(L59,_xlfn.ANCHORARRAY(F70),0))),K72&amp;"Por favor no seleccionar los criterios de impacto",L59)</f>
        <v>0</v>
      </c>
      <c r="N59" s="239"/>
      <c r="O59" s="221"/>
      <c r="P59" s="224"/>
      <c r="Q59" s="105">
        <v>3</v>
      </c>
      <c r="R59" s="118"/>
      <c r="S59" s="107" t="str">
        <f>IF(OR(T59="Preventivo",T59="Detectivo"),"Probabilidad",IF(T59="Correctivo","Impacto",""))</f>
        <v/>
      </c>
      <c r="T59" s="108"/>
      <c r="U59" s="108"/>
      <c r="V59" s="109" t="str">
        <f t="shared" si="57"/>
        <v/>
      </c>
      <c r="W59" s="108"/>
      <c r="X59" s="108"/>
      <c r="Y59" s="108"/>
      <c r="Z59" s="110" t="str">
        <f>IFERROR(IF(AND(S58="Probabilidad",S59="Probabilidad"),(AB58-(+AB58*V59)),IF(AND(S58="Impacto",S59="Probabilidad"),(AB57-(+AB57*V59)),IF(S59="Impacto",AB58,""))),"")</f>
        <v/>
      </c>
      <c r="AA59" s="111" t="str">
        <f t="shared" si="45"/>
        <v/>
      </c>
      <c r="AB59" s="112" t="str">
        <f t="shared" si="58"/>
        <v/>
      </c>
      <c r="AC59" s="111" t="str">
        <f t="shared" si="47"/>
        <v/>
      </c>
      <c r="AD59" s="112" t="str">
        <f>IFERROR(IF(AND(S58="Impacto",S59="Impacto"),(AD58-(+AD58*V59)),IF(AND(S58="Probabilidad",S59="Impacto"),(AD57-(+AD57*V59)),IF(S59="Probabilidad",AD58,""))),"")</f>
        <v/>
      </c>
      <c r="AE59" s="113" t="str">
        <f t="shared" si="59"/>
        <v/>
      </c>
      <c r="AF59" s="114"/>
      <c r="AG59" s="115"/>
      <c r="AH59" s="116"/>
      <c r="AI59" s="117"/>
      <c r="AJ59" s="117"/>
      <c r="AK59" s="115"/>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x14ac:dyDescent="0.25">
      <c r="A60" s="227"/>
      <c r="B60" s="230"/>
      <c r="C60" s="230"/>
      <c r="D60" s="230"/>
      <c r="E60" s="128"/>
      <c r="F60" s="233"/>
      <c r="G60" s="131"/>
      <c r="H60" s="230"/>
      <c r="I60" s="236"/>
      <c r="J60" s="239"/>
      <c r="K60" s="221"/>
      <c r="L60" s="242"/>
      <c r="M60" s="221">
        <f>IF(NOT(ISERROR(MATCH(L60,_xlfn.ANCHORARRAY(F71),0))),K73&amp;"Por favor no seleccionar los criterios de impacto",L60)</f>
        <v>0</v>
      </c>
      <c r="N60" s="239"/>
      <c r="O60" s="221"/>
      <c r="P60" s="224"/>
      <c r="Q60" s="105">
        <v>4</v>
      </c>
      <c r="R60" s="106"/>
      <c r="S60" s="107" t="str">
        <f t="shared" ref="S60:S62" si="60">IF(OR(T60="Preventivo",T60="Detectivo"),"Probabilidad",IF(T60="Correctivo","Impacto",""))</f>
        <v/>
      </c>
      <c r="T60" s="108"/>
      <c r="U60" s="108"/>
      <c r="V60" s="109" t="str">
        <f t="shared" si="57"/>
        <v/>
      </c>
      <c r="W60" s="108"/>
      <c r="X60" s="108"/>
      <c r="Y60" s="108"/>
      <c r="Z60" s="110" t="str">
        <f t="shared" ref="Z60:Z62" si="61">IFERROR(IF(AND(S59="Probabilidad",S60="Probabilidad"),(AB59-(+AB59*V60)),IF(AND(S59="Impacto",S60="Probabilidad"),(AB58-(+AB58*V60)),IF(S60="Impacto",AB59,""))),"")</f>
        <v/>
      </c>
      <c r="AA60" s="111" t="str">
        <f t="shared" si="45"/>
        <v/>
      </c>
      <c r="AB60" s="112" t="str">
        <f t="shared" si="58"/>
        <v/>
      </c>
      <c r="AC60" s="111" t="str">
        <f t="shared" si="47"/>
        <v/>
      </c>
      <c r="AD60" s="112" t="str">
        <f t="shared" ref="AD60:AD62" si="62">IFERROR(IF(AND(S59="Impacto",S60="Impacto"),(AD59-(+AD59*V60)),IF(AND(S59="Probabilidad",S60="Impacto"),(AD58-(+AD58*V60)),IF(S60="Probabilidad",AD59,""))),"")</f>
        <v/>
      </c>
      <c r="AE60" s="113"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4"/>
      <c r="AG60" s="115"/>
      <c r="AH60" s="116"/>
      <c r="AI60" s="117"/>
      <c r="AJ60" s="117"/>
      <c r="AK60" s="115"/>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x14ac:dyDescent="0.25">
      <c r="A61" s="227"/>
      <c r="B61" s="230"/>
      <c r="C61" s="230"/>
      <c r="D61" s="230"/>
      <c r="E61" s="128"/>
      <c r="F61" s="233"/>
      <c r="G61" s="131"/>
      <c r="H61" s="230"/>
      <c r="I61" s="236"/>
      <c r="J61" s="239"/>
      <c r="K61" s="221"/>
      <c r="L61" s="242"/>
      <c r="M61" s="221">
        <f>IF(NOT(ISERROR(MATCH(L61,_xlfn.ANCHORARRAY(F72),0))),K74&amp;"Por favor no seleccionar los criterios de impacto",L61)</f>
        <v>0</v>
      </c>
      <c r="N61" s="239"/>
      <c r="O61" s="221"/>
      <c r="P61" s="224"/>
      <c r="Q61" s="105">
        <v>5</v>
      </c>
      <c r="R61" s="106"/>
      <c r="S61" s="107" t="str">
        <f t="shared" si="60"/>
        <v/>
      </c>
      <c r="T61" s="108"/>
      <c r="U61" s="108"/>
      <c r="V61" s="109" t="str">
        <f t="shared" si="57"/>
        <v/>
      </c>
      <c r="W61" s="108"/>
      <c r="X61" s="108"/>
      <c r="Y61" s="108"/>
      <c r="Z61" s="110" t="str">
        <f t="shared" si="61"/>
        <v/>
      </c>
      <c r="AA61" s="111" t="str">
        <f t="shared" si="45"/>
        <v/>
      </c>
      <c r="AB61" s="112" t="str">
        <f t="shared" si="58"/>
        <v/>
      </c>
      <c r="AC61" s="111" t="str">
        <f t="shared" si="47"/>
        <v/>
      </c>
      <c r="AD61" s="112" t="str">
        <f t="shared" si="62"/>
        <v/>
      </c>
      <c r="AE61" s="113" t="str">
        <f t="shared" ref="AE61:AE62" si="63">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5"/>
      <c r="AL61" s="11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x14ac:dyDescent="0.25">
      <c r="A62" s="228"/>
      <c r="B62" s="231"/>
      <c r="C62" s="231"/>
      <c r="D62" s="231"/>
      <c r="E62" s="129"/>
      <c r="F62" s="234"/>
      <c r="G62" s="132"/>
      <c r="H62" s="231"/>
      <c r="I62" s="237"/>
      <c r="J62" s="240"/>
      <c r="K62" s="222"/>
      <c r="L62" s="243"/>
      <c r="M62" s="222">
        <f>IF(NOT(ISERROR(MATCH(L62,_xlfn.ANCHORARRAY(F73),0))),K75&amp;"Por favor no seleccionar los criterios de impacto",L62)</f>
        <v>0</v>
      </c>
      <c r="N62" s="240"/>
      <c r="O62" s="222"/>
      <c r="P62" s="225"/>
      <c r="Q62" s="105">
        <v>6</v>
      </c>
      <c r="R62" s="106"/>
      <c r="S62" s="107" t="str">
        <f t="shared" si="60"/>
        <v/>
      </c>
      <c r="T62" s="108"/>
      <c r="U62" s="108"/>
      <c r="V62" s="109" t="str">
        <f t="shared" si="57"/>
        <v/>
      </c>
      <c r="W62" s="108"/>
      <c r="X62" s="108"/>
      <c r="Y62" s="108"/>
      <c r="Z62" s="110" t="str">
        <f t="shared" si="61"/>
        <v/>
      </c>
      <c r="AA62" s="111" t="str">
        <f t="shared" si="45"/>
        <v/>
      </c>
      <c r="AB62" s="112" t="str">
        <f t="shared" si="58"/>
        <v/>
      </c>
      <c r="AC62" s="111" t="str">
        <f t="shared" si="47"/>
        <v/>
      </c>
      <c r="AD62" s="112" t="str">
        <f t="shared" si="62"/>
        <v/>
      </c>
      <c r="AE62" s="113" t="str">
        <f t="shared" si="63"/>
        <v/>
      </c>
      <c r="AF62" s="114"/>
      <c r="AG62" s="115"/>
      <c r="AH62" s="116"/>
      <c r="AI62" s="117"/>
      <c r="AJ62" s="117"/>
      <c r="AK62" s="115"/>
      <c r="AL62" s="116"/>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x14ac:dyDescent="0.25">
      <c r="A63" s="226">
        <v>10</v>
      </c>
      <c r="B63" s="229"/>
      <c r="C63" s="229"/>
      <c r="D63" s="229"/>
      <c r="E63" s="127"/>
      <c r="F63" s="232"/>
      <c r="G63" s="130"/>
      <c r="H63" s="229"/>
      <c r="I63" s="235"/>
      <c r="J63" s="238" t="str">
        <f t="shared" ref="J63" si="64">IF(I63&lt;=0,"",IF(I63&lt;=2,"Muy Baja",IF(I63&lt;=24,"Baja",IF(I63&lt;=500,"Media",IF(I63&lt;=5000,"Alta","Muy Alta")))))</f>
        <v/>
      </c>
      <c r="K63" s="220" t="str">
        <f t="shared" ref="K63" si="65">IF(J63="","",IF(J63="Muy Baja",0.2,IF(J63="Baja",0.4,IF(J63="Media",0.6,IF(J63="Alta",0.8,IF(J63="Muy Alta",1,))))))</f>
        <v/>
      </c>
      <c r="L63" s="241"/>
      <c r="M63" s="220">
        <f>IF(NOT(ISERROR(MATCH(L63,'Tabla Impacto'!$B$221:$B$223,0))),'Tabla Impacto'!$F$223&amp;"Por favor no seleccionar los criterios de impacto(Afectación Económica o presupuestal y Pérdida Reputacional)",L63)</f>
        <v>0</v>
      </c>
      <c r="N63" s="238" t="str">
        <f>IF(OR(M63='Tabla Impacto'!$C$11,M63='Tabla Impacto'!$D$11),"Leve",IF(OR(M63='Tabla Impacto'!$C$12,M63='Tabla Impacto'!$D$12),"Menor",IF(OR(M63='Tabla Impacto'!$C$13,M63='Tabla Impacto'!$D$13),"Moderado",IF(OR(M63='Tabla Impacto'!$C$14,M63='Tabla Impacto'!$D$14),"Mayor",IF(OR(M63='Tabla Impacto'!$C$15,M63='Tabla Impacto'!$D$15),"Catastrófico","")))))</f>
        <v/>
      </c>
      <c r="O63" s="220" t="str">
        <f t="shared" ref="O63" si="66">IF(N63="","",IF(N63="Leve",0.2,IF(N63="Menor",0.4,IF(N63="Moderado",0.6,IF(N63="Mayor",0.8,IF(N63="Catastrófico",1,))))))</f>
        <v/>
      </c>
      <c r="P63" s="223" t="str">
        <f t="shared" ref="P63" si="67">IF(OR(AND(J63="Muy Baja",N63="Leve"),AND(J63="Muy Baja",N63="Menor"),AND(J63="Baja",N63="Leve")),"Bajo",IF(OR(AND(J63="Muy baja",N63="Moderado"),AND(J63="Baja",N63="Menor"),AND(J63="Baja",N63="Moderado"),AND(J63="Media",N63="Leve"),AND(J63="Media",N63="Menor"),AND(J63="Media",N63="Moderado"),AND(J63="Alta",N63="Leve"),AND(J63="Alta",N63="Menor")),"Moderado",IF(OR(AND(J63="Muy Baja",N63="Mayor"),AND(J63="Baja",N63="Mayor"),AND(J63="Media",N63="Mayor"),AND(J63="Alta",N63="Moderado"),AND(J63="Alta",N63="Mayor"),AND(J63="Muy Alta",N63="Leve"),AND(J63="Muy Alta",N63="Menor"),AND(J63="Muy Alta",N63="Moderado"),AND(J63="Muy Alta",N63="Mayor")),"Alto",IF(OR(AND(J63="Muy Baja",N63="Catastrófico"),AND(J63="Baja",N63="Catastrófico"),AND(J63="Media",N63="Catastrófico"),AND(J63="Alta",N63="Catastrófico"),AND(J63="Muy Alta",N63="Catastrófico")),"Extremo",""))))</f>
        <v/>
      </c>
      <c r="Q63" s="105">
        <v>1</v>
      </c>
      <c r="R63" s="106"/>
      <c r="S63" s="107" t="str">
        <f>IF(OR(T63="Preventivo",T63="Detectivo"),"Probabilidad",IF(T63="Correctivo","Impacto",""))</f>
        <v/>
      </c>
      <c r="T63" s="108"/>
      <c r="U63" s="108"/>
      <c r="V63" s="109" t="str">
        <f>IF(AND(T63="Preventivo",U63="Automático"),"50%",IF(AND(T63="Preventivo",U63="Manual"),"40%",IF(AND(T63="Detectivo",U63="Automático"),"40%",IF(AND(T63="Detectivo",U63="Manual"),"30%",IF(AND(T63="Correctivo",U63="Automático"),"35%",IF(AND(T63="Correctivo",U63="Manual"),"25%",""))))))</f>
        <v/>
      </c>
      <c r="W63" s="108"/>
      <c r="X63" s="108"/>
      <c r="Y63" s="108"/>
      <c r="Z63" s="110" t="str">
        <f>IFERROR(IF(S63="Probabilidad",(K63-(+K63*V63)),IF(S63="Impacto",K63,"")),"")</f>
        <v/>
      </c>
      <c r="AA63" s="111" t="str">
        <f>IFERROR(IF(Z63="","",IF(Z63&lt;=0.2,"Muy Baja",IF(Z63&lt;=0.4,"Baja",IF(Z63&lt;=0.6,"Media",IF(Z63&lt;=0.8,"Alta","Muy Alta"))))),"")</f>
        <v/>
      </c>
      <c r="AB63" s="112" t="str">
        <f>+Z63</f>
        <v/>
      </c>
      <c r="AC63" s="111" t="str">
        <f>IFERROR(IF(AD63="","",IF(AD63&lt;=0.2,"Leve",IF(AD63&lt;=0.4,"Menor",IF(AD63&lt;=0.6,"Moderado",IF(AD63&lt;=0.8,"Mayor","Catastrófico"))))),"")</f>
        <v/>
      </c>
      <c r="AD63" s="112" t="str">
        <f>IFERROR(IF(S63="Impacto",(O63-(+O63*V63)),IF(S63="Probabilidad",O63,"")),"")</f>
        <v/>
      </c>
      <c r="AE63" s="113"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14"/>
      <c r="AG63" s="115"/>
      <c r="AH63" s="116"/>
      <c r="AI63" s="117"/>
      <c r="AJ63" s="117"/>
      <c r="AK63" s="115"/>
      <c r="AL63" s="116"/>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x14ac:dyDescent="0.25">
      <c r="A64" s="227"/>
      <c r="B64" s="230"/>
      <c r="C64" s="230"/>
      <c r="D64" s="230"/>
      <c r="E64" s="128"/>
      <c r="F64" s="233"/>
      <c r="G64" s="131"/>
      <c r="H64" s="230"/>
      <c r="I64" s="236"/>
      <c r="J64" s="239"/>
      <c r="K64" s="221"/>
      <c r="L64" s="242"/>
      <c r="M64" s="221">
        <f>IF(NOT(ISERROR(MATCH(L64,_xlfn.ANCHORARRAY(F75),0))),K77&amp;"Por favor no seleccionar los criterios de impacto",L64)</f>
        <v>0</v>
      </c>
      <c r="N64" s="239"/>
      <c r="O64" s="221"/>
      <c r="P64" s="224"/>
      <c r="Q64" s="105">
        <v>2</v>
      </c>
      <c r="R64" s="106"/>
      <c r="S64" s="107" t="str">
        <f>IF(OR(T64="Preventivo",T64="Detectivo"),"Probabilidad",IF(T64="Correctivo","Impacto",""))</f>
        <v/>
      </c>
      <c r="T64" s="108"/>
      <c r="U64" s="108"/>
      <c r="V64" s="109" t="str">
        <f t="shared" ref="V64:V68" si="68">IF(AND(T64="Preventivo",U64="Automático"),"50%",IF(AND(T64="Preventivo",U64="Manual"),"40%",IF(AND(T64="Detectivo",U64="Automático"),"40%",IF(AND(T64="Detectivo",U64="Manual"),"30%",IF(AND(T64="Correctivo",U64="Automático"),"35%",IF(AND(T64="Correctivo",U64="Manual"),"25%",""))))))</f>
        <v/>
      </c>
      <c r="W64" s="108"/>
      <c r="X64" s="108"/>
      <c r="Y64" s="108"/>
      <c r="Z64" s="110" t="str">
        <f>IFERROR(IF(AND(S63="Probabilidad",S64="Probabilidad"),(AB63-(+AB63*V64)),IF(S64="Probabilidad",(K63-(+K63*V64)),IF(S64="Impacto",AB63,""))),"")</f>
        <v/>
      </c>
      <c r="AA64" s="111" t="str">
        <f t="shared" si="45"/>
        <v/>
      </c>
      <c r="AB64" s="112" t="str">
        <f t="shared" ref="AB64:AB68" si="69">+Z64</f>
        <v/>
      </c>
      <c r="AC64" s="111" t="str">
        <f t="shared" si="47"/>
        <v/>
      </c>
      <c r="AD64" s="112" t="str">
        <f>IFERROR(IF(AND(S63="Impacto",S64="Impacto"),(AD63-(+AD63*V64)),IF(S64="Impacto",(O63-(+O63*V64)),IF(S64="Probabilidad",AD63,""))),"")</f>
        <v/>
      </c>
      <c r="AE64" s="113" t="str">
        <f t="shared" ref="AE64:AE65" si="70">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5"/>
      <c r="AL64" s="116"/>
    </row>
    <row r="65" spans="1:38" x14ac:dyDescent="0.25">
      <c r="A65" s="227"/>
      <c r="B65" s="230"/>
      <c r="C65" s="230"/>
      <c r="D65" s="230"/>
      <c r="E65" s="128"/>
      <c r="F65" s="233"/>
      <c r="G65" s="131"/>
      <c r="H65" s="230"/>
      <c r="I65" s="236"/>
      <c r="J65" s="239"/>
      <c r="K65" s="221"/>
      <c r="L65" s="242"/>
      <c r="M65" s="221">
        <f>IF(NOT(ISERROR(MATCH(L65,_xlfn.ANCHORARRAY(F76),0))),K78&amp;"Por favor no seleccionar los criterios de impacto",L65)</f>
        <v>0</v>
      </c>
      <c r="N65" s="239"/>
      <c r="O65" s="221"/>
      <c r="P65" s="224"/>
      <c r="Q65" s="105">
        <v>3</v>
      </c>
      <c r="R65" s="118"/>
      <c r="S65" s="107" t="str">
        <f>IF(OR(T65="Preventivo",T65="Detectivo"),"Probabilidad",IF(T65="Correctivo","Impacto",""))</f>
        <v/>
      </c>
      <c r="T65" s="108"/>
      <c r="U65" s="108"/>
      <c r="V65" s="109" t="str">
        <f t="shared" si="68"/>
        <v/>
      </c>
      <c r="W65" s="108"/>
      <c r="X65" s="108"/>
      <c r="Y65" s="108"/>
      <c r="Z65" s="110" t="str">
        <f>IFERROR(IF(AND(S64="Probabilidad",S65="Probabilidad"),(AB64-(+AB64*V65)),IF(AND(S64="Impacto",S65="Probabilidad"),(AB63-(+AB63*V65)),IF(S65="Impacto",AB64,""))),"")</f>
        <v/>
      </c>
      <c r="AA65" s="111" t="str">
        <f t="shared" si="45"/>
        <v/>
      </c>
      <c r="AB65" s="112" t="str">
        <f t="shared" si="69"/>
        <v/>
      </c>
      <c r="AC65" s="111" t="str">
        <f t="shared" si="47"/>
        <v/>
      </c>
      <c r="AD65" s="112" t="str">
        <f>IFERROR(IF(AND(S64="Impacto",S65="Impacto"),(AD64-(+AD64*V65)),IF(AND(S64="Probabilidad",S65="Impacto"),(AD63-(+AD63*V65)),IF(S65="Probabilidad",AD64,""))),"")</f>
        <v/>
      </c>
      <c r="AE65" s="113" t="str">
        <f t="shared" si="70"/>
        <v/>
      </c>
      <c r="AF65" s="114"/>
      <c r="AG65" s="115"/>
      <c r="AH65" s="116"/>
      <c r="AI65" s="117"/>
      <c r="AJ65" s="117"/>
      <c r="AK65" s="115"/>
      <c r="AL65" s="116"/>
    </row>
    <row r="66" spans="1:38" x14ac:dyDescent="0.25">
      <c r="A66" s="227"/>
      <c r="B66" s="230"/>
      <c r="C66" s="230"/>
      <c r="D66" s="230"/>
      <c r="E66" s="128"/>
      <c r="F66" s="233"/>
      <c r="G66" s="131"/>
      <c r="H66" s="230"/>
      <c r="I66" s="236"/>
      <c r="J66" s="239"/>
      <c r="K66" s="221"/>
      <c r="L66" s="242"/>
      <c r="M66" s="221">
        <f>IF(NOT(ISERROR(MATCH(L66,_xlfn.ANCHORARRAY(F77),0))),K79&amp;"Por favor no seleccionar los criterios de impacto",L66)</f>
        <v>0</v>
      </c>
      <c r="N66" s="239"/>
      <c r="O66" s="221"/>
      <c r="P66" s="224"/>
      <c r="Q66" s="105">
        <v>4</v>
      </c>
      <c r="R66" s="106"/>
      <c r="S66" s="107" t="str">
        <f t="shared" ref="S66:S68" si="71">IF(OR(T66="Preventivo",T66="Detectivo"),"Probabilidad",IF(T66="Correctivo","Impacto",""))</f>
        <v/>
      </c>
      <c r="T66" s="108"/>
      <c r="U66" s="108"/>
      <c r="V66" s="109" t="str">
        <f t="shared" si="68"/>
        <v/>
      </c>
      <c r="W66" s="108"/>
      <c r="X66" s="108"/>
      <c r="Y66" s="108"/>
      <c r="Z66" s="110" t="str">
        <f t="shared" ref="Z66:Z68" si="72">IFERROR(IF(AND(S65="Probabilidad",S66="Probabilidad"),(AB65-(+AB65*V66)),IF(AND(S65="Impacto",S66="Probabilidad"),(AB64-(+AB64*V66)),IF(S66="Impacto",AB65,""))),"")</f>
        <v/>
      </c>
      <c r="AA66" s="111" t="str">
        <f t="shared" si="45"/>
        <v/>
      </c>
      <c r="AB66" s="112" t="str">
        <f t="shared" si="69"/>
        <v/>
      </c>
      <c r="AC66" s="111" t="str">
        <f t="shared" si="47"/>
        <v/>
      </c>
      <c r="AD66" s="112" t="str">
        <f t="shared" ref="AD66:AD68" si="73">IFERROR(IF(AND(S65="Impacto",S66="Impacto"),(AD65-(+AD65*V66)),IF(AND(S65="Probabilidad",S66="Impacto"),(AD64-(+AD64*V66)),IF(S66="Probabilidad",AD65,""))),"")</f>
        <v/>
      </c>
      <c r="AE66" s="113" t="str">
        <f>IFERROR(IF(OR(AND(AA66="Muy Baja",AC66="Leve"),AND(AA66="Muy Baja",AC66="Menor"),AND(AA66="Baja",AC66="Leve")),"Bajo",IF(OR(AND(AA66="Muy baja",AC66="Moderado"),AND(AA66="Baja",AC66="Menor"),AND(AA66="Baja",AC66="Moderado"),AND(AA66="Media",AC66="Leve"),AND(AA66="Media",AC66="Menor"),AND(AA66="Media",AC66="Moderado"),AND(AA66="Alta",AC66="Leve"),AND(AA66="Alta",AC66="Menor")),"Moderado",IF(OR(AND(AA66="Muy Baja",AC66="Mayor"),AND(AA66="Baja",AC66="Mayor"),AND(AA66="Media",AC66="Mayor"),AND(AA66="Alta",AC66="Moderado"),AND(AA66="Alta",AC66="Mayor"),AND(AA66="Muy Alta",AC66="Leve"),AND(AA66="Muy Alta",AC66="Menor"),AND(AA66="Muy Alta",AC66="Moderado"),AND(AA66="Muy Alta",AC66="Mayor")),"Alto",IF(OR(AND(AA66="Muy Baja",AC66="Catastrófico"),AND(AA66="Baja",AC66="Catastrófico"),AND(AA66="Media",AC66="Catastrófico"),AND(AA66="Alta",AC66="Catastrófico"),AND(AA66="Muy Alta",AC66="Catastrófico")),"Extremo","")))),"")</f>
        <v/>
      </c>
      <c r="AF66" s="114"/>
      <c r="AG66" s="115"/>
      <c r="AH66" s="116"/>
      <c r="AI66" s="117"/>
      <c r="AJ66" s="117"/>
      <c r="AK66" s="115"/>
      <c r="AL66" s="116"/>
    </row>
    <row r="67" spans="1:38" x14ac:dyDescent="0.25">
      <c r="A67" s="227"/>
      <c r="B67" s="230"/>
      <c r="C67" s="230"/>
      <c r="D67" s="230"/>
      <c r="E67" s="128"/>
      <c r="F67" s="233"/>
      <c r="G67" s="131"/>
      <c r="H67" s="230"/>
      <c r="I67" s="236"/>
      <c r="J67" s="239"/>
      <c r="K67" s="221"/>
      <c r="L67" s="242"/>
      <c r="M67" s="221">
        <f>IF(NOT(ISERROR(MATCH(L67,_xlfn.ANCHORARRAY(F78),0))),K80&amp;"Por favor no seleccionar los criterios de impacto",L67)</f>
        <v>0</v>
      </c>
      <c r="N67" s="239"/>
      <c r="O67" s="221"/>
      <c r="P67" s="224"/>
      <c r="Q67" s="105">
        <v>5</v>
      </c>
      <c r="R67" s="106"/>
      <c r="S67" s="107" t="str">
        <f t="shared" si="71"/>
        <v/>
      </c>
      <c r="T67" s="108"/>
      <c r="U67" s="108"/>
      <c r="V67" s="109" t="str">
        <f t="shared" si="68"/>
        <v/>
      </c>
      <c r="W67" s="108"/>
      <c r="X67" s="108"/>
      <c r="Y67" s="108"/>
      <c r="Z67" s="110" t="str">
        <f t="shared" si="72"/>
        <v/>
      </c>
      <c r="AA67" s="111" t="str">
        <f t="shared" si="45"/>
        <v/>
      </c>
      <c r="AB67" s="112" t="str">
        <f t="shared" si="69"/>
        <v/>
      </c>
      <c r="AC67" s="111" t="str">
        <f t="shared" si="47"/>
        <v/>
      </c>
      <c r="AD67" s="112" t="str">
        <f t="shared" si="73"/>
        <v/>
      </c>
      <c r="AE67" s="113" t="str">
        <f t="shared" ref="AE67:AE68" si="74">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4"/>
      <c r="AG67" s="115"/>
      <c r="AH67" s="116"/>
      <c r="AI67" s="117"/>
      <c r="AJ67" s="117"/>
      <c r="AK67" s="115"/>
      <c r="AL67" s="116"/>
    </row>
    <row r="68" spans="1:38" x14ac:dyDescent="0.25">
      <c r="A68" s="228"/>
      <c r="B68" s="231"/>
      <c r="C68" s="231"/>
      <c r="D68" s="231"/>
      <c r="E68" s="129"/>
      <c r="F68" s="234"/>
      <c r="G68" s="132"/>
      <c r="H68" s="231"/>
      <c r="I68" s="237"/>
      <c r="J68" s="240"/>
      <c r="K68" s="222"/>
      <c r="L68" s="243"/>
      <c r="M68" s="222">
        <f>IF(NOT(ISERROR(MATCH(L68,_xlfn.ANCHORARRAY(F79),0))),K81&amp;"Por favor no seleccionar los criterios de impacto",L68)</f>
        <v>0</v>
      </c>
      <c r="N68" s="240"/>
      <c r="O68" s="222"/>
      <c r="P68" s="225"/>
      <c r="Q68" s="105">
        <v>6</v>
      </c>
      <c r="R68" s="106"/>
      <c r="S68" s="107" t="str">
        <f t="shared" si="71"/>
        <v/>
      </c>
      <c r="T68" s="108"/>
      <c r="U68" s="108"/>
      <c r="V68" s="109" t="str">
        <f t="shared" si="68"/>
        <v/>
      </c>
      <c r="W68" s="108"/>
      <c r="X68" s="108"/>
      <c r="Y68" s="108"/>
      <c r="Z68" s="110" t="str">
        <f t="shared" si="72"/>
        <v/>
      </c>
      <c r="AA68" s="111" t="str">
        <f t="shared" si="45"/>
        <v/>
      </c>
      <c r="AB68" s="112" t="str">
        <f t="shared" si="69"/>
        <v/>
      </c>
      <c r="AC68" s="111" t="str">
        <f t="shared" si="47"/>
        <v/>
      </c>
      <c r="AD68" s="112" t="str">
        <f t="shared" si="73"/>
        <v/>
      </c>
      <c r="AE68" s="113" t="str">
        <f t="shared" si="74"/>
        <v/>
      </c>
      <c r="AF68" s="114"/>
      <c r="AG68" s="115"/>
      <c r="AH68" s="116"/>
      <c r="AI68" s="117"/>
      <c r="AJ68" s="117"/>
      <c r="AK68" s="115"/>
      <c r="AL68" s="116"/>
    </row>
    <row r="69" spans="1:38" x14ac:dyDescent="0.25">
      <c r="A69" s="6"/>
      <c r="B69" s="217" t="s">
        <v>125</v>
      </c>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9"/>
    </row>
    <row r="71" spans="1:38" x14ac:dyDescent="0.25">
      <c r="A71" s="1"/>
      <c r="B71" s="24" t="s">
        <v>137</v>
      </c>
      <c r="C71" s="1"/>
      <c r="D71" s="1"/>
      <c r="E71" s="1"/>
      <c r="H71" s="1"/>
    </row>
  </sheetData>
  <dataConsolidate/>
  <mergeCells count="188">
    <mergeCell ref="J21:J26"/>
    <mergeCell ref="A15:A20"/>
    <mergeCell ref="A10:A14"/>
    <mergeCell ref="B10:B14"/>
    <mergeCell ref="C10:C14"/>
    <mergeCell ref="D10:D14"/>
    <mergeCell ref="F10:F14"/>
    <mergeCell ref="A21:A26"/>
    <mergeCell ref="B21:B26"/>
    <mergeCell ref="D21:D26"/>
    <mergeCell ref="F21:F26"/>
    <mergeCell ref="H15:H20"/>
    <mergeCell ref="I15:I20"/>
    <mergeCell ref="J15:J20"/>
    <mergeCell ref="J10:J14"/>
    <mergeCell ref="E8:E9"/>
    <mergeCell ref="D15:D20"/>
    <mergeCell ref="F15:F20"/>
    <mergeCell ref="M15:M20"/>
    <mergeCell ref="N15:N20"/>
    <mergeCell ref="O15:O20"/>
    <mergeCell ref="P15:P20"/>
    <mergeCell ref="B15:B20"/>
    <mergeCell ref="C15:C20"/>
    <mergeCell ref="P10:P14"/>
    <mergeCell ref="K10:K14"/>
    <mergeCell ref="L10:L14"/>
    <mergeCell ref="M10:M14"/>
    <mergeCell ref="N10:N14"/>
    <mergeCell ref="O10:O14"/>
    <mergeCell ref="G10:G14"/>
    <mergeCell ref="I8:I9"/>
    <mergeCell ref="J8:J9"/>
    <mergeCell ref="K8:K9"/>
    <mergeCell ref="N8:N9"/>
    <mergeCell ref="O8:O9"/>
    <mergeCell ref="G15:G20"/>
    <mergeCell ref="H10:H14"/>
    <mergeCell ref="I10:I14"/>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C5:AL5"/>
    <mergeCell ref="B8:B9"/>
    <mergeCell ref="P8:P9"/>
    <mergeCell ref="L8:L9"/>
    <mergeCell ref="M8:M9"/>
    <mergeCell ref="S8:S9"/>
    <mergeCell ref="T8:Y8"/>
    <mergeCell ref="K15:K20"/>
    <mergeCell ref="L15:L20"/>
    <mergeCell ref="AG8:AG9"/>
    <mergeCell ref="AL8:AL9"/>
    <mergeCell ref="AK8:AK9"/>
    <mergeCell ref="AJ8:AJ9"/>
    <mergeCell ref="AI8:AI9"/>
    <mergeCell ref="AH8:AH9"/>
    <mergeCell ref="AB8:AB9"/>
    <mergeCell ref="O21:O26"/>
    <mergeCell ref="P21:P26"/>
    <mergeCell ref="A27:A32"/>
    <mergeCell ref="B27:B32"/>
    <mergeCell ref="C27:C32"/>
    <mergeCell ref="D27:D32"/>
    <mergeCell ref="F27:F32"/>
    <mergeCell ref="H27:H32"/>
    <mergeCell ref="I27:I32"/>
    <mergeCell ref="J27:J32"/>
    <mergeCell ref="K27:K32"/>
    <mergeCell ref="L27:L32"/>
    <mergeCell ref="M27:M32"/>
    <mergeCell ref="N27:N32"/>
    <mergeCell ref="O27:O32"/>
    <mergeCell ref="P27:P32"/>
    <mergeCell ref="C21:C26"/>
    <mergeCell ref="K21:K26"/>
    <mergeCell ref="L21:L26"/>
    <mergeCell ref="M21:M26"/>
    <mergeCell ref="N21:N26"/>
    <mergeCell ref="G21:G26"/>
    <mergeCell ref="H21:H26"/>
    <mergeCell ref="I21:I26"/>
    <mergeCell ref="O33:O38"/>
    <mergeCell ref="P33:P38"/>
    <mergeCell ref="O39:O44"/>
    <mergeCell ref="P39:P44"/>
    <mergeCell ref="L45:L50"/>
    <mergeCell ref="M45:M50"/>
    <mergeCell ref="N45:N50"/>
    <mergeCell ref="A33:A38"/>
    <mergeCell ref="B33:B38"/>
    <mergeCell ref="C33:C38"/>
    <mergeCell ref="A39:A44"/>
    <mergeCell ref="B39:B44"/>
    <mergeCell ref="C39:C44"/>
    <mergeCell ref="D39:D44"/>
    <mergeCell ref="F39:F44"/>
    <mergeCell ref="H39:H44"/>
    <mergeCell ref="D33:D38"/>
    <mergeCell ref="F33:F38"/>
    <mergeCell ref="L39:L44"/>
    <mergeCell ref="M39:M44"/>
    <mergeCell ref="N39:N44"/>
    <mergeCell ref="H33:H38"/>
    <mergeCell ref="I33:I38"/>
    <mergeCell ref="J33:J38"/>
    <mergeCell ref="K33:K38"/>
    <mergeCell ref="L33:L38"/>
    <mergeCell ref="I39:I44"/>
    <mergeCell ref="J39:J44"/>
    <mergeCell ref="K39:K44"/>
    <mergeCell ref="M33:M38"/>
    <mergeCell ref="N33:N38"/>
    <mergeCell ref="A51:A56"/>
    <mergeCell ref="B51:B56"/>
    <mergeCell ref="C51:C56"/>
    <mergeCell ref="D51:D56"/>
    <mergeCell ref="F51:F56"/>
    <mergeCell ref="A45:A50"/>
    <mergeCell ref="B45:B50"/>
    <mergeCell ref="C45:C50"/>
    <mergeCell ref="D45:D50"/>
    <mergeCell ref="F45:F50"/>
    <mergeCell ref="O45:O50"/>
    <mergeCell ref="P45:P50"/>
    <mergeCell ref="H51:H56"/>
    <mergeCell ref="I51:I56"/>
    <mergeCell ref="J51:J56"/>
    <mergeCell ref="K51:K56"/>
    <mergeCell ref="L51:L56"/>
    <mergeCell ref="H45:H50"/>
    <mergeCell ref="I45:I50"/>
    <mergeCell ref="J45:J50"/>
    <mergeCell ref="K45:K50"/>
    <mergeCell ref="M51:M56"/>
    <mergeCell ref="N51:N56"/>
    <mergeCell ref="O51:O56"/>
    <mergeCell ref="P51:P56"/>
    <mergeCell ref="L57:L62"/>
    <mergeCell ref="M57:M62"/>
    <mergeCell ref="N57:N62"/>
    <mergeCell ref="A57:A62"/>
    <mergeCell ref="B57:B62"/>
    <mergeCell ref="C57:C62"/>
    <mergeCell ref="D57:D62"/>
    <mergeCell ref="F57:F62"/>
    <mergeCell ref="H57:H62"/>
    <mergeCell ref="I57:I62"/>
    <mergeCell ref="J57:J62"/>
    <mergeCell ref="K57:K62"/>
    <mergeCell ref="C6:AL6"/>
    <mergeCell ref="A1:AL2"/>
    <mergeCell ref="A7:I7"/>
    <mergeCell ref="J7:P7"/>
    <mergeCell ref="Q7:Y7"/>
    <mergeCell ref="Z7:AF7"/>
    <mergeCell ref="AG7:AL7"/>
    <mergeCell ref="B69:AL69"/>
    <mergeCell ref="O57:O62"/>
    <mergeCell ref="P57:P62"/>
    <mergeCell ref="A63:A68"/>
    <mergeCell ref="B63:B68"/>
    <mergeCell ref="C63:C68"/>
    <mergeCell ref="D63:D68"/>
    <mergeCell ref="F63:F68"/>
    <mergeCell ref="H63:H68"/>
    <mergeCell ref="I63:I68"/>
    <mergeCell ref="J63:J68"/>
    <mergeCell ref="K63:K68"/>
    <mergeCell ref="L63:L68"/>
    <mergeCell ref="M63:M68"/>
    <mergeCell ref="N63:N68"/>
    <mergeCell ref="O63:O68"/>
    <mergeCell ref="P63:P68"/>
  </mergeCells>
  <conditionalFormatting sqref="J10 AA10:AA68 J15 J21 J27 J33 J39 J45 J51 J57 J63">
    <cfRule type="cellIs" dxfId="18" priority="361" operator="equal">
      <formula>"Muy Alta"</formula>
    </cfRule>
    <cfRule type="cellIs" dxfId="17" priority="362" operator="equal">
      <formula>"Alta"</formula>
    </cfRule>
    <cfRule type="cellIs" dxfId="16" priority="363" operator="equal">
      <formula>"Media"</formula>
    </cfRule>
    <cfRule type="cellIs" dxfId="15" priority="364" operator="equal">
      <formula>"Baja"</formula>
    </cfRule>
    <cfRule type="cellIs" dxfId="14" priority="365" operator="equal">
      <formula>"Muy Baja"</formula>
    </cfRule>
  </conditionalFormatting>
  <conditionalFormatting sqref="M10:M68">
    <cfRule type="containsText" dxfId="13" priority="43" operator="containsText" text="❌">
      <formula>NOT(ISERROR(SEARCH("❌",M10)))</formula>
    </cfRule>
  </conditionalFormatting>
  <conditionalFormatting sqref="N10 AC10:AC68 N15 N21 N27 N33 N39 N45 N51 N57 N63">
    <cfRule type="cellIs" dxfId="12" priority="356" operator="equal">
      <formula>"Catastrófico"</formula>
    </cfRule>
    <cfRule type="cellIs" dxfId="11" priority="357" operator="equal">
      <formula>"Mayor"</formula>
    </cfRule>
    <cfRule type="cellIs" dxfId="10" priority="358" operator="equal">
      <formula>"Moderado"</formula>
    </cfRule>
    <cfRule type="cellIs" dxfId="9" priority="359" operator="equal">
      <formula>"Menor"</formula>
    </cfRule>
    <cfRule type="cellIs" dxfId="8" priority="360" operator="equal">
      <formula>"Leve"</formula>
    </cfRule>
  </conditionalFormatting>
  <conditionalFormatting sqref="P10 AE10:AE68">
    <cfRule type="cellIs" dxfId="7" priority="352" operator="equal">
      <formula>"Extremo"</formula>
    </cfRule>
    <cfRule type="cellIs" dxfId="6" priority="353" operator="equal">
      <formula>"Alto"</formula>
    </cfRule>
    <cfRule type="cellIs" dxfId="5" priority="354" operator="equal">
      <formula>"Moderado"</formula>
    </cfRule>
    <cfRule type="cellIs" dxfId="4" priority="355" operator="equal">
      <formula>"Bajo"</formula>
    </cfRule>
  </conditionalFormatting>
  <conditionalFormatting sqref="P15 P21 P27 P33 P39 P45 P51 P57 P63">
    <cfRule type="cellIs" dxfId="3" priority="282" operator="equal">
      <formula>"Extremo"</formula>
    </cfRule>
    <cfRule type="cellIs" dxfId="2" priority="283" operator="equal">
      <formula>"Alto"</formula>
    </cfRule>
    <cfRule type="cellIs" dxfId="1" priority="284" operator="equal">
      <formula>"Moderado"</formula>
    </cfRule>
    <cfRule type="cellIs" dxfId="0" priority="285"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'Tabla Valoración controles'!$D$4:$D$6</xm:f>
          </x14:formula1>
          <xm:sqref>T15:T18 T21:T68 T10:T13</xm:sqref>
        </x14:dataValidation>
        <x14:dataValidation type="list" allowBlank="1" showInputMessage="1" showErrorMessage="1" xr:uid="{00000000-0002-0000-0100-000001000000}">
          <x14:formula1>
            <xm:f>'Tabla Valoración controles'!$D$7:$D$8</xm:f>
          </x14:formula1>
          <xm:sqref>U15:U18 U21:U68 U10:U13</xm:sqref>
        </x14:dataValidation>
        <x14:dataValidation type="list" allowBlank="1" showInputMessage="1" showErrorMessage="1" xr:uid="{00000000-0002-0000-0100-000002000000}">
          <x14:formula1>
            <xm:f>'Tabla Valoración controles'!$D$9:$D$10</xm:f>
          </x14:formula1>
          <xm:sqref>W15:W18 W21:W68 W10:W13</xm:sqref>
        </x14:dataValidation>
        <x14:dataValidation type="list" allowBlank="1" showInputMessage="1" showErrorMessage="1" xr:uid="{00000000-0002-0000-0100-000003000000}">
          <x14:formula1>
            <xm:f>'Tabla Valoración controles'!$D$11:$D$12</xm:f>
          </x14:formula1>
          <xm:sqref>X15:X18 X21:X68 X10:X13</xm:sqref>
        </x14:dataValidation>
        <x14:dataValidation type="list" allowBlank="1" showInputMessage="1" showErrorMessage="1" xr:uid="{00000000-0002-0000-0100-000004000000}">
          <x14:formula1>
            <xm:f>'Opciones Tratamiento'!$B$9:$B$10</xm:f>
          </x14:formula1>
          <xm:sqref>AL66:AL67 AL21:AL22 AL24:AL25 AL27:AL28 AL30:AL31 AL33:AL34 AL36:AL37 AL39:AL40 AL42:AL43 AL45:AL46 AL48:AL49 AL51:AL52 AL54:AL55 AL57:AL58 AL60:AL61 AL63:AL64 AL10:AL19</xm:sqref>
        </x14:dataValidation>
        <x14:dataValidation type="list" allowBlank="1" showInputMessage="1" showErrorMessage="1" xr:uid="{00000000-0002-0000-0100-000005000000}">
          <x14:formula1>
            <xm:f>'Tabla Valoración controles'!$D$13:$D$14</xm:f>
          </x14:formula1>
          <xm:sqref>Y15:Y18 Y21:Y68 Y10:Y13</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AJ21:AK22 AI10:AI68 AJ10:AK16</xm:sqref>
        </x14:dataValidation>
        <x14:dataValidation type="custom" allowBlank="1" showInputMessage="1" showErrorMessage="1" error="Recuerde que las acciones se generan bajo la medida de mitigar el riesgo" xr:uid="{00000000-0002-0000-0100-00000D000000}">
          <x14:formula1>
            <xm:f>IF(OR(AF17='Opciones Tratamiento'!$B$2,AF17='Opciones Tratamiento'!$B$3,AF17='Opciones Tratamiento'!$B$4),ISBLANK(AF17),ISTEXT(AF17))</xm:f>
          </x14:formula1>
          <xm:sqref>AJ23:AJ68 AJ17:AJ20</xm:sqref>
        </x14:dataValidation>
        <x14:dataValidation type="custom" allowBlank="1" showInputMessage="1" showErrorMessage="1" error="Recuerde que las acciones se generan bajo la medida de mitigar el riesgo" xr:uid="{00000000-0002-0000-0100-00000E000000}">
          <x14:formula1>
            <xm:f>IF(OR(AF17='Opciones Tratamiento'!$B$2,AF17='Opciones Tratamiento'!$B$3,AF17='Opciones Tratamiento'!$B$4),ISBLANK(AF17),ISTEXT(AF17))</xm:f>
          </x14:formula1>
          <xm:sqref>AK23:AK68 AK17:AK20</xm:sqref>
        </x14:dataValidation>
        <x14:dataValidation type="list" allowBlank="1" showInputMessage="1" showErrorMessage="1" xr:uid="{00000000-0002-0000-0100-00000F000000}">
          <x14:formula1>
            <xm:f>'C:\Users\HOME\Downloads\[Formato Matriz de Riesgos 2021 (1).xlsx]Tabla Valoración controles'!#REF!</xm:f>
          </x14:formula1>
          <xm:sqref>T19:U20 T14:U14 W19:Y20 W14:Y14</xm:sqref>
        </x14:dataValidation>
        <x14:dataValidation type="list" allowBlank="1" showInputMessage="1" showErrorMessage="1" xr:uid="{00000000-0002-0000-0100-000006000000}">
          <x14:formula1>
            <xm:f>'Opciones Tratamiento'!$B$13:$B$19</xm:f>
          </x14:formula1>
          <xm:sqref>H10:H68</xm:sqref>
        </x14:dataValidation>
        <x14:dataValidation type="list" allowBlank="1" showInputMessage="1" showErrorMessage="1" xr:uid="{00000000-0002-0000-0100-000007000000}">
          <x14:formula1>
            <xm:f>'Opciones Tratamiento'!$E$2:$E$4</xm:f>
          </x14:formula1>
          <xm:sqref>B10:B68</xm:sqref>
        </x14:dataValidation>
        <x14:dataValidation type="list" allowBlank="1" showInputMessage="1" showErrorMessage="1" xr:uid="{00000000-0002-0000-0100-000008000000}">
          <x14:formula1>
            <xm:f>'Opciones Tratamiento'!$B$2:$B$5</xm:f>
          </x14:formula1>
          <xm:sqref>AF10:AF68</xm:sqref>
        </x14:dataValidation>
        <x14:dataValidation type="list" allowBlank="1" showInputMessage="1" showErrorMessage="1" xr:uid="{00000000-0002-0000-0100-000009000000}">
          <x14:formula1>
            <xm:f>'Tabla Impacto'!$F$210:$F$221</xm:f>
          </x14:formula1>
          <xm:sqref>L10:L68</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AG10:AG68</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AH10:AH68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H22" sqref="AH22:AI23"/>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390" t="s">
        <v>149</v>
      </c>
      <c r="C2" s="390"/>
      <c r="D2" s="390"/>
      <c r="E2" s="390"/>
      <c r="F2" s="390"/>
      <c r="G2" s="390"/>
      <c r="H2" s="390"/>
      <c r="I2" s="390"/>
      <c r="J2" s="358" t="s">
        <v>2</v>
      </c>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390"/>
      <c r="C3" s="390"/>
      <c r="D3" s="390"/>
      <c r="E3" s="390"/>
      <c r="F3" s="390"/>
      <c r="G3" s="390"/>
      <c r="H3" s="390"/>
      <c r="I3" s="390"/>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390"/>
      <c r="C4" s="390"/>
      <c r="D4" s="390"/>
      <c r="E4" s="390"/>
      <c r="F4" s="390"/>
      <c r="G4" s="390"/>
      <c r="H4" s="390"/>
      <c r="I4" s="390"/>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305" t="s">
        <v>4</v>
      </c>
      <c r="C6" s="305"/>
      <c r="D6" s="306"/>
      <c r="E6" s="343" t="s">
        <v>110</v>
      </c>
      <c r="F6" s="344"/>
      <c r="G6" s="344"/>
      <c r="H6" s="344"/>
      <c r="I6" s="345"/>
      <c r="J6" s="354" t="str">
        <f>IF(AND('Mapa final'!$J$10="Muy Alta",'Mapa final'!$N$10="Leve"),CONCATENATE("R",'Mapa final'!$A$10),"")</f>
        <v/>
      </c>
      <c r="K6" s="355"/>
      <c r="L6" s="355" t="str">
        <f>IF(AND('Mapa final'!$J$15="Muy Alta",'Mapa final'!$N$15="Leve"),CONCATENATE("R",'Mapa final'!$A$15),"")</f>
        <v/>
      </c>
      <c r="M6" s="355"/>
      <c r="N6" s="355" t="str">
        <f>IF(AND('Mapa final'!$J$21="Muy Alta",'Mapa final'!$N$21="Leve"),CONCATENATE("R",'Mapa final'!$A$21),"")</f>
        <v/>
      </c>
      <c r="O6" s="357"/>
      <c r="P6" s="354" t="str">
        <f>IF(AND('Mapa final'!$J$10="Muy Alta",'Mapa final'!$N$10="Menor"),CONCATENATE("R",'Mapa final'!$A$10),"")</f>
        <v/>
      </c>
      <c r="Q6" s="355"/>
      <c r="R6" s="355" t="str">
        <f>IF(AND('Mapa final'!$J$15="Muy Alta",'Mapa final'!$N$15="Menor"),CONCATENATE("R",'Mapa final'!$A$15),"")</f>
        <v/>
      </c>
      <c r="S6" s="355"/>
      <c r="T6" s="355" t="str">
        <f>IF(AND('Mapa final'!$J$21="Muy Alta",'Mapa final'!$N$21="Menor"),CONCATENATE("R",'Mapa final'!$A$21),"")</f>
        <v/>
      </c>
      <c r="U6" s="357"/>
      <c r="V6" s="354" t="str">
        <f>IF(AND('Mapa final'!$J$10="Muy Alta",'Mapa final'!$N$10="Moderado"),CONCATENATE("R",'Mapa final'!$A$10),"")</f>
        <v/>
      </c>
      <c r="W6" s="355"/>
      <c r="X6" s="355" t="str">
        <f>IF(AND('Mapa final'!$J$15="Muy Alta",'Mapa final'!$N$15="Moderado"),CONCATENATE("R",'Mapa final'!$A$15),"")</f>
        <v/>
      </c>
      <c r="Y6" s="355"/>
      <c r="Z6" s="355" t="str">
        <f>IF(AND('Mapa final'!$J$21="Muy Alta",'Mapa final'!$N$21="Moderado"),CONCATENATE("R",'Mapa final'!$A$21),"")</f>
        <v/>
      </c>
      <c r="AA6" s="357"/>
      <c r="AB6" s="354" t="str">
        <f>IF(AND('Mapa final'!$J$10="Muy Alta",'Mapa final'!$N$10="Mayor"),CONCATENATE("R",'Mapa final'!$A$10),"")</f>
        <v/>
      </c>
      <c r="AC6" s="355"/>
      <c r="AD6" s="355" t="str">
        <f>IF(AND('Mapa final'!$J$15="Muy Alta",'Mapa final'!$N$15="Mayor"),CONCATENATE("R",'Mapa final'!$A$15),"")</f>
        <v/>
      </c>
      <c r="AE6" s="355"/>
      <c r="AF6" s="355" t="str">
        <f>IF(AND('Mapa final'!$J$21="Muy Alta",'Mapa final'!$N$21="Mayor"),CONCATENATE("R",'Mapa final'!$A$21),"")</f>
        <v/>
      </c>
      <c r="AG6" s="357"/>
      <c r="AH6" s="369" t="str">
        <f>IF(AND('Mapa final'!$J$10="Muy Alta",'Mapa final'!$N$10="Catastrófico"),CONCATENATE("R",'Mapa final'!$A$10),"")</f>
        <v/>
      </c>
      <c r="AI6" s="370"/>
      <c r="AJ6" s="370" t="str">
        <f>IF(AND('Mapa final'!$J$15="Muy Alta",'Mapa final'!$N$15="Catastrófico"),CONCATENATE("R",'Mapa final'!$A$15),"")</f>
        <v/>
      </c>
      <c r="AK6" s="370"/>
      <c r="AL6" s="370" t="str">
        <f>IF(AND('Mapa final'!$J$21="Muy Alta",'Mapa final'!$N$21="Catastrófico"),CONCATENATE("R",'Mapa final'!$A$21),"")</f>
        <v/>
      </c>
      <c r="AM6" s="371"/>
      <c r="AO6" s="307" t="s">
        <v>77</v>
      </c>
      <c r="AP6" s="308"/>
      <c r="AQ6" s="308"/>
      <c r="AR6" s="308"/>
      <c r="AS6" s="308"/>
      <c r="AT6" s="30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305"/>
      <c r="C7" s="305"/>
      <c r="D7" s="306"/>
      <c r="E7" s="346"/>
      <c r="F7" s="347"/>
      <c r="G7" s="347"/>
      <c r="H7" s="347"/>
      <c r="I7" s="348"/>
      <c r="J7" s="356"/>
      <c r="K7" s="352"/>
      <c r="L7" s="352"/>
      <c r="M7" s="352"/>
      <c r="N7" s="352"/>
      <c r="O7" s="353"/>
      <c r="P7" s="356"/>
      <c r="Q7" s="352"/>
      <c r="R7" s="352"/>
      <c r="S7" s="352"/>
      <c r="T7" s="352"/>
      <c r="U7" s="353"/>
      <c r="V7" s="356"/>
      <c r="W7" s="352"/>
      <c r="X7" s="352"/>
      <c r="Y7" s="352"/>
      <c r="Z7" s="352"/>
      <c r="AA7" s="353"/>
      <c r="AB7" s="356"/>
      <c r="AC7" s="352"/>
      <c r="AD7" s="352"/>
      <c r="AE7" s="352"/>
      <c r="AF7" s="352"/>
      <c r="AG7" s="353"/>
      <c r="AH7" s="363"/>
      <c r="AI7" s="364"/>
      <c r="AJ7" s="364"/>
      <c r="AK7" s="364"/>
      <c r="AL7" s="364"/>
      <c r="AM7" s="365"/>
      <c r="AN7" s="67"/>
      <c r="AO7" s="310"/>
      <c r="AP7" s="311"/>
      <c r="AQ7" s="311"/>
      <c r="AR7" s="311"/>
      <c r="AS7" s="311"/>
      <c r="AT7" s="31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305"/>
      <c r="C8" s="305"/>
      <c r="D8" s="306"/>
      <c r="E8" s="346"/>
      <c r="F8" s="347"/>
      <c r="G8" s="347"/>
      <c r="H8" s="347"/>
      <c r="I8" s="348"/>
      <c r="J8" s="356" t="str">
        <f>IF(AND('Mapa final'!$J$27="Muy Alta",'Mapa final'!$N$27="Leve"),CONCATENATE("R",'Mapa final'!$A$27),"")</f>
        <v/>
      </c>
      <c r="K8" s="352"/>
      <c r="L8" s="352" t="str">
        <f>IF(AND('Mapa final'!$J$33="Muy Alta",'Mapa final'!$N$33="Leve"),CONCATENATE("R",'Mapa final'!$A$33),"")</f>
        <v/>
      </c>
      <c r="M8" s="352"/>
      <c r="N8" s="352" t="str">
        <f>IF(AND('Mapa final'!$J$39="Muy Alta",'Mapa final'!$N$39="Leve"),CONCATENATE("R",'Mapa final'!$A$39),"")</f>
        <v/>
      </c>
      <c r="O8" s="353"/>
      <c r="P8" s="356" t="str">
        <f>IF(AND('Mapa final'!$J$27="Muy Alta",'Mapa final'!$N$27="Menor"),CONCATENATE("R",'Mapa final'!$A$27),"")</f>
        <v/>
      </c>
      <c r="Q8" s="352"/>
      <c r="R8" s="352" t="str">
        <f>IF(AND('Mapa final'!$J$33="Muy Alta",'Mapa final'!$N$33="Menor"),CONCATENATE("R",'Mapa final'!$A$33),"")</f>
        <v/>
      </c>
      <c r="S8" s="352"/>
      <c r="T8" s="352" t="str">
        <f>IF(AND('Mapa final'!$J$39="Muy Alta",'Mapa final'!$N$39="Menor"),CONCATENATE("R",'Mapa final'!$A$39),"")</f>
        <v/>
      </c>
      <c r="U8" s="353"/>
      <c r="V8" s="356" t="str">
        <f>IF(AND('Mapa final'!$J$27="Muy Alta",'Mapa final'!$N$27="Moderado"),CONCATENATE("R",'Mapa final'!$A$27),"")</f>
        <v/>
      </c>
      <c r="W8" s="352"/>
      <c r="X8" s="352" t="str">
        <f>IF(AND('Mapa final'!$J$33="Muy Alta",'Mapa final'!$N$33="Moderado"),CONCATENATE("R",'Mapa final'!$A$33),"")</f>
        <v/>
      </c>
      <c r="Y8" s="352"/>
      <c r="Z8" s="352" t="str">
        <f>IF(AND('Mapa final'!$J$39="Muy Alta",'Mapa final'!$N$39="Moderado"),CONCATENATE("R",'Mapa final'!$A$39),"")</f>
        <v/>
      </c>
      <c r="AA8" s="353"/>
      <c r="AB8" s="356" t="str">
        <f>IF(AND('Mapa final'!$J$27="Muy Alta",'Mapa final'!$N$27="Mayor"),CONCATENATE("R",'Mapa final'!$A$27),"")</f>
        <v/>
      </c>
      <c r="AC8" s="352"/>
      <c r="AD8" s="352" t="str">
        <f>IF(AND('Mapa final'!$J$33="Muy Alta",'Mapa final'!$N$33="Mayor"),CONCATENATE("R",'Mapa final'!$A$33),"")</f>
        <v/>
      </c>
      <c r="AE8" s="352"/>
      <c r="AF8" s="352" t="str">
        <f>IF(AND('Mapa final'!$J$39="Muy Alta",'Mapa final'!$N$39="Mayor"),CONCATENATE("R",'Mapa final'!$A$39),"")</f>
        <v/>
      </c>
      <c r="AG8" s="353"/>
      <c r="AH8" s="363" t="str">
        <f>IF(AND('Mapa final'!$J$27="Muy Alta",'Mapa final'!$N$27="Catastrófico"),CONCATENATE("R",'Mapa final'!$A$27),"")</f>
        <v/>
      </c>
      <c r="AI8" s="364"/>
      <c r="AJ8" s="364" t="str">
        <f>IF(AND('Mapa final'!$J$33="Muy Alta",'Mapa final'!$N$33="Catastrófico"),CONCATENATE("R",'Mapa final'!$A$33),"")</f>
        <v/>
      </c>
      <c r="AK8" s="364"/>
      <c r="AL8" s="364" t="str">
        <f>IF(AND('Mapa final'!$J$39="Muy Alta",'Mapa final'!$N$39="Catastrófico"),CONCATENATE("R",'Mapa final'!$A$39),"")</f>
        <v/>
      </c>
      <c r="AM8" s="365"/>
      <c r="AN8" s="67"/>
      <c r="AO8" s="310"/>
      <c r="AP8" s="311"/>
      <c r="AQ8" s="311"/>
      <c r="AR8" s="311"/>
      <c r="AS8" s="311"/>
      <c r="AT8" s="31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305"/>
      <c r="C9" s="305"/>
      <c r="D9" s="306"/>
      <c r="E9" s="346"/>
      <c r="F9" s="347"/>
      <c r="G9" s="347"/>
      <c r="H9" s="347"/>
      <c r="I9" s="348"/>
      <c r="J9" s="356"/>
      <c r="K9" s="352"/>
      <c r="L9" s="352"/>
      <c r="M9" s="352"/>
      <c r="N9" s="352"/>
      <c r="O9" s="353"/>
      <c r="P9" s="356"/>
      <c r="Q9" s="352"/>
      <c r="R9" s="352"/>
      <c r="S9" s="352"/>
      <c r="T9" s="352"/>
      <c r="U9" s="353"/>
      <c r="V9" s="356"/>
      <c r="W9" s="352"/>
      <c r="X9" s="352"/>
      <c r="Y9" s="352"/>
      <c r="Z9" s="352"/>
      <c r="AA9" s="353"/>
      <c r="AB9" s="356"/>
      <c r="AC9" s="352"/>
      <c r="AD9" s="352"/>
      <c r="AE9" s="352"/>
      <c r="AF9" s="352"/>
      <c r="AG9" s="353"/>
      <c r="AH9" s="363"/>
      <c r="AI9" s="364"/>
      <c r="AJ9" s="364"/>
      <c r="AK9" s="364"/>
      <c r="AL9" s="364"/>
      <c r="AM9" s="365"/>
      <c r="AN9" s="67"/>
      <c r="AO9" s="310"/>
      <c r="AP9" s="311"/>
      <c r="AQ9" s="311"/>
      <c r="AR9" s="311"/>
      <c r="AS9" s="311"/>
      <c r="AT9" s="31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305"/>
      <c r="C10" s="305"/>
      <c r="D10" s="306"/>
      <c r="E10" s="346"/>
      <c r="F10" s="347"/>
      <c r="G10" s="347"/>
      <c r="H10" s="347"/>
      <c r="I10" s="348"/>
      <c r="J10" s="356" t="str">
        <f>IF(AND('Mapa final'!$J$45="Muy Alta",'Mapa final'!$N$45="Leve"),CONCATENATE("R",'Mapa final'!$A$45),"")</f>
        <v/>
      </c>
      <c r="K10" s="352"/>
      <c r="L10" s="352" t="str">
        <f>IF(AND('Mapa final'!$J$51="Muy Alta",'Mapa final'!$N$51="Leve"),CONCATENATE("R",'Mapa final'!$A$51),"")</f>
        <v/>
      </c>
      <c r="M10" s="352"/>
      <c r="N10" s="352" t="str">
        <f>IF(AND('Mapa final'!$J$57="Muy Alta",'Mapa final'!$N$57="Leve"),CONCATENATE("R",'Mapa final'!$A$57),"")</f>
        <v/>
      </c>
      <c r="O10" s="353"/>
      <c r="P10" s="356" t="str">
        <f>IF(AND('Mapa final'!$J$45="Muy Alta",'Mapa final'!$N$45="Menor"),CONCATENATE("R",'Mapa final'!$A$45),"")</f>
        <v/>
      </c>
      <c r="Q10" s="352"/>
      <c r="R10" s="352" t="str">
        <f>IF(AND('Mapa final'!$J$51="Muy Alta",'Mapa final'!$N$51="Menor"),CONCATENATE("R",'Mapa final'!$A$51),"")</f>
        <v/>
      </c>
      <c r="S10" s="352"/>
      <c r="T10" s="352" t="str">
        <f>IF(AND('Mapa final'!$J$57="Muy Alta",'Mapa final'!$N$57="Menor"),CONCATENATE("R",'Mapa final'!$A$57),"")</f>
        <v/>
      </c>
      <c r="U10" s="353"/>
      <c r="V10" s="356" t="str">
        <f>IF(AND('Mapa final'!$J$45="Muy Alta",'Mapa final'!$N$45="Moderado"),CONCATENATE("R",'Mapa final'!$A$45),"")</f>
        <v/>
      </c>
      <c r="W10" s="352"/>
      <c r="X10" s="352" t="str">
        <f>IF(AND('Mapa final'!$J$51="Muy Alta",'Mapa final'!$N$51="Moderado"),CONCATENATE("R",'Mapa final'!$A$51),"")</f>
        <v/>
      </c>
      <c r="Y10" s="352"/>
      <c r="Z10" s="352" t="str">
        <f>IF(AND('Mapa final'!$J$57="Muy Alta",'Mapa final'!$N$57="Moderado"),CONCATENATE("R",'Mapa final'!$A$57),"")</f>
        <v/>
      </c>
      <c r="AA10" s="353"/>
      <c r="AB10" s="356" t="str">
        <f>IF(AND('Mapa final'!$J$45="Muy Alta",'Mapa final'!$N$45="Mayor"),CONCATENATE("R",'Mapa final'!$A$45),"")</f>
        <v/>
      </c>
      <c r="AC10" s="352"/>
      <c r="AD10" s="352" t="str">
        <f>IF(AND('Mapa final'!$J$51="Muy Alta",'Mapa final'!$N$51="Mayor"),CONCATENATE("R",'Mapa final'!$A$51),"")</f>
        <v/>
      </c>
      <c r="AE10" s="352"/>
      <c r="AF10" s="352" t="str">
        <f>IF(AND('Mapa final'!$J$57="Muy Alta",'Mapa final'!$N$57="Mayor"),CONCATENATE("R",'Mapa final'!$A$57),"")</f>
        <v/>
      </c>
      <c r="AG10" s="353"/>
      <c r="AH10" s="363" t="str">
        <f>IF(AND('Mapa final'!$J$45="Muy Alta",'Mapa final'!$N$45="Catastrófico"),CONCATENATE("R",'Mapa final'!$A$45),"")</f>
        <v/>
      </c>
      <c r="AI10" s="364"/>
      <c r="AJ10" s="364" t="str">
        <f>IF(AND('Mapa final'!$J$51="Muy Alta",'Mapa final'!$N$51="Catastrófico"),CONCATENATE("R",'Mapa final'!$A$51),"")</f>
        <v/>
      </c>
      <c r="AK10" s="364"/>
      <c r="AL10" s="364" t="str">
        <f>IF(AND('Mapa final'!$J$57="Muy Alta",'Mapa final'!$N$57="Catastrófico"),CONCATENATE("R",'Mapa final'!$A$57),"")</f>
        <v/>
      </c>
      <c r="AM10" s="365"/>
      <c r="AN10" s="67"/>
      <c r="AO10" s="310"/>
      <c r="AP10" s="311"/>
      <c r="AQ10" s="311"/>
      <c r="AR10" s="311"/>
      <c r="AS10" s="311"/>
      <c r="AT10" s="31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305"/>
      <c r="C11" s="305"/>
      <c r="D11" s="306"/>
      <c r="E11" s="346"/>
      <c r="F11" s="347"/>
      <c r="G11" s="347"/>
      <c r="H11" s="347"/>
      <c r="I11" s="348"/>
      <c r="J11" s="356"/>
      <c r="K11" s="352"/>
      <c r="L11" s="352"/>
      <c r="M11" s="352"/>
      <c r="N11" s="352"/>
      <c r="O11" s="353"/>
      <c r="P11" s="356"/>
      <c r="Q11" s="352"/>
      <c r="R11" s="352"/>
      <c r="S11" s="352"/>
      <c r="T11" s="352"/>
      <c r="U11" s="353"/>
      <c r="V11" s="356"/>
      <c r="W11" s="352"/>
      <c r="X11" s="352"/>
      <c r="Y11" s="352"/>
      <c r="Z11" s="352"/>
      <c r="AA11" s="353"/>
      <c r="AB11" s="356"/>
      <c r="AC11" s="352"/>
      <c r="AD11" s="352"/>
      <c r="AE11" s="352"/>
      <c r="AF11" s="352"/>
      <c r="AG11" s="353"/>
      <c r="AH11" s="363"/>
      <c r="AI11" s="364"/>
      <c r="AJ11" s="364"/>
      <c r="AK11" s="364"/>
      <c r="AL11" s="364"/>
      <c r="AM11" s="365"/>
      <c r="AN11" s="67"/>
      <c r="AO11" s="310"/>
      <c r="AP11" s="311"/>
      <c r="AQ11" s="311"/>
      <c r="AR11" s="311"/>
      <c r="AS11" s="311"/>
      <c r="AT11" s="31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305"/>
      <c r="C12" s="305"/>
      <c r="D12" s="306"/>
      <c r="E12" s="346"/>
      <c r="F12" s="347"/>
      <c r="G12" s="347"/>
      <c r="H12" s="347"/>
      <c r="I12" s="348"/>
      <c r="J12" s="356" t="str">
        <f>IF(AND('Mapa final'!$J$63="Muy Alta",'Mapa final'!$N$63="Leve"),CONCATENATE("R",'Mapa final'!$A$63),"")</f>
        <v/>
      </c>
      <c r="K12" s="352"/>
      <c r="L12" s="352" t="str">
        <f>IF(AND('Mapa final'!$J$69="Muy Alta",'Mapa final'!$N$69="Leve"),CONCATENATE("R",'Mapa final'!$A$69),"")</f>
        <v/>
      </c>
      <c r="M12" s="352"/>
      <c r="N12" s="352" t="str">
        <f>IF(AND('Mapa final'!$J$75="Muy Alta",'Mapa final'!$N$75="Leve"),CONCATENATE("R",'Mapa final'!$A$75),"")</f>
        <v/>
      </c>
      <c r="O12" s="353"/>
      <c r="P12" s="356" t="str">
        <f>IF(AND('Mapa final'!$J$63="Muy Alta",'Mapa final'!$N$63="Menor"),CONCATENATE("R",'Mapa final'!$A$63),"")</f>
        <v/>
      </c>
      <c r="Q12" s="352"/>
      <c r="R12" s="352" t="str">
        <f>IF(AND('Mapa final'!$J$69="Muy Alta",'Mapa final'!$N$69="Menor"),CONCATENATE("R",'Mapa final'!$A$69),"")</f>
        <v/>
      </c>
      <c r="S12" s="352"/>
      <c r="T12" s="352" t="str">
        <f>IF(AND('Mapa final'!$J$75="Muy Alta",'Mapa final'!$N$75="Menor"),CONCATENATE("R",'Mapa final'!$A$75),"")</f>
        <v/>
      </c>
      <c r="U12" s="353"/>
      <c r="V12" s="356" t="str">
        <f>IF(AND('Mapa final'!$J$63="Muy Alta",'Mapa final'!$N$63="Moderado"),CONCATENATE("R",'Mapa final'!$A$63),"")</f>
        <v/>
      </c>
      <c r="W12" s="352"/>
      <c r="X12" s="352" t="str">
        <f>IF(AND('Mapa final'!$J$69="Muy Alta",'Mapa final'!$N$69="Moderado"),CONCATENATE("R",'Mapa final'!$A$69),"")</f>
        <v/>
      </c>
      <c r="Y12" s="352"/>
      <c r="Z12" s="352" t="str">
        <f>IF(AND('Mapa final'!$J$75="Muy Alta",'Mapa final'!$N$75="Moderado"),CONCATENATE("R",'Mapa final'!$A$75),"")</f>
        <v/>
      </c>
      <c r="AA12" s="353"/>
      <c r="AB12" s="356" t="str">
        <f>IF(AND('Mapa final'!$J$63="Muy Alta",'Mapa final'!$N$63="Mayor"),CONCATENATE("R",'Mapa final'!$A$63),"")</f>
        <v/>
      </c>
      <c r="AC12" s="352"/>
      <c r="AD12" s="352" t="str">
        <f>IF(AND('Mapa final'!$J$69="Muy Alta",'Mapa final'!$N$69="Mayor"),CONCATENATE("R",'Mapa final'!$A$69),"")</f>
        <v/>
      </c>
      <c r="AE12" s="352"/>
      <c r="AF12" s="352" t="str">
        <f>IF(AND('Mapa final'!$J$75="Muy Alta",'Mapa final'!$N$75="Mayor"),CONCATENATE("R",'Mapa final'!$A$75),"")</f>
        <v/>
      </c>
      <c r="AG12" s="353"/>
      <c r="AH12" s="363" t="str">
        <f>IF(AND('Mapa final'!$J$63="Muy Alta",'Mapa final'!$N$63="Catastrófico"),CONCATENATE("R",'Mapa final'!$A$63),"")</f>
        <v/>
      </c>
      <c r="AI12" s="364"/>
      <c r="AJ12" s="364" t="str">
        <f>IF(AND('Mapa final'!$J$69="Muy Alta",'Mapa final'!$N$69="Catastrófico"),CONCATENATE("R",'Mapa final'!$A$69),"")</f>
        <v/>
      </c>
      <c r="AK12" s="364"/>
      <c r="AL12" s="364" t="str">
        <f>IF(AND('Mapa final'!$J$75="Muy Alta",'Mapa final'!$N$75="Catastrófico"),CONCATENATE("R",'Mapa final'!$A$75),"")</f>
        <v/>
      </c>
      <c r="AM12" s="365"/>
      <c r="AN12" s="67"/>
      <c r="AO12" s="310"/>
      <c r="AP12" s="311"/>
      <c r="AQ12" s="311"/>
      <c r="AR12" s="311"/>
      <c r="AS12" s="311"/>
      <c r="AT12" s="31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305"/>
      <c r="C13" s="305"/>
      <c r="D13" s="306"/>
      <c r="E13" s="349"/>
      <c r="F13" s="350"/>
      <c r="G13" s="350"/>
      <c r="H13" s="350"/>
      <c r="I13" s="351"/>
      <c r="J13" s="356"/>
      <c r="K13" s="352"/>
      <c r="L13" s="352"/>
      <c r="M13" s="352"/>
      <c r="N13" s="352"/>
      <c r="O13" s="353"/>
      <c r="P13" s="356"/>
      <c r="Q13" s="352"/>
      <c r="R13" s="352"/>
      <c r="S13" s="352"/>
      <c r="T13" s="352"/>
      <c r="U13" s="353"/>
      <c r="V13" s="356"/>
      <c r="W13" s="352"/>
      <c r="X13" s="352"/>
      <c r="Y13" s="352"/>
      <c r="Z13" s="352"/>
      <c r="AA13" s="353"/>
      <c r="AB13" s="356"/>
      <c r="AC13" s="352"/>
      <c r="AD13" s="352"/>
      <c r="AE13" s="352"/>
      <c r="AF13" s="352"/>
      <c r="AG13" s="353"/>
      <c r="AH13" s="366"/>
      <c r="AI13" s="367"/>
      <c r="AJ13" s="367"/>
      <c r="AK13" s="367"/>
      <c r="AL13" s="367"/>
      <c r="AM13" s="368"/>
      <c r="AN13" s="67"/>
      <c r="AO13" s="313"/>
      <c r="AP13" s="314"/>
      <c r="AQ13" s="314"/>
      <c r="AR13" s="314"/>
      <c r="AS13" s="314"/>
      <c r="AT13" s="31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305"/>
      <c r="C14" s="305"/>
      <c r="D14" s="306"/>
      <c r="E14" s="343" t="s">
        <v>109</v>
      </c>
      <c r="F14" s="344"/>
      <c r="G14" s="344"/>
      <c r="H14" s="344"/>
      <c r="I14" s="344"/>
      <c r="J14" s="378" t="str">
        <f>IF(AND('Mapa final'!$J$10="Alta",'Mapa final'!$N$10="Leve"),CONCATENATE("R",'Mapa final'!$A$10),"")</f>
        <v/>
      </c>
      <c r="K14" s="379"/>
      <c r="L14" s="379" t="str">
        <f>IF(AND('Mapa final'!$J$15="Alta",'Mapa final'!$N$15="Leve"),CONCATENATE("R",'Mapa final'!$A$15),"")</f>
        <v/>
      </c>
      <c r="M14" s="379"/>
      <c r="N14" s="379" t="str">
        <f>IF(AND('Mapa final'!$J$21="Alta",'Mapa final'!$N$21="Leve"),CONCATENATE("R",'Mapa final'!$A$21),"")</f>
        <v/>
      </c>
      <c r="O14" s="380"/>
      <c r="P14" s="378" t="str">
        <f>IF(AND('Mapa final'!$J$10="Alta",'Mapa final'!$N$10="Menor"),CONCATENATE("R",'Mapa final'!$A$10),"")</f>
        <v/>
      </c>
      <c r="Q14" s="379"/>
      <c r="R14" s="379" t="str">
        <f>IF(AND('Mapa final'!$J$15="Alta",'Mapa final'!$N$15="Menor"),CONCATENATE("R",'Mapa final'!$A$15),"")</f>
        <v/>
      </c>
      <c r="S14" s="379"/>
      <c r="T14" s="379" t="str">
        <f>IF(AND('Mapa final'!$J$21="Alta",'Mapa final'!$N$21="Menor"),CONCATENATE("R",'Mapa final'!$A$21),"")</f>
        <v/>
      </c>
      <c r="U14" s="380"/>
      <c r="V14" s="354" t="str">
        <f>IF(AND('Mapa final'!$J$10="Alta",'Mapa final'!$N$10="Moderado"),CONCATENATE("R",'Mapa final'!$A$10),"")</f>
        <v/>
      </c>
      <c r="W14" s="355"/>
      <c r="X14" s="355" t="str">
        <f>IF(AND('Mapa final'!$J$15="Alta",'Mapa final'!$N$15="Moderado"),CONCATENATE("R",'Mapa final'!$A$15),"")</f>
        <v/>
      </c>
      <c r="Y14" s="355"/>
      <c r="Z14" s="355" t="str">
        <f>IF(AND('Mapa final'!$J$21="Alta",'Mapa final'!$N$21="Moderado"),CONCATENATE("R",'Mapa final'!$A$21),"")</f>
        <v/>
      </c>
      <c r="AA14" s="357"/>
      <c r="AB14" s="354" t="str">
        <f>IF(AND('Mapa final'!$J$10="Alta",'Mapa final'!$N$10="Mayor"),CONCATENATE("R",'Mapa final'!$A$10),"")</f>
        <v/>
      </c>
      <c r="AC14" s="355"/>
      <c r="AD14" s="355" t="str">
        <f>IF(AND('Mapa final'!$J$15="Alta",'Mapa final'!$N$15="Mayor"),CONCATENATE("R",'Mapa final'!$A$15),"")</f>
        <v/>
      </c>
      <c r="AE14" s="355"/>
      <c r="AF14" s="355" t="str">
        <f>IF(AND('Mapa final'!$J$21="Alta",'Mapa final'!$N$21="Mayor"),CONCATENATE("R",'Mapa final'!$A$21),"")</f>
        <v/>
      </c>
      <c r="AG14" s="357"/>
      <c r="AH14" s="369" t="str">
        <f>IF(AND('Mapa final'!$J$10="Alta",'Mapa final'!$N$10="Catastrófico"),CONCATENATE("R",'Mapa final'!$A$10),"")</f>
        <v/>
      </c>
      <c r="AI14" s="370"/>
      <c r="AJ14" s="370" t="str">
        <f>IF(AND('Mapa final'!$J$15="Alta",'Mapa final'!$N$15="Catastrófico"),CONCATENATE("R",'Mapa final'!$A$15),"")</f>
        <v/>
      </c>
      <c r="AK14" s="370"/>
      <c r="AL14" s="370" t="str">
        <f>IF(AND('Mapa final'!$J$21="Alta",'Mapa final'!$N$21="Catastrófico"),CONCATENATE("R",'Mapa final'!$A$21),"")</f>
        <v/>
      </c>
      <c r="AM14" s="371"/>
      <c r="AN14" s="67"/>
      <c r="AO14" s="316" t="s">
        <v>78</v>
      </c>
      <c r="AP14" s="317"/>
      <c r="AQ14" s="317"/>
      <c r="AR14" s="317"/>
      <c r="AS14" s="317"/>
      <c r="AT14" s="31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305"/>
      <c r="C15" s="305"/>
      <c r="D15" s="306"/>
      <c r="E15" s="346"/>
      <c r="F15" s="347"/>
      <c r="G15" s="347"/>
      <c r="H15" s="347"/>
      <c r="I15" s="347"/>
      <c r="J15" s="372"/>
      <c r="K15" s="373"/>
      <c r="L15" s="373"/>
      <c r="M15" s="373"/>
      <c r="N15" s="373"/>
      <c r="O15" s="374"/>
      <c r="P15" s="372"/>
      <c r="Q15" s="373"/>
      <c r="R15" s="373"/>
      <c r="S15" s="373"/>
      <c r="T15" s="373"/>
      <c r="U15" s="374"/>
      <c r="V15" s="356"/>
      <c r="W15" s="352"/>
      <c r="X15" s="352"/>
      <c r="Y15" s="352"/>
      <c r="Z15" s="352"/>
      <c r="AA15" s="353"/>
      <c r="AB15" s="356"/>
      <c r="AC15" s="352"/>
      <c r="AD15" s="352"/>
      <c r="AE15" s="352"/>
      <c r="AF15" s="352"/>
      <c r="AG15" s="353"/>
      <c r="AH15" s="363"/>
      <c r="AI15" s="364"/>
      <c r="AJ15" s="364"/>
      <c r="AK15" s="364"/>
      <c r="AL15" s="364"/>
      <c r="AM15" s="365"/>
      <c r="AN15" s="67"/>
      <c r="AO15" s="319"/>
      <c r="AP15" s="320"/>
      <c r="AQ15" s="320"/>
      <c r="AR15" s="320"/>
      <c r="AS15" s="320"/>
      <c r="AT15" s="32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305"/>
      <c r="C16" s="305"/>
      <c r="D16" s="306"/>
      <c r="E16" s="346"/>
      <c r="F16" s="347"/>
      <c r="G16" s="347"/>
      <c r="H16" s="347"/>
      <c r="I16" s="347"/>
      <c r="J16" s="372" t="str">
        <f>IF(AND('Mapa final'!$J$27="Alta",'Mapa final'!$N$27="Leve"),CONCATENATE("R",'Mapa final'!$A$27),"")</f>
        <v/>
      </c>
      <c r="K16" s="373"/>
      <c r="L16" s="373" t="str">
        <f>IF(AND('Mapa final'!$J$33="Alta",'Mapa final'!$N$33="Leve"),CONCATENATE("R",'Mapa final'!$A$33),"")</f>
        <v/>
      </c>
      <c r="M16" s="373"/>
      <c r="N16" s="373" t="str">
        <f>IF(AND('Mapa final'!$J$39="Alta",'Mapa final'!$N$39="Leve"),CONCATENATE("R",'Mapa final'!$A$39),"")</f>
        <v/>
      </c>
      <c r="O16" s="374"/>
      <c r="P16" s="372" t="str">
        <f>IF(AND('Mapa final'!$J$27="Alta",'Mapa final'!$N$27="Menor"),CONCATENATE("R",'Mapa final'!$A$27),"")</f>
        <v/>
      </c>
      <c r="Q16" s="373"/>
      <c r="R16" s="373" t="str">
        <f>IF(AND('Mapa final'!$J$33="Alta",'Mapa final'!$N$33="Menor"),CONCATENATE("R",'Mapa final'!$A$33),"")</f>
        <v/>
      </c>
      <c r="S16" s="373"/>
      <c r="T16" s="373" t="str">
        <f>IF(AND('Mapa final'!$J$39="Alta",'Mapa final'!$N$39="Menor"),CONCATENATE("R",'Mapa final'!$A$39),"")</f>
        <v/>
      </c>
      <c r="U16" s="374"/>
      <c r="V16" s="356" t="str">
        <f>IF(AND('Mapa final'!$J$27="Alta",'Mapa final'!$N$27="Moderado"),CONCATENATE("R",'Mapa final'!$A$27),"")</f>
        <v/>
      </c>
      <c r="W16" s="352"/>
      <c r="X16" s="352" t="str">
        <f>IF(AND('Mapa final'!$J$33="Alta",'Mapa final'!$N$33="Moderado"),CONCATENATE("R",'Mapa final'!$A$33),"")</f>
        <v/>
      </c>
      <c r="Y16" s="352"/>
      <c r="Z16" s="352" t="str">
        <f>IF(AND('Mapa final'!$J$39="Alta",'Mapa final'!$N$39="Moderado"),CONCATENATE("R",'Mapa final'!$A$39),"")</f>
        <v/>
      </c>
      <c r="AA16" s="353"/>
      <c r="AB16" s="356" t="str">
        <f>IF(AND('Mapa final'!$J$27="Alta",'Mapa final'!$N$27="Mayor"),CONCATENATE("R",'Mapa final'!$A$27),"")</f>
        <v/>
      </c>
      <c r="AC16" s="352"/>
      <c r="AD16" s="352" t="str">
        <f>IF(AND('Mapa final'!$J$33="Alta",'Mapa final'!$N$33="Mayor"),CONCATENATE("R",'Mapa final'!$A$33),"")</f>
        <v/>
      </c>
      <c r="AE16" s="352"/>
      <c r="AF16" s="352" t="str">
        <f>IF(AND('Mapa final'!$J$39="Alta",'Mapa final'!$N$39="Mayor"),CONCATENATE("R",'Mapa final'!$A$39),"")</f>
        <v/>
      </c>
      <c r="AG16" s="353"/>
      <c r="AH16" s="363" t="str">
        <f>IF(AND('Mapa final'!$J$27="Alta",'Mapa final'!$N$27="Catastrófico"),CONCATENATE("R",'Mapa final'!$A$27),"")</f>
        <v/>
      </c>
      <c r="AI16" s="364"/>
      <c r="AJ16" s="364" t="str">
        <f>IF(AND('Mapa final'!$J$33="Alta",'Mapa final'!$N$33="Catastrófico"),CONCATENATE("R",'Mapa final'!$A$33),"")</f>
        <v/>
      </c>
      <c r="AK16" s="364"/>
      <c r="AL16" s="364" t="str">
        <f>IF(AND('Mapa final'!$J$39="Alta",'Mapa final'!$N$39="Catastrófico"),CONCATENATE("R",'Mapa final'!$A$39),"")</f>
        <v/>
      </c>
      <c r="AM16" s="365"/>
      <c r="AN16" s="67"/>
      <c r="AO16" s="319"/>
      <c r="AP16" s="320"/>
      <c r="AQ16" s="320"/>
      <c r="AR16" s="320"/>
      <c r="AS16" s="320"/>
      <c r="AT16" s="32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305"/>
      <c r="C17" s="305"/>
      <c r="D17" s="306"/>
      <c r="E17" s="346"/>
      <c r="F17" s="347"/>
      <c r="G17" s="347"/>
      <c r="H17" s="347"/>
      <c r="I17" s="347"/>
      <c r="J17" s="372"/>
      <c r="K17" s="373"/>
      <c r="L17" s="373"/>
      <c r="M17" s="373"/>
      <c r="N17" s="373"/>
      <c r="O17" s="374"/>
      <c r="P17" s="372"/>
      <c r="Q17" s="373"/>
      <c r="R17" s="373"/>
      <c r="S17" s="373"/>
      <c r="T17" s="373"/>
      <c r="U17" s="374"/>
      <c r="V17" s="356"/>
      <c r="W17" s="352"/>
      <c r="X17" s="352"/>
      <c r="Y17" s="352"/>
      <c r="Z17" s="352"/>
      <c r="AA17" s="353"/>
      <c r="AB17" s="356"/>
      <c r="AC17" s="352"/>
      <c r="AD17" s="352"/>
      <c r="AE17" s="352"/>
      <c r="AF17" s="352"/>
      <c r="AG17" s="353"/>
      <c r="AH17" s="363"/>
      <c r="AI17" s="364"/>
      <c r="AJ17" s="364"/>
      <c r="AK17" s="364"/>
      <c r="AL17" s="364"/>
      <c r="AM17" s="365"/>
      <c r="AN17" s="67"/>
      <c r="AO17" s="319"/>
      <c r="AP17" s="320"/>
      <c r="AQ17" s="320"/>
      <c r="AR17" s="320"/>
      <c r="AS17" s="320"/>
      <c r="AT17" s="32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305"/>
      <c r="C18" s="305"/>
      <c r="D18" s="306"/>
      <c r="E18" s="346"/>
      <c r="F18" s="347"/>
      <c r="G18" s="347"/>
      <c r="H18" s="347"/>
      <c r="I18" s="347"/>
      <c r="J18" s="372" t="str">
        <f>IF(AND('Mapa final'!$J$45="Alta",'Mapa final'!$N$45="Leve"),CONCATENATE("R",'Mapa final'!$A$45),"")</f>
        <v/>
      </c>
      <c r="K18" s="373"/>
      <c r="L18" s="373" t="str">
        <f>IF(AND('Mapa final'!$J$51="Alta",'Mapa final'!$N$51="Leve"),CONCATENATE("R",'Mapa final'!$A$51),"")</f>
        <v/>
      </c>
      <c r="M18" s="373"/>
      <c r="N18" s="373" t="str">
        <f>IF(AND('Mapa final'!$J$57="Alta",'Mapa final'!$N$57="Leve"),CONCATENATE("R",'Mapa final'!$A$57),"")</f>
        <v/>
      </c>
      <c r="O18" s="374"/>
      <c r="P18" s="372" t="str">
        <f>IF(AND('Mapa final'!$J$45="Alta",'Mapa final'!$N$45="Menor"),CONCATENATE("R",'Mapa final'!$A$45),"")</f>
        <v/>
      </c>
      <c r="Q18" s="373"/>
      <c r="R18" s="373" t="str">
        <f>IF(AND('Mapa final'!$J$51="Alta",'Mapa final'!$N$51="Menor"),CONCATENATE("R",'Mapa final'!$A$51),"")</f>
        <v/>
      </c>
      <c r="S18" s="373"/>
      <c r="T18" s="373" t="str">
        <f>IF(AND('Mapa final'!$J$57="Alta",'Mapa final'!$N$57="Menor"),CONCATENATE("R",'Mapa final'!$A$57),"")</f>
        <v/>
      </c>
      <c r="U18" s="374"/>
      <c r="V18" s="356" t="str">
        <f>IF(AND('Mapa final'!$J$45="Alta",'Mapa final'!$N$45="Moderado"),CONCATENATE("R",'Mapa final'!$A$45),"")</f>
        <v/>
      </c>
      <c r="W18" s="352"/>
      <c r="X18" s="352" t="str">
        <f>IF(AND('Mapa final'!$J$51="Alta",'Mapa final'!$N$51="Moderado"),CONCATENATE("R",'Mapa final'!$A$51),"")</f>
        <v/>
      </c>
      <c r="Y18" s="352"/>
      <c r="Z18" s="352" t="str">
        <f>IF(AND('Mapa final'!$J$57="Alta",'Mapa final'!$N$57="Moderado"),CONCATENATE("R",'Mapa final'!$A$57),"")</f>
        <v/>
      </c>
      <c r="AA18" s="353"/>
      <c r="AB18" s="356" t="str">
        <f>IF(AND('Mapa final'!$J$45="Alta",'Mapa final'!$N$45="Mayor"),CONCATENATE("R",'Mapa final'!$A$45),"")</f>
        <v/>
      </c>
      <c r="AC18" s="352"/>
      <c r="AD18" s="352" t="str">
        <f>IF(AND('Mapa final'!$J$51="Alta",'Mapa final'!$N$51="Mayor"),CONCATENATE("R",'Mapa final'!$A$51),"")</f>
        <v/>
      </c>
      <c r="AE18" s="352"/>
      <c r="AF18" s="352" t="str">
        <f>IF(AND('Mapa final'!$J$57="Alta",'Mapa final'!$N$57="Mayor"),CONCATENATE("R",'Mapa final'!$A$57),"")</f>
        <v/>
      </c>
      <c r="AG18" s="353"/>
      <c r="AH18" s="363" t="str">
        <f>IF(AND('Mapa final'!$J$45="Alta",'Mapa final'!$N$45="Catastrófico"),CONCATENATE("R",'Mapa final'!$A$45),"")</f>
        <v/>
      </c>
      <c r="AI18" s="364"/>
      <c r="AJ18" s="364" t="str">
        <f>IF(AND('Mapa final'!$J$51="Alta",'Mapa final'!$N$51="Catastrófico"),CONCATENATE("R",'Mapa final'!$A$51),"")</f>
        <v/>
      </c>
      <c r="AK18" s="364"/>
      <c r="AL18" s="364" t="str">
        <f>IF(AND('Mapa final'!$J$57="Alta",'Mapa final'!$N$57="Catastrófico"),CONCATENATE("R",'Mapa final'!$A$57),"")</f>
        <v/>
      </c>
      <c r="AM18" s="365"/>
      <c r="AN18" s="67"/>
      <c r="AO18" s="319"/>
      <c r="AP18" s="320"/>
      <c r="AQ18" s="320"/>
      <c r="AR18" s="320"/>
      <c r="AS18" s="320"/>
      <c r="AT18" s="32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305"/>
      <c r="C19" s="305"/>
      <c r="D19" s="306"/>
      <c r="E19" s="346"/>
      <c r="F19" s="347"/>
      <c r="G19" s="347"/>
      <c r="H19" s="347"/>
      <c r="I19" s="347"/>
      <c r="J19" s="372"/>
      <c r="K19" s="373"/>
      <c r="L19" s="373"/>
      <c r="M19" s="373"/>
      <c r="N19" s="373"/>
      <c r="O19" s="374"/>
      <c r="P19" s="372"/>
      <c r="Q19" s="373"/>
      <c r="R19" s="373"/>
      <c r="S19" s="373"/>
      <c r="T19" s="373"/>
      <c r="U19" s="374"/>
      <c r="V19" s="356"/>
      <c r="W19" s="352"/>
      <c r="X19" s="352"/>
      <c r="Y19" s="352"/>
      <c r="Z19" s="352"/>
      <c r="AA19" s="353"/>
      <c r="AB19" s="356"/>
      <c r="AC19" s="352"/>
      <c r="AD19" s="352"/>
      <c r="AE19" s="352"/>
      <c r="AF19" s="352"/>
      <c r="AG19" s="353"/>
      <c r="AH19" s="363"/>
      <c r="AI19" s="364"/>
      <c r="AJ19" s="364"/>
      <c r="AK19" s="364"/>
      <c r="AL19" s="364"/>
      <c r="AM19" s="365"/>
      <c r="AN19" s="67"/>
      <c r="AO19" s="319"/>
      <c r="AP19" s="320"/>
      <c r="AQ19" s="320"/>
      <c r="AR19" s="320"/>
      <c r="AS19" s="320"/>
      <c r="AT19" s="32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305"/>
      <c r="C20" s="305"/>
      <c r="D20" s="306"/>
      <c r="E20" s="346"/>
      <c r="F20" s="347"/>
      <c r="G20" s="347"/>
      <c r="H20" s="347"/>
      <c r="I20" s="347"/>
      <c r="J20" s="372" t="str">
        <f>IF(AND('Mapa final'!$J$63="Alta",'Mapa final'!$N$63="Leve"),CONCATENATE("R",'Mapa final'!$A$63),"")</f>
        <v/>
      </c>
      <c r="K20" s="373"/>
      <c r="L20" s="373" t="str">
        <f>IF(AND('Mapa final'!$J$69="Alta",'Mapa final'!$N$69="Leve"),CONCATENATE("R",'Mapa final'!$A$69),"")</f>
        <v/>
      </c>
      <c r="M20" s="373"/>
      <c r="N20" s="373" t="str">
        <f>IF(AND('Mapa final'!$J$75="Alta",'Mapa final'!$N$75="Leve"),CONCATENATE("R",'Mapa final'!$A$75),"")</f>
        <v/>
      </c>
      <c r="O20" s="374"/>
      <c r="P20" s="372" t="str">
        <f>IF(AND('Mapa final'!$J$63="Alta",'Mapa final'!$N$63="Menor"),CONCATENATE("R",'Mapa final'!$A$63),"")</f>
        <v/>
      </c>
      <c r="Q20" s="373"/>
      <c r="R20" s="373" t="str">
        <f>IF(AND('Mapa final'!$J$69="Alta",'Mapa final'!$N$69="Menor"),CONCATENATE("R",'Mapa final'!$A$69),"")</f>
        <v/>
      </c>
      <c r="S20" s="373"/>
      <c r="T20" s="373" t="str">
        <f>IF(AND('Mapa final'!$J$75="Alta",'Mapa final'!$N$75="Menor"),CONCATENATE("R",'Mapa final'!$A$75),"")</f>
        <v/>
      </c>
      <c r="U20" s="374"/>
      <c r="V20" s="356" t="str">
        <f>IF(AND('Mapa final'!$J$63="Alta",'Mapa final'!$N$63="Moderado"),CONCATENATE("R",'Mapa final'!$A$63),"")</f>
        <v/>
      </c>
      <c r="W20" s="352"/>
      <c r="X20" s="352" t="str">
        <f>IF(AND('Mapa final'!$J$69="Alta",'Mapa final'!$N$69="Moderado"),CONCATENATE("R",'Mapa final'!$A$69),"")</f>
        <v/>
      </c>
      <c r="Y20" s="352"/>
      <c r="Z20" s="352" t="str">
        <f>IF(AND('Mapa final'!$J$75="Alta",'Mapa final'!$N$75="Moderado"),CONCATENATE("R",'Mapa final'!$A$75),"")</f>
        <v/>
      </c>
      <c r="AA20" s="353"/>
      <c r="AB20" s="356" t="str">
        <f>IF(AND('Mapa final'!$J$63="Alta",'Mapa final'!$N$63="Mayor"),CONCATENATE("R",'Mapa final'!$A$63),"")</f>
        <v/>
      </c>
      <c r="AC20" s="352"/>
      <c r="AD20" s="352" t="str">
        <f>IF(AND('Mapa final'!$J$69="Alta",'Mapa final'!$N$69="Mayor"),CONCATENATE("R",'Mapa final'!$A$69),"")</f>
        <v/>
      </c>
      <c r="AE20" s="352"/>
      <c r="AF20" s="352" t="str">
        <f>IF(AND('Mapa final'!$J$75="Alta",'Mapa final'!$N$75="Mayor"),CONCATENATE("R",'Mapa final'!$A$75),"")</f>
        <v/>
      </c>
      <c r="AG20" s="353"/>
      <c r="AH20" s="363" t="str">
        <f>IF(AND('Mapa final'!$J$63="Alta",'Mapa final'!$N$63="Catastrófico"),CONCATENATE("R",'Mapa final'!$A$63),"")</f>
        <v/>
      </c>
      <c r="AI20" s="364"/>
      <c r="AJ20" s="364" t="str">
        <f>IF(AND('Mapa final'!$J$69="Alta",'Mapa final'!$N$69="Catastrófico"),CONCATENATE("R",'Mapa final'!$A$69),"")</f>
        <v/>
      </c>
      <c r="AK20" s="364"/>
      <c r="AL20" s="364" t="str">
        <f>IF(AND('Mapa final'!$J$75="Alta",'Mapa final'!$N$75="Catastrófico"),CONCATENATE("R",'Mapa final'!$A$75),"")</f>
        <v/>
      </c>
      <c r="AM20" s="365"/>
      <c r="AN20" s="67"/>
      <c r="AO20" s="319"/>
      <c r="AP20" s="320"/>
      <c r="AQ20" s="320"/>
      <c r="AR20" s="320"/>
      <c r="AS20" s="320"/>
      <c r="AT20" s="32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305"/>
      <c r="C21" s="305"/>
      <c r="D21" s="306"/>
      <c r="E21" s="349"/>
      <c r="F21" s="350"/>
      <c r="G21" s="350"/>
      <c r="H21" s="350"/>
      <c r="I21" s="350"/>
      <c r="J21" s="375"/>
      <c r="K21" s="376"/>
      <c r="L21" s="376"/>
      <c r="M21" s="376"/>
      <c r="N21" s="376"/>
      <c r="O21" s="377"/>
      <c r="P21" s="375"/>
      <c r="Q21" s="376"/>
      <c r="R21" s="376"/>
      <c r="S21" s="376"/>
      <c r="T21" s="376"/>
      <c r="U21" s="377"/>
      <c r="V21" s="360"/>
      <c r="W21" s="361"/>
      <c r="X21" s="361"/>
      <c r="Y21" s="361"/>
      <c r="Z21" s="361"/>
      <c r="AA21" s="362"/>
      <c r="AB21" s="360"/>
      <c r="AC21" s="361"/>
      <c r="AD21" s="361"/>
      <c r="AE21" s="361"/>
      <c r="AF21" s="361"/>
      <c r="AG21" s="362"/>
      <c r="AH21" s="366"/>
      <c r="AI21" s="367"/>
      <c r="AJ21" s="367"/>
      <c r="AK21" s="367"/>
      <c r="AL21" s="367"/>
      <c r="AM21" s="368"/>
      <c r="AN21" s="67"/>
      <c r="AO21" s="322"/>
      <c r="AP21" s="323"/>
      <c r="AQ21" s="323"/>
      <c r="AR21" s="323"/>
      <c r="AS21" s="323"/>
      <c r="AT21" s="32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305"/>
      <c r="C22" s="305"/>
      <c r="D22" s="306"/>
      <c r="E22" s="343" t="s">
        <v>111</v>
      </c>
      <c r="F22" s="344"/>
      <c r="G22" s="344"/>
      <c r="H22" s="344"/>
      <c r="I22" s="345"/>
      <c r="J22" s="378" t="str">
        <f>IF(AND('Mapa final'!$J$10="Media",'Mapa final'!$N$10="Leve"),CONCATENATE("R",'Mapa final'!$A$10),"")</f>
        <v/>
      </c>
      <c r="K22" s="379"/>
      <c r="L22" s="379" t="str">
        <f>IF(AND('Mapa final'!$J$15="Media",'Mapa final'!$N$15="Leve"),CONCATENATE("R",'Mapa final'!$A$15),"")</f>
        <v/>
      </c>
      <c r="M22" s="379"/>
      <c r="N22" s="379" t="str">
        <f>IF(AND('Mapa final'!$J$21="Media",'Mapa final'!$N$21="Leve"),CONCATENATE("R",'Mapa final'!$A$21),"")</f>
        <v/>
      </c>
      <c r="O22" s="380"/>
      <c r="P22" s="378" t="str">
        <f>IF(AND('Mapa final'!$J$10="Media",'Mapa final'!$N$10="Menor"),CONCATENATE("R",'Mapa final'!$A$10),"")</f>
        <v/>
      </c>
      <c r="Q22" s="379"/>
      <c r="R22" s="379" t="str">
        <f>IF(AND('Mapa final'!$J$15="Media",'Mapa final'!$N$15="Menor"),CONCATENATE("R",'Mapa final'!$A$15),"")</f>
        <v/>
      </c>
      <c r="S22" s="379"/>
      <c r="T22" s="379" t="str">
        <f>IF(AND('Mapa final'!$J$21="Media",'Mapa final'!$N$21="Menor"),CONCATENATE("R",'Mapa final'!$A$21),"")</f>
        <v/>
      </c>
      <c r="U22" s="380"/>
      <c r="V22" s="378" t="str">
        <f>IF(AND('Mapa final'!$J$10="Media",'Mapa final'!$N$10="Moderado"),CONCATENATE("R",'Mapa final'!$A$10),"")</f>
        <v/>
      </c>
      <c r="W22" s="379"/>
      <c r="X22" s="379" t="str">
        <f>IF(AND('Mapa final'!$J$15="Media",'Mapa final'!$N$15="Moderado"),CONCATENATE("R",'Mapa final'!$A$15),"")</f>
        <v/>
      </c>
      <c r="Y22" s="379"/>
      <c r="Z22" s="379" t="str">
        <f>IF(AND('Mapa final'!$J$21="Media",'Mapa final'!$N$21="Moderado"),CONCATENATE("R",'Mapa final'!$A$21),"")</f>
        <v/>
      </c>
      <c r="AA22" s="380"/>
      <c r="AB22" s="354" t="str">
        <f>IF(AND('Mapa final'!$J$10="Media",'Mapa final'!$N$10="Mayor"),CONCATENATE("R",'Mapa final'!$A$10),"")</f>
        <v/>
      </c>
      <c r="AC22" s="355"/>
      <c r="AD22" s="355" t="str">
        <f>IF(AND('Mapa final'!$J$15="Media",'Mapa final'!$N$15="Mayor"),CONCATENATE("R",'Mapa final'!$A$15),"")</f>
        <v/>
      </c>
      <c r="AE22" s="355"/>
      <c r="AF22" s="355" t="str">
        <f>IF(AND('Mapa final'!$J$21="Media",'Mapa final'!$N$21="Mayor"),CONCATENATE("R",'Mapa final'!$A$21),"")</f>
        <v/>
      </c>
      <c r="AG22" s="357"/>
      <c r="AH22" s="369" t="str">
        <f>IF(AND('Mapa final'!$J$10="Media",'Mapa final'!$N$10="Catastrófico"),CONCATENATE("R",'Mapa final'!$A$10),"")</f>
        <v>R1</v>
      </c>
      <c r="AI22" s="370"/>
      <c r="AJ22" s="370" t="str">
        <f>IF(AND('Mapa final'!$J$15="Media",'Mapa final'!$N$15="Catastrófico"),CONCATENATE("R",'Mapa final'!$A$15),"")</f>
        <v/>
      </c>
      <c r="AK22" s="370"/>
      <c r="AL22" s="370" t="str">
        <f>IF(AND('Mapa final'!$J$21="Media",'Mapa final'!$N$21="Catastrófico"),CONCATENATE("R",'Mapa final'!$A$21),"")</f>
        <v/>
      </c>
      <c r="AM22" s="371"/>
      <c r="AN22" s="67"/>
      <c r="AO22" s="325" t="s">
        <v>79</v>
      </c>
      <c r="AP22" s="326"/>
      <c r="AQ22" s="326"/>
      <c r="AR22" s="326"/>
      <c r="AS22" s="326"/>
      <c r="AT22" s="32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305"/>
      <c r="C23" s="305"/>
      <c r="D23" s="306"/>
      <c r="E23" s="346"/>
      <c r="F23" s="347"/>
      <c r="G23" s="347"/>
      <c r="H23" s="347"/>
      <c r="I23" s="348"/>
      <c r="J23" s="372"/>
      <c r="K23" s="373"/>
      <c r="L23" s="373"/>
      <c r="M23" s="373"/>
      <c r="N23" s="373"/>
      <c r="O23" s="374"/>
      <c r="P23" s="372"/>
      <c r="Q23" s="373"/>
      <c r="R23" s="373"/>
      <c r="S23" s="373"/>
      <c r="T23" s="373"/>
      <c r="U23" s="374"/>
      <c r="V23" s="372"/>
      <c r="W23" s="373"/>
      <c r="X23" s="373"/>
      <c r="Y23" s="373"/>
      <c r="Z23" s="373"/>
      <c r="AA23" s="374"/>
      <c r="AB23" s="356"/>
      <c r="AC23" s="352"/>
      <c r="AD23" s="352"/>
      <c r="AE23" s="352"/>
      <c r="AF23" s="352"/>
      <c r="AG23" s="353"/>
      <c r="AH23" s="363"/>
      <c r="AI23" s="364"/>
      <c r="AJ23" s="364"/>
      <c r="AK23" s="364"/>
      <c r="AL23" s="364"/>
      <c r="AM23" s="365"/>
      <c r="AN23" s="67"/>
      <c r="AO23" s="328"/>
      <c r="AP23" s="329"/>
      <c r="AQ23" s="329"/>
      <c r="AR23" s="329"/>
      <c r="AS23" s="329"/>
      <c r="AT23" s="33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305"/>
      <c r="C24" s="305"/>
      <c r="D24" s="306"/>
      <c r="E24" s="346"/>
      <c r="F24" s="347"/>
      <c r="G24" s="347"/>
      <c r="H24" s="347"/>
      <c r="I24" s="348"/>
      <c r="J24" s="372" t="str">
        <f>IF(AND('Mapa final'!$J$27="Media",'Mapa final'!$N$27="Leve"),CONCATENATE("R",'Mapa final'!$A$27),"")</f>
        <v/>
      </c>
      <c r="K24" s="373"/>
      <c r="L24" s="373" t="str">
        <f>IF(AND('Mapa final'!$J$33="Media",'Mapa final'!$N$33="Leve"),CONCATENATE("R",'Mapa final'!$A$33),"")</f>
        <v/>
      </c>
      <c r="M24" s="373"/>
      <c r="N24" s="373" t="str">
        <f>IF(AND('Mapa final'!$J$39="Media",'Mapa final'!$N$39="Leve"),CONCATENATE("R",'Mapa final'!$A$39),"")</f>
        <v/>
      </c>
      <c r="O24" s="374"/>
      <c r="P24" s="372" t="str">
        <f>IF(AND('Mapa final'!$J$27="Media",'Mapa final'!$N$27="Menor"),CONCATENATE("R",'Mapa final'!$A$27),"")</f>
        <v/>
      </c>
      <c r="Q24" s="373"/>
      <c r="R24" s="373" t="str">
        <f>IF(AND('Mapa final'!$J$33="Media",'Mapa final'!$N$33="Menor"),CONCATENATE("R",'Mapa final'!$A$33),"")</f>
        <v/>
      </c>
      <c r="S24" s="373"/>
      <c r="T24" s="373" t="str">
        <f>IF(AND('Mapa final'!$J$39="Media",'Mapa final'!$N$39="Menor"),CONCATENATE("R",'Mapa final'!$A$39),"")</f>
        <v/>
      </c>
      <c r="U24" s="374"/>
      <c r="V24" s="372" t="str">
        <f>IF(AND('Mapa final'!$J$27="Media",'Mapa final'!$N$27="Moderado"),CONCATENATE("R",'Mapa final'!$A$27),"")</f>
        <v/>
      </c>
      <c r="W24" s="373"/>
      <c r="X24" s="373" t="str">
        <f>IF(AND('Mapa final'!$J$33="Media",'Mapa final'!$N$33="Moderado"),CONCATENATE("R",'Mapa final'!$A$33),"")</f>
        <v/>
      </c>
      <c r="Y24" s="373"/>
      <c r="Z24" s="373" t="str">
        <f>IF(AND('Mapa final'!$J$39="Media",'Mapa final'!$N$39="Moderado"),CONCATENATE("R",'Mapa final'!$A$39),"")</f>
        <v/>
      </c>
      <c r="AA24" s="374"/>
      <c r="AB24" s="356" t="str">
        <f>IF(AND('Mapa final'!$J$27="Media",'Mapa final'!$N$27="Mayor"),CONCATENATE("R",'Mapa final'!$A$27),"")</f>
        <v/>
      </c>
      <c r="AC24" s="352"/>
      <c r="AD24" s="352" t="str">
        <f>IF(AND('Mapa final'!$J$33="Media",'Mapa final'!$N$33="Mayor"),CONCATENATE("R",'Mapa final'!$A$33),"")</f>
        <v/>
      </c>
      <c r="AE24" s="352"/>
      <c r="AF24" s="352" t="str">
        <f>IF(AND('Mapa final'!$J$39="Media",'Mapa final'!$N$39="Mayor"),CONCATENATE("R",'Mapa final'!$A$39),"")</f>
        <v/>
      </c>
      <c r="AG24" s="353"/>
      <c r="AH24" s="363" t="str">
        <f>IF(AND('Mapa final'!$J$27="Media",'Mapa final'!$N$27="Catastrófico"),CONCATENATE("R",'Mapa final'!$A$27),"")</f>
        <v/>
      </c>
      <c r="AI24" s="364"/>
      <c r="AJ24" s="364" t="str">
        <f>IF(AND('Mapa final'!$J$33="Media",'Mapa final'!$N$33="Catastrófico"),CONCATENATE("R",'Mapa final'!$A$33),"")</f>
        <v/>
      </c>
      <c r="AK24" s="364"/>
      <c r="AL24" s="364" t="str">
        <f>IF(AND('Mapa final'!$J$39="Media",'Mapa final'!$N$39="Catastrófico"),CONCATENATE("R",'Mapa final'!$A$39),"")</f>
        <v/>
      </c>
      <c r="AM24" s="365"/>
      <c r="AN24" s="67"/>
      <c r="AO24" s="328"/>
      <c r="AP24" s="329"/>
      <c r="AQ24" s="329"/>
      <c r="AR24" s="329"/>
      <c r="AS24" s="329"/>
      <c r="AT24" s="33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305"/>
      <c r="C25" s="305"/>
      <c r="D25" s="306"/>
      <c r="E25" s="346"/>
      <c r="F25" s="347"/>
      <c r="G25" s="347"/>
      <c r="H25" s="347"/>
      <c r="I25" s="348"/>
      <c r="J25" s="372"/>
      <c r="K25" s="373"/>
      <c r="L25" s="373"/>
      <c r="M25" s="373"/>
      <c r="N25" s="373"/>
      <c r="O25" s="374"/>
      <c r="P25" s="372"/>
      <c r="Q25" s="373"/>
      <c r="R25" s="373"/>
      <c r="S25" s="373"/>
      <c r="T25" s="373"/>
      <c r="U25" s="374"/>
      <c r="V25" s="372"/>
      <c r="W25" s="373"/>
      <c r="X25" s="373"/>
      <c r="Y25" s="373"/>
      <c r="Z25" s="373"/>
      <c r="AA25" s="374"/>
      <c r="AB25" s="356"/>
      <c r="AC25" s="352"/>
      <c r="AD25" s="352"/>
      <c r="AE25" s="352"/>
      <c r="AF25" s="352"/>
      <c r="AG25" s="353"/>
      <c r="AH25" s="363"/>
      <c r="AI25" s="364"/>
      <c r="AJ25" s="364"/>
      <c r="AK25" s="364"/>
      <c r="AL25" s="364"/>
      <c r="AM25" s="365"/>
      <c r="AN25" s="67"/>
      <c r="AO25" s="328"/>
      <c r="AP25" s="329"/>
      <c r="AQ25" s="329"/>
      <c r="AR25" s="329"/>
      <c r="AS25" s="329"/>
      <c r="AT25" s="330"/>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305"/>
      <c r="C26" s="305"/>
      <c r="D26" s="306"/>
      <c r="E26" s="346"/>
      <c r="F26" s="347"/>
      <c r="G26" s="347"/>
      <c r="H26" s="347"/>
      <c r="I26" s="348"/>
      <c r="J26" s="372" t="str">
        <f>IF(AND('Mapa final'!$J$45="Media",'Mapa final'!$N$45="Leve"),CONCATENATE("R",'Mapa final'!$A$45),"")</f>
        <v/>
      </c>
      <c r="K26" s="373"/>
      <c r="L26" s="373" t="str">
        <f>IF(AND('Mapa final'!$J$51="Media",'Mapa final'!$N$51="Leve"),CONCATENATE("R",'Mapa final'!$A$51),"")</f>
        <v/>
      </c>
      <c r="M26" s="373"/>
      <c r="N26" s="373" t="str">
        <f>IF(AND('Mapa final'!$J$57="Media",'Mapa final'!$N$57="Leve"),CONCATENATE("R",'Mapa final'!$A$57),"")</f>
        <v/>
      </c>
      <c r="O26" s="374"/>
      <c r="P26" s="372" t="str">
        <f>IF(AND('Mapa final'!$J$45="Media",'Mapa final'!$N$45="Menor"),CONCATENATE("R",'Mapa final'!$A$45),"")</f>
        <v/>
      </c>
      <c r="Q26" s="373"/>
      <c r="R26" s="373" t="str">
        <f>IF(AND('Mapa final'!$J$51="Media",'Mapa final'!$N$51="Menor"),CONCATENATE("R",'Mapa final'!$A$51),"")</f>
        <v/>
      </c>
      <c r="S26" s="373"/>
      <c r="T26" s="373" t="str">
        <f>IF(AND('Mapa final'!$J$57="Media",'Mapa final'!$N$57="Menor"),CONCATENATE("R",'Mapa final'!$A$57),"")</f>
        <v/>
      </c>
      <c r="U26" s="374"/>
      <c r="V26" s="372" t="str">
        <f>IF(AND('Mapa final'!$J$45="Media",'Mapa final'!$N$45="Moderado"),CONCATENATE("R",'Mapa final'!$A$45),"")</f>
        <v/>
      </c>
      <c r="W26" s="373"/>
      <c r="X26" s="373" t="str">
        <f>IF(AND('Mapa final'!$J$51="Media",'Mapa final'!$N$51="Moderado"),CONCATENATE("R",'Mapa final'!$A$51),"")</f>
        <v/>
      </c>
      <c r="Y26" s="373"/>
      <c r="Z26" s="373" t="str">
        <f>IF(AND('Mapa final'!$J$57="Media",'Mapa final'!$N$57="Moderado"),CONCATENATE("R",'Mapa final'!$A$57),"")</f>
        <v/>
      </c>
      <c r="AA26" s="374"/>
      <c r="AB26" s="356" t="str">
        <f>IF(AND('Mapa final'!$J$45="Media",'Mapa final'!$N$45="Mayor"),CONCATENATE("R",'Mapa final'!$A$45),"")</f>
        <v/>
      </c>
      <c r="AC26" s="352"/>
      <c r="AD26" s="352" t="str">
        <f>IF(AND('Mapa final'!$J$51="Media",'Mapa final'!$N$51="Mayor"),CONCATENATE("R",'Mapa final'!$A$51),"")</f>
        <v/>
      </c>
      <c r="AE26" s="352"/>
      <c r="AF26" s="352" t="str">
        <f>IF(AND('Mapa final'!$J$57="Media",'Mapa final'!$N$57="Mayor"),CONCATENATE("R",'Mapa final'!$A$57),"")</f>
        <v/>
      </c>
      <c r="AG26" s="353"/>
      <c r="AH26" s="363" t="str">
        <f>IF(AND('Mapa final'!$J$45="Media",'Mapa final'!$N$45="Catastrófico"),CONCATENATE("R",'Mapa final'!$A$45),"")</f>
        <v/>
      </c>
      <c r="AI26" s="364"/>
      <c r="AJ26" s="364" t="str">
        <f>IF(AND('Mapa final'!$J$51="Media",'Mapa final'!$N$51="Catastrófico"),CONCATENATE("R",'Mapa final'!$A$51),"")</f>
        <v/>
      </c>
      <c r="AK26" s="364"/>
      <c r="AL26" s="364" t="str">
        <f>IF(AND('Mapa final'!$J$57="Media",'Mapa final'!$N$57="Catastrófico"),CONCATENATE("R",'Mapa final'!$A$57),"")</f>
        <v/>
      </c>
      <c r="AM26" s="365"/>
      <c r="AN26" s="67"/>
      <c r="AO26" s="328"/>
      <c r="AP26" s="329"/>
      <c r="AQ26" s="329"/>
      <c r="AR26" s="329"/>
      <c r="AS26" s="329"/>
      <c r="AT26" s="33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305"/>
      <c r="C27" s="305"/>
      <c r="D27" s="306"/>
      <c r="E27" s="346"/>
      <c r="F27" s="347"/>
      <c r="G27" s="347"/>
      <c r="H27" s="347"/>
      <c r="I27" s="348"/>
      <c r="J27" s="372"/>
      <c r="K27" s="373"/>
      <c r="L27" s="373"/>
      <c r="M27" s="373"/>
      <c r="N27" s="373"/>
      <c r="O27" s="374"/>
      <c r="P27" s="372"/>
      <c r="Q27" s="373"/>
      <c r="R27" s="373"/>
      <c r="S27" s="373"/>
      <c r="T27" s="373"/>
      <c r="U27" s="374"/>
      <c r="V27" s="372"/>
      <c r="W27" s="373"/>
      <c r="X27" s="373"/>
      <c r="Y27" s="373"/>
      <c r="Z27" s="373"/>
      <c r="AA27" s="374"/>
      <c r="AB27" s="356"/>
      <c r="AC27" s="352"/>
      <c r="AD27" s="352"/>
      <c r="AE27" s="352"/>
      <c r="AF27" s="352"/>
      <c r="AG27" s="353"/>
      <c r="AH27" s="363"/>
      <c r="AI27" s="364"/>
      <c r="AJ27" s="364"/>
      <c r="AK27" s="364"/>
      <c r="AL27" s="364"/>
      <c r="AM27" s="365"/>
      <c r="AN27" s="67"/>
      <c r="AO27" s="328"/>
      <c r="AP27" s="329"/>
      <c r="AQ27" s="329"/>
      <c r="AR27" s="329"/>
      <c r="AS27" s="329"/>
      <c r="AT27" s="33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305"/>
      <c r="C28" s="305"/>
      <c r="D28" s="306"/>
      <c r="E28" s="346"/>
      <c r="F28" s="347"/>
      <c r="G28" s="347"/>
      <c r="H28" s="347"/>
      <c r="I28" s="348"/>
      <c r="J28" s="372" t="str">
        <f>IF(AND('Mapa final'!$J$63="Media",'Mapa final'!$N$63="Leve"),CONCATENATE("R",'Mapa final'!$A$63),"")</f>
        <v/>
      </c>
      <c r="K28" s="373"/>
      <c r="L28" s="373" t="str">
        <f>IF(AND('Mapa final'!$J$69="Media",'Mapa final'!$N$69="Leve"),CONCATENATE("R",'Mapa final'!$A$69),"")</f>
        <v/>
      </c>
      <c r="M28" s="373"/>
      <c r="N28" s="373" t="str">
        <f>IF(AND('Mapa final'!$J$75="Media",'Mapa final'!$N$75="Leve"),CONCATENATE("R",'Mapa final'!$A$75),"")</f>
        <v/>
      </c>
      <c r="O28" s="374"/>
      <c r="P28" s="372" t="str">
        <f>IF(AND('Mapa final'!$J$63="Media",'Mapa final'!$N$63="Menor"),CONCATENATE("R",'Mapa final'!$A$63),"")</f>
        <v/>
      </c>
      <c r="Q28" s="373"/>
      <c r="R28" s="373" t="str">
        <f>IF(AND('Mapa final'!$J$69="Media",'Mapa final'!$N$69="Menor"),CONCATENATE("R",'Mapa final'!$A$69),"")</f>
        <v/>
      </c>
      <c r="S28" s="373"/>
      <c r="T28" s="373" t="str">
        <f>IF(AND('Mapa final'!$J$75="Media",'Mapa final'!$N$75="Menor"),CONCATENATE("R",'Mapa final'!$A$75),"")</f>
        <v/>
      </c>
      <c r="U28" s="374"/>
      <c r="V28" s="372" t="str">
        <f>IF(AND('Mapa final'!$J$63="Media",'Mapa final'!$N$63="Moderado"),CONCATENATE("R",'Mapa final'!$A$63),"")</f>
        <v/>
      </c>
      <c r="W28" s="373"/>
      <c r="X28" s="373" t="str">
        <f>IF(AND('Mapa final'!$J$69="Media",'Mapa final'!$N$69="Moderado"),CONCATENATE("R",'Mapa final'!$A$69),"")</f>
        <v/>
      </c>
      <c r="Y28" s="373"/>
      <c r="Z28" s="373" t="str">
        <f>IF(AND('Mapa final'!$J$75="Media",'Mapa final'!$N$75="Moderado"),CONCATENATE("R",'Mapa final'!$A$75),"")</f>
        <v/>
      </c>
      <c r="AA28" s="374"/>
      <c r="AB28" s="356" t="str">
        <f>IF(AND('Mapa final'!$J$63="Media",'Mapa final'!$N$63="Mayor"),CONCATENATE("R",'Mapa final'!$A$63),"")</f>
        <v/>
      </c>
      <c r="AC28" s="352"/>
      <c r="AD28" s="352" t="str">
        <f>IF(AND('Mapa final'!$J$69="Media",'Mapa final'!$N$69="Mayor"),CONCATENATE("R",'Mapa final'!$A$69),"")</f>
        <v/>
      </c>
      <c r="AE28" s="352"/>
      <c r="AF28" s="352" t="str">
        <f>IF(AND('Mapa final'!$J$75="Media",'Mapa final'!$N$75="Mayor"),CONCATENATE("R",'Mapa final'!$A$75),"")</f>
        <v/>
      </c>
      <c r="AG28" s="353"/>
      <c r="AH28" s="363" t="str">
        <f>IF(AND('Mapa final'!$J$63="Media",'Mapa final'!$N$63="Catastrófico"),CONCATENATE("R",'Mapa final'!$A$63),"")</f>
        <v/>
      </c>
      <c r="AI28" s="364"/>
      <c r="AJ28" s="364" t="str">
        <f>IF(AND('Mapa final'!$J$69="Media",'Mapa final'!$N$69="Catastrófico"),CONCATENATE("R",'Mapa final'!$A$69),"")</f>
        <v/>
      </c>
      <c r="AK28" s="364"/>
      <c r="AL28" s="364" t="str">
        <f>IF(AND('Mapa final'!$J$75="Media",'Mapa final'!$N$75="Catastrófico"),CONCATENATE("R",'Mapa final'!$A$75),"")</f>
        <v/>
      </c>
      <c r="AM28" s="365"/>
      <c r="AN28" s="67"/>
      <c r="AO28" s="328"/>
      <c r="AP28" s="329"/>
      <c r="AQ28" s="329"/>
      <c r="AR28" s="329"/>
      <c r="AS28" s="329"/>
      <c r="AT28" s="33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305"/>
      <c r="C29" s="305"/>
      <c r="D29" s="306"/>
      <c r="E29" s="349"/>
      <c r="F29" s="350"/>
      <c r="G29" s="350"/>
      <c r="H29" s="350"/>
      <c r="I29" s="351"/>
      <c r="J29" s="372"/>
      <c r="K29" s="373"/>
      <c r="L29" s="373"/>
      <c r="M29" s="373"/>
      <c r="N29" s="373"/>
      <c r="O29" s="374"/>
      <c r="P29" s="375"/>
      <c r="Q29" s="376"/>
      <c r="R29" s="376"/>
      <c r="S29" s="376"/>
      <c r="T29" s="376"/>
      <c r="U29" s="377"/>
      <c r="V29" s="375"/>
      <c r="W29" s="376"/>
      <c r="X29" s="376"/>
      <c r="Y29" s="376"/>
      <c r="Z29" s="376"/>
      <c r="AA29" s="377"/>
      <c r="AB29" s="360"/>
      <c r="AC29" s="361"/>
      <c r="AD29" s="361"/>
      <c r="AE29" s="361"/>
      <c r="AF29" s="361"/>
      <c r="AG29" s="362"/>
      <c r="AH29" s="366"/>
      <c r="AI29" s="367"/>
      <c r="AJ29" s="367"/>
      <c r="AK29" s="367"/>
      <c r="AL29" s="367"/>
      <c r="AM29" s="368"/>
      <c r="AN29" s="67"/>
      <c r="AO29" s="331"/>
      <c r="AP29" s="332"/>
      <c r="AQ29" s="332"/>
      <c r="AR29" s="332"/>
      <c r="AS29" s="332"/>
      <c r="AT29" s="33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305"/>
      <c r="C30" s="305"/>
      <c r="D30" s="306"/>
      <c r="E30" s="343" t="s">
        <v>108</v>
      </c>
      <c r="F30" s="344"/>
      <c r="G30" s="344"/>
      <c r="H30" s="344"/>
      <c r="I30" s="344"/>
      <c r="J30" s="387" t="str">
        <f>IF(AND('Mapa final'!$J$10="Baja",'Mapa final'!$N$10="Leve"),CONCATENATE("R",'Mapa final'!$A$10),"")</f>
        <v/>
      </c>
      <c r="K30" s="388"/>
      <c r="L30" s="388" t="str">
        <f>IF(AND('Mapa final'!$J$15="Baja",'Mapa final'!$N$15="Leve"),CONCATENATE("R",'Mapa final'!$A$15),"")</f>
        <v/>
      </c>
      <c r="M30" s="388"/>
      <c r="N30" s="388" t="str">
        <f>IF(AND('Mapa final'!$J$21="Baja",'Mapa final'!$N$21="Leve"),CONCATENATE("R",'Mapa final'!$A$21),"")</f>
        <v/>
      </c>
      <c r="O30" s="389"/>
      <c r="P30" s="379" t="str">
        <f>IF(AND('Mapa final'!$J$10="Baja",'Mapa final'!$N$10="Menor"),CONCATENATE("R",'Mapa final'!$A$10),"")</f>
        <v/>
      </c>
      <c r="Q30" s="379"/>
      <c r="R30" s="379" t="str">
        <f>IF(AND('Mapa final'!$J$15="Baja",'Mapa final'!$N$15="Menor"),CONCATENATE("R",'Mapa final'!$A$15),"")</f>
        <v/>
      </c>
      <c r="S30" s="379"/>
      <c r="T30" s="379" t="str">
        <f>IF(AND('Mapa final'!$J$21="Baja",'Mapa final'!$N$21="Menor"),CONCATENATE("R",'Mapa final'!$A$21),"")</f>
        <v/>
      </c>
      <c r="U30" s="380"/>
      <c r="V30" s="378" t="str">
        <f>IF(AND('Mapa final'!$J$10="Baja",'Mapa final'!$N$10="Moderado"),CONCATENATE("R",'Mapa final'!$A$10),"")</f>
        <v/>
      </c>
      <c r="W30" s="379"/>
      <c r="X30" s="379" t="str">
        <f>IF(AND('Mapa final'!$J$15="Baja",'Mapa final'!$N$15="Moderado"),CONCATENATE("R",'Mapa final'!$A$15),"")</f>
        <v/>
      </c>
      <c r="Y30" s="379"/>
      <c r="Z30" s="379" t="str">
        <f>IF(AND('Mapa final'!$J$21="Baja",'Mapa final'!$N$21="Moderado"),CONCATENATE("R",'Mapa final'!$A$21),"")</f>
        <v/>
      </c>
      <c r="AA30" s="380"/>
      <c r="AB30" s="354" t="str">
        <f>IF(AND('Mapa final'!$J$10="Baja",'Mapa final'!$N$10="Mayor"),CONCATENATE("R",'Mapa final'!$A$10),"")</f>
        <v/>
      </c>
      <c r="AC30" s="355"/>
      <c r="AD30" s="355" t="str">
        <f>IF(AND('Mapa final'!$J$15="Baja",'Mapa final'!$N$15="Mayor"),CONCATENATE("R",'Mapa final'!$A$15),"")</f>
        <v/>
      </c>
      <c r="AE30" s="355"/>
      <c r="AF30" s="355" t="str">
        <f>IF(AND('Mapa final'!$J$21="Baja",'Mapa final'!$N$21="Mayor"),CONCATENATE("R",'Mapa final'!$A$21),"")</f>
        <v/>
      </c>
      <c r="AG30" s="357"/>
      <c r="AH30" s="369" t="str">
        <f>IF(AND('Mapa final'!$J$10="Baja",'Mapa final'!$N$10="Catastrófico"),CONCATENATE("R",'Mapa final'!$A$10),"")</f>
        <v/>
      </c>
      <c r="AI30" s="370"/>
      <c r="AJ30" s="370" t="str">
        <f>IF(AND('Mapa final'!$J$15="Baja",'Mapa final'!$N$15="Catastrófico"),CONCATENATE("R",'Mapa final'!$A$15),"")</f>
        <v/>
      </c>
      <c r="AK30" s="370"/>
      <c r="AL30" s="370" t="str">
        <f>IF(AND('Mapa final'!$J$21="Baja",'Mapa final'!$N$21="Catastrófico"),CONCATENATE("R",'Mapa final'!$A$21),"")</f>
        <v/>
      </c>
      <c r="AM30" s="371"/>
      <c r="AN30" s="67"/>
      <c r="AO30" s="334" t="s">
        <v>80</v>
      </c>
      <c r="AP30" s="335"/>
      <c r="AQ30" s="335"/>
      <c r="AR30" s="335"/>
      <c r="AS30" s="335"/>
      <c r="AT30" s="33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305"/>
      <c r="C31" s="305"/>
      <c r="D31" s="306"/>
      <c r="E31" s="346"/>
      <c r="F31" s="347"/>
      <c r="G31" s="347"/>
      <c r="H31" s="347"/>
      <c r="I31" s="347"/>
      <c r="J31" s="383"/>
      <c r="K31" s="381"/>
      <c r="L31" s="381"/>
      <c r="M31" s="381"/>
      <c r="N31" s="381"/>
      <c r="O31" s="382"/>
      <c r="P31" s="373"/>
      <c r="Q31" s="373"/>
      <c r="R31" s="373"/>
      <c r="S31" s="373"/>
      <c r="T31" s="373"/>
      <c r="U31" s="374"/>
      <c r="V31" s="372"/>
      <c r="W31" s="373"/>
      <c r="X31" s="373"/>
      <c r="Y31" s="373"/>
      <c r="Z31" s="373"/>
      <c r="AA31" s="374"/>
      <c r="AB31" s="356"/>
      <c r="AC31" s="352"/>
      <c r="AD31" s="352"/>
      <c r="AE31" s="352"/>
      <c r="AF31" s="352"/>
      <c r="AG31" s="353"/>
      <c r="AH31" s="363"/>
      <c r="AI31" s="364"/>
      <c r="AJ31" s="364"/>
      <c r="AK31" s="364"/>
      <c r="AL31" s="364"/>
      <c r="AM31" s="365"/>
      <c r="AN31" s="67"/>
      <c r="AO31" s="337"/>
      <c r="AP31" s="338"/>
      <c r="AQ31" s="338"/>
      <c r="AR31" s="338"/>
      <c r="AS31" s="338"/>
      <c r="AT31" s="33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305"/>
      <c r="C32" s="305"/>
      <c r="D32" s="306"/>
      <c r="E32" s="346"/>
      <c r="F32" s="347"/>
      <c r="G32" s="347"/>
      <c r="H32" s="347"/>
      <c r="I32" s="347"/>
      <c r="J32" s="383" t="str">
        <f>IF(AND('Mapa final'!$J$27="Baja",'Mapa final'!$N$27="Leve"),CONCATENATE("R",'Mapa final'!$A$27),"")</f>
        <v/>
      </c>
      <c r="K32" s="381"/>
      <c r="L32" s="381" t="str">
        <f>IF(AND('Mapa final'!$J$33="Baja",'Mapa final'!$N$33="Leve"),CONCATENATE("R",'Mapa final'!$A$33),"")</f>
        <v/>
      </c>
      <c r="M32" s="381"/>
      <c r="N32" s="381" t="str">
        <f>IF(AND('Mapa final'!$J$39="Baja",'Mapa final'!$N$39="Leve"),CONCATENATE("R",'Mapa final'!$A$39),"")</f>
        <v/>
      </c>
      <c r="O32" s="382"/>
      <c r="P32" s="373" t="str">
        <f>IF(AND('Mapa final'!$J$27="Baja",'Mapa final'!$N$27="Menor"),CONCATENATE("R",'Mapa final'!$A$27),"")</f>
        <v/>
      </c>
      <c r="Q32" s="373"/>
      <c r="R32" s="373" t="str">
        <f>IF(AND('Mapa final'!$J$33="Baja",'Mapa final'!$N$33="Menor"),CONCATENATE("R",'Mapa final'!$A$33),"")</f>
        <v/>
      </c>
      <c r="S32" s="373"/>
      <c r="T32" s="373" t="str">
        <f>IF(AND('Mapa final'!$J$39="Baja",'Mapa final'!$N$39="Menor"),CONCATENATE("R",'Mapa final'!$A$39),"")</f>
        <v/>
      </c>
      <c r="U32" s="374"/>
      <c r="V32" s="372" t="str">
        <f>IF(AND('Mapa final'!$J$27="Baja",'Mapa final'!$N$27="Moderado"),CONCATENATE("R",'Mapa final'!$A$27),"")</f>
        <v/>
      </c>
      <c r="W32" s="373"/>
      <c r="X32" s="373" t="str">
        <f>IF(AND('Mapa final'!$J$33="Baja",'Mapa final'!$N$33="Moderado"),CONCATENATE("R",'Mapa final'!$A$33),"")</f>
        <v/>
      </c>
      <c r="Y32" s="373"/>
      <c r="Z32" s="373" t="str">
        <f>IF(AND('Mapa final'!$J$39="Baja",'Mapa final'!$N$39="Moderado"),CONCATENATE("R",'Mapa final'!$A$39),"")</f>
        <v/>
      </c>
      <c r="AA32" s="374"/>
      <c r="AB32" s="356" t="str">
        <f>IF(AND('Mapa final'!$J$27="Baja",'Mapa final'!$N$27="Mayor"),CONCATENATE("R",'Mapa final'!$A$27),"")</f>
        <v/>
      </c>
      <c r="AC32" s="352"/>
      <c r="AD32" s="352" t="str">
        <f>IF(AND('Mapa final'!$J$33="Baja",'Mapa final'!$N$33="Mayor"),CONCATENATE("R",'Mapa final'!$A$33),"")</f>
        <v/>
      </c>
      <c r="AE32" s="352"/>
      <c r="AF32" s="352" t="str">
        <f>IF(AND('Mapa final'!$J$39="Baja",'Mapa final'!$N$39="Mayor"),CONCATENATE("R",'Mapa final'!$A$39),"")</f>
        <v/>
      </c>
      <c r="AG32" s="353"/>
      <c r="AH32" s="363" t="str">
        <f>IF(AND('Mapa final'!$J$27="Baja",'Mapa final'!$N$27="Catastrófico"),CONCATENATE("R",'Mapa final'!$A$27),"")</f>
        <v/>
      </c>
      <c r="AI32" s="364"/>
      <c r="AJ32" s="364" t="str">
        <f>IF(AND('Mapa final'!$J$33="Baja",'Mapa final'!$N$33="Catastrófico"),CONCATENATE("R",'Mapa final'!$A$33),"")</f>
        <v/>
      </c>
      <c r="AK32" s="364"/>
      <c r="AL32" s="364" t="str">
        <f>IF(AND('Mapa final'!$J$39="Baja",'Mapa final'!$N$39="Catastrófico"),CONCATENATE("R",'Mapa final'!$A$39),"")</f>
        <v/>
      </c>
      <c r="AM32" s="365"/>
      <c r="AN32" s="67"/>
      <c r="AO32" s="337"/>
      <c r="AP32" s="338"/>
      <c r="AQ32" s="338"/>
      <c r="AR32" s="338"/>
      <c r="AS32" s="338"/>
      <c r="AT32" s="33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305"/>
      <c r="C33" s="305"/>
      <c r="D33" s="306"/>
      <c r="E33" s="346"/>
      <c r="F33" s="347"/>
      <c r="G33" s="347"/>
      <c r="H33" s="347"/>
      <c r="I33" s="347"/>
      <c r="J33" s="383"/>
      <c r="K33" s="381"/>
      <c r="L33" s="381"/>
      <c r="M33" s="381"/>
      <c r="N33" s="381"/>
      <c r="O33" s="382"/>
      <c r="P33" s="373"/>
      <c r="Q33" s="373"/>
      <c r="R33" s="373"/>
      <c r="S33" s="373"/>
      <c r="T33" s="373"/>
      <c r="U33" s="374"/>
      <c r="V33" s="372"/>
      <c r="W33" s="373"/>
      <c r="X33" s="373"/>
      <c r="Y33" s="373"/>
      <c r="Z33" s="373"/>
      <c r="AA33" s="374"/>
      <c r="AB33" s="356"/>
      <c r="AC33" s="352"/>
      <c r="AD33" s="352"/>
      <c r="AE33" s="352"/>
      <c r="AF33" s="352"/>
      <c r="AG33" s="353"/>
      <c r="AH33" s="363"/>
      <c r="AI33" s="364"/>
      <c r="AJ33" s="364"/>
      <c r="AK33" s="364"/>
      <c r="AL33" s="364"/>
      <c r="AM33" s="365"/>
      <c r="AN33" s="67"/>
      <c r="AO33" s="337"/>
      <c r="AP33" s="338"/>
      <c r="AQ33" s="338"/>
      <c r="AR33" s="338"/>
      <c r="AS33" s="338"/>
      <c r="AT33" s="33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305"/>
      <c r="C34" s="305"/>
      <c r="D34" s="306"/>
      <c r="E34" s="346"/>
      <c r="F34" s="347"/>
      <c r="G34" s="347"/>
      <c r="H34" s="347"/>
      <c r="I34" s="347"/>
      <c r="J34" s="383" t="str">
        <f>IF(AND('Mapa final'!$J$45="Baja",'Mapa final'!$N$45="Leve"),CONCATENATE("R",'Mapa final'!$A$45),"")</f>
        <v/>
      </c>
      <c r="K34" s="381"/>
      <c r="L34" s="381" t="str">
        <f>IF(AND('Mapa final'!$J$51="Baja",'Mapa final'!$N$51="Leve"),CONCATENATE("R",'Mapa final'!$A$51),"")</f>
        <v/>
      </c>
      <c r="M34" s="381"/>
      <c r="N34" s="381" t="str">
        <f>IF(AND('Mapa final'!$J$57="Baja",'Mapa final'!$N$57="Leve"),CONCATENATE("R",'Mapa final'!$A$57),"")</f>
        <v/>
      </c>
      <c r="O34" s="382"/>
      <c r="P34" s="373" t="str">
        <f>IF(AND('Mapa final'!$J$45="Baja",'Mapa final'!$N$45="Menor"),CONCATENATE("R",'Mapa final'!$A$45),"")</f>
        <v/>
      </c>
      <c r="Q34" s="373"/>
      <c r="R34" s="373" t="str">
        <f>IF(AND('Mapa final'!$J$51="Baja",'Mapa final'!$N$51="Menor"),CONCATENATE("R",'Mapa final'!$A$51),"")</f>
        <v/>
      </c>
      <c r="S34" s="373"/>
      <c r="T34" s="373" t="str">
        <f>IF(AND('Mapa final'!$J$57="Baja",'Mapa final'!$N$57="Menor"),CONCATENATE("R",'Mapa final'!$A$57),"")</f>
        <v/>
      </c>
      <c r="U34" s="374"/>
      <c r="V34" s="372" t="str">
        <f>IF(AND('Mapa final'!$J$45="Baja",'Mapa final'!$N$45="Moderado"),CONCATENATE("R",'Mapa final'!$A$45),"")</f>
        <v/>
      </c>
      <c r="W34" s="373"/>
      <c r="X34" s="373" t="str">
        <f>IF(AND('Mapa final'!$J$51="Baja",'Mapa final'!$N$51="Moderado"),CONCATENATE("R",'Mapa final'!$A$51),"")</f>
        <v/>
      </c>
      <c r="Y34" s="373"/>
      <c r="Z34" s="373" t="str">
        <f>IF(AND('Mapa final'!$J$57="Baja",'Mapa final'!$N$57="Moderado"),CONCATENATE("R",'Mapa final'!$A$57),"")</f>
        <v/>
      </c>
      <c r="AA34" s="374"/>
      <c r="AB34" s="356" t="str">
        <f>IF(AND('Mapa final'!$J$45="Baja",'Mapa final'!$N$45="Mayor"),CONCATENATE("R",'Mapa final'!$A$45),"")</f>
        <v/>
      </c>
      <c r="AC34" s="352"/>
      <c r="AD34" s="352" t="str">
        <f>IF(AND('Mapa final'!$J$51="Baja",'Mapa final'!$N$51="Mayor"),CONCATENATE("R",'Mapa final'!$A$51),"")</f>
        <v/>
      </c>
      <c r="AE34" s="352"/>
      <c r="AF34" s="352" t="str">
        <f>IF(AND('Mapa final'!$J$57="Baja",'Mapa final'!$N$57="Mayor"),CONCATENATE("R",'Mapa final'!$A$57),"")</f>
        <v/>
      </c>
      <c r="AG34" s="353"/>
      <c r="AH34" s="363" t="str">
        <f>IF(AND('Mapa final'!$J$45="Baja",'Mapa final'!$N$45="Catastrófico"),CONCATENATE("R",'Mapa final'!$A$45),"")</f>
        <v/>
      </c>
      <c r="AI34" s="364"/>
      <c r="AJ34" s="364" t="str">
        <f>IF(AND('Mapa final'!$J$51="Baja",'Mapa final'!$N$51="Catastrófico"),CONCATENATE("R",'Mapa final'!$A$51),"")</f>
        <v/>
      </c>
      <c r="AK34" s="364"/>
      <c r="AL34" s="364" t="str">
        <f>IF(AND('Mapa final'!$J$57="Baja",'Mapa final'!$N$57="Catastrófico"),CONCATENATE("R",'Mapa final'!$A$57),"")</f>
        <v/>
      </c>
      <c r="AM34" s="365"/>
      <c r="AN34" s="67"/>
      <c r="AO34" s="337"/>
      <c r="AP34" s="338"/>
      <c r="AQ34" s="338"/>
      <c r="AR34" s="338"/>
      <c r="AS34" s="338"/>
      <c r="AT34" s="33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305"/>
      <c r="C35" s="305"/>
      <c r="D35" s="306"/>
      <c r="E35" s="346"/>
      <c r="F35" s="347"/>
      <c r="G35" s="347"/>
      <c r="H35" s="347"/>
      <c r="I35" s="347"/>
      <c r="J35" s="383"/>
      <c r="K35" s="381"/>
      <c r="L35" s="381"/>
      <c r="M35" s="381"/>
      <c r="N35" s="381"/>
      <c r="O35" s="382"/>
      <c r="P35" s="373"/>
      <c r="Q35" s="373"/>
      <c r="R35" s="373"/>
      <c r="S35" s="373"/>
      <c r="T35" s="373"/>
      <c r="U35" s="374"/>
      <c r="V35" s="372"/>
      <c r="W35" s="373"/>
      <c r="X35" s="373"/>
      <c r="Y35" s="373"/>
      <c r="Z35" s="373"/>
      <c r="AA35" s="374"/>
      <c r="AB35" s="356"/>
      <c r="AC35" s="352"/>
      <c r="AD35" s="352"/>
      <c r="AE35" s="352"/>
      <c r="AF35" s="352"/>
      <c r="AG35" s="353"/>
      <c r="AH35" s="363"/>
      <c r="AI35" s="364"/>
      <c r="AJ35" s="364"/>
      <c r="AK35" s="364"/>
      <c r="AL35" s="364"/>
      <c r="AM35" s="365"/>
      <c r="AN35" s="67"/>
      <c r="AO35" s="337"/>
      <c r="AP35" s="338"/>
      <c r="AQ35" s="338"/>
      <c r="AR35" s="338"/>
      <c r="AS35" s="338"/>
      <c r="AT35" s="33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305"/>
      <c r="C36" s="305"/>
      <c r="D36" s="306"/>
      <c r="E36" s="346"/>
      <c r="F36" s="347"/>
      <c r="G36" s="347"/>
      <c r="H36" s="347"/>
      <c r="I36" s="347"/>
      <c r="J36" s="383" t="str">
        <f>IF(AND('Mapa final'!$J$63="Baja",'Mapa final'!$N$63="Leve"),CONCATENATE("R",'Mapa final'!$A$63),"")</f>
        <v/>
      </c>
      <c r="K36" s="381"/>
      <c r="L36" s="381" t="str">
        <f>IF(AND('Mapa final'!$J$69="Baja",'Mapa final'!$N$69="Leve"),CONCATENATE("R",'Mapa final'!$A$69),"")</f>
        <v/>
      </c>
      <c r="M36" s="381"/>
      <c r="N36" s="381" t="str">
        <f>IF(AND('Mapa final'!$J$75="Baja",'Mapa final'!$N$75="Leve"),CONCATENATE("R",'Mapa final'!$A$75),"")</f>
        <v/>
      </c>
      <c r="O36" s="382"/>
      <c r="P36" s="373" t="str">
        <f>IF(AND('Mapa final'!$J$63="Baja",'Mapa final'!$N$63="Menor"),CONCATENATE("R",'Mapa final'!$A$63),"")</f>
        <v/>
      </c>
      <c r="Q36" s="373"/>
      <c r="R36" s="373" t="str">
        <f>IF(AND('Mapa final'!$J$69="Baja",'Mapa final'!$N$69="Menor"),CONCATENATE("R",'Mapa final'!$A$69),"")</f>
        <v/>
      </c>
      <c r="S36" s="373"/>
      <c r="T36" s="373" t="str">
        <f>IF(AND('Mapa final'!$J$75="Baja",'Mapa final'!$N$75="Menor"),CONCATENATE("R",'Mapa final'!$A$75),"")</f>
        <v/>
      </c>
      <c r="U36" s="374"/>
      <c r="V36" s="372" t="str">
        <f>IF(AND('Mapa final'!$J$63="Baja",'Mapa final'!$N$63="Moderado"),CONCATENATE("R",'Mapa final'!$A$63),"")</f>
        <v/>
      </c>
      <c r="W36" s="373"/>
      <c r="X36" s="373" t="str">
        <f>IF(AND('Mapa final'!$J$69="Baja",'Mapa final'!$N$69="Moderado"),CONCATENATE("R",'Mapa final'!$A$69),"")</f>
        <v/>
      </c>
      <c r="Y36" s="373"/>
      <c r="Z36" s="373" t="str">
        <f>IF(AND('Mapa final'!$J$75="Baja",'Mapa final'!$N$75="Moderado"),CONCATENATE("R",'Mapa final'!$A$75),"")</f>
        <v/>
      </c>
      <c r="AA36" s="374"/>
      <c r="AB36" s="356" t="str">
        <f>IF(AND('Mapa final'!$J$63="Baja",'Mapa final'!$N$63="Mayor"),CONCATENATE("R",'Mapa final'!$A$63),"")</f>
        <v/>
      </c>
      <c r="AC36" s="352"/>
      <c r="AD36" s="352" t="str">
        <f>IF(AND('Mapa final'!$J$69="Baja",'Mapa final'!$N$69="Mayor"),CONCATENATE("R",'Mapa final'!$A$69),"")</f>
        <v/>
      </c>
      <c r="AE36" s="352"/>
      <c r="AF36" s="352" t="str">
        <f>IF(AND('Mapa final'!$J$75="Baja",'Mapa final'!$N$75="Mayor"),CONCATENATE("R",'Mapa final'!$A$75),"")</f>
        <v/>
      </c>
      <c r="AG36" s="353"/>
      <c r="AH36" s="363" t="str">
        <f>IF(AND('Mapa final'!$J$63="Baja",'Mapa final'!$N$63="Catastrófico"),CONCATENATE("R",'Mapa final'!$A$63),"")</f>
        <v/>
      </c>
      <c r="AI36" s="364"/>
      <c r="AJ36" s="364" t="str">
        <f>IF(AND('Mapa final'!$J$69="Baja",'Mapa final'!$N$69="Catastrófico"),CONCATENATE("R",'Mapa final'!$A$69),"")</f>
        <v/>
      </c>
      <c r="AK36" s="364"/>
      <c r="AL36" s="364" t="str">
        <f>IF(AND('Mapa final'!$J$75="Baja",'Mapa final'!$N$75="Catastrófico"),CONCATENATE("R",'Mapa final'!$A$75),"")</f>
        <v/>
      </c>
      <c r="AM36" s="365"/>
      <c r="AN36" s="67"/>
      <c r="AO36" s="337"/>
      <c r="AP36" s="338"/>
      <c r="AQ36" s="338"/>
      <c r="AR36" s="338"/>
      <c r="AS36" s="338"/>
      <c r="AT36" s="33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305"/>
      <c r="C37" s="305"/>
      <c r="D37" s="306"/>
      <c r="E37" s="349"/>
      <c r="F37" s="350"/>
      <c r="G37" s="350"/>
      <c r="H37" s="350"/>
      <c r="I37" s="350"/>
      <c r="J37" s="384"/>
      <c r="K37" s="385"/>
      <c r="L37" s="385"/>
      <c r="M37" s="385"/>
      <c r="N37" s="385"/>
      <c r="O37" s="386"/>
      <c r="P37" s="376"/>
      <c r="Q37" s="376"/>
      <c r="R37" s="376"/>
      <c r="S37" s="376"/>
      <c r="T37" s="376"/>
      <c r="U37" s="377"/>
      <c r="V37" s="375"/>
      <c r="W37" s="376"/>
      <c r="X37" s="376"/>
      <c r="Y37" s="376"/>
      <c r="Z37" s="376"/>
      <c r="AA37" s="377"/>
      <c r="AB37" s="360"/>
      <c r="AC37" s="361"/>
      <c r="AD37" s="361"/>
      <c r="AE37" s="361"/>
      <c r="AF37" s="361"/>
      <c r="AG37" s="362"/>
      <c r="AH37" s="366"/>
      <c r="AI37" s="367"/>
      <c r="AJ37" s="367"/>
      <c r="AK37" s="367"/>
      <c r="AL37" s="367"/>
      <c r="AM37" s="368"/>
      <c r="AN37" s="67"/>
      <c r="AO37" s="340"/>
      <c r="AP37" s="341"/>
      <c r="AQ37" s="341"/>
      <c r="AR37" s="341"/>
      <c r="AS37" s="341"/>
      <c r="AT37" s="34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305"/>
      <c r="C38" s="305"/>
      <c r="D38" s="306"/>
      <c r="E38" s="343" t="s">
        <v>107</v>
      </c>
      <c r="F38" s="344"/>
      <c r="G38" s="344"/>
      <c r="H38" s="344"/>
      <c r="I38" s="345"/>
      <c r="J38" s="387" t="str">
        <f>IF(AND('Mapa final'!$J$10="Muy Baja",'Mapa final'!$N$10="Leve"),CONCATENATE("R",'Mapa final'!$A$10),"")</f>
        <v/>
      </c>
      <c r="K38" s="388"/>
      <c r="L38" s="388" t="str">
        <f>IF(AND('Mapa final'!$J$15="Muy Baja",'Mapa final'!$N$15="Leve"),CONCATENATE("R",'Mapa final'!$A$15),"")</f>
        <v/>
      </c>
      <c r="M38" s="388"/>
      <c r="N38" s="388" t="str">
        <f>IF(AND('Mapa final'!$J$21="Muy Baja",'Mapa final'!$N$21="Leve"),CONCATENATE("R",'Mapa final'!$A$21),"")</f>
        <v/>
      </c>
      <c r="O38" s="389"/>
      <c r="P38" s="387" t="str">
        <f>IF(AND('Mapa final'!$J$10="Muy Baja",'Mapa final'!$N$10="Menor"),CONCATENATE("R",'Mapa final'!$A$10),"")</f>
        <v/>
      </c>
      <c r="Q38" s="388"/>
      <c r="R38" s="388" t="str">
        <f>IF(AND('Mapa final'!$J$15="Muy Baja",'Mapa final'!$N$15="Menor"),CONCATENATE("R",'Mapa final'!$A$15),"")</f>
        <v/>
      </c>
      <c r="S38" s="388"/>
      <c r="T38" s="388" t="str">
        <f>IF(AND('Mapa final'!$J$21="Muy Baja",'Mapa final'!$N$21="Menor"),CONCATENATE("R",'Mapa final'!$A$21),"")</f>
        <v/>
      </c>
      <c r="U38" s="389"/>
      <c r="V38" s="378" t="str">
        <f>IF(AND('Mapa final'!$J$10="Muy Baja",'Mapa final'!$N$10="Moderado"),CONCATENATE("R",'Mapa final'!$A$10),"")</f>
        <v/>
      </c>
      <c r="W38" s="379"/>
      <c r="X38" s="379" t="str">
        <f>IF(AND('Mapa final'!$J$15="Muy Baja",'Mapa final'!$N$15="Moderado"),CONCATENATE("R",'Mapa final'!$A$15),"")</f>
        <v/>
      </c>
      <c r="Y38" s="379"/>
      <c r="Z38" s="379" t="str">
        <f>IF(AND('Mapa final'!$J$21="Muy Baja",'Mapa final'!$N$21="Moderado"),CONCATENATE("R",'Mapa final'!$A$21),"")</f>
        <v/>
      </c>
      <c r="AA38" s="380"/>
      <c r="AB38" s="354" t="str">
        <f>IF(AND('Mapa final'!$J$10="Muy Baja",'Mapa final'!$N$10="Mayor"),CONCATENATE("R",'Mapa final'!$A$10),"")</f>
        <v/>
      </c>
      <c r="AC38" s="355"/>
      <c r="AD38" s="355" t="str">
        <f>IF(AND('Mapa final'!$J$15="Muy Baja",'Mapa final'!$N$15="Mayor"),CONCATENATE("R",'Mapa final'!$A$15),"")</f>
        <v/>
      </c>
      <c r="AE38" s="355"/>
      <c r="AF38" s="355" t="str">
        <f>IF(AND('Mapa final'!$J$21="Muy Baja",'Mapa final'!$N$21="Mayor"),CONCATENATE("R",'Mapa final'!$A$21),"")</f>
        <v/>
      </c>
      <c r="AG38" s="357"/>
      <c r="AH38" s="369" t="str">
        <f>IF(AND('Mapa final'!$J$10="Muy Baja",'Mapa final'!$N$10="Catastrófico"),CONCATENATE("R",'Mapa final'!$A$10),"")</f>
        <v/>
      </c>
      <c r="AI38" s="370"/>
      <c r="AJ38" s="370" t="str">
        <f>IF(AND('Mapa final'!$J$15="Muy Baja",'Mapa final'!$N$15="Catastrófico"),CONCATENATE("R",'Mapa final'!$A$15),"")</f>
        <v/>
      </c>
      <c r="AK38" s="370"/>
      <c r="AL38" s="370" t="str">
        <f>IF(AND('Mapa final'!$J$21="Muy Baja",'Mapa final'!$N$21="Catastrófico"),CONCATENATE("R",'Mapa final'!$A$21),"")</f>
        <v/>
      </c>
      <c r="AM38" s="371"/>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305"/>
      <c r="C39" s="305"/>
      <c r="D39" s="306"/>
      <c r="E39" s="346"/>
      <c r="F39" s="347"/>
      <c r="G39" s="347"/>
      <c r="H39" s="347"/>
      <c r="I39" s="348"/>
      <c r="J39" s="383"/>
      <c r="K39" s="381"/>
      <c r="L39" s="381"/>
      <c r="M39" s="381"/>
      <c r="N39" s="381"/>
      <c r="O39" s="382"/>
      <c r="P39" s="383"/>
      <c r="Q39" s="381"/>
      <c r="R39" s="381"/>
      <c r="S39" s="381"/>
      <c r="T39" s="381"/>
      <c r="U39" s="382"/>
      <c r="V39" s="372"/>
      <c r="W39" s="373"/>
      <c r="X39" s="373"/>
      <c r="Y39" s="373"/>
      <c r="Z39" s="373"/>
      <c r="AA39" s="374"/>
      <c r="AB39" s="356"/>
      <c r="AC39" s="352"/>
      <c r="AD39" s="352"/>
      <c r="AE39" s="352"/>
      <c r="AF39" s="352"/>
      <c r="AG39" s="353"/>
      <c r="AH39" s="363"/>
      <c r="AI39" s="364"/>
      <c r="AJ39" s="364"/>
      <c r="AK39" s="364"/>
      <c r="AL39" s="364"/>
      <c r="AM39" s="365"/>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305"/>
      <c r="C40" s="305"/>
      <c r="D40" s="306"/>
      <c r="E40" s="346"/>
      <c r="F40" s="347"/>
      <c r="G40" s="347"/>
      <c r="H40" s="347"/>
      <c r="I40" s="348"/>
      <c r="J40" s="383" t="str">
        <f>IF(AND('Mapa final'!$J$27="Muy Baja",'Mapa final'!$N$27="Leve"),CONCATENATE("R",'Mapa final'!$A$27),"")</f>
        <v/>
      </c>
      <c r="K40" s="381"/>
      <c r="L40" s="381" t="str">
        <f>IF(AND('Mapa final'!$J$33="Muy Baja",'Mapa final'!$N$33="Leve"),CONCATENATE("R",'Mapa final'!$A$33),"")</f>
        <v/>
      </c>
      <c r="M40" s="381"/>
      <c r="N40" s="381" t="str">
        <f>IF(AND('Mapa final'!$J$39="Muy Baja",'Mapa final'!$N$39="Leve"),CONCATENATE("R",'Mapa final'!$A$39),"")</f>
        <v/>
      </c>
      <c r="O40" s="382"/>
      <c r="P40" s="383" t="str">
        <f>IF(AND('Mapa final'!$J$27="Muy Baja",'Mapa final'!$N$27="Menor"),CONCATENATE("R",'Mapa final'!$A$27),"")</f>
        <v/>
      </c>
      <c r="Q40" s="381"/>
      <c r="R40" s="381" t="str">
        <f>IF(AND('Mapa final'!$J$33="Muy Baja",'Mapa final'!$N$33="Menor"),CONCATENATE("R",'Mapa final'!$A$33),"")</f>
        <v/>
      </c>
      <c r="S40" s="381"/>
      <c r="T40" s="381" t="str">
        <f>IF(AND('Mapa final'!$J$39="Muy Baja",'Mapa final'!$N$39="Menor"),CONCATENATE("R",'Mapa final'!$A$39),"")</f>
        <v/>
      </c>
      <c r="U40" s="382"/>
      <c r="V40" s="372" t="str">
        <f>IF(AND('Mapa final'!$J$27="Muy Baja",'Mapa final'!$N$27="Moderado"),CONCATENATE("R",'Mapa final'!$A$27),"")</f>
        <v/>
      </c>
      <c r="W40" s="373"/>
      <c r="X40" s="373" t="str">
        <f>IF(AND('Mapa final'!$J$33="Muy Baja",'Mapa final'!$N$33="Moderado"),CONCATENATE("R",'Mapa final'!$A$33),"")</f>
        <v/>
      </c>
      <c r="Y40" s="373"/>
      <c r="Z40" s="373" t="str">
        <f>IF(AND('Mapa final'!$J$39="Muy Baja",'Mapa final'!$N$39="Moderado"),CONCATENATE("R",'Mapa final'!$A$39),"")</f>
        <v/>
      </c>
      <c r="AA40" s="374"/>
      <c r="AB40" s="356" t="str">
        <f>IF(AND('Mapa final'!$J$27="Muy Baja",'Mapa final'!$N$27="Mayor"),CONCATENATE("R",'Mapa final'!$A$27),"")</f>
        <v/>
      </c>
      <c r="AC40" s="352"/>
      <c r="AD40" s="352" t="str">
        <f>IF(AND('Mapa final'!$J$33="Muy Baja",'Mapa final'!$N$33="Mayor"),CONCATENATE("R",'Mapa final'!$A$33),"")</f>
        <v/>
      </c>
      <c r="AE40" s="352"/>
      <c r="AF40" s="352" t="str">
        <f>IF(AND('Mapa final'!$J$39="Muy Baja",'Mapa final'!$N$39="Mayor"),CONCATENATE("R",'Mapa final'!$A$39),"")</f>
        <v/>
      </c>
      <c r="AG40" s="353"/>
      <c r="AH40" s="363" t="str">
        <f>IF(AND('Mapa final'!$J$27="Muy Baja",'Mapa final'!$N$27="Catastrófico"),CONCATENATE("R",'Mapa final'!$A$27),"")</f>
        <v/>
      </c>
      <c r="AI40" s="364"/>
      <c r="AJ40" s="364" t="str">
        <f>IF(AND('Mapa final'!$J$33="Muy Baja",'Mapa final'!$N$33="Catastrófico"),CONCATENATE("R",'Mapa final'!$A$33),"")</f>
        <v/>
      </c>
      <c r="AK40" s="364"/>
      <c r="AL40" s="364" t="str">
        <f>IF(AND('Mapa final'!$J$39="Muy Baja",'Mapa final'!$N$39="Catastrófico"),CONCATENATE("R",'Mapa final'!$A$39),"")</f>
        <v/>
      </c>
      <c r="AM40" s="365"/>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305"/>
      <c r="C41" s="305"/>
      <c r="D41" s="306"/>
      <c r="E41" s="346"/>
      <c r="F41" s="347"/>
      <c r="G41" s="347"/>
      <c r="H41" s="347"/>
      <c r="I41" s="348"/>
      <c r="J41" s="383"/>
      <c r="K41" s="381"/>
      <c r="L41" s="381"/>
      <c r="M41" s="381"/>
      <c r="N41" s="381"/>
      <c r="O41" s="382"/>
      <c r="P41" s="383"/>
      <c r="Q41" s="381"/>
      <c r="R41" s="381"/>
      <c r="S41" s="381"/>
      <c r="T41" s="381"/>
      <c r="U41" s="382"/>
      <c r="V41" s="372"/>
      <c r="W41" s="373"/>
      <c r="X41" s="373"/>
      <c r="Y41" s="373"/>
      <c r="Z41" s="373"/>
      <c r="AA41" s="374"/>
      <c r="AB41" s="356"/>
      <c r="AC41" s="352"/>
      <c r="AD41" s="352"/>
      <c r="AE41" s="352"/>
      <c r="AF41" s="352"/>
      <c r="AG41" s="353"/>
      <c r="AH41" s="363"/>
      <c r="AI41" s="364"/>
      <c r="AJ41" s="364"/>
      <c r="AK41" s="364"/>
      <c r="AL41" s="364"/>
      <c r="AM41" s="365"/>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305"/>
      <c r="C42" s="305"/>
      <c r="D42" s="306"/>
      <c r="E42" s="346"/>
      <c r="F42" s="347"/>
      <c r="G42" s="347"/>
      <c r="H42" s="347"/>
      <c r="I42" s="348"/>
      <c r="J42" s="383" t="str">
        <f>IF(AND('Mapa final'!$J$45="Muy Baja",'Mapa final'!$N$45="Leve"),CONCATENATE("R",'Mapa final'!$A$45),"")</f>
        <v/>
      </c>
      <c r="K42" s="381"/>
      <c r="L42" s="381" t="str">
        <f>IF(AND('Mapa final'!$J$51="Muy Baja",'Mapa final'!$N$51="Leve"),CONCATENATE("R",'Mapa final'!$A$51),"")</f>
        <v/>
      </c>
      <c r="M42" s="381"/>
      <c r="N42" s="381" t="str">
        <f>IF(AND('Mapa final'!$J$57="Muy Baja",'Mapa final'!$N$57="Leve"),CONCATENATE("R",'Mapa final'!$A$57),"")</f>
        <v/>
      </c>
      <c r="O42" s="382"/>
      <c r="P42" s="383" t="str">
        <f>IF(AND('Mapa final'!$J$45="Muy Baja",'Mapa final'!$N$45="Menor"),CONCATENATE("R",'Mapa final'!$A$45),"")</f>
        <v/>
      </c>
      <c r="Q42" s="381"/>
      <c r="R42" s="381" t="str">
        <f>IF(AND('Mapa final'!$J$51="Muy Baja",'Mapa final'!$N$51="Menor"),CONCATENATE("R",'Mapa final'!$A$51),"")</f>
        <v/>
      </c>
      <c r="S42" s="381"/>
      <c r="T42" s="381" t="str">
        <f>IF(AND('Mapa final'!$J$57="Muy Baja",'Mapa final'!$N$57="Menor"),CONCATENATE("R",'Mapa final'!$A$57),"")</f>
        <v/>
      </c>
      <c r="U42" s="382"/>
      <c r="V42" s="372" t="str">
        <f>IF(AND('Mapa final'!$J$45="Muy Baja",'Mapa final'!$N$45="Moderado"),CONCATENATE("R",'Mapa final'!$A$45),"")</f>
        <v/>
      </c>
      <c r="W42" s="373"/>
      <c r="X42" s="373" t="str">
        <f>IF(AND('Mapa final'!$J$51="Muy Baja",'Mapa final'!$N$51="Moderado"),CONCATENATE("R",'Mapa final'!$A$51),"")</f>
        <v/>
      </c>
      <c r="Y42" s="373"/>
      <c r="Z42" s="373" t="str">
        <f>IF(AND('Mapa final'!$J$57="Muy Baja",'Mapa final'!$N$57="Moderado"),CONCATENATE("R",'Mapa final'!$A$57),"")</f>
        <v/>
      </c>
      <c r="AA42" s="374"/>
      <c r="AB42" s="356" t="str">
        <f>IF(AND('Mapa final'!$J$45="Muy Baja",'Mapa final'!$N$45="Mayor"),CONCATENATE("R",'Mapa final'!$A$45),"")</f>
        <v/>
      </c>
      <c r="AC42" s="352"/>
      <c r="AD42" s="352" t="str">
        <f>IF(AND('Mapa final'!$J$51="Muy Baja",'Mapa final'!$N$51="Mayor"),CONCATENATE("R",'Mapa final'!$A$51),"")</f>
        <v/>
      </c>
      <c r="AE42" s="352"/>
      <c r="AF42" s="352" t="str">
        <f>IF(AND('Mapa final'!$J$57="Muy Baja",'Mapa final'!$N$57="Mayor"),CONCATENATE("R",'Mapa final'!$A$57),"")</f>
        <v/>
      </c>
      <c r="AG42" s="353"/>
      <c r="AH42" s="363" t="str">
        <f>IF(AND('Mapa final'!$J$45="Muy Baja",'Mapa final'!$N$45="Catastrófico"),CONCATENATE("R",'Mapa final'!$A$45),"")</f>
        <v/>
      </c>
      <c r="AI42" s="364"/>
      <c r="AJ42" s="364" t="str">
        <f>IF(AND('Mapa final'!$J$51="Muy Baja",'Mapa final'!$N$51="Catastrófico"),CONCATENATE("R",'Mapa final'!$A$51),"")</f>
        <v/>
      </c>
      <c r="AK42" s="364"/>
      <c r="AL42" s="364" t="str">
        <f>IF(AND('Mapa final'!$J$57="Muy Baja",'Mapa final'!$N$57="Catastrófico"),CONCATENATE("R",'Mapa final'!$A$57),"")</f>
        <v/>
      </c>
      <c r="AM42" s="365"/>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305"/>
      <c r="C43" s="305"/>
      <c r="D43" s="306"/>
      <c r="E43" s="346"/>
      <c r="F43" s="347"/>
      <c r="G43" s="347"/>
      <c r="H43" s="347"/>
      <c r="I43" s="348"/>
      <c r="J43" s="383"/>
      <c r="K43" s="381"/>
      <c r="L43" s="381"/>
      <c r="M43" s="381"/>
      <c r="N43" s="381"/>
      <c r="O43" s="382"/>
      <c r="P43" s="383"/>
      <c r="Q43" s="381"/>
      <c r="R43" s="381"/>
      <c r="S43" s="381"/>
      <c r="T43" s="381"/>
      <c r="U43" s="382"/>
      <c r="V43" s="372"/>
      <c r="W43" s="373"/>
      <c r="X43" s="373"/>
      <c r="Y43" s="373"/>
      <c r="Z43" s="373"/>
      <c r="AA43" s="374"/>
      <c r="AB43" s="356"/>
      <c r="AC43" s="352"/>
      <c r="AD43" s="352"/>
      <c r="AE43" s="352"/>
      <c r="AF43" s="352"/>
      <c r="AG43" s="353"/>
      <c r="AH43" s="363"/>
      <c r="AI43" s="364"/>
      <c r="AJ43" s="364"/>
      <c r="AK43" s="364"/>
      <c r="AL43" s="364"/>
      <c r="AM43" s="365"/>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305"/>
      <c r="C44" s="305"/>
      <c r="D44" s="306"/>
      <c r="E44" s="346"/>
      <c r="F44" s="347"/>
      <c r="G44" s="347"/>
      <c r="H44" s="347"/>
      <c r="I44" s="348"/>
      <c r="J44" s="383" t="str">
        <f>IF(AND('Mapa final'!$J$63="Muy Baja",'Mapa final'!$N$63="Leve"),CONCATENATE("R",'Mapa final'!$A$63),"")</f>
        <v/>
      </c>
      <c r="K44" s="381"/>
      <c r="L44" s="381" t="str">
        <f>IF(AND('Mapa final'!$J$69="Muy Baja",'Mapa final'!$N$69="Leve"),CONCATENATE("R",'Mapa final'!$A$69),"")</f>
        <v/>
      </c>
      <c r="M44" s="381"/>
      <c r="N44" s="381" t="str">
        <f>IF(AND('Mapa final'!$J$75="Muy Baja",'Mapa final'!$N$75="Leve"),CONCATENATE("R",'Mapa final'!$A$75),"")</f>
        <v/>
      </c>
      <c r="O44" s="382"/>
      <c r="P44" s="383" t="str">
        <f>IF(AND('Mapa final'!$J$63="Muy Baja",'Mapa final'!$N$63="Menor"),CONCATENATE("R",'Mapa final'!$A$63),"")</f>
        <v/>
      </c>
      <c r="Q44" s="381"/>
      <c r="R44" s="381" t="str">
        <f>IF(AND('Mapa final'!$J$69="Muy Baja",'Mapa final'!$N$69="Menor"),CONCATENATE("R",'Mapa final'!$A$69),"")</f>
        <v/>
      </c>
      <c r="S44" s="381"/>
      <c r="T44" s="381" t="str">
        <f>IF(AND('Mapa final'!$J$75="Muy Baja",'Mapa final'!$N$75="Menor"),CONCATENATE("R",'Mapa final'!$A$75),"")</f>
        <v/>
      </c>
      <c r="U44" s="382"/>
      <c r="V44" s="372" t="str">
        <f>IF(AND('Mapa final'!$J$63="Muy Baja",'Mapa final'!$N$63="Moderado"),CONCATENATE("R",'Mapa final'!$A$63),"")</f>
        <v/>
      </c>
      <c r="W44" s="373"/>
      <c r="X44" s="373" t="str">
        <f>IF(AND('Mapa final'!$J$69="Muy Baja",'Mapa final'!$N$69="Moderado"),CONCATENATE("R",'Mapa final'!$A$69),"")</f>
        <v/>
      </c>
      <c r="Y44" s="373"/>
      <c r="Z44" s="373" t="str">
        <f>IF(AND('Mapa final'!$J$75="Muy Baja",'Mapa final'!$N$75="Moderado"),CONCATENATE("R",'Mapa final'!$A$75),"")</f>
        <v/>
      </c>
      <c r="AA44" s="374"/>
      <c r="AB44" s="356" t="str">
        <f>IF(AND('Mapa final'!$J$63="Muy Baja",'Mapa final'!$N$63="Mayor"),CONCATENATE("R",'Mapa final'!$A$63),"")</f>
        <v/>
      </c>
      <c r="AC44" s="352"/>
      <c r="AD44" s="352" t="str">
        <f>IF(AND('Mapa final'!$J$69="Muy Baja",'Mapa final'!$N$69="Mayor"),CONCATENATE("R",'Mapa final'!$A$69),"")</f>
        <v/>
      </c>
      <c r="AE44" s="352"/>
      <c r="AF44" s="352" t="str">
        <f>IF(AND('Mapa final'!$J$75="Muy Baja",'Mapa final'!$N$75="Mayor"),CONCATENATE("R",'Mapa final'!$A$75),"")</f>
        <v/>
      </c>
      <c r="AG44" s="353"/>
      <c r="AH44" s="363" t="str">
        <f>IF(AND('Mapa final'!$J$63="Muy Baja",'Mapa final'!$N$63="Catastrófico"),CONCATENATE("R",'Mapa final'!$A$63),"")</f>
        <v/>
      </c>
      <c r="AI44" s="364"/>
      <c r="AJ44" s="364" t="str">
        <f>IF(AND('Mapa final'!$J$69="Muy Baja",'Mapa final'!$N$69="Catastrófico"),CONCATENATE("R",'Mapa final'!$A$69),"")</f>
        <v/>
      </c>
      <c r="AK44" s="364"/>
      <c r="AL44" s="364" t="str">
        <f>IF(AND('Mapa final'!$J$75="Muy Baja",'Mapa final'!$N$75="Catastrófico"),CONCATENATE("R",'Mapa final'!$A$75),"")</f>
        <v/>
      </c>
      <c r="AM44" s="365"/>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305"/>
      <c r="C45" s="305"/>
      <c r="D45" s="306"/>
      <c r="E45" s="349"/>
      <c r="F45" s="350"/>
      <c r="G45" s="350"/>
      <c r="H45" s="350"/>
      <c r="I45" s="351"/>
      <c r="J45" s="384"/>
      <c r="K45" s="385"/>
      <c r="L45" s="385"/>
      <c r="M45" s="385"/>
      <c r="N45" s="385"/>
      <c r="O45" s="386"/>
      <c r="P45" s="384"/>
      <c r="Q45" s="385"/>
      <c r="R45" s="385"/>
      <c r="S45" s="385"/>
      <c r="T45" s="385"/>
      <c r="U45" s="386"/>
      <c r="V45" s="375"/>
      <c r="W45" s="376"/>
      <c r="X45" s="376"/>
      <c r="Y45" s="376"/>
      <c r="Z45" s="376"/>
      <c r="AA45" s="377"/>
      <c r="AB45" s="360"/>
      <c r="AC45" s="361"/>
      <c r="AD45" s="361"/>
      <c r="AE45" s="361"/>
      <c r="AF45" s="361"/>
      <c r="AG45" s="362"/>
      <c r="AH45" s="366"/>
      <c r="AI45" s="367"/>
      <c r="AJ45" s="367"/>
      <c r="AK45" s="367"/>
      <c r="AL45" s="367"/>
      <c r="AM45" s="368"/>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343" t="s">
        <v>106</v>
      </c>
      <c r="K46" s="344"/>
      <c r="L46" s="344"/>
      <c r="M46" s="344"/>
      <c r="N46" s="344"/>
      <c r="O46" s="345"/>
      <c r="P46" s="343" t="s">
        <v>105</v>
      </c>
      <c r="Q46" s="344"/>
      <c r="R46" s="344"/>
      <c r="S46" s="344"/>
      <c r="T46" s="344"/>
      <c r="U46" s="345"/>
      <c r="V46" s="343" t="s">
        <v>104</v>
      </c>
      <c r="W46" s="344"/>
      <c r="X46" s="344"/>
      <c r="Y46" s="344"/>
      <c r="Z46" s="344"/>
      <c r="AA46" s="345"/>
      <c r="AB46" s="343" t="s">
        <v>103</v>
      </c>
      <c r="AC46" s="359"/>
      <c r="AD46" s="344"/>
      <c r="AE46" s="344"/>
      <c r="AF46" s="344"/>
      <c r="AG46" s="345"/>
      <c r="AH46" s="343" t="s">
        <v>102</v>
      </c>
      <c r="AI46" s="344"/>
      <c r="AJ46" s="344"/>
      <c r="AK46" s="344"/>
      <c r="AL46" s="344"/>
      <c r="AM46" s="345"/>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346"/>
      <c r="K47" s="347"/>
      <c r="L47" s="347"/>
      <c r="M47" s="347"/>
      <c r="N47" s="347"/>
      <c r="O47" s="348"/>
      <c r="P47" s="346"/>
      <c r="Q47" s="347"/>
      <c r="R47" s="347"/>
      <c r="S47" s="347"/>
      <c r="T47" s="347"/>
      <c r="U47" s="348"/>
      <c r="V47" s="346"/>
      <c r="W47" s="347"/>
      <c r="X47" s="347"/>
      <c r="Y47" s="347"/>
      <c r="Z47" s="347"/>
      <c r="AA47" s="348"/>
      <c r="AB47" s="346"/>
      <c r="AC47" s="347"/>
      <c r="AD47" s="347"/>
      <c r="AE47" s="347"/>
      <c r="AF47" s="347"/>
      <c r="AG47" s="348"/>
      <c r="AH47" s="346"/>
      <c r="AI47" s="347"/>
      <c r="AJ47" s="347"/>
      <c r="AK47" s="347"/>
      <c r="AL47" s="347"/>
      <c r="AM47" s="348"/>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346"/>
      <c r="K48" s="347"/>
      <c r="L48" s="347"/>
      <c r="M48" s="347"/>
      <c r="N48" s="347"/>
      <c r="O48" s="348"/>
      <c r="P48" s="346"/>
      <c r="Q48" s="347"/>
      <c r="R48" s="347"/>
      <c r="S48" s="347"/>
      <c r="T48" s="347"/>
      <c r="U48" s="348"/>
      <c r="V48" s="346"/>
      <c r="W48" s="347"/>
      <c r="X48" s="347"/>
      <c r="Y48" s="347"/>
      <c r="Z48" s="347"/>
      <c r="AA48" s="348"/>
      <c r="AB48" s="346"/>
      <c r="AC48" s="347"/>
      <c r="AD48" s="347"/>
      <c r="AE48" s="347"/>
      <c r="AF48" s="347"/>
      <c r="AG48" s="348"/>
      <c r="AH48" s="346"/>
      <c r="AI48" s="347"/>
      <c r="AJ48" s="347"/>
      <c r="AK48" s="347"/>
      <c r="AL48" s="347"/>
      <c r="AM48" s="348"/>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346"/>
      <c r="K49" s="347"/>
      <c r="L49" s="347"/>
      <c r="M49" s="347"/>
      <c r="N49" s="347"/>
      <c r="O49" s="348"/>
      <c r="P49" s="346"/>
      <c r="Q49" s="347"/>
      <c r="R49" s="347"/>
      <c r="S49" s="347"/>
      <c r="T49" s="347"/>
      <c r="U49" s="348"/>
      <c r="V49" s="346"/>
      <c r="W49" s="347"/>
      <c r="X49" s="347"/>
      <c r="Y49" s="347"/>
      <c r="Z49" s="347"/>
      <c r="AA49" s="348"/>
      <c r="AB49" s="346"/>
      <c r="AC49" s="347"/>
      <c r="AD49" s="347"/>
      <c r="AE49" s="347"/>
      <c r="AF49" s="347"/>
      <c r="AG49" s="348"/>
      <c r="AH49" s="346"/>
      <c r="AI49" s="347"/>
      <c r="AJ49" s="347"/>
      <c r="AK49" s="347"/>
      <c r="AL49" s="347"/>
      <c r="AM49" s="348"/>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346"/>
      <c r="K50" s="347"/>
      <c r="L50" s="347"/>
      <c r="M50" s="347"/>
      <c r="N50" s="347"/>
      <c r="O50" s="348"/>
      <c r="P50" s="346"/>
      <c r="Q50" s="347"/>
      <c r="R50" s="347"/>
      <c r="S50" s="347"/>
      <c r="T50" s="347"/>
      <c r="U50" s="348"/>
      <c r="V50" s="346"/>
      <c r="W50" s="347"/>
      <c r="X50" s="347"/>
      <c r="Y50" s="347"/>
      <c r="Z50" s="347"/>
      <c r="AA50" s="348"/>
      <c r="AB50" s="346"/>
      <c r="AC50" s="347"/>
      <c r="AD50" s="347"/>
      <c r="AE50" s="347"/>
      <c r="AF50" s="347"/>
      <c r="AG50" s="348"/>
      <c r="AH50" s="346"/>
      <c r="AI50" s="347"/>
      <c r="AJ50" s="347"/>
      <c r="AK50" s="347"/>
      <c r="AL50" s="347"/>
      <c r="AM50" s="348"/>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349"/>
      <c r="K51" s="350"/>
      <c r="L51" s="350"/>
      <c r="M51" s="350"/>
      <c r="N51" s="350"/>
      <c r="O51" s="351"/>
      <c r="P51" s="349"/>
      <c r="Q51" s="350"/>
      <c r="R51" s="350"/>
      <c r="S51" s="350"/>
      <c r="T51" s="350"/>
      <c r="U51" s="351"/>
      <c r="V51" s="349"/>
      <c r="W51" s="350"/>
      <c r="X51" s="350"/>
      <c r="Y51" s="350"/>
      <c r="Z51" s="350"/>
      <c r="AA51" s="351"/>
      <c r="AB51" s="349"/>
      <c r="AC51" s="350"/>
      <c r="AD51" s="350"/>
      <c r="AE51" s="350"/>
      <c r="AF51" s="350"/>
      <c r="AG51" s="351"/>
      <c r="AH51" s="349"/>
      <c r="AI51" s="350"/>
      <c r="AJ51" s="350"/>
      <c r="AK51" s="350"/>
      <c r="AL51" s="350"/>
      <c r="AM51" s="351"/>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5" zoomScaleNormal="55" workbookViewId="0">
      <selection activeCell="AH36" sqref="AH3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416" t="s">
        <v>148</v>
      </c>
      <c r="C2" s="417"/>
      <c r="D2" s="417"/>
      <c r="E2" s="417"/>
      <c r="F2" s="417"/>
      <c r="G2" s="417"/>
      <c r="H2" s="417"/>
      <c r="I2" s="417"/>
      <c r="J2" s="358" t="s">
        <v>2</v>
      </c>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417"/>
      <c r="C3" s="417"/>
      <c r="D3" s="417"/>
      <c r="E3" s="417"/>
      <c r="F3" s="417"/>
      <c r="G3" s="417"/>
      <c r="H3" s="417"/>
      <c r="I3" s="417"/>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417"/>
      <c r="C4" s="417"/>
      <c r="D4" s="417"/>
      <c r="E4" s="417"/>
      <c r="F4" s="417"/>
      <c r="G4" s="417"/>
      <c r="H4" s="417"/>
      <c r="I4" s="417"/>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305" t="s">
        <v>4</v>
      </c>
      <c r="C6" s="305"/>
      <c r="D6" s="306"/>
      <c r="E6" s="400" t="s">
        <v>110</v>
      </c>
      <c r="F6" s="401"/>
      <c r="G6" s="401"/>
      <c r="H6" s="401"/>
      <c r="I6" s="418"/>
      <c r="J6" s="30" t="str">
        <f>IF(AND('Mapa final'!$AA$10="Muy Alta",'Mapa final'!$AC$10="Leve"),CONCATENATE("R1C",'Mapa final'!$Q$10),"")</f>
        <v/>
      </c>
      <c r="K6" s="31" t="e">
        <f>IF(AND('Mapa final'!#REF!="Muy Alta",'Mapa final'!#REF!="Leve"),CONCATENATE("R1C",'Mapa final'!#REF!),"")</f>
        <v>#REF!</v>
      </c>
      <c r="L6" s="31" t="str">
        <f>IF(AND('Mapa final'!$AA$11="Muy Alta",'Mapa final'!$AC$11="Leve"),CONCATENATE("R1C",'Mapa final'!$Q$11),"")</f>
        <v/>
      </c>
      <c r="M6" s="31" t="str">
        <f>IF(AND('Mapa final'!$AA$12="Muy Alta",'Mapa final'!$AC$12="Leve"),CONCATENATE("R1C",'Mapa final'!$Q$12),"")</f>
        <v/>
      </c>
      <c r="N6" s="31" t="str">
        <f>IF(AND('Mapa final'!$AA$13="Muy Alta",'Mapa final'!$AC$13="Leve"),CONCATENATE("R1C",'Mapa final'!$Q$13),"")</f>
        <v/>
      </c>
      <c r="O6" s="32" t="str">
        <f>IF(AND('Mapa final'!$AA$14="Muy Alta",'Mapa final'!$AC$14="Leve"),CONCATENATE("R1C",'Mapa final'!$Q$14),"")</f>
        <v/>
      </c>
      <c r="P6" s="30" t="str">
        <f>IF(AND('Mapa final'!$AA$10="Muy Alta",'Mapa final'!$AC$10="Menor"),CONCATENATE("R1C",'Mapa final'!$Q$10),"")</f>
        <v/>
      </c>
      <c r="Q6" s="31" t="e">
        <f>IF(AND('Mapa final'!#REF!="Muy Alta",'Mapa final'!#REF!="Menor"),CONCATENATE("R1C",'Mapa final'!#REF!),"")</f>
        <v>#REF!</v>
      </c>
      <c r="R6" s="31" t="str">
        <f>IF(AND('Mapa final'!$AA$11="Muy Alta",'Mapa final'!$AC$11="Menor"),CONCATENATE("R1C",'Mapa final'!$Q$11),"")</f>
        <v/>
      </c>
      <c r="S6" s="31" t="str">
        <f>IF(AND('Mapa final'!$AA$12="Muy Alta",'Mapa final'!$AC$12="Menor"),CONCATENATE("R1C",'Mapa final'!$Q$12),"")</f>
        <v/>
      </c>
      <c r="T6" s="31" t="str">
        <f>IF(AND('Mapa final'!$AA$13="Muy Alta",'Mapa final'!$AC$13="Menor"),CONCATENATE("R1C",'Mapa final'!$Q$13),"")</f>
        <v/>
      </c>
      <c r="U6" s="32" t="str">
        <f>IF(AND('Mapa final'!$AA$14="Muy Alta",'Mapa final'!$AC$14="Menor"),CONCATENATE("R1C",'Mapa final'!$Q$14),"")</f>
        <v/>
      </c>
      <c r="V6" s="30" t="str">
        <f>IF(AND('Mapa final'!$AA$10="Muy Alta",'Mapa final'!$AC$10="Moderado"),CONCATENATE("R1C",'Mapa final'!$Q$10),"")</f>
        <v/>
      </c>
      <c r="W6" s="31" t="e">
        <f>IF(AND('Mapa final'!#REF!="Muy Alta",'Mapa final'!#REF!="Moderado"),CONCATENATE("R1C",'Mapa final'!#REF!),"")</f>
        <v>#REF!</v>
      </c>
      <c r="X6" s="31" t="str">
        <f>IF(AND('Mapa final'!$AA$11="Muy Alta",'Mapa final'!$AC$11="Moderado"),CONCATENATE("R1C",'Mapa final'!$Q$11),"")</f>
        <v/>
      </c>
      <c r="Y6" s="31" t="str">
        <f>IF(AND('Mapa final'!$AA$12="Muy Alta",'Mapa final'!$AC$12="Moderado"),CONCATENATE("R1C",'Mapa final'!$Q$12),"")</f>
        <v/>
      </c>
      <c r="Z6" s="31" t="str">
        <f>IF(AND('Mapa final'!$AA$13="Muy Alta",'Mapa final'!$AC$13="Moderado"),CONCATENATE("R1C",'Mapa final'!$Q$13),"")</f>
        <v/>
      </c>
      <c r="AA6" s="32" t="str">
        <f>IF(AND('Mapa final'!$AA$14="Muy Alta",'Mapa final'!$AC$14="Moderado"),CONCATENATE("R1C",'Mapa final'!$Q$14),"")</f>
        <v/>
      </c>
      <c r="AB6" s="30" t="str">
        <f>IF(AND('Mapa final'!$AA$10="Muy Alta",'Mapa final'!$AC$10="Mayor"),CONCATENATE("R1C",'Mapa final'!$Q$10),"")</f>
        <v/>
      </c>
      <c r="AC6" s="31" t="e">
        <f>IF(AND('Mapa final'!#REF!="Muy Alta",'Mapa final'!#REF!="Mayor"),CONCATENATE("R1C",'Mapa final'!#REF!),"")</f>
        <v>#REF!</v>
      </c>
      <c r="AD6" s="31" t="str">
        <f>IF(AND('Mapa final'!$AA$11="Muy Alta",'Mapa final'!$AC$11="Mayor"),CONCATENATE("R1C",'Mapa final'!$Q$11),"")</f>
        <v/>
      </c>
      <c r="AE6" s="31" t="str">
        <f>IF(AND('Mapa final'!$AA$12="Muy Alta",'Mapa final'!$AC$12="Mayor"),CONCATENATE("R1C",'Mapa final'!$Q$12),"")</f>
        <v/>
      </c>
      <c r="AF6" s="31" t="str">
        <f>IF(AND('Mapa final'!$AA$13="Muy Alta",'Mapa final'!$AC$13="Mayor"),CONCATENATE("R1C",'Mapa final'!$Q$13),"")</f>
        <v/>
      </c>
      <c r="AG6" s="32" t="str">
        <f>IF(AND('Mapa final'!$AA$14="Muy Alta",'Mapa final'!$AC$14="Mayor"),CONCATENATE("R1C",'Mapa final'!$Q$14),"")</f>
        <v/>
      </c>
      <c r="AH6" s="33" t="str">
        <f>IF(AND('Mapa final'!$AA$10="Muy Alta",'Mapa final'!$AC$10="Catastrófico"),CONCATENATE("R1C",'Mapa final'!$Q$10),"")</f>
        <v/>
      </c>
      <c r="AI6" s="34" t="e">
        <f>IF(AND('Mapa final'!#REF!="Muy Alta",'Mapa final'!#REF!="Catastrófico"),CONCATENATE("R1C",'Mapa final'!#REF!),"")</f>
        <v>#REF!</v>
      </c>
      <c r="AJ6" s="34" t="str">
        <f>IF(AND('Mapa final'!$AA$11="Muy Alta",'Mapa final'!$AC$11="Catastrófico"),CONCATENATE("R1C",'Mapa final'!$Q$11),"")</f>
        <v/>
      </c>
      <c r="AK6" s="34" t="str">
        <f>IF(AND('Mapa final'!$AA$12="Muy Alta",'Mapa final'!$AC$12="Catastrófico"),CONCATENATE("R1C",'Mapa final'!$Q$12),"")</f>
        <v/>
      </c>
      <c r="AL6" s="34" t="str">
        <f>IF(AND('Mapa final'!$AA$13="Muy Alta",'Mapa final'!$AC$13="Catastrófico"),CONCATENATE("R1C",'Mapa final'!$Q$13),"")</f>
        <v/>
      </c>
      <c r="AM6" s="35" t="str">
        <f>IF(AND('Mapa final'!$AA$14="Muy Alta",'Mapa final'!$AC$14="Catastrófico"),CONCATENATE("R1C",'Mapa final'!$Q$14),"")</f>
        <v/>
      </c>
      <c r="AN6" s="67"/>
      <c r="AO6" s="407" t="s">
        <v>77</v>
      </c>
      <c r="AP6" s="408"/>
      <c r="AQ6" s="408"/>
      <c r="AR6" s="408"/>
      <c r="AS6" s="408"/>
      <c r="AT6" s="40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305"/>
      <c r="C7" s="305"/>
      <c r="D7" s="306"/>
      <c r="E7" s="404"/>
      <c r="F7" s="403"/>
      <c r="G7" s="403"/>
      <c r="H7" s="403"/>
      <c r="I7" s="419"/>
      <c r="J7" s="36" t="str">
        <f>IF(AND('Mapa final'!$AA$15="Muy Alta",'Mapa final'!$AC$15="Leve"),CONCATENATE("R2C",'Mapa final'!$Q$15),"")</f>
        <v/>
      </c>
      <c r="K7" s="37" t="str">
        <f>IF(AND('Mapa final'!$AA$16="Muy Alta",'Mapa final'!$AC$16="Leve"),CONCATENATE("R2C",'Mapa final'!$Q$16),"")</f>
        <v/>
      </c>
      <c r="L7" s="37" t="str">
        <f>IF(AND('Mapa final'!$AA$17="Muy Alta",'Mapa final'!$AC$17="Leve"),CONCATENATE("R2C",'Mapa final'!$Q$17),"")</f>
        <v/>
      </c>
      <c r="M7" s="37" t="str">
        <f>IF(AND('Mapa final'!$AA$18="Muy Alta",'Mapa final'!$AC$18="Leve"),CONCATENATE("R2C",'Mapa final'!$Q$18),"")</f>
        <v/>
      </c>
      <c r="N7" s="37" t="str">
        <f>IF(AND('Mapa final'!$AA$19="Muy Alta",'Mapa final'!$AC$19="Leve"),CONCATENATE("R2C",'Mapa final'!$Q$19),"")</f>
        <v/>
      </c>
      <c r="O7" s="38" t="str">
        <f>IF(AND('Mapa final'!$AA$20="Muy Alta",'Mapa final'!$AC$20="Leve"),CONCATENATE("R2C",'Mapa final'!$Q$20),"")</f>
        <v/>
      </c>
      <c r="P7" s="36" t="str">
        <f>IF(AND('Mapa final'!$AA$15="Muy Alta",'Mapa final'!$AC$15="Menor"),CONCATENATE("R2C",'Mapa final'!$Q$15),"")</f>
        <v/>
      </c>
      <c r="Q7" s="37" t="str">
        <f>IF(AND('Mapa final'!$AA$16="Muy Alta",'Mapa final'!$AC$16="Menor"),CONCATENATE("R2C",'Mapa final'!$Q$16),"")</f>
        <v/>
      </c>
      <c r="R7" s="37" t="str">
        <f>IF(AND('Mapa final'!$AA$17="Muy Alta",'Mapa final'!$AC$17="Menor"),CONCATENATE("R2C",'Mapa final'!$Q$17),"")</f>
        <v/>
      </c>
      <c r="S7" s="37" t="str">
        <f>IF(AND('Mapa final'!$AA$18="Muy Alta",'Mapa final'!$AC$18="Menor"),CONCATENATE("R2C",'Mapa final'!$Q$18),"")</f>
        <v/>
      </c>
      <c r="T7" s="37" t="str">
        <f>IF(AND('Mapa final'!$AA$19="Muy Alta",'Mapa final'!$AC$19="Menor"),CONCATENATE("R2C",'Mapa final'!$Q$19),"")</f>
        <v/>
      </c>
      <c r="U7" s="38" t="str">
        <f>IF(AND('Mapa final'!$AA$20="Muy Alta",'Mapa final'!$AC$20="Menor"),CONCATENATE("R2C",'Mapa final'!$Q$20),"")</f>
        <v/>
      </c>
      <c r="V7" s="36" t="str">
        <f>IF(AND('Mapa final'!$AA$15="Muy Alta",'Mapa final'!$AC$15="Moderado"),CONCATENATE("R2C",'Mapa final'!$Q$15),"")</f>
        <v/>
      </c>
      <c r="W7" s="37" t="str">
        <f>IF(AND('Mapa final'!$AA$16="Muy Alta",'Mapa final'!$AC$16="Moderado"),CONCATENATE("R2C",'Mapa final'!$Q$16),"")</f>
        <v/>
      </c>
      <c r="X7" s="37" t="str">
        <f>IF(AND('Mapa final'!$AA$17="Muy Alta",'Mapa final'!$AC$17="Moderado"),CONCATENATE("R2C",'Mapa final'!$Q$17),"")</f>
        <v/>
      </c>
      <c r="Y7" s="37" t="str">
        <f>IF(AND('Mapa final'!$AA$18="Muy Alta",'Mapa final'!$AC$18="Moderado"),CONCATENATE("R2C",'Mapa final'!$Q$18),"")</f>
        <v/>
      </c>
      <c r="Z7" s="37" t="str">
        <f>IF(AND('Mapa final'!$AA$19="Muy Alta",'Mapa final'!$AC$19="Moderado"),CONCATENATE("R2C",'Mapa final'!$Q$19),"")</f>
        <v/>
      </c>
      <c r="AA7" s="38" t="str">
        <f>IF(AND('Mapa final'!$AA$20="Muy Alta",'Mapa final'!$AC$20="Moderado"),CONCATENATE("R2C",'Mapa final'!$Q$20),"")</f>
        <v/>
      </c>
      <c r="AB7" s="36" t="str">
        <f>IF(AND('Mapa final'!$AA$15="Muy Alta",'Mapa final'!$AC$15="Mayor"),CONCATENATE("R2C",'Mapa final'!$Q$15),"")</f>
        <v/>
      </c>
      <c r="AC7" s="37" t="str">
        <f>IF(AND('Mapa final'!$AA$16="Muy Alta",'Mapa final'!$AC$16="Mayor"),CONCATENATE("R2C",'Mapa final'!$Q$16),"")</f>
        <v/>
      </c>
      <c r="AD7" s="37" t="str">
        <f>IF(AND('Mapa final'!$AA$17="Muy Alta",'Mapa final'!$AC$17="Mayor"),CONCATENATE("R2C",'Mapa final'!$Q$17),"")</f>
        <v/>
      </c>
      <c r="AE7" s="37" t="str">
        <f>IF(AND('Mapa final'!$AA$18="Muy Alta",'Mapa final'!$AC$18="Mayor"),CONCATENATE("R2C",'Mapa final'!$Q$18),"")</f>
        <v/>
      </c>
      <c r="AF7" s="37" t="str">
        <f>IF(AND('Mapa final'!$AA$19="Muy Alta",'Mapa final'!$AC$19="Mayor"),CONCATENATE("R2C",'Mapa final'!$Q$19),"")</f>
        <v/>
      </c>
      <c r="AG7" s="38" t="str">
        <f>IF(AND('Mapa final'!$AA$20="Muy Alta",'Mapa final'!$AC$20="Mayor"),CONCATENATE("R2C",'Mapa final'!$Q$20),"")</f>
        <v/>
      </c>
      <c r="AH7" s="39" t="str">
        <f>IF(AND('Mapa final'!$AA$15="Muy Alta",'Mapa final'!$AC$15="Catastrófico"),CONCATENATE("R2C",'Mapa final'!$Q$15),"")</f>
        <v/>
      </c>
      <c r="AI7" s="40" t="str">
        <f>IF(AND('Mapa final'!$AA$16="Muy Alta",'Mapa final'!$AC$16="Catastrófico"),CONCATENATE("R2C",'Mapa final'!$Q$16),"")</f>
        <v/>
      </c>
      <c r="AJ7" s="40" t="str">
        <f>IF(AND('Mapa final'!$AA$17="Muy Alta",'Mapa final'!$AC$17="Catastrófico"),CONCATENATE("R2C",'Mapa final'!$Q$17),"")</f>
        <v/>
      </c>
      <c r="AK7" s="40" t="str">
        <f>IF(AND('Mapa final'!$AA$18="Muy Alta",'Mapa final'!$AC$18="Catastrófico"),CONCATENATE("R2C",'Mapa final'!$Q$18),"")</f>
        <v/>
      </c>
      <c r="AL7" s="40" t="str">
        <f>IF(AND('Mapa final'!$AA$19="Muy Alta",'Mapa final'!$AC$19="Catastrófico"),CONCATENATE("R2C",'Mapa final'!$Q$19),"")</f>
        <v/>
      </c>
      <c r="AM7" s="41" t="str">
        <f>IF(AND('Mapa final'!$AA$20="Muy Alta",'Mapa final'!$AC$20="Catastrófico"),CONCATENATE("R2C",'Mapa final'!$Q$20),"")</f>
        <v/>
      </c>
      <c r="AN7" s="67"/>
      <c r="AO7" s="410"/>
      <c r="AP7" s="411"/>
      <c r="AQ7" s="411"/>
      <c r="AR7" s="411"/>
      <c r="AS7" s="411"/>
      <c r="AT7" s="41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305"/>
      <c r="C8" s="305"/>
      <c r="D8" s="306"/>
      <c r="E8" s="404"/>
      <c r="F8" s="403"/>
      <c r="G8" s="403"/>
      <c r="H8" s="403"/>
      <c r="I8" s="419"/>
      <c r="J8" s="36" t="str">
        <f>IF(AND('Mapa final'!$AA$21="Muy Alta",'Mapa final'!$AC$21="Leve"),CONCATENATE("R3C",'Mapa final'!$Q$21),"")</f>
        <v/>
      </c>
      <c r="K8" s="37" t="str">
        <f>IF(AND('Mapa final'!$AA$22="Muy Alta",'Mapa final'!$AC$22="Leve"),CONCATENATE("R3C",'Mapa final'!$Q$22),"")</f>
        <v/>
      </c>
      <c r="L8" s="37" t="str">
        <f>IF(AND('Mapa final'!$AA$23="Muy Alta",'Mapa final'!$AC$23="Leve"),CONCATENATE("R3C",'Mapa final'!$Q$23),"")</f>
        <v/>
      </c>
      <c r="M8" s="37" t="str">
        <f>IF(AND('Mapa final'!$AA$24="Muy Alta",'Mapa final'!$AC$24="Leve"),CONCATENATE("R3C",'Mapa final'!$Q$24),"")</f>
        <v/>
      </c>
      <c r="N8" s="37" t="str">
        <f>IF(AND('Mapa final'!$AA$25="Muy Alta",'Mapa final'!$AC$25="Leve"),CONCATENATE("R3C",'Mapa final'!$Q$25),"")</f>
        <v/>
      </c>
      <c r="O8" s="38" t="str">
        <f>IF(AND('Mapa final'!$AA$26="Muy Alta",'Mapa final'!$AC$26="Leve"),CONCATENATE("R3C",'Mapa final'!$Q$26),"")</f>
        <v/>
      </c>
      <c r="P8" s="36" t="str">
        <f>IF(AND('Mapa final'!$AA$21="Muy Alta",'Mapa final'!$AC$21="Menor"),CONCATENATE("R3C",'Mapa final'!$Q$21),"")</f>
        <v/>
      </c>
      <c r="Q8" s="37" t="str">
        <f>IF(AND('Mapa final'!$AA$22="Muy Alta",'Mapa final'!$AC$22="Menor"),CONCATENATE("R3C",'Mapa final'!$Q$22),"")</f>
        <v/>
      </c>
      <c r="R8" s="37" t="str">
        <f>IF(AND('Mapa final'!$AA$23="Muy Alta",'Mapa final'!$AC$23="Menor"),CONCATENATE("R3C",'Mapa final'!$Q$23),"")</f>
        <v/>
      </c>
      <c r="S8" s="37" t="str">
        <f>IF(AND('Mapa final'!$AA$24="Muy Alta",'Mapa final'!$AC$24="Menor"),CONCATENATE("R3C",'Mapa final'!$Q$24),"")</f>
        <v/>
      </c>
      <c r="T8" s="37" t="str">
        <f>IF(AND('Mapa final'!$AA$25="Muy Alta",'Mapa final'!$AC$25="Menor"),CONCATENATE("R3C",'Mapa final'!$Q$25),"")</f>
        <v/>
      </c>
      <c r="U8" s="38" t="str">
        <f>IF(AND('Mapa final'!$AA$26="Muy Alta",'Mapa final'!$AC$26="Menor"),CONCATENATE("R3C",'Mapa final'!$Q$26),"")</f>
        <v/>
      </c>
      <c r="V8" s="36" t="str">
        <f>IF(AND('Mapa final'!$AA$21="Muy Alta",'Mapa final'!$AC$21="Moderado"),CONCATENATE("R3C",'Mapa final'!$Q$21),"")</f>
        <v/>
      </c>
      <c r="W8" s="37" t="str">
        <f>IF(AND('Mapa final'!$AA$22="Muy Alta",'Mapa final'!$AC$22="Moderado"),CONCATENATE("R3C",'Mapa final'!$Q$22),"")</f>
        <v/>
      </c>
      <c r="X8" s="37" t="str">
        <f>IF(AND('Mapa final'!$AA$23="Muy Alta",'Mapa final'!$AC$23="Moderado"),CONCATENATE("R3C",'Mapa final'!$Q$23),"")</f>
        <v/>
      </c>
      <c r="Y8" s="37" t="str">
        <f>IF(AND('Mapa final'!$AA$24="Muy Alta",'Mapa final'!$AC$24="Moderado"),CONCATENATE("R3C",'Mapa final'!$Q$24),"")</f>
        <v/>
      </c>
      <c r="Z8" s="37" t="str">
        <f>IF(AND('Mapa final'!$AA$25="Muy Alta",'Mapa final'!$AC$25="Moderado"),CONCATENATE("R3C",'Mapa final'!$Q$25),"")</f>
        <v/>
      </c>
      <c r="AA8" s="38" t="str">
        <f>IF(AND('Mapa final'!$AA$26="Muy Alta",'Mapa final'!$AC$26="Moderado"),CONCATENATE("R3C",'Mapa final'!$Q$26),"")</f>
        <v/>
      </c>
      <c r="AB8" s="36" t="str">
        <f>IF(AND('Mapa final'!$AA$21="Muy Alta",'Mapa final'!$AC$21="Mayor"),CONCATENATE("R3C",'Mapa final'!$Q$21),"")</f>
        <v/>
      </c>
      <c r="AC8" s="37" t="str">
        <f>IF(AND('Mapa final'!$AA$22="Muy Alta",'Mapa final'!$AC$22="Mayor"),CONCATENATE("R3C",'Mapa final'!$Q$22),"")</f>
        <v/>
      </c>
      <c r="AD8" s="37" t="str">
        <f>IF(AND('Mapa final'!$AA$23="Muy Alta",'Mapa final'!$AC$23="Mayor"),CONCATENATE("R3C",'Mapa final'!$Q$23),"")</f>
        <v/>
      </c>
      <c r="AE8" s="37" t="str">
        <f>IF(AND('Mapa final'!$AA$24="Muy Alta",'Mapa final'!$AC$24="Mayor"),CONCATENATE("R3C",'Mapa final'!$Q$24),"")</f>
        <v/>
      </c>
      <c r="AF8" s="37" t="str">
        <f>IF(AND('Mapa final'!$AA$25="Muy Alta",'Mapa final'!$AC$25="Mayor"),CONCATENATE("R3C",'Mapa final'!$Q$25),"")</f>
        <v/>
      </c>
      <c r="AG8" s="38" t="str">
        <f>IF(AND('Mapa final'!$AA$26="Muy Alta",'Mapa final'!$AC$26="Mayor"),CONCATENATE("R3C",'Mapa final'!$Q$26),"")</f>
        <v/>
      </c>
      <c r="AH8" s="39" t="str">
        <f>IF(AND('Mapa final'!$AA$21="Muy Alta",'Mapa final'!$AC$21="Catastrófico"),CONCATENATE("R3C",'Mapa final'!$Q$21),"")</f>
        <v/>
      </c>
      <c r="AI8" s="40" t="str">
        <f>IF(AND('Mapa final'!$AA$22="Muy Alta",'Mapa final'!$AC$22="Catastrófico"),CONCATENATE("R3C",'Mapa final'!$Q$22),"")</f>
        <v/>
      </c>
      <c r="AJ8" s="40" t="str">
        <f>IF(AND('Mapa final'!$AA$23="Muy Alta",'Mapa final'!$AC$23="Catastrófico"),CONCATENATE("R3C",'Mapa final'!$Q$23),"")</f>
        <v/>
      </c>
      <c r="AK8" s="40" t="str">
        <f>IF(AND('Mapa final'!$AA$24="Muy Alta",'Mapa final'!$AC$24="Catastrófico"),CONCATENATE("R3C",'Mapa final'!$Q$24),"")</f>
        <v/>
      </c>
      <c r="AL8" s="40" t="str">
        <f>IF(AND('Mapa final'!$AA$25="Muy Alta",'Mapa final'!$AC$25="Catastrófico"),CONCATENATE("R3C",'Mapa final'!$Q$25),"")</f>
        <v/>
      </c>
      <c r="AM8" s="41" t="str">
        <f>IF(AND('Mapa final'!$AA$26="Muy Alta",'Mapa final'!$AC$26="Catastrófico"),CONCATENATE("R3C",'Mapa final'!$Q$26),"")</f>
        <v/>
      </c>
      <c r="AN8" s="67"/>
      <c r="AO8" s="410"/>
      <c r="AP8" s="411"/>
      <c r="AQ8" s="411"/>
      <c r="AR8" s="411"/>
      <c r="AS8" s="411"/>
      <c r="AT8" s="41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305"/>
      <c r="C9" s="305"/>
      <c r="D9" s="306"/>
      <c r="E9" s="404"/>
      <c r="F9" s="403"/>
      <c r="G9" s="403"/>
      <c r="H9" s="403"/>
      <c r="I9" s="419"/>
      <c r="J9" s="36" t="str">
        <f>IF(AND('Mapa final'!$AA$27="Muy Alta",'Mapa final'!$AC$27="Leve"),CONCATENATE("R4C",'Mapa final'!$Q$27),"")</f>
        <v/>
      </c>
      <c r="K9" s="37" t="str">
        <f>IF(AND('Mapa final'!$AA$28="Muy Alta",'Mapa final'!$AC$28="Leve"),CONCATENATE("R4C",'Mapa final'!$Q$28),"")</f>
        <v/>
      </c>
      <c r="L9" s="37" t="str">
        <f>IF(AND('Mapa final'!$AA$29="Muy Alta",'Mapa final'!$AC$29="Leve"),CONCATENATE("R4C",'Mapa final'!$Q$29),"")</f>
        <v/>
      </c>
      <c r="M9" s="37" t="str">
        <f>IF(AND('Mapa final'!$AA$30="Muy Alta",'Mapa final'!$AC$30="Leve"),CONCATENATE("R4C",'Mapa final'!$Q$30),"")</f>
        <v/>
      </c>
      <c r="N9" s="37" t="str">
        <f>IF(AND('Mapa final'!$AA$31="Muy Alta",'Mapa final'!$AC$31="Leve"),CONCATENATE("R4C",'Mapa final'!$Q$31),"")</f>
        <v/>
      </c>
      <c r="O9" s="38" t="str">
        <f>IF(AND('Mapa final'!$AA$32="Muy Alta",'Mapa final'!$AC$32="Leve"),CONCATENATE("R4C",'Mapa final'!$Q$32),"")</f>
        <v/>
      </c>
      <c r="P9" s="36" t="str">
        <f>IF(AND('Mapa final'!$AA$27="Muy Alta",'Mapa final'!$AC$27="Menor"),CONCATENATE("R4C",'Mapa final'!$Q$27),"")</f>
        <v/>
      </c>
      <c r="Q9" s="37" t="str">
        <f>IF(AND('Mapa final'!$AA$28="Muy Alta",'Mapa final'!$AC$28="Menor"),CONCATENATE("R4C",'Mapa final'!$Q$28),"")</f>
        <v/>
      </c>
      <c r="R9" s="37" t="str">
        <f>IF(AND('Mapa final'!$AA$29="Muy Alta",'Mapa final'!$AC$29="Menor"),CONCATENATE("R4C",'Mapa final'!$Q$29),"")</f>
        <v/>
      </c>
      <c r="S9" s="37" t="str">
        <f>IF(AND('Mapa final'!$AA$30="Muy Alta",'Mapa final'!$AC$30="Menor"),CONCATENATE("R4C",'Mapa final'!$Q$30),"")</f>
        <v/>
      </c>
      <c r="T9" s="37" t="str">
        <f>IF(AND('Mapa final'!$AA$31="Muy Alta",'Mapa final'!$AC$31="Menor"),CONCATENATE("R4C",'Mapa final'!$Q$31),"")</f>
        <v/>
      </c>
      <c r="U9" s="38" t="str">
        <f>IF(AND('Mapa final'!$AA$32="Muy Alta",'Mapa final'!$AC$32="Menor"),CONCATENATE("R4C",'Mapa final'!$Q$32),"")</f>
        <v/>
      </c>
      <c r="V9" s="36" t="str">
        <f>IF(AND('Mapa final'!$AA$27="Muy Alta",'Mapa final'!$AC$27="Moderado"),CONCATENATE("R4C",'Mapa final'!$Q$27),"")</f>
        <v/>
      </c>
      <c r="W9" s="37" t="str">
        <f>IF(AND('Mapa final'!$AA$28="Muy Alta",'Mapa final'!$AC$28="Moderado"),CONCATENATE("R4C",'Mapa final'!$Q$28),"")</f>
        <v/>
      </c>
      <c r="X9" s="37" t="str">
        <f>IF(AND('Mapa final'!$AA$29="Muy Alta",'Mapa final'!$AC$29="Moderado"),CONCATENATE("R4C",'Mapa final'!$Q$29),"")</f>
        <v/>
      </c>
      <c r="Y9" s="37" t="str">
        <f>IF(AND('Mapa final'!$AA$30="Muy Alta",'Mapa final'!$AC$30="Moderado"),CONCATENATE("R4C",'Mapa final'!$Q$30),"")</f>
        <v/>
      </c>
      <c r="Z9" s="37" t="str">
        <f>IF(AND('Mapa final'!$AA$31="Muy Alta",'Mapa final'!$AC$31="Moderado"),CONCATENATE("R4C",'Mapa final'!$Q$31),"")</f>
        <v/>
      </c>
      <c r="AA9" s="38" t="str">
        <f>IF(AND('Mapa final'!$AA$32="Muy Alta",'Mapa final'!$AC$32="Moderado"),CONCATENATE("R4C",'Mapa final'!$Q$32),"")</f>
        <v/>
      </c>
      <c r="AB9" s="36" t="str">
        <f>IF(AND('Mapa final'!$AA$27="Muy Alta",'Mapa final'!$AC$27="Mayor"),CONCATENATE("R4C",'Mapa final'!$Q$27),"")</f>
        <v/>
      </c>
      <c r="AC9" s="37" t="str">
        <f>IF(AND('Mapa final'!$AA$28="Muy Alta",'Mapa final'!$AC$28="Mayor"),CONCATENATE("R4C",'Mapa final'!$Q$28),"")</f>
        <v/>
      </c>
      <c r="AD9" s="37" t="str">
        <f>IF(AND('Mapa final'!$AA$29="Muy Alta",'Mapa final'!$AC$29="Mayor"),CONCATENATE("R4C",'Mapa final'!$Q$29),"")</f>
        <v/>
      </c>
      <c r="AE9" s="37" t="str">
        <f>IF(AND('Mapa final'!$AA$30="Muy Alta",'Mapa final'!$AC$30="Mayor"),CONCATENATE("R4C",'Mapa final'!$Q$30),"")</f>
        <v/>
      </c>
      <c r="AF9" s="37" t="str">
        <f>IF(AND('Mapa final'!$AA$31="Muy Alta",'Mapa final'!$AC$31="Mayor"),CONCATENATE("R4C",'Mapa final'!$Q$31),"")</f>
        <v/>
      </c>
      <c r="AG9" s="38" t="str">
        <f>IF(AND('Mapa final'!$AA$32="Muy Alta",'Mapa final'!$AC$32="Mayor"),CONCATENATE("R4C",'Mapa final'!$Q$32),"")</f>
        <v/>
      </c>
      <c r="AH9" s="39" t="str">
        <f>IF(AND('Mapa final'!$AA$27="Muy Alta",'Mapa final'!$AC$27="Catastrófico"),CONCATENATE("R4C",'Mapa final'!$Q$27),"")</f>
        <v/>
      </c>
      <c r="AI9" s="40" t="str">
        <f>IF(AND('Mapa final'!$AA$28="Muy Alta",'Mapa final'!$AC$28="Catastrófico"),CONCATENATE("R4C",'Mapa final'!$Q$28),"")</f>
        <v/>
      </c>
      <c r="AJ9" s="40" t="str">
        <f>IF(AND('Mapa final'!$AA$29="Muy Alta",'Mapa final'!$AC$29="Catastrófico"),CONCATENATE("R4C",'Mapa final'!$Q$29),"")</f>
        <v/>
      </c>
      <c r="AK9" s="40" t="str">
        <f>IF(AND('Mapa final'!$AA$30="Muy Alta",'Mapa final'!$AC$30="Catastrófico"),CONCATENATE("R4C",'Mapa final'!$Q$30),"")</f>
        <v/>
      </c>
      <c r="AL9" s="40" t="str">
        <f>IF(AND('Mapa final'!$AA$31="Muy Alta",'Mapa final'!$AC$31="Catastrófico"),CONCATENATE("R4C",'Mapa final'!$Q$31),"")</f>
        <v/>
      </c>
      <c r="AM9" s="41" t="str">
        <f>IF(AND('Mapa final'!$AA$32="Muy Alta",'Mapa final'!$AC$32="Catastrófico"),CONCATENATE("R4C",'Mapa final'!$Q$32),"")</f>
        <v/>
      </c>
      <c r="AN9" s="67"/>
      <c r="AO9" s="410"/>
      <c r="AP9" s="411"/>
      <c r="AQ9" s="411"/>
      <c r="AR9" s="411"/>
      <c r="AS9" s="411"/>
      <c r="AT9" s="41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305"/>
      <c r="C10" s="305"/>
      <c r="D10" s="306"/>
      <c r="E10" s="404"/>
      <c r="F10" s="403"/>
      <c r="G10" s="403"/>
      <c r="H10" s="403"/>
      <c r="I10" s="419"/>
      <c r="J10" s="36" t="str">
        <f>IF(AND('Mapa final'!$AA$33="Muy Alta",'Mapa final'!$AC$33="Leve"),CONCATENATE("R5C",'Mapa final'!$Q$33),"")</f>
        <v/>
      </c>
      <c r="K10" s="37" t="str">
        <f>IF(AND('Mapa final'!$AA$34="Muy Alta",'Mapa final'!$AC$34="Leve"),CONCATENATE("R5C",'Mapa final'!$Q$34),"")</f>
        <v/>
      </c>
      <c r="L10" s="37" t="str">
        <f>IF(AND('Mapa final'!$AA$35="Muy Alta",'Mapa final'!$AC$35="Leve"),CONCATENATE("R5C",'Mapa final'!$Q$35),"")</f>
        <v/>
      </c>
      <c r="M10" s="37" t="str">
        <f>IF(AND('Mapa final'!$AA$36="Muy Alta",'Mapa final'!$AC$36="Leve"),CONCATENATE("R5C",'Mapa final'!$Q$36),"")</f>
        <v/>
      </c>
      <c r="N10" s="37" t="str">
        <f>IF(AND('Mapa final'!$AA$37="Muy Alta",'Mapa final'!$AC$37="Leve"),CONCATENATE("R5C",'Mapa final'!$Q$37),"")</f>
        <v/>
      </c>
      <c r="O10" s="38" t="str">
        <f>IF(AND('Mapa final'!$AA$38="Muy Alta",'Mapa final'!$AC$38="Leve"),CONCATENATE("R5C",'Mapa final'!$Q$38),"")</f>
        <v/>
      </c>
      <c r="P10" s="36" t="str">
        <f>IF(AND('Mapa final'!$AA$33="Muy Alta",'Mapa final'!$AC$33="Menor"),CONCATENATE("R5C",'Mapa final'!$Q$33),"")</f>
        <v/>
      </c>
      <c r="Q10" s="37" t="str">
        <f>IF(AND('Mapa final'!$AA$34="Muy Alta",'Mapa final'!$AC$34="Menor"),CONCATENATE("R5C",'Mapa final'!$Q$34),"")</f>
        <v/>
      </c>
      <c r="R10" s="37" t="str">
        <f>IF(AND('Mapa final'!$AA$35="Muy Alta",'Mapa final'!$AC$35="Menor"),CONCATENATE("R5C",'Mapa final'!$Q$35),"")</f>
        <v/>
      </c>
      <c r="S10" s="37" t="str">
        <f>IF(AND('Mapa final'!$AA$36="Muy Alta",'Mapa final'!$AC$36="Menor"),CONCATENATE("R5C",'Mapa final'!$Q$36),"")</f>
        <v/>
      </c>
      <c r="T10" s="37" t="str">
        <f>IF(AND('Mapa final'!$AA$37="Muy Alta",'Mapa final'!$AC$37="Menor"),CONCATENATE("R5C",'Mapa final'!$Q$37),"")</f>
        <v/>
      </c>
      <c r="U10" s="38" t="str">
        <f>IF(AND('Mapa final'!$AA$38="Muy Alta",'Mapa final'!$AC$38="Menor"),CONCATENATE("R5C",'Mapa final'!$Q$38),"")</f>
        <v/>
      </c>
      <c r="V10" s="36" t="str">
        <f>IF(AND('Mapa final'!$AA$33="Muy Alta",'Mapa final'!$AC$33="Moderado"),CONCATENATE("R5C",'Mapa final'!$Q$33),"")</f>
        <v/>
      </c>
      <c r="W10" s="37" t="str">
        <f>IF(AND('Mapa final'!$AA$34="Muy Alta",'Mapa final'!$AC$34="Moderado"),CONCATENATE("R5C",'Mapa final'!$Q$34),"")</f>
        <v/>
      </c>
      <c r="X10" s="37" t="str">
        <f>IF(AND('Mapa final'!$AA$35="Muy Alta",'Mapa final'!$AC$35="Moderado"),CONCATENATE("R5C",'Mapa final'!$Q$35),"")</f>
        <v/>
      </c>
      <c r="Y10" s="37" t="str">
        <f>IF(AND('Mapa final'!$AA$36="Muy Alta",'Mapa final'!$AC$36="Moderado"),CONCATENATE("R5C",'Mapa final'!$Q$36),"")</f>
        <v/>
      </c>
      <c r="Z10" s="37" t="str">
        <f>IF(AND('Mapa final'!$AA$37="Muy Alta",'Mapa final'!$AC$37="Moderado"),CONCATENATE("R5C",'Mapa final'!$Q$37),"")</f>
        <v/>
      </c>
      <c r="AA10" s="38" t="str">
        <f>IF(AND('Mapa final'!$AA$38="Muy Alta",'Mapa final'!$AC$38="Moderado"),CONCATENATE("R5C",'Mapa final'!$Q$38),"")</f>
        <v/>
      </c>
      <c r="AB10" s="36" t="str">
        <f>IF(AND('Mapa final'!$AA$33="Muy Alta",'Mapa final'!$AC$33="Mayor"),CONCATENATE("R5C",'Mapa final'!$Q$33),"")</f>
        <v/>
      </c>
      <c r="AC10" s="37" t="str">
        <f>IF(AND('Mapa final'!$AA$34="Muy Alta",'Mapa final'!$AC$34="Mayor"),CONCATENATE("R5C",'Mapa final'!$Q$34),"")</f>
        <v/>
      </c>
      <c r="AD10" s="37" t="str">
        <f>IF(AND('Mapa final'!$AA$35="Muy Alta",'Mapa final'!$AC$35="Mayor"),CONCATENATE("R5C",'Mapa final'!$Q$35),"")</f>
        <v/>
      </c>
      <c r="AE10" s="37" t="str">
        <f>IF(AND('Mapa final'!$AA$36="Muy Alta",'Mapa final'!$AC$36="Mayor"),CONCATENATE("R5C",'Mapa final'!$Q$36),"")</f>
        <v/>
      </c>
      <c r="AF10" s="37" t="str">
        <f>IF(AND('Mapa final'!$AA$37="Muy Alta",'Mapa final'!$AC$37="Mayor"),CONCATENATE("R5C",'Mapa final'!$Q$37),"")</f>
        <v/>
      </c>
      <c r="AG10" s="38" t="str">
        <f>IF(AND('Mapa final'!$AA$38="Muy Alta",'Mapa final'!$AC$38="Mayor"),CONCATENATE("R5C",'Mapa final'!$Q$38),"")</f>
        <v/>
      </c>
      <c r="AH10" s="39" t="str">
        <f>IF(AND('Mapa final'!$AA$33="Muy Alta",'Mapa final'!$AC$33="Catastrófico"),CONCATENATE("R5C",'Mapa final'!$Q$33),"")</f>
        <v/>
      </c>
      <c r="AI10" s="40" t="str">
        <f>IF(AND('Mapa final'!$AA$34="Muy Alta",'Mapa final'!$AC$34="Catastrófico"),CONCATENATE("R5C",'Mapa final'!$Q$34),"")</f>
        <v/>
      </c>
      <c r="AJ10" s="40" t="str">
        <f>IF(AND('Mapa final'!$AA$35="Muy Alta",'Mapa final'!$AC$35="Catastrófico"),CONCATENATE("R5C",'Mapa final'!$Q$35),"")</f>
        <v/>
      </c>
      <c r="AK10" s="40" t="str">
        <f>IF(AND('Mapa final'!$AA$36="Muy Alta",'Mapa final'!$AC$36="Catastrófico"),CONCATENATE("R5C",'Mapa final'!$Q$36),"")</f>
        <v/>
      </c>
      <c r="AL10" s="40" t="str">
        <f>IF(AND('Mapa final'!$AA$37="Muy Alta",'Mapa final'!$AC$37="Catastrófico"),CONCATENATE("R5C",'Mapa final'!$Q$37),"")</f>
        <v/>
      </c>
      <c r="AM10" s="41" t="str">
        <f>IF(AND('Mapa final'!$AA$38="Muy Alta",'Mapa final'!$AC$38="Catastrófico"),CONCATENATE("R5C",'Mapa final'!$Q$38),"")</f>
        <v/>
      </c>
      <c r="AN10" s="67"/>
      <c r="AO10" s="410"/>
      <c r="AP10" s="411"/>
      <c r="AQ10" s="411"/>
      <c r="AR10" s="411"/>
      <c r="AS10" s="411"/>
      <c r="AT10" s="41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305"/>
      <c r="C11" s="305"/>
      <c r="D11" s="306"/>
      <c r="E11" s="404"/>
      <c r="F11" s="403"/>
      <c r="G11" s="403"/>
      <c r="H11" s="403"/>
      <c r="I11" s="419"/>
      <c r="J11" s="36" t="str">
        <f>IF(AND('Mapa final'!$AA$39="Muy Alta",'Mapa final'!$AC$39="Leve"),CONCATENATE("R6C",'Mapa final'!$Q$39),"")</f>
        <v/>
      </c>
      <c r="K11" s="37" t="str">
        <f>IF(AND('Mapa final'!$AA$40="Muy Alta",'Mapa final'!$AC$40="Leve"),CONCATENATE("R6C",'Mapa final'!$Q$40),"")</f>
        <v/>
      </c>
      <c r="L11" s="37" t="str">
        <f>IF(AND('Mapa final'!$AA$41="Muy Alta",'Mapa final'!$AC$41="Leve"),CONCATENATE("R6C",'Mapa final'!$Q$41),"")</f>
        <v/>
      </c>
      <c r="M11" s="37" t="str">
        <f>IF(AND('Mapa final'!$AA$42="Muy Alta",'Mapa final'!$AC$42="Leve"),CONCATENATE("R6C",'Mapa final'!$Q$42),"")</f>
        <v/>
      </c>
      <c r="N11" s="37" t="str">
        <f>IF(AND('Mapa final'!$AA$43="Muy Alta",'Mapa final'!$AC$43="Leve"),CONCATENATE("R6C",'Mapa final'!$Q$43),"")</f>
        <v/>
      </c>
      <c r="O11" s="38" t="str">
        <f>IF(AND('Mapa final'!$AA$44="Muy Alta",'Mapa final'!$AC$44="Leve"),CONCATENATE("R6C",'Mapa final'!$Q$44),"")</f>
        <v/>
      </c>
      <c r="P11" s="36" t="str">
        <f>IF(AND('Mapa final'!$AA$39="Muy Alta",'Mapa final'!$AC$39="Menor"),CONCATENATE("R6C",'Mapa final'!$Q$39),"")</f>
        <v/>
      </c>
      <c r="Q11" s="37" t="str">
        <f>IF(AND('Mapa final'!$AA$40="Muy Alta",'Mapa final'!$AC$40="Menor"),CONCATENATE("R6C",'Mapa final'!$Q$40),"")</f>
        <v/>
      </c>
      <c r="R11" s="37" t="str">
        <f>IF(AND('Mapa final'!$AA$41="Muy Alta",'Mapa final'!$AC$41="Menor"),CONCATENATE("R6C",'Mapa final'!$Q$41),"")</f>
        <v/>
      </c>
      <c r="S11" s="37" t="str">
        <f>IF(AND('Mapa final'!$AA$42="Muy Alta",'Mapa final'!$AC$42="Menor"),CONCATENATE("R6C",'Mapa final'!$Q$42),"")</f>
        <v/>
      </c>
      <c r="T11" s="37" t="str">
        <f>IF(AND('Mapa final'!$AA$43="Muy Alta",'Mapa final'!$AC$43="Menor"),CONCATENATE("R6C",'Mapa final'!$Q$43),"")</f>
        <v/>
      </c>
      <c r="U11" s="38" t="str">
        <f>IF(AND('Mapa final'!$AA$44="Muy Alta",'Mapa final'!$AC$44="Menor"),CONCATENATE("R6C",'Mapa final'!$Q$44),"")</f>
        <v/>
      </c>
      <c r="V11" s="36" t="str">
        <f>IF(AND('Mapa final'!$AA$39="Muy Alta",'Mapa final'!$AC$39="Moderado"),CONCATENATE("R6C",'Mapa final'!$Q$39),"")</f>
        <v/>
      </c>
      <c r="W11" s="37" t="str">
        <f>IF(AND('Mapa final'!$AA$40="Muy Alta",'Mapa final'!$AC$40="Moderado"),CONCATENATE("R6C",'Mapa final'!$Q$40),"")</f>
        <v/>
      </c>
      <c r="X11" s="37" t="str">
        <f>IF(AND('Mapa final'!$AA$41="Muy Alta",'Mapa final'!$AC$41="Moderado"),CONCATENATE("R6C",'Mapa final'!$Q$41),"")</f>
        <v/>
      </c>
      <c r="Y11" s="37" t="str">
        <f>IF(AND('Mapa final'!$AA$42="Muy Alta",'Mapa final'!$AC$42="Moderado"),CONCATENATE("R6C",'Mapa final'!$Q$42),"")</f>
        <v/>
      </c>
      <c r="Z11" s="37" t="str">
        <f>IF(AND('Mapa final'!$AA$43="Muy Alta",'Mapa final'!$AC$43="Moderado"),CONCATENATE("R6C",'Mapa final'!$Q$43),"")</f>
        <v/>
      </c>
      <c r="AA11" s="38" t="str">
        <f>IF(AND('Mapa final'!$AA$44="Muy Alta",'Mapa final'!$AC$44="Moderado"),CONCATENATE("R6C",'Mapa final'!$Q$44),"")</f>
        <v/>
      </c>
      <c r="AB11" s="36" t="str">
        <f>IF(AND('Mapa final'!$AA$39="Muy Alta",'Mapa final'!$AC$39="Mayor"),CONCATENATE("R6C",'Mapa final'!$Q$39),"")</f>
        <v/>
      </c>
      <c r="AC11" s="37" t="str">
        <f>IF(AND('Mapa final'!$AA$40="Muy Alta",'Mapa final'!$AC$40="Mayor"),CONCATENATE("R6C",'Mapa final'!$Q$40),"")</f>
        <v/>
      </c>
      <c r="AD11" s="37" t="str">
        <f>IF(AND('Mapa final'!$AA$41="Muy Alta",'Mapa final'!$AC$41="Mayor"),CONCATENATE("R6C",'Mapa final'!$Q$41),"")</f>
        <v/>
      </c>
      <c r="AE11" s="37" t="str">
        <f>IF(AND('Mapa final'!$AA$42="Muy Alta",'Mapa final'!$AC$42="Mayor"),CONCATENATE("R6C",'Mapa final'!$Q$42),"")</f>
        <v/>
      </c>
      <c r="AF11" s="37" t="str">
        <f>IF(AND('Mapa final'!$AA$43="Muy Alta",'Mapa final'!$AC$43="Mayor"),CONCATENATE("R6C",'Mapa final'!$Q$43),"")</f>
        <v/>
      </c>
      <c r="AG11" s="38" t="str">
        <f>IF(AND('Mapa final'!$AA$44="Muy Alta",'Mapa final'!$AC$44="Mayor"),CONCATENATE("R6C",'Mapa final'!$Q$44),"")</f>
        <v/>
      </c>
      <c r="AH11" s="39" t="str">
        <f>IF(AND('Mapa final'!$AA$39="Muy Alta",'Mapa final'!$AC$39="Catastrófico"),CONCATENATE("R6C",'Mapa final'!$Q$39),"")</f>
        <v/>
      </c>
      <c r="AI11" s="40" t="str">
        <f>IF(AND('Mapa final'!$AA$40="Muy Alta",'Mapa final'!$AC$40="Catastrófico"),CONCATENATE("R6C",'Mapa final'!$Q$40),"")</f>
        <v/>
      </c>
      <c r="AJ11" s="40" t="str">
        <f>IF(AND('Mapa final'!$AA$41="Muy Alta",'Mapa final'!$AC$41="Catastrófico"),CONCATENATE("R6C",'Mapa final'!$Q$41),"")</f>
        <v/>
      </c>
      <c r="AK11" s="40" t="str">
        <f>IF(AND('Mapa final'!$AA$42="Muy Alta",'Mapa final'!$AC$42="Catastrófico"),CONCATENATE("R6C",'Mapa final'!$Q$42),"")</f>
        <v/>
      </c>
      <c r="AL11" s="40" t="str">
        <f>IF(AND('Mapa final'!$AA$43="Muy Alta",'Mapa final'!$AC$43="Catastrófico"),CONCATENATE("R6C",'Mapa final'!$Q$43),"")</f>
        <v/>
      </c>
      <c r="AM11" s="41" t="str">
        <f>IF(AND('Mapa final'!$AA$44="Muy Alta",'Mapa final'!$AC$44="Catastrófico"),CONCATENATE("R6C",'Mapa final'!$Q$44),"")</f>
        <v/>
      </c>
      <c r="AN11" s="67"/>
      <c r="AO11" s="410"/>
      <c r="AP11" s="411"/>
      <c r="AQ11" s="411"/>
      <c r="AR11" s="411"/>
      <c r="AS11" s="411"/>
      <c r="AT11" s="41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305"/>
      <c r="C12" s="305"/>
      <c r="D12" s="306"/>
      <c r="E12" s="404"/>
      <c r="F12" s="403"/>
      <c r="G12" s="403"/>
      <c r="H12" s="403"/>
      <c r="I12" s="419"/>
      <c r="J12" s="36" t="str">
        <f>IF(AND('Mapa final'!$AA$45="Muy Alta",'Mapa final'!$AC$45="Leve"),CONCATENATE("R7C",'Mapa final'!$Q$45),"")</f>
        <v/>
      </c>
      <c r="K12" s="37" t="str">
        <f>IF(AND('Mapa final'!$AA$46="Muy Alta",'Mapa final'!$AC$46="Leve"),CONCATENATE("R7C",'Mapa final'!$Q$46),"")</f>
        <v/>
      </c>
      <c r="L12" s="37" t="str">
        <f>IF(AND('Mapa final'!$AA$47="Muy Alta",'Mapa final'!$AC$47="Leve"),CONCATENATE("R7C",'Mapa final'!$Q$47),"")</f>
        <v/>
      </c>
      <c r="M12" s="37" t="str">
        <f>IF(AND('Mapa final'!$AA$48="Muy Alta",'Mapa final'!$AC$48="Leve"),CONCATENATE("R7C",'Mapa final'!$Q$48),"")</f>
        <v/>
      </c>
      <c r="N12" s="37" t="str">
        <f>IF(AND('Mapa final'!$AA$49="Muy Alta",'Mapa final'!$AC$49="Leve"),CONCATENATE("R7C",'Mapa final'!$Q$49),"")</f>
        <v/>
      </c>
      <c r="O12" s="38" t="str">
        <f>IF(AND('Mapa final'!$AA$50="Muy Alta",'Mapa final'!$AC$50="Leve"),CONCATENATE("R7C",'Mapa final'!$Q$50),"")</f>
        <v/>
      </c>
      <c r="P12" s="36" t="str">
        <f>IF(AND('Mapa final'!$AA$45="Muy Alta",'Mapa final'!$AC$45="Menor"),CONCATENATE("R7C",'Mapa final'!$Q$45),"")</f>
        <v/>
      </c>
      <c r="Q12" s="37" t="str">
        <f>IF(AND('Mapa final'!$AA$46="Muy Alta",'Mapa final'!$AC$46="Menor"),CONCATENATE("R7C",'Mapa final'!$Q$46),"")</f>
        <v/>
      </c>
      <c r="R12" s="37" t="str">
        <f>IF(AND('Mapa final'!$AA$47="Muy Alta",'Mapa final'!$AC$47="Menor"),CONCATENATE("R7C",'Mapa final'!$Q$47),"")</f>
        <v/>
      </c>
      <c r="S12" s="37" t="str">
        <f>IF(AND('Mapa final'!$AA$48="Muy Alta",'Mapa final'!$AC$48="Menor"),CONCATENATE("R7C",'Mapa final'!$Q$48),"")</f>
        <v/>
      </c>
      <c r="T12" s="37" t="str">
        <f>IF(AND('Mapa final'!$AA$49="Muy Alta",'Mapa final'!$AC$49="Menor"),CONCATENATE("R7C",'Mapa final'!$Q$49),"")</f>
        <v/>
      </c>
      <c r="U12" s="38" t="str">
        <f>IF(AND('Mapa final'!$AA$50="Muy Alta",'Mapa final'!$AC$50="Menor"),CONCATENATE("R7C",'Mapa final'!$Q$50),"")</f>
        <v/>
      </c>
      <c r="V12" s="36" t="str">
        <f>IF(AND('Mapa final'!$AA$45="Muy Alta",'Mapa final'!$AC$45="Moderado"),CONCATENATE("R7C",'Mapa final'!$Q$45),"")</f>
        <v/>
      </c>
      <c r="W12" s="37" t="str">
        <f>IF(AND('Mapa final'!$AA$46="Muy Alta",'Mapa final'!$AC$46="Moderado"),CONCATENATE("R7C",'Mapa final'!$Q$46),"")</f>
        <v/>
      </c>
      <c r="X12" s="37" t="str">
        <f>IF(AND('Mapa final'!$AA$47="Muy Alta",'Mapa final'!$AC$47="Moderado"),CONCATENATE("R7C",'Mapa final'!$Q$47),"")</f>
        <v/>
      </c>
      <c r="Y12" s="37" t="str">
        <f>IF(AND('Mapa final'!$AA$48="Muy Alta",'Mapa final'!$AC$48="Moderado"),CONCATENATE("R7C",'Mapa final'!$Q$48),"")</f>
        <v/>
      </c>
      <c r="Z12" s="37" t="str">
        <f>IF(AND('Mapa final'!$AA$49="Muy Alta",'Mapa final'!$AC$49="Moderado"),CONCATENATE("R7C",'Mapa final'!$Q$49),"")</f>
        <v/>
      </c>
      <c r="AA12" s="38" t="str">
        <f>IF(AND('Mapa final'!$AA$50="Muy Alta",'Mapa final'!$AC$50="Moderado"),CONCATENATE("R7C",'Mapa final'!$Q$50),"")</f>
        <v/>
      </c>
      <c r="AB12" s="36" t="str">
        <f>IF(AND('Mapa final'!$AA$45="Muy Alta",'Mapa final'!$AC$45="Mayor"),CONCATENATE("R7C",'Mapa final'!$Q$45),"")</f>
        <v/>
      </c>
      <c r="AC12" s="37" t="str">
        <f>IF(AND('Mapa final'!$AA$46="Muy Alta",'Mapa final'!$AC$46="Mayor"),CONCATENATE("R7C",'Mapa final'!$Q$46),"")</f>
        <v/>
      </c>
      <c r="AD12" s="37" t="str">
        <f>IF(AND('Mapa final'!$AA$47="Muy Alta",'Mapa final'!$AC$47="Mayor"),CONCATENATE("R7C",'Mapa final'!$Q$47),"")</f>
        <v/>
      </c>
      <c r="AE12" s="37" t="str">
        <f>IF(AND('Mapa final'!$AA$48="Muy Alta",'Mapa final'!$AC$48="Mayor"),CONCATENATE("R7C",'Mapa final'!$Q$48),"")</f>
        <v/>
      </c>
      <c r="AF12" s="37" t="str">
        <f>IF(AND('Mapa final'!$AA$49="Muy Alta",'Mapa final'!$AC$49="Mayor"),CONCATENATE("R7C",'Mapa final'!$Q$49),"")</f>
        <v/>
      </c>
      <c r="AG12" s="38" t="str">
        <f>IF(AND('Mapa final'!$AA$50="Muy Alta",'Mapa final'!$AC$50="Mayor"),CONCATENATE("R7C",'Mapa final'!$Q$50),"")</f>
        <v/>
      </c>
      <c r="AH12" s="39" t="str">
        <f>IF(AND('Mapa final'!$AA$45="Muy Alta",'Mapa final'!$AC$45="Catastrófico"),CONCATENATE("R7C",'Mapa final'!$Q$45),"")</f>
        <v/>
      </c>
      <c r="AI12" s="40" t="str">
        <f>IF(AND('Mapa final'!$AA$46="Muy Alta",'Mapa final'!$AC$46="Catastrófico"),CONCATENATE("R7C",'Mapa final'!$Q$46),"")</f>
        <v/>
      </c>
      <c r="AJ12" s="40" t="str">
        <f>IF(AND('Mapa final'!$AA$47="Muy Alta",'Mapa final'!$AC$47="Catastrófico"),CONCATENATE("R7C",'Mapa final'!$Q$47),"")</f>
        <v/>
      </c>
      <c r="AK12" s="40" t="str">
        <f>IF(AND('Mapa final'!$AA$48="Muy Alta",'Mapa final'!$AC$48="Catastrófico"),CONCATENATE("R7C",'Mapa final'!$Q$48),"")</f>
        <v/>
      </c>
      <c r="AL12" s="40" t="str">
        <f>IF(AND('Mapa final'!$AA$49="Muy Alta",'Mapa final'!$AC$49="Catastrófico"),CONCATENATE("R7C",'Mapa final'!$Q$49),"")</f>
        <v/>
      </c>
      <c r="AM12" s="41" t="str">
        <f>IF(AND('Mapa final'!$AA$50="Muy Alta",'Mapa final'!$AC$50="Catastrófico"),CONCATENATE("R7C",'Mapa final'!$Q$50),"")</f>
        <v/>
      </c>
      <c r="AN12" s="67"/>
      <c r="AO12" s="410"/>
      <c r="AP12" s="411"/>
      <c r="AQ12" s="411"/>
      <c r="AR12" s="411"/>
      <c r="AS12" s="411"/>
      <c r="AT12" s="41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305"/>
      <c r="C13" s="305"/>
      <c r="D13" s="306"/>
      <c r="E13" s="404"/>
      <c r="F13" s="403"/>
      <c r="G13" s="403"/>
      <c r="H13" s="403"/>
      <c r="I13" s="419"/>
      <c r="J13" s="36" t="str">
        <f>IF(AND('Mapa final'!$AA$51="Muy Alta",'Mapa final'!$AC$51="Leve"),CONCATENATE("R8C",'Mapa final'!$Q$51),"")</f>
        <v/>
      </c>
      <c r="K13" s="37" t="str">
        <f>IF(AND('Mapa final'!$AA$52="Muy Alta",'Mapa final'!$AC$52="Leve"),CONCATENATE("R8C",'Mapa final'!$Q$52),"")</f>
        <v/>
      </c>
      <c r="L13" s="37" t="str">
        <f>IF(AND('Mapa final'!$AA$53="Muy Alta",'Mapa final'!$AC$53="Leve"),CONCATENATE("R8C",'Mapa final'!$Q$53),"")</f>
        <v/>
      </c>
      <c r="M13" s="37" t="str">
        <f>IF(AND('Mapa final'!$AA$54="Muy Alta",'Mapa final'!$AC$54="Leve"),CONCATENATE("R8C",'Mapa final'!$Q$54),"")</f>
        <v/>
      </c>
      <c r="N13" s="37" t="str">
        <f>IF(AND('Mapa final'!$AA$55="Muy Alta",'Mapa final'!$AC$55="Leve"),CONCATENATE("R8C",'Mapa final'!$Q$55),"")</f>
        <v/>
      </c>
      <c r="O13" s="38" t="str">
        <f>IF(AND('Mapa final'!$AA$56="Muy Alta",'Mapa final'!$AC$56="Leve"),CONCATENATE("R8C",'Mapa final'!$Q$56),"")</f>
        <v/>
      </c>
      <c r="P13" s="36" t="str">
        <f>IF(AND('Mapa final'!$AA$51="Muy Alta",'Mapa final'!$AC$51="Menor"),CONCATENATE("R8C",'Mapa final'!$Q$51),"")</f>
        <v/>
      </c>
      <c r="Q13" s="37" t="str">
        <f>IF(AND('Mapa final'!$AA$52="Muy Alta",'Mapa final'!$AC$52="Menor"),CONCATENATE("R8C",'Mapa final'!$Q$52),"")</f>
        <v/>
      </c>
      <c r="R13" s="37" t="str">
        <f>IF(AND('Mapa final'!$AA$53="Muy Alta",'Mapa final'!$AC$53="Menor"),CONCATENATE("R8C",'Mapa final'!$Q$53),"")</f>
        <v/>
      </c>
      <c r="S13" s="37" t="str">
        <f>IF(AND('Mapa final'!$AA$54="Muy Alta",'Mapa final'!$AC$54="Menor"),CONCATENATE("R8C",'Mapa final'!$Q$54),"")</f>
        <v/>
      </c>
      <c r="T13" s="37" t="str">
        <f>IF(AND('Mapa final'!$AA$55="Muy Alta",'Mapa final'!$AC$55="Menor"),CONCATENATE("R8C",'Mapa final'!$Q$55),"")</f>
        <v/>
      </c>
      <c r="U13" s="38" t="str">
        <f>IF(AND('Mapa final'!$AA$56="Muy Alta",'Mapa final'!$AC$56="Menor"),CONCATENATE("R8C",'Mapa final'!$Q$56),"")</f>
        <v/>
      </c>
      <c r="V13" s="36" t="str">
        <f>IF(AND('Mapa final'!$AA$51="Muy Alta",'Mapa final'!$AC$51="Moderado"),CONCATENATE("R8C",'Mapa final'!$Q$51),"")</f>
        <v/>
      </c>
      <c r="W13" s="37" t="str">
        <f>IF(AND('Mapa final'!$AA$52="Muy Alta",'Mapa final'!$AC$52="Moderado"),CONCATENATE("R8C",'Mapa final'!$Q$52),"")</f>
        <v/>
      </c>
      <c r="X13" s="37" t="str">
        <f>IF(AND('Mapa final'!$AA$53="Muy Alta",'Mapa final'!$AC$53="Moderado"),CONCATENATE("R8C",'Mapa final'!$Q$53),"")</f>
        <v/>
      </c>
      <c r="Y13" s="37" t="str">
        <f>IF(AND('Mapa final'!$AA$54="Muy Alta",'Mapa final'!$AC$54="Moderado"),CONCATENATE("R8C",'Mapa final'!$Q$54),"")</f>
        <v/>
      </c>
      <c r="Z13" s="37" t="str">
        <f>IF(AND('Mapa final'!$AA$55="Muy Alta",'Mapa final'!$AC$55="Moderado"),CONCATENATE("R8C",'Mapa final'!$Q$55),"")</f>
        <v/>
      </c>
      <c r="AA13" s="38" t="str">
        <f>IF(AND('Mapa final'!$AA$56="Muy Alta",'Mapa final'!$AC$56="Moderado"),CONCATENATE("R8C",'Mapa final'!$Q$56),"")</f>
        <v/>
      </c>
      <c r="AB13" s="36" t="str">
        <f>IF(AND('Mapa final'!$AA$51="Muy Alta",'Mapa final'!$AC$51="Mayor"),CONCATENATE("R8C",'Mapa final'!$Q$51),"")</f>
        <v/>
      </c>
      <c r="AC13" s="37" t="str">
        <f>IF(AND('Mapa final'!$AA$52="Muy Alta",'Mapa final'!$AC$52="Mayor"),CONCATENATE("R8C",'Mapa final'!$Q$52),"")</f>
        <v/>
      </c>
      <c r="AD13" s="37" t="str">
        <f>IF(AND('Mapa final'!$AA$53="Muy Alta",'Mapa final'!$AC$53="Mayor"),CONCATENATE("R8C",'Mapa final'!$Q$53),"")</f>
        <v/>
      </c>
      <c r="AE13" s="37" t="str">
        <f>IF(AND('Mapa final'!$AA$54="Muy Alta",'Mapa final'!$AC$54="Mayor"),CONCATENATE("R8C",'Mapa final'!$Q$54),"")</f>
        <v/>
      </c>
      <c r="AF13" s="37" t="str">
        <f>IF(AND('Mapa final'!$AA$55="Muy Alta",'Mapa final'!$AC$55="Mayor"),CONCATENATE("R8C",'Mapa final'!$Q$55),"")</f>
        <v/>
      </c>
      <c r="AG13" s="38" t="str">
        <f>IF(AND('Mapa final'!$AA$56="Muy Alta",'Mapa final'!$AC$56="Mayor"),CONCATENATE("R8C",'Mapa final'!$Q$56),"")</f>
        <v/>
      </c>
      <c r="AH13" s="39" t="str">
        <f>IF(AND('Mapa final'!$AA$51="Muy Alta",'Mapa final'!$AC$51="Catastrófico"),CONCATENATE("R8C",'Mapa final'!$Q$51),"")</f>
        <v/>
      </c>
      <c r="AI13" s="40" t="str">
        <f>IF(AND('Mapa final'!$AA$52="Muy Alta",'Mapa final'!$AC$52="Catastrófico"),CONCATENATE("R8C",'Mapa final'!$Q$52),"")</f>
        <v/>
      </c>
      <c r="AJ13" s="40" t="str">
        <f>IF(AND('Mapa final'!$AA$53="Muy Alta",'Mapa final'!$AC$53="Catastrófico"),CONCATENATE("R8C",'Mapa final'!$Q$53),"")</f>
        <v/>
      </c>
      <c r="AK13" s="40" t="str">
        <f>IF(AND('Mapa final'!$AA$54="Muy Alta",'Mapa final'!$AC$54="Catastrófico"),CONCATENATE("R8C",'Mapa final'!$Q$54),"")</f>
        <v/>
      </c>
      <c r="AL13" s="40" t="str">
        <f>IF(AND('Mapa final'!$AA$55="Muy Alta",'Mapa final'!$AC$55="Catastrófico"),CONCATENATE("R8C",'Mapa final'!$Q$55),"")</f>
        <v/>
      </c>
      <c r="AM13" s="41" t="str">
        <f>IF(AND('Mapa final'!$AA$56="Muy Alta",'Mapa final'!$AC$56="Catastrófico"),CONCATENATE("R8C",'Mapa final'!$Q$56),"")</f>
        <v/>
      </c>
      <c r="AN13" s="67"/>
      <c r="AO13" s="410"/>
      <c r="AP13" s="411"/>
      <c r="AQ13" s="411"/>
      <c r="AR13" s="411"/>
      <c r="AS13" s="411"/>
      <c r="AT13" s="41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305"/>
      <c r="C14" s="305"/>
      <c r="D14" s="306"/>
      <c r="E14" s="404"/>
      <c r="F14" s="403"/>
      <c r="G14" s="403"/>
      <c r="H14" s="403"/>
      <c r="I14" s="419"/>
      <c r="J14" s="36" t="str">
        <f>IF(AND('Mapa final'!$AA$57="Muy Alta",'Mapa final'!$AC$57="Leve"),CONCATENATE("R9C",'Mapa final'!$Q$57),"")</f>
        <v/>
      </c>
      <c r="K14" s="37" t="str">
        <f>IF(AND('Mapa final'!$AA$58="Muy Alta",'Mapa final'!$AC$58="Leve"),CONCATENATE("R9C",'Mapa final'!$Q$58),"")</f>
        <v/>
      </c>
      <c r="L14" s="37" t="str">
        <f>IF(AND('Mapa final'!$AA$59="Muy Alta",'Mapa final'!$AC$59="Leve"),CONCATENATE("R9C",'Mapa final'!$Q$59),"")</f>
        <v/>
      </c>
      <c r="M14" s="37" t="str">
        <f>IF(AND('Mapa final'!$AA$60="Muy Alta",'Mapa final'!$AC$60="Leve"),CONCATENATE("R9C",'Mapa final'!$Q$60),"")</f>
        <v/>
      </c>
      <c r="N14" s="37" t="str">
        <f>IF(AND('Mapa final'!$AA$61="Muy Alta",'Mapa final'!$AC$61="Leve"),CONCATENATE("R9C",'Mapa final'!$Q$61),"")</f>
        <v/>
      </c>
      <c r="O14" s="38" t="str">
        <f>IF(AND('Mapa final'!$AA$62="Muy Alta",'Mapa final'!$AC$62="Leve"),CONCATENATE("R9C",'Mapa final'!$Q$62),"")</f>
        <v/>
      </c>
      <c r="P14" s="36" t="str">
        <f>IF(AND('Mapa final'!$AA$57="Muy Alta",'Mapa final'!$AC$57="Menor"),CONCATENATE("R9C",'Mapa final'!$Q$57),"")</f>
        <v/>
      </c>
      <c r="Q14" s="37" t="str">
        <f>IF(AND('Mapa final'!$AA$58="Muy Alta",'Mapa final'!$AC$58="Menor"),CONCATENATE("R9C",'Mapa final'!$Q$58),"")</f>
        <v/>
      </c>
      <c r="R14" s="37" t="str">
        <f>IF(AND('Mapa final'!$AA$59="Muy Alta",'Mapa final'!$AC$59="Menor"),CONCATENATE("R9C",'Mapa final'!$Q$59),"")</f>
        <v/>
      </c>
      <c r="S14" s="37" t="str">
        <f>IF(AND('Mapa final'!$AA$60="Muy Alta",'Mapa final'!$AC$60="Menor"),CONCATENATE("R9C",'Mapa final'!$Q$60),"")</f>
        <v/>
      </c>
      <c r="T14" s="37" t="str">
        <f>IF(AND('Mapa final'!$AA$61="Muy Alta",'Mapa final'!$AC$61="Menor"),CONCATENATE("R9C",'Mapa final'!$Q$61),"")</f>
        <v/>
      </c>
      <c r="U14" s="38" t="str">
        <f>IF(AND('Mapa final'!$AA$62="Muy Alta",'Mapa final'!$AC$62="Menor"),CONCATENATE("R9C",'Mapa final'!$Q$62),"")</f>
        <v/>
      </c>
      <c r="V14" s="36" t="str">
        <f>IF(AND('Mapa final'!$AA$57="Muy Alta",'Mapa final'!$AC$57="Moderado"),CONCATENATE("R9C",'Mapa final'!$Q$57),"")</f>
        <v/>
      </c>
      <c r="W14" s="37" t="str">
        <f>IF(AND('Mapa final'!$AA$58="Muy Alta",'Mapa final'!$AC$58="Moderado"),CONCATENATE("R9C",'Mapa final'!$Q$58),"")</f>
        <v/>
      </c>
      <c r="X14" s="37" t="str">
        <f>IF(AND('Mapa final'!$AA$59="Muy Alta",'Mapa final'!$AC$59="Moderado"),CONCATENATE("R9C",'Mapa final'!$Q$59),"")</f>
        <v/>
      </c>
      <c r="Y14" s="37" t="str">
        <f>IF(AND('Mapa final'!$AA$60="Muy Alta",'Mapa final'!$AC$60="Moderado"),CONCATENATE("R9C",'Mapa final'!$Q$60),"")</f>
        <v/>
      </c>
      <c r="Z14" s="37" t="str">
        <f>IF(AND('Mapa final'!$AA$61="Muy Alta",'Mapa final'!$AC$61="Moderado"),CONCATENATE("R9C",'Mapa final'!$Q$61),"")</f>
        <v/>
      </c>
      <c r="AA14" s="38" t="str">
        <f>IF(AND('Mapa final'!$AA$62="Muy Alta",'Mapa final'!$AC$62="Moderado"),CONCATENATE("R9C",'Mapa final'!$Q$62),"")</f>
        <v/>
      </c>
      <c r="AB14" s="36" t="str">
        <f>IF(AND('Mapa final'!$AA$57="Muy Alta",'Mapa final'!$AC$57="Mayor"),CONCATENATE("R9C",'Mapa final'!$Q$57),"")</f>
        <v/>
      </c>
      <c r="AC14" s="37" t="str">
        <f>IF(AND('Mapa final'!$AA$58="Muy Alta",'Mapa final'!$AC$58="Mayor"),CONCATENATE("R9C",'Mapa final'!$Q$58),"")</f>
        <v/>
      </c>
      <c r="AD14" s="37" t="str">
        <f>IF(AND('Mapa final'!$AA$59="Muy Alta",'Mapa final'!$AC$59="Mayor"),CONCATENATE("R9C",'Mapa final'!$Q$59),"")</f>
        <v/>
      </c>
      <c r="AE14" s="37" t="str">
        <f>IF(AND('Mapa final'!$AA$60="Muy Alta",'Mapa final'!$AC$60="Mayor"),CONCATENATE("R9C",'Mapa final'!$Q$60),"")</f>
        <v/>
      </c>
      <c r="AF14" s="37" t="str">
        <f>IF(AND('Mapa final'!$AA$61="Muy Alta",'Mapa final'!$AC$61="Mayor"),CONCATENATE("R9C",'Mapa final'!$Q$61),"")</f>
        <v/>
      </c>
      <c r="AG14" s="38" t="str">
        <f>IF(AND('Mapa final'!$AA$62="Muy Alta",'Mapa final'!$AC$62="Mayor"),CONCATENATE("R9C",'Mapa final'!$Q$62),"")</f>
        <v/>
      </c>
      <c r="AH14" s="39" t="str">
        <f>IF(AND('Mapa final'!$AA$57="Muy Alta",'Mapa final'!$AC$57="Catastrófico"),CONCATENATE("R9C",'Mapa final'!$Q$57),"")</f>
        <v/>
      </c>
      <c r="AI14" s="40" t="str">
        <f>IF(AND('Mapa final'!$AA$58="Muy Alta",'Mapa final'!$AC$58="Catastrófico"),CONCATENATE("R9C",'Mapa final'!$Q$58),"")</f>
        <v/>
      </c>
      <c r="AJ14" s="40" t="str">
        <f>IF(AND('Mapa final'!$AA$59="Muy Alta",'Mapa final'!$AC$59="Catastrófico"),CONCATENATE("R9C",'Mapa final'!$Q$59),"")</f>
        <v/>
      </c>
      <c r="AK14" s="40" t="str">
        <f>IF(AND('Mapa final'!$AA$60="Muy Alta",'Mapa final'!$AC$60="Catastrófico"),CONCATENATE("R9C",'Mapa final'!$Q$60),"")</f>
        <v/>
      </c>
      <c r="AL14" s="40" t="str">
        <f>IF(AND('Mapa final'!$AA$61="Muy Alta",'Mapa final'!$AC$61="Catastrófico"),CONCATENATE("R9C",'Mapa final'!$Q$61),"")</f>
        <v/>
      </c>
      <c r="AM14" s="41" t="str">
        <f>IF(AND('Mapa final'!$AA$62="Muy Alta",'Mapa final'!$AC$62="Catastrófico"),CONCATENATE("R9C",'Mapa final'!$Q$62),"")</f>
        <v/>
      </c>
      <c r="AN14" s="67"/>
      <c r="AO14" s="410"/>
      <c r="AP14" s="411"/>
      <c r="AQ14" s="411"/>
      <c r="AR14" s="411"/>
      <c r="AS14" s="411"/>
      <c r="AT14" s="41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305"/>
      <c r="C15" s="305"/>
      <c r="D15" s="306"/>
      <c r="E15" s="405"/>
      <c r="F15" s="406"/>
      <c r="G15" s="406"/>
      <c r="H15" s="406"/>
      <c r="I15" s="420"/>
      <c r="J15" s="42" t="str">
        <f>IF(AND('Mapa final'!$AA$63="Muy Alta",'Mapa final'!$AC$63="Leve"),CONCATENATE("R10C",'Mapa final'!$Q$63),"")</f>
        <v/>
      </c>
      <c r="K15" s="43" t="str">
        <f>IF(AND('Mapa final'!$AA$64="Muy Alta",'Mapa final'!$AC$64="Leve"),CONCATENATE("R10C",'Mapa final'!$Q$64),"")</f>
        <v/>
      </c>
      <c r="L15" s="43" t="str">
        <f>IF(AND('Mapa final'!$AA$65="Muy Alta",'Mapa final'!$AC$65="Leve"),CONCATENATE("R10C",'Mapa final'!$Q$65),"")</f>
        <v/>
      </c>
      <c r="M15" s="43" t="str">
        <f>IF(AND('Mapa final'!$AA$66="Muy Alta",'Mapa final'!$AC$66="Leve"),CONCATENATE("R10C",'Mapa final'!$Q$66),"")</f>
        <v/>
      </c>
      <c r="N15" s="43" t="str">
        <f>IF(AND('Mapa final'!$AA$67="Muy Alta",'Mapa final'!$AC$67="Leve"),CONCATENATE("R10C",'Mapa final'!$Q$67),"")</f>
        <v/>
      </c>
      <c r="O15" s="44" t="str">
        <f>IF(AND('Mapa final'!$AA$68="Muy Alta",'Mapa final'!$AC$68="Leve"),CONCATENATE("R10C",'Mapa final'!$Q$68),"")</f>
        <v/>
      </c>
      <c r="P15" s="36" t="str">
        <f>IF(AND('Mapa final'!$AA$63="Muy Alta",'Mapa final'!$AC$63="Menor"),CONCATENATE("R10C",'Mapa final'!$Q$63),"")</f>
        <v/>
      </c>
      <c r="Q15" s="37" t="str">
        <f>IF(AND('Mapa final'!$AA$64="Muy Alta",'Mapa final'!$AC$64="Menor"),CONCATENATE("R10C",'Mapa final'!$Q$64),"")</f>
        <v/>
      </c>
      <c r="R15" s="37" t="str">
        <f>IF(AND('Mapa final'!$AA$65="Muy Alta",'Mapa final'!$AC$65="Menor"),CONCATENATE("R10C",'Mapa final'!$Q$65),"")</f>
        <v/>
      </c>
      <c r="S15" s="37" t="str">
        <f>IF(AND('Mapa final'!$AA$66="Muy Alta",'Mapa final'!$AC$66="Menor"),CONCATENATE("R10C",'Mapa final'!$Q$66),"")</f>
        <v/>
      </c>
      <c r="T15" s="37" t="str">
        <f>IF(AND('Mapa final'!$AA$67="Muy Alta",'Mapa final'!$AC$67="Menor"),CONCATENATE("R10C",'Mapa final'!$Q$67),"")</f>
        <v/>
      </c>
      <c r="U15" s="38" t="str">
        <f>IF(AND('Mapa final'!$AA$68="Muy Alta",'Mapa final'!$AC$68="Menor"),CONCATENATE("R10C",'Mapa final'!$Q$68),"")</f>
        <v/>
      </c>
      <c r="V15" s="42" t="str">
        <f>IF(AND('Mapa final'!$AA$63="Muy Alta",'Mapa final'!$AC$63="Moderado"),CONCATENATE("R10C",'Mapa final'!$Q$63),"")</f>
        <v/>
      </c>
      <c r="W15" s="43" t="str">
        <f>IF(AND('Mapa final'!$AA$64="Muy Alta",'Mapa final'!$AC$64="Moderado"),CONCATENATE("R10C",'Mapa final'!$Q$64),"")</f>
        <v/>
      </c>
      <c r="X15" s="43" t="str">
        <f>IF(AND('Mapa final'!$AA$65="Muy Alta",'Mapa final'!$AC$65="Moderado"),CONCATENATE("R10C",'Mapa final'!$Q$65),"")</f>
        <v/>
      </c>
      <c r="Y15" s="43" t="str">
        <f>IF(AND('Mapa final'!$AA$66="Muy Alta",'Mapa final'!$AC$66="Moderado"),CONCATENATE("R10C",'Mapa final'!$Q$66),"")</f>
        <v/>
      </c>
      <c r="Z15" s="43" t="str">
        <f>IF(AND('Mapa final'!$AA$67="Muy Alta",'Mapa final'!$AC$67="Moderado"),CONCATENATE("R10C",'Mapa final'!$Q$67),"")</f>
        <v/>
      </c>
      <c r="AA15" s="44" t="str">
        <f>IF(AND('Mapa final'!$AA$68="Muy Alta",'Mapa final'!$AC$68="Moderado"),CONCATENATE("R10C",'Mapa final'!$Q$68),"")</f>
        <v/>
      </c>
      <c r="AB15" s="36" t="str">
        <f>IF(AND('Mapa final'!$AA$63="Muy Alta",'Mapa final'!$AC$63="Mayor"),CONCATENATE("R10C",'Mapa final'!$Q$63),"")</f>
        <v/>
      </c>
      <c r="AC15" s="37" t="str">
        <f>IF(AND('Mapa final'!$AA$64="Muy Alta",'Mapa final'!$AC$64="Mayor"),CONCATENATE("R10C",'Mapa final'!$Q$64),"")</f>
        <v/>
      </c>
      <c r="AD15" s="37" t="str">
        <f>IF(AND('Mapa final'!$AA$65="Muy Alta",'Mapa final'!$AC$65="Mayor"),CONCATENATE("R10C",'Mapa final'!$Q$65),"")</f>
        <v/>
      </c>
      <c r="AE15" s="37" t="str">
        <f>IF(AND('Mapa final'!$AA$66="Muy Alta",'Mapa final'!$AC$66="Mayor"),CONCATENATE("R10C",'Mapa final'!$Q$66),"")</f>
        <v/>
      </c>
      <c r="AF15" s="37" t="str">
        <f>IF(AND('Mapa final'!$AA$67="Muy Alta",'Mapa final'!$AC$67="Mayor"),CONCATENATE("R10C",'Mapa final'!$Q$67),"")</f>
        <v/>
      </c>
      <c r="AG15" s="38" t="str">
        <f>IF(AND('Mapa final'!$AA$68="Muy Alta",'Mapa final'!$AC$68="Mayor"),CONCATENATE("R10C",'Mapa final'!$Q$68),"")</f>
        <v/>
      </c>
      <c r="AH15" s="45" t="str">
        <f>IF(AND('Mapa final'!$AA$63="Muy Alta",'Mapa final'!$AC$63="Catastrófico"),CONCATENATE("R10C",'Mapa final'!$Q$63),"")</f>
        <v/>
      </c>
      <c r="AI15" s="46" t="str">
        <f>IF(AND('Mapa final'!$AA$64="Muy Alta",'Mapa final'!$AC$64="Catastrófico"),CONCATENATE("R10C",'Mapa final'!$Q$64),"")</f>
        <v/>
      </c>
      <c r="AJ15" s="46" t="str">
        <f>IF(AND('Mapa final'!$AA$65="Muy Alta",'Mapa final'!$AC$65="Catastrófico"),CONCATENATE("R10C",'Mapa final'!$Q$65),"")</f>
        <v/>
      </c>
      <c r="AK15" s="46" t="str">
        <f>IF(AND('Mapa final'!$AA$66="Muy Alta",'Mapa final'!$AC$66="Catastrófico"),CONCATENATE("R10C",'Mapa final'!$Q$66),"")</f>
        <v/>
      </c>
      <c r="AL15" s="46" t="str">
        <f>IF(AND('Mapa final'!$AA$67="Muy Alta",'Mapa final'!$AC$67="Catastrófico"),CONCATENATE("R10C",'Mapa final'!$Q$67),"")</f>
        <v/>
      </c>
      <c r="AM15" s="47" t="str">
        <f>IF(AND('Mapa final'!$AA$68="Muy Alta",'Mapa final'!$AC$68="Catastrófico"),CONCATENATE("R10C",'Mapa final'!$Q$68),"")</f>
        <v/>
      </c>
      <c r="AN15" s="67"/>
      <c r="AO15" s="413"/>
      <c r="AP15" s="414"/>
      <c r="AQ15" s="414"/>
      <c r="AR15" s="414"/>
      <c r="AS15" s="414"/>
      <c r="AT15" s="41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305"/>
      <c r="C16" s="305"/>
      <c r="D16" s="306"/>
      <c r="E16" s="400" t="s">
        <v>109</v>
      </c>
      <c r="F16" s="401"/>
      <c r="G16" s="401"/>
      <c r="H16" s="401"/>
      <c r="I16" s="401"/>
      <c r="J16" s="48" t="str">
        <f>IF(AND('Mapa final'!$AA$10="Alta",'Mapa final'!$AC$10="Leve"),CONCATENATE("R1C",'Mapa final'!$Q$10),"")</f>
        <v/>
      </c>
      <c r="K16" s="49" t="e">
        <f>IF(AND('Mapa final'!#REF!="Alta",'Mapa final'!#REF!="Leve"),CONCATENATE("R1C",'Mapa final'!#REF!),"")</f>
        <v>#REF!</v>
      </c>
      <c r="L16" s="49" t="str">
        <f>IF(AND('Mapa final'!$AA$11="Alta",'Mapa final'!$AC$11="Leve"),CONCATENATE("R1C",'Mapa final'!$Q$11),"")</f>
        <v/>
      </c>
      <c r="M16" s="49" t="str">
        <f>IF(AND('Mapa final'!$AA$12="Alta",'Mapa final'!$AC$12="Leve"),CONCATENATE("R1C",'Mapa final'!$Q$12),"")</f>
        <v/>
      </c>
      <c r="N16" s="49" t="str">
        <f>IF(AND('Mapa final'!$AA$13="Alta",'Mapa final'!$AC$13="Leve"),CONCATENATE("R1C",'Mapa final'!$Q$13),"")</f>
        <v/>
      </c>
      <c r="O16" s="50" t="str">
        <f>IF(AND('Mapa final'!$AA$14="Alta",'Mapa final'!$AC$14="Leve"),CONCATENATE("R1C",'Mapa final'!$Q$14),"")</f>
        <v/>
      </c>
      <c r="P16" s="48" t="str">
        <f>IF(AND('Mapa final'!$AA$10="Alta",'Mapa final'!$AC$10="Menor"),CONCATENATE("R1C",'Mapa final'!$Q$10),"")</f>
        <v/>
      </c>
      <c r="Q16" s="49" t="e">
        <f>IF(AND('Mapa final'!#REF!="Alta",'Mapa final'!#REF!="Menor"),CONCATENATE("R1C",'Mapa final'!#REF!),"")</f>
        <v>#REF!</v>
      </c>
      <c r="R16" s="49" t="str">
        <f>IF(AND('Mapa final'!$AA$11="Alta",'Mapa final'!$AC$11="Menor"),CONCATENATE("R1C",'Mapa final'!$Q$11),"")</f>
        <v/>
      </c>
      <c r="S16" s="49" t="str">
        <f>IF(AND('Mapa final'!$AA$12="Alta",'Mapa final'!$AC$12="Menor"),CONCATENATE("R1C",'Mapa final'!$Q$12),"")</f>
        <v/>
      </c>
      <c r="T16" s="49" t="str">
        <f>IF(AND('Mapa final'!$AA$13="Alta",'Mapa final'!$AC$13="Menor"),CONCATENATE("R1C",'Mapa final'!$Q$13),"")</f>
        <v/>
      </c>
      <c r="U16" s="50" t="str">
        <f>IF(AND('Mapa final'!$AA$14="Alta",'Mapa final'!$AC$14="Menor"),CONCATENATE("R1C",'Mapa final'!$Q$14),"")</f>
        <v/>
      </c>
      <c r="V16" s="30" t="str">
        <f>IF(AND('Mapa final'!$AA$10="Alta",'Mapa final'!$AC$10="Moderado"),CONCATENATE("R1C",'Mapa final'!$Q$10),"")</f>
        <v/>
      </c>
      <c r="W16" s="31" t="e">
        <f>IF(AND('Mapa final'!#REF!="Alta",'Mapa final'!#REF!="Moderado"),CONCATENATE("R1C",'Mapa final'!#REF!),"")</f>
        <v>#REF!</v>
      </c>
      <c r="X16" s="31" t="str">
        <f>IF(AND('Mapa final'!$AA$11="Alta",'Mapa final'!$AC$11="Moderado"),CONCATENATE("R1C",'Mapa final'!$Q$11),"")</f>
        <v/>
      </c>
      <c r="Y16" s="31" t="str">
        <f>IF(AND('Mapa final'!$AA$12="Alta",'Mapa final'!$AC$12="Moderado"),CONCATENATE("R1C",'Mapa final'!$Q$12),"")</f>
        <v/>
      </c>
      <c r="Z16" s="31" t="str">
        <f>IF(AND('Mapa final'!$AA$13="Alta",'Mapa final'!$AC$13="Moderado"),CONCATENATE("R1C",'Mapa final'!$Q$13),"")</f>
        <v/>
      </c>
      <c r="AA16" s="32" t="str">
        <f>IF(AND('Mapa final'!$AA$14="Alta",'Mapa final'!$AC$14="Moderado"),CONCATENATE("R1C",'Mapa final'!$Q$14),"")</f>
        <v/>
      </c>
      <c r="AB16" s="30" t="str">
        <f>IF(AND('Mapa final'!$AA$10="Alta",'Mapa final'!$AC$10="Mayor"),CONCATENATE("R1C",'Mapa final'!$Q$10),"")</f>
        <v/>
      </c>
      <c r="AC16" s="31" t="e">
        <f>IF(AND('Mapa final'!#REF!="Alta",'Mapa final'!#REF!="Mayor"),CONCATENATE("R1C",'Mapa final'!#REF!),"")</f>
        <v>#REF!</v>
      </c>
      <c r="AD16" s="31" t="str">
        <f>IF(AND('Mapa final'!$AA$11="Alta",'Mapa final'!$AC$11="Mayor"),CONCATENATE("R1C",'Mapa final'!$Q$11),"")</f>
        <v/>
      </c>
      <c r="AE16" s="31" t="str">
        <f>IF(AND('Mapa final'!$AA$12="Alta",'Mapa final'!$AC$12="Mayor"),CONCATENATE("R1C",'Mapa final'!$Q$12),"")</f>
        <v/>
      </c>
      <c r="AF16" s="31" t="str">
        <f>IF(AND('Mapa final'!$AA$13="Alta",'Mapa final'!$AC$13="Mayor"),CONCATENATE("R1C",'Mapa final'!$Q$13),"")</f>
        <v/>
      </c>
      <c r="AG16" s="32" t="str">
        <f>IF(AND('Mapa final'!$AA$14="Alta",'Mapa final'!$AC$14="Mayor"),CONCATENATE("R1C",'Mapa final'!$Q$14),"")</f>
        <v/>
      </c>
      <c r="AH16" s="33" t="str">
        <f>IF(AND('Mapa final'!$AA$10="Alta",'Mapa final'!$AC$10="Catastrófico"),CONCATENATE("R1C",'Mapa final'!$Q$10),"")</f>
        <v/>
      </c>
      <c r="AI16" s="34" t="e">
        <f>IF(AND('Mapa final'!#REF!="Alta",'Mapa final'!#REF!="Catastrófico"),CONCATENATE("R1C",'Mapa final'!#REF!),"")</f>
        <v>#REF!</v>
      </c>
      <c r="AJ16" s="34" t="str">
        <f>IF(AND('Mapa final'!$AA$11="Alta",'Mapa final'!$AC$11="Catastrófico"),CONCATENATE("R1C",'Mapa final'!$Q$11),"")</f>
        <v/>
      </c>
      <c r="AK16" s="34" t="str">
        <f>IF(AND('Mapa final'!$AA$12="Alta",'Mapa final'!$AC$12="Catastrófico"),CONCATENATE("R1C",'Mapa final'!$Q$12),"")</f>
        <v/>
      </c>
      <c r="AL16" s="34" t="str">
        <f>IF(AND('Mapa final'!$AA$13="Alta",'Mapa final'!$AC$13="Catastrófico"),CONCATENATE("R1C",'Mapa final'!$Q$13),"")</f>
        <v/>
      </c>
      <c r="AM16" s="35" t="str">
        <f>IF(AND('Mapa final'!$AA$14="Alta",'Mapa final'!$AC$14="Catastrófico"),CONCATENATE("R1C",'Mapa final'!$Q$14),"")</f>
        <v/>
      </c>
      <c r="AN16" s="67"/>
      <c r="AO16" s="391" t="s">
        <v>78</v>
      </c>
      <c r="AP16" s="392"/>
      <c r="AQ16" s="392"/>
      <c r="AR16" s="392"/>
      <c r="AS16" s="392"/>
      <c r="AT16" s="39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305"/>
      <c r="C17" s="305"/>
      <c r="D17" s="306"/>
      <c r="E17" s="402"/>
      <c r="F17" s="403"/>
      <c r="G17" s="403"/>
      <c r="H17" s="403"/>
      <c r="I17" s="403"/>
      <c r="J17" s="51" t="str">
        <f>IF(AND('Mapa final'!$AA$15="Alta",'Mapa final'!$AC$15="Leve"),CONCATENATE("R2C",'Mapa final'!$Q$15),"")</f>
        <v/>
      </c>
      <c r="K17" s="52" t="str">
        <f>IF(AND('Mapa final'!$AA$16="Alta",'Mapa final'!$AC$16="Leve"),CONCATENATE("R2C",'Mapa final'!$Q$16),"")</f>
        <v/>
      </c>
      <c r="L17" s="52" t="str">
        <f>IF(AND('Mapa final'!$AA$17="Alta",'Mapa final'!$AC$17="Leve"),CONCATENATE("R2C",'Mapa final'!$Q$17),"")</f>
        <v/>
      </c>
      <c r="M17" s="52" t="str">
        <f>IF(AND('Mapa final'!$AA$18="Alta",'Mapa final'!$AC$18="Leve"),CONCATENATE("R2C",'Mapa final'!$Q$18),"")</f>
        <v/>
      </c>
      <c r="N17" s="52" t="str">
        <f>IF(AND('Mapa final'!$AA$19="Alta",'Mapa final'!$AC$19="Leve"),CONCATENATE("R2C",'Mapa final'!$Q$19),"")</f>
        <v/>
      </c>
      <c r="O17" s="53" t="str">
        <f>IF(AND('Mapa final'!$AA$20="Alta",'Mapa final'!$AC$20="Leve"),CONCATENATE("R2C",'Mapa final'!$Q$20),"")</f>
        <v/>
      </c>
      <c r="P17" s="51" t="str">
        <f>IF(AND('Mapa final'!$AA$15="Alta",'Mapa final'!$AC$15="Menor"),CONCATENATE("R2C",'Mapa final'!$Q$15),"")</f>
        <v/>
      </c>
      <c r="Q17" s="52" t="str">
        <f>IF(AND('Mapa final'!$AA$16="Alta",'Mapa final'!$AC$16="Menor"),CONCATENATE("R2C",'Mapa final'!$Q$16),"")</f>
        <v/>
      </c>
      <c r="R17" s="52" t="str">
        <f>IF(AND('Mapa final'!$AA$17="Alta",'Mapa final'!$AC$17="Menor"),CONCATENATE("R2C",'Mapa final'!$Q$17),"")</f>
        <v/>
      </c>
      <c r="S17" s="52" t="str">
        <f>IF(AND('Mapa final'!$AA$18="Alta",'Mapa final'!$AC$18="Menor"),CONCATENATE("R2C",'Mapa final'!$Q$18),"")</f>
        <v/>
      </c>
      <c r="T17" s="52" t="str">
        <f>IF(AND('Mapa final'!$AA$19="Alta",'Mapa final'!$AC$19="Menor"),CONCATENATE("R2C",'Mapa final'!$Q$19),"")</f>
        <v/>
      </c>
      <c r="U17" s="53" t="str">
        <f>IF(AND('Mapa final'!$AA$20="Alta",'Mapa final'!$AC$20="Menor"),CONCATENATE("R2C",'Mapa final'!$Q$20),"")</f>
        <v/>
      </c>
      <c r="V17" s="36" t="str">
        <f>IF(AND('Mapa final'!$AA$15="Alta",'Mapa final'!$AC$15="Moderado"),CONCATENATE("R2C",'Mapa final'!$Q$15),"")</f>
        <v/>
      </c>
      <c r="W17" s="37" t="str">
        <f>IF(AND('Mapa final'!$AA$16="Alta",'Mapa final'!$AC$16="Moderado"),CONCATENATE("R2C",'Mapa final'!$Q$16),"")</f>
        <v/>
      </c>
      <c r="X17" s="37" t="str">
        <f>IF(AND('Mapa final'!$AA$17="Alta",'Mapa final'!$AC$17="Moderado"),CONCATENATE("R2C",'Mapa final'!$Q$17),"")</f>
        <v/>
      </c>
      <c r="Y17" s="37" t="str">
        <f>IF(AND('Mapa final'!$AA$18="Alta",'Mapa final'!$AC$18="Moderado"),CONCATENATE("R2C",'Mapa final'!$Q$18),"")</f>
        <v/>
      </c>
      <c r="Z17" s="37" t="str">
        <f>IF(AND('Mapa final'!$AA$19="Alta",'Mapa final'!$AC$19="Moderado"),CONCATENATE("R2C",'Mapa final'!$Q$19),"")</f>
        <v/>
      </c>
      <c r="AA17" s="38" t="str">
        <f>IF(AND('Mapa final'!$AA$20="Alta",'Mapa final'!$AC$20="Moderado"),CONCATENATE("R2C",'Mapa final'!$Q$20),"")</f>
        <v/>
      </c>
      <c r="AB17" s="36" t="str">
        <f>IF(AND('Mapa final'!$AA$15="Alta",'Mapa final'!$AC$15="Mayor"),CONCATENATE("R2C",'Mapa final'!$Q$15),"")</f>
        <v/>
      </c>
      <c r="AC17" s="37" t="str">
        <f>IF(AND('Mapa final'!$AA$16="Alta",'Mapa final'!$AC$16="Mayor"),CONCATENATE("R2C",'Mapa final'!$Q$16),"")</f>
        <v/>
      </c>
      <c r="AD17" s="37" t="str">
        <f>IF(AND('Mapa final'!$AA$17="Alta",'Mapa final'!$AC$17="Mayor"),CONCATENATE("R2C",'Mapa final'!$Q$17),"")</f>
        <v/>
      </c>
      <c r="AE17" s="37" t="str">
        <f>IF(AND('Mapa final'!$AA$18="Alta",'Mapa final'!$AC$18="Mayor"),CONCATENATE("R2C",'Mapa final'!$Q$18),"")</f>
        <v/>
      </c>
      <c r="AF17" s="37" t="str">
        <f>IF(AND('Mapa final'!$AA$19="Alta",'Mapa final'!$AC$19="Mayor"),CONCATENATE("R2C",'Mapa final'!$Q$19),"")</f>
        <v/>
      </c>
      <c r="AG17" s="38" t="str">
        <f>IF(AND('Mapa final'!$AA$20="Alta",'Mapa final'!$AC$20="Mayor"),CONCATENATE("R2C",'Mapa final'!$Q$20),"")</f>
        <v/>
      </c>
      <c r="AH17" s="39" t="str">
        <f>IF(AND('Mapa final'!$AA$15="Alta",'Mapa final'!$AC$15="Catastrófico"),CONCATENATE("R2C",'Mapa final'!$Q$15),"")</f>
        <v/>
      </c>
      <c r="AI17" s="40" t="str">
        <f>IF(AND('Mapa final'!$AA$16="Alta",'Mapa final'!$AC$16="Catastrófico"),CONCATENATE("R2C",'Mapa final'!$Q$16),"")</f>
        <v/>
      </c>
      <c r="AJ17" s="40" t="str">
        <f>IF(AND('Mapa final'!$AA$17="Alta",'Mapa final'!$AC$17="Catastrófico"),CONCATENATE("R2C",'Mapa final'!$Q$17),"")</f>
        <v/>
      </c>
      <c r="AK17" s="40" t="str">
        <f>IF(AND('Mapa final'!$AA$18="Alta",'Mapa final'!$AC$18="Catastrófico"),CONCATENATE("R2C",'Mapa final'!$Q$18),"")</f>
        <v/>
      </c>
      <c r="AL17" s="40" t="str">
        <f>IF(AND('Mapa final'!$AA$19="Alta",'Mapa final'!$AC$19="Catastrófico"),CONCATENATE("R2C",'Mapa final'!$Q$19),"")</f>
        <v/>
      </c>
      <c r="AM17" s="41" t="str">
        <f>IF(AND('Mapa final'!$AA$20="Alta",'Mapa final'!$AC$20="Catastrófico"),CONCATENATE("R2C",'Mapa final'!$Q$20),"")</f>
        <v/>
      </c>
      <c r="AN17" s="67"/>
      <c r="AO17" s="394"/>
      <c r="AP17" s="395"/>
      <c r="AQ17" s="395"/>
      <c r="AR17" s="395"/>
      <c r="AS17" s="395"/>
      <c r="AT17" s="39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305"/>
      <c r="C18" s="305"/>
      <c r="D18" s="306"/>
      <c r="E18" s="404"/>
      <c r="F18" s="403"/>
      <c r="G18" s="403"/>
      <c r="H18" s="403"/>
      <c r="I18" s="403"/>
      <c r="J18" s="51" t="str">
        <f>IF(AND('Mapa final'!$AA$21="Alta",'Mapa final'!$AC$21="Leve"),CONCATENATE("R3C",'Mapa final'!$Q$21),"")</f>
        <v/>
      </c>
      <c r="K18" s="52" t="str">
        <f>IF(AND('Mapa final'!$AA$22="Alta",'Mapa final'!$AC$22="Leve"),CONCATENATE("R3C",'Mapa final'!$Q$22),"")</f>
        <v/>
      </c>
      <c r="L18" s="52" t="str">
        <f>IF(AND('Mapa final'!$AA$23="Alta",'Mapa final'!$AC$23="Leve"),CONCATENATE("R3C",'Mapa final'!$Q$23),"")</f>
        <v/>
      </c>
      <c r="M18" s="52" t="str">
        <f>IF(AND('Mapa final'!$AA$24="Alta",'Mapa final'!$AC$24="Leve"),CONCATENATE("R3C",'Mapa final'!$Q$24),"")</f>
        <v/>
      </c>
      <c r="N18" s="52" t="str">
        <f>IF(AND('Mapa final'!$AA$25="Alta",'Mapa final'!$AC$25="Leve"),CONCATENATE("R3C",'Mapa final'!$Q$25),"")</f>
        <v/>
      </c>
      <c r="O18" s="53" t="str">
        <f>IF(AND('Mapa final'!$AA$26="Alta",'Mapa final'!$AC$26="Leve"),CONCATENATE("R3C",'Mapa final'!$Q$26),"")</f>
        <v/>
      </c>
      <c r="P18" s="51" t="str">
        <f>IF(AND('Mapa final'!$AA$21="Alta",'Mapa final'!$AC$21="Menor"),CONCATENATE("R3C",'Mapa final'!$Q$21),"")</f>
        <v/>
      </c>
      <c r="Q18" s="52" t="str">
        <f>IF(AND('Mapa final'!$AA$22="Alta",'Mapa final'!$AC$22="Menor"),CONCATENATE("R3C",'Mapa final'!$Q$22),"")</f>
        <v/>
      </c>
      <c r="R18" s="52" t="str">
        <f>IF(AND('Mapa final'!$AA$23="Alta",'Mapa final'!$AC$23="Menor"),CONCATENATE("R3C",'Mapa final'!$Q$23),"")</f>
        <v/>
      </c>
      <c r="S18" s="52" t="str">
        <f>IF(AND('Mapa final'!$AA$24="Alta",'Mapa final'!$AC$24="Menor"),CONCATENATE("R3C",'Mapa final'!$Q$24),"")</f>
        <v/>
      </c>
      <c r="T18" s="52" t="str">
        <f>IF(AND('Mapa final'!$AA$25="Alta",'Mapa final'!$AC$25="Menor"),CONCATENATE("R3C",'Mapa final'!$Q$25),"")</f>
        <v/>
      </c>
      <c r="U18" s="53" t="str">
        <f>IF(AND('Mapa final'!$AA$26="Alta",'Mapa final'!$AC$26="Menor"),CONCATENATE("R3C",'Mapa final'!$Q$26),"")</f>
        <v/>
      </c>
      <c r="V18" s="36" t="str">
        <f>IF(AND('Mapa final'!$AA$21="Alta",'Mapa final'!$AC$21="Moderado"),CONCATENATE("R3C",'Mapa final'!$Q$21),"")</f>
        <v/>
      </c>
      <c r="W18" s="37" t="str">
        <f>IF(AND('Mapa final'!$AA$22="Alta",'Mapa final'!$AC$22="Moderado"),CONCATENATE("R3C",'Mapa final'!$Q$22),"")</f>
        <v/>
      </c>
      <c r="X18" s="37" t="str">
        <f>IF(AND('Mapa final'!$AA$23="Alta",'Mapa final'!$AC$23="Moderado"),CONCATENATE("R3C",'Mapa final'!$Q$23),"")</f>
        <v/>
      </c>
      <c r="Y18" s="37" t="str">
        <f>IF(AND('Mapa final'!$AA$24="Alta",'Mapa final'!$AC$24="Moderado"),CONCATENATE("R3C",'Mapa final'!$Q$24),"")</f>
        <v/>
      </c>
      <c r="Z18" s="37" t="str">
        <f>IF(AND('Mapa final'!$AA$25="Alta",'Mapa final'!$AC$25="Moderado"),CONCATENATE("R3C",'Mapa final'!$Q$25),"")</f>
        <v/>
      </c>
      <c r="AA18" s="38" t="str">
        <f>IF(AND('Mapa final'!$AA$26="Alta",'Mapa final'!$AC$26="Moderado"),CONCATENATE("R3C",'Mapa final'!$Q$26),"")</f>
        <v/>
      </c>
      <c r="AB18" s="36" t="str">
        <f>IF(AND('Mapa final'!$AA$21="Alta",'Mapa final'!$AC$21="Mayor"),CONCATENATE("R3C",'Mapa final'!$Q$21),"")</f>
        <v/>
      </c>
      <c r="AC18" s="37" t="str">
        <f>IF(AND('Mapa final'!$AA$22="Alta",'Mapa final'!$AC$22="Mayor"),CONCATENATE("R3C",'Mapa final'!$Q$22),"")</f>
        <v/>
      </c>
      <c r="AD18" s="37" t="str">
        <f>IF(AND('Mapa final'!$AA$23="Alta",'Mapa final'!$AC$23="Mayor"),CONCATENATE("R3C",'Mapa final'!$Q$23),"")</f>
        <v/>
      </c>
      <c r="AE18" s="37" t="str">
        <f>IF(AND('Mapa final'!$AA$24="Alta",'Mapa final'!$AC$24="Mayor"),CONCATENATE("R3C",'Mapa final'!$Q$24),"")</f>
        <v/>
      </c>
      <c r="AF18" s="37" t="str">
        <f>IF(AND('Mapa final'!$AA$25="Alta",'Mapa final'!$AC$25="Mayor"),CONCATENATE("R3C",'Mapa final'!$Q$25),"")</f>
        <v/>
      </c>
      <c r="AG18" s="38" t="str">
        <f>IF(AND('Mapa final'!$AA$26="Alta",'Mapa final'!$AC$26="Mayor"),CONCATENATE("R3C",'Mapa final'!$Q$26),"")</f>
        <v/>
      </c>
      <c r="AH18" s="39" t="str">
        <f>IF(AND('Mapa final'!$AA$21="Alta",'Mapa final'!$AC$21="Catastrófico"),CONCATENATE("R3C",'Mapa final'!$Q$21),"")</f>
        <v/>
      </c>
      <c r="AI18" s="40" t="str">
        <f>IF(AND('Mapa final'!$AA$22="Alta",'Mapa final'!$AC$22="Catastrófico"),CONCATENATE("R3C",'Mapa final'!$Q$22),"")</f>
        <v/>
      </c>
      <c r="AJ18" s="40" t="str">
        <f>IF(AND('Mapa final'!$AA$23="Alta",'Mapa final'!$AC$23="Catastrófico"),CONCATENATE("R3C",'Mapa final'!$Q$23),"")</f>
        <v/>
      </c>
      <c r="AK18" s="40" t="str">
        <f>IF(AND('Mapa final'!$AA$24="Alta",'Mapa final'!$AC$24="Catastrófico"),CONCATENATE("R3C",'Mapa final'!$Q$24),"")</f>
        <v/>
      </c>
      <c r="AL18" s="40" t="str">
        <f>IF(AND('Mapa final'!$AA$25="Alta",'Mapa final'!$AC$25="Catastrófico"),CONCATENATE("R3C",'Mapa final'!$Q$25),"")</f>
        <v/>
      </c>
      <c r="AM18" s="41" t="str">
        <f>IF(AND('Mapa final'!$AA$26="Alta",'Mapa final'!$AC$26="Catastrófico"),CONCATENATE("R3C",'Mapa final'!$Q$26),"")</f>
        <v/>
      </c>
      <c r="AN18" s="67"/>
      <c r="AO18" s="394"/>
      <c r="AP18" s="395"/>
      <c r="AQ18" s="395"/>
      <c r="AR18" s="395"/>
      <c r="AS18" s="395"/>
      <c r="AT18" s="39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305"/>
      <c r="C19" s="305"/>
      <c r="D19" s="306"/>
      <c r="E19" s="404"/>
      <c r="F19" s="403"/>
      <c r="G19" s="403"/>
      <c r="H19" s="403"/>
      <c r="I19" s="403"/>
      <c r="J19" s="51" t="str">
        <f>IF(AND('Mapa final'!$AA$27="Alta",'Mapa final'!$AC$27="Leve"),CONCATENATE("R4C",'Mapa final'!$Q$27),"")</f>
        <v/>
      </c>
      <c r="K19" s="52" t="str">
        <f>IF(AND('Mapa final'!$AA$28="Alta",'Mapa final'!$AC$28="Leve"),CONCATENATE("R4C",'Mapa final'!$Q$28),"")</f>
        <v/>
      </c>
      <c r="L19" s="52" t="str">
        <f>IF(AND('Mapa final'!$AA$29="Alta",'Mapa final'!$AC$29="Leve"),CONCATENATE("R4C",'Mapa final'!$Q$29),"")</f>
        <v/>
      </c>
      <c r="M19" s="52" t="str">
        <f>IF(AND('Mapa final'!$AA$30="Alta",'Mapa final'!$AC$30="Leve"),CONCATENATE("R4C",'Mapa final'!$Q$30),"")</f>
        <v/>
      </c>
      <c r="N19" s="52" t="str">
        <f>IF(AND('Mapa final'!$AA$31="Alta",'Mapa final'!$AC$31="Leve"),CONCATENATE("R4C",'Mapa final'!$Q$31),"")</f>
        <v/>
      </c>
      <c r="O19" s="53" t="str">
        <f>IF(AND('Mapa final'!$AA$32="Alta",'Mapa final'!$AC$32="Leve"),CONCATENATE("R4C",'Mapa final'!$Q$32),"")</f>
        <v/>
      </c>
      <c r="P19" s="51" t="str">
        <f>IF(AND('Mapa final'!$AA$27="Alta",'Mapa final'!$AC$27="Menor"),CONCATENATE("R4C",'Mapa final'!$Q$27),"")</f>
        <v/>
      </c>
      <c r="Q19" s="52" t="str">
        <f>IF(AND('Mapa final'!$AA$28="Alta",'Mapa final'!$AC$28="Menor"),CONCATENATE("R4C",'Mapa final'!$Q$28),"")</f>
        <v/>
      </c>
      <c r="R19" s="52" t="str">
        <f>IF(AND('Mapa final'!$AA$29="Alta",'Mapa final'!$AC$29="Menor"),CONCATENATE("R4C",'Mapa final'!$Q$29),"")</f>
        <v/>
      </c>
      <c r="S19" s="52" t="str">
        <f>IF(AND('Mapa final'!$AA$30="Alta",'Mapa final'!$AC$30="Menor"),CONCATENATE("R4C",'Mapa final'!$Q$30),"")</f>
        <v/>
      </c>
      <c r="T19" s="52" t="str">
        <f>IF(AND('Mapa final'!$AA$31="Alta",'Mapa final'!$AC$31="Menor"),CONCATENATE("R4C",'Mapa final'!$Q$31),"")</f>
        <v/>
      </c>
      <c r="U19" s="53" t="str">
        <f>IF(AND('Mapa final'!$AA$32="Alta",'Mapa final'!$AC$32="Menor"),CONCATENATE("R4C",'Mapa final'!$Q$32),"")</f>
        <v/>
      </c>
      <c r="V19" s="36" t="str">
        <f>IF(AND('Mapa final'!$AA$27="Alta",'Mapa final'!$AC$27="Moderado"),CONCATENATE("R4C",'Mapa final'!$Q$27),"")</f>
        <v/>
      </c>
      <c r="W19" s="37" t="str">
        <f>IF(AND('Mapa final'!$AA$28="Alta",'Mapa final'!$AC$28="Moderado"),CONCATENATE("R4C",'Mapa final'!$Q$28),"")</f>
        <v/>
      </c>
      <c r="X19" s="37" t="str">
        <f>IF(AND('Mapa final'!$AA$29="Alta",'Mapa final'!$AC$29="Moderado"),CONCATENATE("R4C",'Mapa final'!$Q$29),"")</f>
        <v/>
      </c>
      <c r="Y19" s="37" t="str">
        <f>IF(AND('Mapa final'!$AA$30="Alta",'Mapa final'!$AC$30="Moderado"),CONCATENATE("R4C",'Mapa final'!$Q$30),"")</f>
        <v/>
      </c>
      <c r="Z19" s="37" t="str">
        <f>IF(AND('Mapa final'!$AA$31="Alta",'Mapa final'!$AC$31="Moderado"),CONCATENATE("R4C",'Mapa final'!$Q$31),"")</f>
        <v/>
      </c>
      <c r="AA19" s="38" t="str">
        <f>IF(AND('Mapa final'!$AA$32="Alta",'Mapa final'!$AC$32="Moderado"),CONCATENATE("R4C",'Mapa final'!$Q$32),"")</f>
        <v/>
      </c>
      <c r="AB19" s="36" t="str">
        <f>IF(AND('Mapa final'!$AA$27="Alta",'Mapa final'!$AC$27="Mayor"),CONCATENATE("R4C",'Mapa final'!$Q$27),"")</f>
        <v/>
      </c>
      <c r="AC19" s="37" t="str">
        <f>IF(AND('Mapa final'!$AA$28="Alta",'Mapa final'!$AC$28="Mayor"),CONCATENATE("R4C",'Mapa final'!$Q$28),"")</f>
        <v/>
      </c>
      <c r="AD19" s="37" t="str">
        <f>IF(AND('Mapa final'!$AA$29="Alta",'Mapa final'!$AC$29="Mayor"),CONCATENATE("R4C",'Mapa final'!$Q$29),"")</f>
        <v/>
      </c>
      <c r="AE19" s="37" t="str">
        <f>IF(AND('Mapa final'!$AA$30="Alta",'Mapa final'!$AC$30="Mayor"),CONCATENATE("R4C",'Mapa final'!$Q$30),"")</f>
        <v/>
      </c>
      <c r="AF19" s="37" t="str">
        <f>IF(AND('Mapa final'!$AA$31="Alta",'Mapa final'!$AC$31="Mayor"),CONCATENATE("R4C",'Mapa final'!$Q$31),"")</f>
        <v/>
      </c>
      <c r="AG19" s="38" t="str">
        <f>IF(AND('Mapa final'!$AA$32="Alta",'Mapa final'!$AC$32="Mayor"),CONCATENATE("R4C",'Mapa final'!$Q$32),"")</f>
        <v/>
      </c>
      <c r="AH19" s="39" t="str">
        <f>IF(AND('Mapa final'!$AA$27="Alta",'Mapa final'!$AC$27="Catastrófico"),CONCATENATE("R4C",'Mapa final'!$Q$27),"")</f>
        <v/>
      </c>
      <c r="AI19" s="40" t="str">
        <f>IF(AND('Mapa final'!$AA$28="Alta",'Mapa final'!$AC$28="Catastrófico"),CONCATENATE("R4C",'Mapa final'!$Q$28),"")</f>
        <v/>
      </c>
      <c r="AJ19" s="40" t="str">
        <f>IF(AND('Mapa final'!$AA$29="Alta",'Mapa final'!$AC$29="Catastrófico"),CONCATENATE("R4C",'Mapa final'!$Q$29),"")</f>
        <v/>
      </c>
      <c r="AK19" s="40" t="str">
        <f>IF(AND('Mapa final'!$AA$30="Alta",'Mapa final'!$AC$30="Catastrófico"),CONCATENATE("R4C",'Mapa final'!$Q$30),"")</f>
        <v/>
      </c>
      <c r="AL19" s="40" t="str">
        <f>IF(AND('Mapa final'!$AA$31="Alta",'Mapa final'!$AC$31="Catastrófico"),CONCATENATE("R4C",'Mapa final'!$Q$31),"")</f>
        <v/>
      </c>
      <c r="AM19" s="41" t="str">
        <f>IF(AND('Mapa final'!$AA$32="Alta",'Mapa final'!$AC$32="Catastrófico"),CONCATENATE("R4C",'Mapa final'!$Q$32),"")</f>
        <v/>
      </c>
      <c r="AN19" s="67"/>
      <c r="AO19" s="394"/>
      <c r="AP19" s="395"/>
      <c r="AQ19" s="395"/>
      <c r="AR19" s="395"/>
      <c r="AS19" s="395"/>
      <c r="AT19" s="39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305"/>
      <c r="C20" s="305"/>
      <c r="D20" s="306"/>
      <c r="E20" s="404"/>
      <c r="F20" s="403"/>
      <c r="G20" s="403"/>
      <c r="H20" s="403"/>
      <c r="I20" s="403"/>
      <c r="J20" s="51" t="str">
        <f>IF(AND('Mapa final'!$AA$33="Alta",'Mapa final'!$AC$33="Leve"),CONCATENATE("R5C",'Mapa final'!$Q$33),"")</f>
        <v/>
      </c>
      <c r="K20" s="52" t="str">
        <f>IF(AND('Mapa final'!$AA$34="Alta",'Mapa final'!$AC$34="Leve"),CONCATENATE("R5C",'Mapa final'!$Q$34),"")</f>
        <v/>
      </c>
      <c r="L20" s="52" t="str">
        <f>IF(AND('Mapa final'!$AA$35="Alta",'Mapa final'!$AC$35="Leve"),CONCATENATE("R5C",'Mapa final'!$Q$35),"")</f>
        <v/>
      </c>
      <c r="M20" s="52" t="str">
        <f>IF(AND('Mapa final'!$AA$36="Alta",'Mapa final'!$AC$36="Leve"),CONCATENATE("R5C",'Mapa final'!$Q$36),"")</f>
        <v/>
      </c>
      <c r="N20" s="52" t="str">
        <f>IF(AND('Mapa final'!$AA$37="Alta",'Mapa final'!$AC$37="Leve"),CONCATENATE("R5C",'Mapa final'!$Q$37),"")</f>
        <v/>
      </c>
      <c r="O20" s="53" t="str">
        <f>IF(AND('Mapa final'!$AA$38="Alta",'Mapa final'!$AC$38="Leve"),CONCATENATE("R5C",'Mapa final'!$Q$38),"")</f>
        <v/>
      </c>
      <c r="P20" s="51" t="str">
        <f>IF(AND('Mapa final'!$AA$33="Alta",'Mapa final'!$AC$33="Menor"),CONCATENATE("R5C",'Mapa final'!$Q$33),"")</f>
        <v/>
      </c>
      <c r="Q20" s="52" t="str">
        <f>IF(AND('Mapa final'!$AA$34="Alta",'Mapa final'!$AC$34="Menor"),CONCATENATE("R5C",'Mapa final'!$Q$34),"")</f>
        <v/>
      </c>
      <c r="R20" s="52" t="str">
        <f>IF(AND('Mapa final'!$AA$35="Alta",'Mapa final'!$AC$35="Menor"),CONCATENATE("R5C",'Mapa final'!$Q$35),"")</f>
        <v/>
      </c>
      <c r="S20" s="52" t="str">
        <f>IF(AND('Mapa final'!$AA$36="Alta",'Mapa final'!$AC$36="Menor"),CONCATENATE("R5C",'Mapa final'!$Q$36),"")</f>
        <v/>
      </c>
      <c r="T20" s="52" t="str">
        <f>IF(AND('Mapa final'!$AA$37="Alta",'Mapa final'!$AC$37="Menor"),CONCATENATE("R5C",'Mapa final'!$Q$37),"")</f>
        <v/>
      </c>
      <c r="U20" s="53" t="str">
        <f>IF(AND('Mapa final'!$AA$38="Alta",'Mapa final'!$AC$38="Menor"),CONCATENATE("R5C",'Mapa final'!$Q$38),"")</f>
        <v/>
      </c>
      <c r="V20" s="36" t="str">
        <f>IF(AND('Mapa final'!$AA$33="Alta",'Mapa final'!$AC$33="Moderado"),CONCATENATE("R5C",'Mapa final'!$Q$33),"")</f>
        <v/>
      </c>
      <c r="W20" s="37" t="str">
        <f>IF(AND('Mapa final'!$AA$34="Alta",'Mapa final'!$AC$34="Moderado"),CONCATENATE("R5C",'Mapa final'!$Q$34),"")</f>
        <v/>
      </c>
      <c r="X20" s="37" t="str">
        <f>IF(AND('Mapa final'!$AA$35="Alta",'Mapa final'!$AC$35="Moderado"),CONCATENATE("R5C",'Mapa final'!$Q$35),"")</f>
        <v/>
      </c>
      <c r="Y20" s="37" t="str">
        <f>IF(AND('Mapa final'!$AA$36="Alta",'Mapa final'!$AC$36="Moderado"),CONCATENATE("R5C",'Mapa final'!$Q$36),"")</f>
        <v/>
      </c>
      <c r="Z20" s="37" t="str">
        <f>IF(AND('Mapa final'!$AA$37="Alta",'Mapa final'!$AC$37="Moderado"),CONCATENATE("R5C",'Mapa final'!$Q$37),"")</f>
        <v/>
      </c>
      <c r="AA20" s="38" t="str">
        <f>IF(AND('Mapa final'!$AA$38="Alta",'Mapa final'!$AC$38="Moderado"),CONCATENATE("R5C",'Mapa final'!$Q$38),"")</f>
        <v/>
      </c>
      <c r="AB20" s="36" t="str">
        <f>IF(AND('Mapa final'!$AA$33="Alta",'Mapa final'!$AC$33="Mayor"),CONCATENATE("R5C",'Mapa final'!$Q$33),"")</f>
        <v/>
      </c>
      <c r="AC20" s="37" t="str">
        <f>IF(AND('Mapa final'!$AA$34="Alta",'Mapa final'!$AC$34="Mayor"),CONCATENATE("R5C",'Mapa final'!$Q$34),"")</f>
        <v/>
      </c>
      <c r="AD20" s="37" t="str">
        <f>IF(AND('Mapa final'!$AA$35="Alta",'Mapa final'!$AC$35="Mayor"),CONCATENATE("R5C",'Mapa final'!$Q$35),"")</f>
        <v/>
      </c>
      <c r="AE20" s="37" t="str">
        <f>IF(AND('Mapa final'!$AA$36="Alta",'Mapa final'!$AC$36="Mayor"),CONCATENATE("R5C",'Mapa final'!$Q$36),"")</f>
        <v/>
      </c>
      <c r="AF20" s="37" t="str">
        <f>IF(AND('Mapa final'!$AA$37="Alta",'Mapa final'!$AC$37="Mayor"),CONCATENATE("R5C",'Mapa final'!$Q$37),"")</f>
        <v/>
      </c>
      <c r="AG20" s="38" t="str">
        <f>IF(AND('Mapa final'!$AA$38="Alta",'Mapa final'!$AC$38="Mayor"),CONCATENATE("R5C",'Mapa final'!$Q$38),"")</f>
        <v/>
      </c>
      <c r="AH20" s="39" t="str">
        <f>IF(AND('Mapa final'!$AA$33="Alta",'Mapa final'!$AC$33="Catastrófico"),CONCATENATE("R5C",'Mapa final'!$Q$33),"")</f>
        <v/>
      </c>
      <c r="AI20" s="40" t="str">
        <f>IF(AND('Mapa final'!$AA$34="Alta",'Mapa final'!$AC$34="Catastrófico"),CONCATENATE("R5C",'Mapa final'!$Q$34),"")</f>
        <v/>
      </c>
      <c r="AJ20" s="40" t="str">
        <f>IF(AND('Mapa final'!$AA$35="Alta",'Mapa final'!$AC$35="Catastrófico"),CONCATENATE("R5C",'Mapa final'!$Q$35),"")</f>
        <v/>
      </c>
      <c r="AK20" s="40" t="str">
        <f>IF(AND('Mapa final'!$AA$36="Alta",'Mapa final'!$AC$36="Catastrófico"),CONCATENATE("R5C",'Mapa final'!$Q$36),"")</f>
        <v/>
      </c>
      <c r="AL20" s="40" t="str">
        <f>IF(AND('Mapa final'!$AA$37="Alta",'Mapa final'!$AC$37="Catastrófico"),CONCATENATE("R5C",'Mapa final'!$Q$37),"")</f>
        <v/>
      </c>
      <c r="AM20" s="41" t="str">
        <f>IF(AND('Mapa final'!$AA$38="Alta",'Mapa final'!$AC$38="Catastrófico"),CONCATENATE("R5C",'Mapa final'!$Q$38),"")</f>
        <v/>
      </c>
      <c r="AN20" s="67"/>
      <c r="AO20" s="394"/>
      <c r="AP20" s="395"/>
      <c r="AQ20" s="395"/>
      <c r="AR20" s="395"/>
      <c r="AS20" s="395"/>
      <c r="AT20" s="39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305"/>
      <c r="C21" s="305"/>
      <c r="D21" s="306"/>
      <c r="E21" s="404"/>
      <c r="F21" s="403"/>
      <c r="G21" s="403"/>
      <c r="H21" s="403"/>
      <c r="I21" s="403"/>
      <c r="J21" s="51" t="str">
        <f>IF(AND('Mapa final'!$AA$39="Alta",'Mapa final'!$AC$39="Leve"),CONCATENATE("R6C",'Mapa final'!$Q$39),"")</f>
        <v/>
      </c>
      <c r="K21" s="52" t="str">
        <f>IF(AND('Mapa final'!$AA$40="Alta",'Mapa final'!$AC$40="Leve"),CONCATENATE("R6C",'Mapa final'!$Q$40),"")</f>
        <v/>
      </c>
      <c r="L21" s="52" t="str">
        <f>IF(AND('Mapa final'!$AA$41="Alta",'Mapa final'!$AC$41="Leve"),CONCATENATE("R6C",'Mapa final'!$Q$41),"")</f>
        <v/>
      </c>
      <c r="M21" s="52" t="str">
        <f>IF(AND('Mapa final'!$AA$42="Alta",'Mapa final'!$AC$42="Leve"),CONCATENATE("R6C",'Mapa final'!$Q$42),"")</f>
        <v/>
      </c>
      <c r="N21" s="52" t="str">
        <f>IF(AND('Mapa final'!$AA$43="Alta",'Mapa final'!$AC$43="Leve"),CONCATENATE("R6C",'Mapa final'!$Q$43),"")</f>
        <v/>
      </c>
      <c r="O21" s="53" t="str">
        <f>IF(AND('Mapa final'!$AA$44="Alta",'Mapa final'!$AC$44="Leve"),CONCATENATE("R6C",'Mapa final'!$Q$44),"")</f>
        <v/>
      </c>
      <c r="P21" s="51" t="str">
        <f>IF(AND('Mapa final'!$AA$39="Alta",'Mapa final'!$AC$39="Menor"),CONCATENATE("R6C",'Mapa final'!$Q$39),"")</f>
        <v/>
      </c>
      <c r="Q21" s="52" t="str">
        <f>IF(AND('Mapa final'!$AA$40="Alta",'Mapa final'!$AC$40="Menor"),CONCATENATE("R6C",'Mapa final'!$Q$40),"")</f>
        <v/>
      </c>
      <c r="R21" s="52" t="str">
        <f>IF(AND('Mapa final'!$AA$41="Alta",'Mapa final'!$AC$41="Menor"),CONCATENATE("R6C",'Mapa final'!$Q$41),"")</f>
        <v/>
      </c>
      <c r="S21" s="52" t="str">
        <f>IF(AND('Mapa final'!$AA$42="Alta",'Mapa final'!$AC$42="Menor"),CONCATENATE("R6C",'Mapa final'!$Q$42),"")</f>
        <v/>
      </c>
      <c r="T21" s="52" t="str">
        <f>IF(AND('Mapa final'!$AA$43="Alta",'Mapa final'!$AC$43="Menor"),CONCATENATE("R6C",'Mapa final'!$Q$43),"")</f>
        <v/>
      </c>
      <c r="U21" s="53" t="str">
        <f>IF(AND('Mapa final'!$AA$44="Alta",'Mapa final'!$AC$44="Menor"),CONCATENATE("R6C",'Mapa final'!$Q$44),"")</f>
        <v/>
      </c>
      <c r="V21" s="36" t="str">
        <f>IF(AND('Mapa final'!$AA$39="Alta",'Mapa final'!$AC$39="Moderado"),CONCATENATE("R6C",'Mapa final'!$Q$39),"")</f>
        <v/>
      </c>
      <c r="W21" s="37" t="str">
        <f>IF(AND('Mapa final'!$AA$40="Alta",'Mapa final'!$AC$40="Moderado"),CONCATENATE("R6C",'Mapa final'!$Q$40),"")</f>
        <v/>
      </c>
      <c r="X21" s="37" t="str">
        <f>IF(AND('Mapa final'!$AA$41="Alta",'Mapa final'!$AC$41="Moderado"),CONCATENATE("R6C",'Mapa final'!$Q$41),"")</f>
        <v/>
      </c>
      <c r="Y21" s="37" t="str">
        <f>IF(AND('Mapa final'!$AA$42="Alta",'Mapa final'!$AC$42="Moderado"),CONCATENATE("R6C",'Mapa final'!$Q$42),"")</f>
        <v/>
      </c>
      <c r="Z21" s="37" t="str">
        <f>IF(AND('Mapa final'!$AA$43="Alta",'Mapa final'!$AC$43="Moderado"),CONCATENATE("R6C",'Mapa final'!$Q$43),"")</f>
        <v/>
      </c>
      <c r="AA21" s="38" t="str">
        <f>IF(AND('Mapa final'!$AA$44="Alta",'Mapa final'!$AC$44="Moderado"),CONCATENATE("R6C",'Mapa final'!$Q$44),"")</f>
        <v/>
      </c>
      <c r="AB21" s="36" t="str">
        <f>IF(AND('Mapa final'!$AA$39="Alta",'Mapa final'!$AC$39="Mayor"),CONCATENATE("R6C",'Mapa final'!$Q$39),"")</f>
        <v/>
      </c>
      <c r="AC21" s="37" t="str">
        <f>IF(AND('Mapa final'!$AA$40="Alta",'Mapa final'!$AC$40="Mayor"),CONCATENATE("R6C",'Mapa final'!$Q$40),"")</f>
        <v/>
      </c>
      <c r="AD21" s="37" t="str">
        <f>IF(AND('Mapa final'!$AA$41="Alta",'Mapa final'!$AC$41="Mayor"),CONCATENATE("R6C",'Mapa final'!$Q$41),"")</f>
        <v/>
      </c>
      <c r="AE21" s="37" t="str">
        <f>IF(AND('Mapa final'!$AA$42="Alta",'Mapa final'!$AC$42="Mayor"),CONCATENATE("R6C",'Mapa final'!$Q$42),"")</f>
        <v/>
      </c>
      <c r="AF21" s="37" t="str">
        <f>IF(AND('Mapa final'!$AA$43="Alta",'Mapa final'!$AC$43="Mayor"),CONCATENATE("R6C",'Mapa final'!$Q$43),"")</f>
        <v/>
      </c>
      <c r="AG21" s="38" t="str">
        <f>IF(AND('Mapa final'!$AA$44="Alta",'Mapa final'!$AC$44="Mayor"),CONCATENATE("R6C",'Mapa final'!$Q$44),"")</f>
        <v/>
      </c>
      <c r="AH21" s="39" t="str">
        <f>IF(AND('Mapa final'!$AA$39="Alta",'Mapa final'!$AC$39="Catastrófico"),CONCATENATE("R6C",'Mapa final'!$Q$39),"")</f>
        <v/>
      </c>
      <c r="AI21" s="40" t="str">
        <f>IF(AND('Mapa final'!$AA$40="Alta",'Mapa final'!$AC$40="Catastrófico"),CONCATENATE("R6C",'Mapa final'!$Q$40),"")</f>
        <v/>
      </c>
      <c r="AJ21" s="40" t="str">
        <f>IF(AND('Mapa final'!$AA$41="Alta",'Mapa final'!$AC$41="Catastrófico"),CONCATENATE("R6C",'Mapa final'!$Q$41),"")</f>
        <v/>
      </c>
      <c r="AK21" s="40" t="str">
        <f>IF(AND('Mapa final'!$AA$42="Alta",'Mapa final'!$AC$42="Catastrófico"),CONCATENATE("R6C",'Mapa final'!$Q$42),"")</f>
        <v/>
      </c>
      <c r="AL21" s="40" t="str">
        <f>IF(AND('Mapa final'!$AA$43="Alta",'Mapa final'!$AC$43="Catastrófico"),CONCATENATE("R6C",'Mapa final'!$Q$43),"")</f>
        <v/>
      </c>
      <c r="AM21" s="41" t="str">
        <f>IF(AND('Mapa final'!$AA$44="Alta",'Mapa final'!$AC$44="Catastrófico"),CONCATENATE("R6C",'Mapa final'!$Q$44),"")</f>
        <v/>
      </c>
      <c r="AN21" s="67"/>
      <c r="AO21" s="394"/>
      <c r="AP21" s="395"/>
      <c r="AQ21" s="395"/>
      <c r="AR21" s="395"/>
      <c r="AS21" s="395"/>
      <c r="AT21" s="39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305"/>
      <c r="C22" s="305"/>
      <c r="D22" s="306"/>
      <c r="E22" s="404"/>
      <c r="F22" s="403"/>
      <c r="G22" s="403"/>
      <c r="H22" s="403"/>
      <c r="I22" s="403"/>
      <c r="J22" s="51" t="str">
        <f>IF(AND('Mapa final'!$AA$45="Alta",'Mapa final'!$AC$45="Leve"),CONCATENATE("R7C",'Mapa final'!$Q$45),"")</f>
        <v/>
      </c>
      <c r="K22" s="52" t="str">
        <f>IF(AND('Mapa final'!$AA$46="Alta",'Mapa final'!$AC$46="Leve"),CONCATENATE("R7C",'Mapa final'!$Q$46),"")</f>
        <v/>
      </c>
      <c r="L22" s="52" t="str">
        <f>IF(AND('Mapa final'!$AA$47="Alta",'Mapa final'!$AC$47="Leve"),CONCATENATE("R7C",'Mapa final'!$Q$47),"")</f>
        <v/>
      </c>
      <c r="M22" s="52" t="str">
        <f>IF(AND('Mapa final'!$AA$48="Alta",'Mapa final'!$AC$48="Leve"),CONCATENATE("R7C",'Mapa final'!$Q$48),"")</f>
        <v/>
      </c>
      <c r="N22" s="52" t="str">
        <f>IF(AND('Mapa final'!$AA$49="Alta",'Mapa final'!$AC$49="Leve"),CONCATENATE("R7C",'Mapa final'!$Q$49),"")</f>
        <v/>
      </c>
      <c r="O22" s="53" t="str">
        <f>IF(AND('Mapa final'!$AA$50="Alta",'Mapa final'!$AC$50="Leve"),CONCATENATE("R7C",'Mapa final'!$Q$50),"")</f>
        <v/>
      </c>
      <c r="P22" s="51" t="str">
        <f>IF(AND('Mapa final'!$AA$45="Alta",'Mapa final'!$AC$45="Menor"),CONCATENATE("R7C",'Mapa final'!$Q$45),"")</f>
        <v/>
      </c>
      <c r="Q22" s="52" t="str">
        <f>IF(AND('Mapa final'!$AA$46="Alta",'Mapa final'!$AC$46="Menor"),CONCATENATE("R7C",'Mapa final'!$Q$46),"")</f>
        <v/>
      </c>
      <c r="R22" s="52" t="str">
        <f>IF(AND('Mapa final'!$AA$47="Alta",'Mapa final'!$AC$47="Menor"),CONCATENATE("R7C",'Mapa final'!$Q$47),"")</f>
        <v/>
      </c>
      <c r="S22" s="52" t="str">
        <f>IF(AND('Mapa final'!$AA$48="Alta",'Mapa final'!$AC$48="Menor"),CONCATENATE("R7C",'Mapa final'!$Q$48),"")</f>
        <v/>
      </c>
      <c r="T22" s="52" t="str">
        <f>IF(AND('Mapa final'!$AA$49="Alta",'Mapa final'!$AC$49="Menor"),CONCATENATE("R7C",'Mapa final'!$Q$49),"")</f>
        <v/>
      </c>
      <c r="U22" s="53" t="str">
        <f>IF(AND('Mapa final'!$AA$50="Alta",'Mapa final'!$AC$50="Menor"),CONCATENATE("R7C",'Mapa final'!$Q$50),"")</f>
        <v/>
      </c>
      <c r="V22" s="36" t="str">
        <f>IF(AND('Mapa final'!$AA$45="Alta",'Mapa final'!$AC$45="Moderado"),CONCATENATE("R7C",'Mapa final'!$Q$45),"")</f>
        <v/>
      </c>
      <c r="W22" s="37" t="str">
        <f>IF(AND('Mapa final'!$AA$46="Alta",'Mapa final'!$AC$46="Moderado"),CONCATENATE("R7C",'Mapa final'!$Q$46),"")</f>
        <v/>
      </c>
      <c r="X22" s="37" t="str">
        <f>IF(AND('Mapa final'!$AA$47="Alta",'Mapa final'!$AC$47="Moderado"),CONCATENATE("R7C",'Mapa final'!$Q$47),"")</f>
        <v/>
      </c>
      <c r="Y22" s="37" t="str">
        <f>IF(AND('Mapa final'!$AA$48="Alta",'Mapa final'!$AC$48="Moderado"),CONCATENATE("R7C",'Mapa final'!$Q$48),"")</f>
        <v/>
      </c>
      <c r="Z22" s="37" t="str">
        <f>IF(AND('Mapa final'!$AA$49="Alta",'Mapa final'!$AC$49="Moderado"),CONCATENATE("R7C",'Mapa final'!$Q$49),"")</f>
        <v/>
      </c>
      <c r="AA22" s="38" t="str">
        <f>IF(AND('Mapa final'!$AA$50="Alta",'Mapa final'!$AC$50="Moderado"),CONCATENATE("R7C",'Mapa final'!$Q$50),"")</f>
        <v/>
      </c>
      <c r="AB22" s="36" t="str">
        <f>IF(AND('Mapa final'!$AA$45="Alta",'Mapa final'!$AC$45="Mayor"),CONCATENATE("R7C",'Mapa final'!$Q$45),"")</f>
        <v/>
      </c>
      <c r="AC22" s="37" t="str">
        <f>IF(AND('Mapa final'!$AA$46="Alta",'Mapa final'!$AC$46="Mayor"),CONCATENATE("R7C",'Mapa final'!$Q$46),"")</f>
        <v/>
      </c>
      <c r="AD22" s="37" t="str">
        <f>IF(AND('Mapa final'!$AA$47="Alta",'Mapa final'!$AC$47="Mayor"),CONCATENATE("R7C",'Mapa final'!$Q$47),"")</f>
        <v/>
      </c>
      <c r="AE22" s="37" t="str">
        <f>IF(AND('Mapa final'!$AA$48="Alta",'Mapa final'!$AC$48="Mayor"),CONCATENATE("R7C",'Mapa final'!$Q$48),"")</f>
        <v/>
      </c>
      <c r="AF22" s="37" t="str">
        <f>IF(AND('Mapa final'!$AA$49="Alta",'Mapa final'!$AC$49="Mayor"),CONCATENATE("R7C",'Mapa final'!$Q$49),"")</f>
        <v/>
      </c>
      <c r="AG22" s="38" t="str">
        <f>IF(AND('Mapa final'!$AA$50="Alta",'Mapa final'!$AC$50="Mayor"),CONCATENATE("R7C",'Mapa final'!$Q$50),"")</f>
        <v/>
      </c>
      <c r="AH22" s="39" t="str">
        <f>IF(AND('Mapa final'!$AA$45="Alta",'Mapa final'!$AC$45="Catastrófico"),CONCATENATE("R7C",'Mapa final'!$Q$45),"")</f>
        <v/>
      </c>
      <c r="AI22" s="40" t="str">
        <f>IF(AND('Mapa final'!$AA$46="Alta",'Mapa final'!$AC$46="Catastrófico"),CONCATENATE("R7C",'Mapa final'!$Q$46),"")</f>
        <v/>
      </c>
      <c r="AJ22" s="40" t="str">
        <f>IF(AND('Mapa final'!$AA$47="Alta",'Mapa final'!$AC$47="Catastrófico"),CONCATENATE("R7C",'Mapa final'!$Q$47),"")</f>
        <v/>
      </c>
      <c r="AK22" s="40" t="str">
        <f>IF(AND('Mapa final'!$AA$48="Alta",'Mapa final'!$AC$48="Catastrófico"),CONCATENATE("R7C",'Mapa final'!$Q$48),"")</f>
        <v/>
      </c>
      <c r="AL22" s="40" t="str">
        <f>IF(AND('Mapa final'!$AA$49="Alta",'Mapa final'!$AC$49="Catastrófico"),CONCATENATE("R7C",'Mapa final'!$Q$49),"")</f>
        <v/>
      </c>
      <c r="AM22" s="41" t="str">
        <f>IF(AND('Mapa final'!$AA$50="Alta",'Mapa final'!$AC$50="Catastrófico"),CONCATENATE("R7C",'Mapa final'!$Q$50),"")</f>
        <v/>
      </c>
      <c r="AN22" s="67"/>
      <c r="AO22" s="394"/>
      <c r="AP22" s="395"/>
      <c r="AQ22" s="395"/>
      <c r="AR22" s="395"/>
      <c r="AS22" s="395"/>
      <c r="AT22" s="396"/>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305"/>
      <c r="C23" s="305"/>
      <c r="D23" s="306"/>
      <c r="E23" s="404"/>
      <c r="F23" s="403"/>
      <c r="G23" s="403"/>
      <c r="H23" s="403"/>
      <c r="I23" s="403"/>
      <c r="J23" s="51" t="str">
        <f>IF(AND('Mapa final'!$AA$51="Alta",'Mapa final'!$AC$51="Leve"),CONCATENATE("R8C",'Mapa final'!$Q$51),"")</f>
        <v/>
      </c>
      <c r="K23" s="52" t="str">
        <f>IF(AND('Mapa final'!$AA$52="Alta",'Mapa final'!$AC$52="Leve"),CONCATENATE("R8C",'Mapa final'!$Q$52),"")</f>
        <v/>
      </c>
      <c r="L23" s="52" t="str">
        <f>IF(AND('Mapa final'!$AA$53="Alta",'Mapa final'!$AC$53="Leve"),CONCATENATE("R8C",'Mapa final'!$Q$53),"")</f>
        <v/>
      </c>
      <c r="M23" s="52" t="str">
        <f>IF(AND('Mapa final'!$AA$54="Alta",'Mapa final'!$AC$54="Leve"),CONCATENATE("R8C",'Mapa final'!$Q$54),"")</f>
        <v/>
      </c>
      <c r="N23" s="52" t="str">
        <f>IF(AND('Mapa final'!$AA$55="Alta",'Mapa final'!$AC$55="Leve"),CONCATENATE("R8C",'Mapa final'!$Q$55),"")</f>
        <v/>
      </c>
      <c r="O23" s="53" t="str">
        <f>IF(AND('Mapa final'!$AA$56="Alta",'Mapa final'!$AC$56="Leve"),CONCATENATE("R8C",'Mapa final'!$Q$56),"")</f>
        <v/>
      </c>
      <c r="P23" s="51" t="str">
        <f>IF(AND('Mapa final'!$AA$51="Alta",'Mapa final'!$AC$51="Menor"),CONCATENATE("R8C",'Mapa final'!$Q$51),"")</f>
        <v/>
      </c>
      <c r="Q23" s="52" t="str">
        <f>IF(AND('Mapa final'!$AA$52="Alta",'Mapa final'!$AC$52="Menor"),CONCATENATE("R8C",'Mapa final'!$Q$52),"")</f>
        <v/>
      </c>
      <c r="R23" s="52" t="str">
        <f>IF(AND('Mapa final'!$AA$53="Alta",'Mapa final'!$AC$53="Menor"),CONCATENATE("R8C",'Mapa final'!$Q$53),"")</f>
        <v/>
      </c>
      <c r="S23" s="52" t="str">
        <f>IF(AND('Mapa final'!$AA$54="Alta",'Mapa final'!$AC$54="Menor"),CONCATENATE("R8C",'Mapa final'!$Q$54),"")</f>
        <v/>
      </c>
      <c r="T23" s="52" t="str">
        <f>IF(AND('Mapa final'!$AA$55="Alta",'Mapa final'!$AC$55="Menor"),CONCATENATE("R8C",'Mapa final'!$Q$55),"")</f>
        <v/>
      </c>
      <c r="U23" s="53" t="str">
        <f>IF(AND('Mapa final'!$AA$56="Alta",'Mapa final'!$AC$56="Menor"),CONCATENATE("R8C",'Mapa final'!$Q$56),"")</f>
        <v/>
      </c>
      <c r="V23" s="36" t="str">
        <f>IF(AND('Mapa final'!$AA$51="Alta",'Mapa final'!$AC$51="Moderado"),CONCATENATE("R8C",'Mapa final'!$Q$51),"")</f>
        <v/>
      </c>
      <c r="W23" s="37" t="str">
        <f>IF(AND('Mapa final'!$AA$52="Alta",'Mapa final'!$AC$52="Moderado"),CONCATENATE("R8C",'Mapa final'!$Q$52),"")</f>
        <v/>
      </c>
      <c r="X23" s="37" t="str">
        <f>IF(AND('Mapa final'!$AA$53="Alta",'Mapa final'!$AC$53="Moderado"),CONCATENATE("R8C",'Mapa final'!$Q$53),"")</f>
        <v/>
      </c>
      <c r="Y23" s="37" t="str">
        <f>IF(AND('Mapa final'!$AA$54="Alta",'Mapa final'!$AC$54="Moderado"),CONCATENATE("R8C",'Mapa final'!$Q$54),"")</f>
        <v/>
      </c>
      <c r="Z23" s="37" t="str">
        <f>IF(AND('Mapa final'!$AA$55="Alta",'Mapa final'!$AC$55="Moderado"),CONCATENATE("R8C",'Mapa final'!$Q$55),"")</f>
        <v/>
      </c>
      <c r="AA23" s="38" t="str">
        <f>IF(AND('Mapa final'!$AA$56="Alta",'Mapa final'!$AC$56="Moderado"),CONCATENATE("R8C",'Mapa final'!$Q$56),"")</f>
        <v/>
      </c>
      <c r="AB23" s="36" t="str">
        <f>IF(AND('Mapa final'!$AA$51="Alta",'Mapa final'!$AC$51="Mayor"),CONCATENATE("R8C",'Mapa final'!$Q$51),"")</f>
        <v/>
      </c>
      <c r="AC23" s="37" t="str">
        <f>IF(AND('Mapa final'!$AA$52="Alta",'Mapa final'!$AC$52="Mayor"),CONCATENATE("R8C",'Mapa final'!$Q$52),"")</f>
        <v/>
      </c>
      <c r="AD23" s="37" t="str">
        <f>IF(AND('Mapa final'!$AA$53="Alta",'Mapa final'!$AC$53="Mayor"),CONCATENATE("R8C",'Mapa final'!$Q$53),"")</f>
        <v/>
      </c>
      <c r="AE23" s="37" t="str">
        <f>IF(AND('Mapa final'!$AA$54="Alta",'Mapa final'!$AC$54="Mayor"),CONCATENATE("R8C",'Mapa final'!$Q$54),"")</f>
        <v/>
      </c>
      <c r="AF23" s="37" t="str">
        <f>IF(AND('Mapa final'!$AA$55="Alta",'Mapa final'!$AC$55="Mayor"),CONCATENATE("R8C",'Mapa final'!$Q$55),"")</f>
        <v/>
      </c>
      <c r="AG23" s="38" t="str">
        <f>IF(AND('Mapa final'!$AA$56="Alta",'Mapa final'!$AC$56="Mayor"),CONCATENATE("R8C",'Mapa final'!$Q$56),"")</f>
        <v/>
      </c>
      <c r="AH23" s="39" t="str">
        <f>IF(AND('Mapa final'!$AA$51="Alta",'Mapa final'!$AC$51="Catastrófico"),CONCATENATE("R8C",'Mapa final'!$Q$51),"")</f>
        <v/>
      </c>
      <c r="AI23" s="40" t="str">
        <f>IF(AND('Mapa final'!$AA$52="Alta",'Mapa final'!$AC$52="Catastrófico"),CONCATENATE("R8C",'Mapa final'!$Q$52),"")</f>
        <v/>
      </c>
      <c r="AJ23" s="40" t="str">
        <f>IF(AND('Mapa final'!$AA$53="Alta",'Mapa final'!$AC$53="Catastrófico"),CONCATENATE("R8C",'Mapa final'!$Q$53),"")</f>
        <v/>
      </c>
      <c r="AK23" s="40" t="str">
        <f>IF(AND('Mapa final'!$AA$54="Alta",'Mapa final'!$AC$54="Catastrófico"),CONCATENATE("R8C",'Mapa final'!$Q$54),"")</f>
        <v/>
      </c>
      <c r="AL23" s="40" t="str">
        <f>IF(AND('Mapa final'!$AA$55="Alta",'Mapa final'!$AC$55="Catastrófico"),CONCATENATE("R8C",'Mapa final'!$Q$55),"")</f>
        <v/>
      </c>
      <c r="AM23" s="41" t="str">
        <f>IF(AND('Mapa final'!$AA$56="Alta",'Mapa final'!$AC$56="Catastrófico"),CONCATENATE("R8C",'Mapa final'!$Q$56),"")</f>
        <v/>
      </c>
      <c r="AN23" s="67"/>
      <c r="AO23" s="394"/>
      <c r="AP23" s="395"/>
      <c r="AQ23" s="395"/>
      <c r="AR23" s="395"/>
      <c r="AS23" s="395"/>
      <c r="AT23" s="39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305"/>
      <c r="C24" s="305"/>
      <c r="D24" s="306"/>
      <c r="E24" s="404"/>
      <c r="F24" s="403"/>
      <c r="G24" s="403"/>
      <c r="H24" s="403"/>
      <c r="I24" s="403"/>
      <c r="J24" s="51" t="str">
        <f>IF(AND('Mapa final'!$AA$57="Alta",'Mapa final'!$AC$57="Leve"),CONCATENATE("R9C",'Mapa final'!$Q$57),"")</f>
        <v/>
      </c>
      <c r="K24" s="52" t="str">
        <f>IF(AND('Mapa final'!$AA$58="Alta",'Mapa final'!$AC$58="Leve"),CONCATENATE("R9C",'Mapa final'!$Q$58),"")</f>
        <v/>
      </c>
      <c r="L24" s="52" t="str">
        <f>IF(AND('Mapa final'!$AA$59="Alta",'Mapa final'!$AC$59="Leve"),CONCATENATE("R9C",'Mapa final'!$Q$59),"")</f>
        <v/>
      </c>
      <c r="M24" s="52" t="str">
        <f>IF(AND('Mapa final'!$AA$60="Alta",'Mapa final'!$AC$60="Leve"),CONCATENATE("R9C",'Mapa final'!$Q$60),"")</f>
        <v/>
      </c>
      <c r="N24" s="52" t="str">
        <f>IF(AND('Mapa final'!$AA$61="Alta",'Mapa final'!$AC$61="Leve"),CONCATENATE("R9C",'Mapa final'!$Q$61),"")</f>
        <v/>
      </c>
      <c r="O24" s="53" t="str">
        <f>IF(AND('Mapa final'!$AA$62="Alta",'Mapa final'!$AC$62="Leve"),CONCATENATE("R9C",'Mapa final'!$Q$62),"")</f>
        <v/>
      </c>
      <c r="P24" s="51" t="str">
        <f>IF(AND('Mapa final'!$AA$57="Alta",'Mapa final'!$AC$57="Menor"),CONCATENATE("R9C",'Mapa final'!$Q$57),"")</f>
        <v/>
      </c>
      <c r="Q24" s="52" t="str">
        <f>IF(AND('Mapa final'!$AA$58="Alta",'Mapa final'!$AC$58="Menor"),CONCATENATE("R9C",'Mapa final'!$Q$58),"")</f>
        <v/>
      </c>
      <c r="R24" s="52" t="str">
        <f>IF(AND('Mapa final'!$AA$59="Alta",'Mapa final'!$AC$59="Menor"),CONCATENATE("R9C",'Mapa final'!$Q$59),"")</f>
        <v/>
      </c>
      <c r="S24" s="52" t="str">
        <f>IF(AND('Mapa final'!$AA$60="Alta",'Mapa final'!$AC$60="Menor"),CONCATENATE("R9C",'Mapa final'!$Q$60),"")</f>
        <v/>
      </c>
      <c r="T24" s="52" t="str">
        <f>IF(AND('Mapa final'!$AA$61="Alta",'Mapa final'!$AC$61="Menor"),CONCATENATE("R9C",'Mapa final'!$Q$61),"")</f>
        <v/>
      </c>
      <c r="U24" s="53" t="str">
        <f>IF(AND('Mapa final'!$AA$62="Alta",'Mapa final'!$AC$62="Menor"),CONCATENATE("R9C",'Mapa final'!$Q$62),"")</f>
        <v/>
      </c>
      <c r="V24" s="36" t="str">
        <f>IF(AND('Mapa final'!$AA$57="Alta",'Mapa final'!$AC$57="Moderado"),CONCATENATE("R9C",'Mapa final'!$Q$57),"")</f>
        <v/>
      </c>
      <c r="W24" s="37" t="str">
        <f>IF(AND('Mapa final'!$AA$58="Alta",'Mapa final'!$AC$58="Moderado"),CONCATENATE("R9C",'Mapa final'!$Q$58),"")</f>
        <v/>
      </c>
      <c r="X24" s="37" t="str">
        <f>IF(AND('Mapa final'!$AA$59="Alta",'Mapa final'!$AC$59="Moderado"),CONCATENATE("R9C",'Mapa final'!$Q$59),"")</f>
        <v/>
      </c>
      <c r="Y24" s="37" t="str">
        <f>IF(AND('Mapa final'!$AA$60="Alta",'Mapa final'!$AC$60="Moderado"),CONCATENATE("R9C",'Mapa final'!$Q$60),"")</f>
        <v/>
      </c>
      <c r="Z24" s="37" t="str">
        <f>IF(AND('Mapa final'!$AA$61="Alta",'Mapa final'!$AC$61="Moderado"),CONCATENATE("R9C",'Mapa final'!$Q$61),"")</f>
        <v/>
      </c>
      <c r="AA24" s="38" t="str">
        <f>IF(AND('Mapa final'!$AA$62="Alta",'Mapa final'!$AC$62="Moderado"),CONCATENATE("R9C",'Mapa final'!$Q$62),"")</f>
        <v/>
      </c>
      <c r="AB24" s="36" t="str">
        <f>IF(AND('Mapa final'!$AA$57="Alta",'Mapa final'!$AC$57="Mayor"),CONCATENATE("R9C",'Mapa final'!$Q$57),"")</f>
        <v/>
      </c>
      <c r="AC24" s="37" t="str">
        <f>IF(AND('Mapa final'!$AA$58="Alta",'Mapa final'!$AC$58="Mayor"),CONCATENATE("R9C",'Mapa final'!$Q$58),"")</f>
        <v/>
      </c>
      <c r="AD24" s="37" t="str">
        <f>IF(AND('Mapa final'!$AA$59="Alta",'Mapa final'!$AC$59="Mayor"),CONCATENATE("R9C",'Mapa final'!$Q$59),"")</f>
        <v/>
      </c>
      <c r="AE24" s="37" t="str">
        <f>IF(AND('Mapa final'!$AA$60="Alta",'Mapa final'!$AC$60="Mayor"),CONCATENATE("R9C",'Mapa final'!$Q$60),"")</f>
        <v/>
      </c>
      <c r="AF24" s="37" t="str">
        <f>IF(AND('Mapa final'!$AA$61="Alta",'Mapa final'!$AC$61="Mayor"),CONCATENATE("R9C",'Mapa final'!$Q$61),"")</f>
        <v/>
      </c>
      <c r="AG24" s="38" t="str">
        <f>IF(AND('Mapa final'!$AA$62="Alta",'Mapa final'!$AC$62="Mayor"),CONCATENATE("R9C",'Mapa final'!$Q$62),"")</f>
        <v/>
      </c>
      <c r="AH24" s="39" t="str">
        <f>IF(AND('Mapa final'!$AA$57="Alta",'Mapa final'!$AC$57="Catastrófico"),CONCATENATE("R9C",'Mapa final'!$Q$57),"")</f>
        <v/>
      </c>
      <c r="AI24" s="40" t="str">
        <f>IF(AND('Mapa final'!$AA$58="Alta",'Mapa final'!$AC$58="Catastrófico"),CONCATENATE("R9C",'Mapa final'!$Q$58),"")</f>
        <v/>
      </c>
      <c r="AJ24" s="40" t="str">
        <f>IF(AND('Mapa final'!$AA$59="Alta",'Mapa final'!$AC$59="Catastrófico"),CONCATENATE("R9C",'Mapa final'!$Q$59),"")</f>
        <v/>
      </c>
      <c r="AK24" s="40" t="str">
        <f>IF(AND('Mapa final'!$AA$60="Alta",'Mapa final'!$AC$60="Catastrófico"),CONCATENATE("R9C",'Mapa final'!$Q$60),"")</f>
        <v/>
      </c>
      <c r="AL24" s="40" t="str">
        <f>IF(AND('Mapa final'!$AA$61="Alta",'Mapa final'!$AC$61="Catastrófico"),CONCATENATE("R9C",'Mapa final'!$Q$61),"")</f>
        <v/>
      </c>
      <c r="AM24" s="41" t="str">
        <f>IF(AND('Mapa final'!$AA$62="Alta",'Mapa final'!$AC$62="Catastrófico"),CONCATENATE("R9C",'Mapa final'!$Q$62),"")</f>
        <v/>
      </c>
      <c r="AN24" s="67"/>
      <c r="AO24" s="394"/>
      <c r="AP24" s="395"/>
      <c r="AQ24" s="395"/>
      <c r="AR24" s="395"/>
      <c r="AS24" s="395"/>
      <c r="AT24" s="39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305"/>
      <c r="C25" s="305"/>
      <c r="D25" s="306"/>
      <c r="E25" s="405"/>
      <c r="F25" s="406"/>
      <c r="G25" s="406"/>
      <c r="H25" s="406"/>
      <c r="I25" s="406"/>
      <c r="J25" s="54" t="str">
        <f>IF(AND('Mapa final'!$AA$63="Alta",'Mapa final'!$AC$63="Leve"),CONCATENATE("R10C",'Mapa final'!$Q$63),"")</f>
        <v/>
      </c>
      <c r="K25" s="55" t="str">
        <f>IF(AND('Mapa final'!$AA$64="Alta",'Mapa final'!$AC$64="Leve"),CONCATENATE("R10C",'Mapa final'!$Q$64),"")</f>
        <v/>
      </c>
      <c r="L25" s="55" t="str">
        <f>IF(AND('Mapa final'!$AA$65="Alta",'Mapa final'!$AC$65="Leve"),CONCATENATE("R10C",'Mapa final'!$Q$65),"")</f>
        <v/>
      </c>
      <c r="M25" s="55" t="str">
        <f>IF(AND('Mapa final'!$AA$66="Alta",'Mapa final'!$AC$66="Leve"),CONCATENATE("R10C",'Mapa final'!$Q$66),"")</f>
        <v/>
      </c>
      <c r="N25" s="55" t="str">
        <f>IF(AND('Mapa final'!$AA$67="Alta",'Mapa final'!$AC$67="Leve"),CONCATENATE("R10C",'Mapa final'!$Q$67),"")</f>
        <v/>
      </c>
      <c r="O25" s="56" t="str">
        <f>IF(AND('Mapa final'!$AA$68="Alta",'Mapa final'!$AC$68="Leve"),CONCATENATE("R10C",'Mapa final'!$Q$68),"")</f>
        <v/>
      </c>
      <c r="P25" s="54" t="str">
        <f>IF(AND('Mapa final'!$AA$63="Alta",'Mapa final'!$AC$63="Menor"),CONCATENATE("R10C",'Mapa final'!$Q$63),"")</f>
        <v/>
      </c>
      <c r="Q25" s="55" t="str">
        <f>IF(AND('Mapa final'!$AA$64="Alta",'Mapa final'!$AC$64="Menor"),CONCATENATE("R10C",'Mapa final'!$Q$64),"")</f>
        <v/>
      </c>
      <c r="R25" s="55" t="str">
        <f>IF(AND('Mapa final'!$AA$65="Alta",'Mapa final'!$AC$65="Menor"),CONCATENATE("R10C",'Mapa final'!$Q$65),"")</f>
        <v/>
      </c>
      <c r="S25" s="55" t="str">
        <f>IF(AND('Mapa final'!$AA$66="Alta",'Mapa final'!$AC$66="Menor"),CONCATENATE("R10C",'Mapa final'!$Q$66),"")</f>
        <v/>
      </c>
      <c r="T25" s="55" t="str">
        <f>IF(AND('Mapa final'!$AA$67="Alta",'Mapa final'!$AC$67="Menor"),CONCATENATE("R10C",'Mapa final'!$Q$67),"")</f>
        <v/>
      </c>
      <c r="U25" s="56" t="str">
        <f>IF(AND('Mapa final'!$AA$68="Alta",'Mapa final'!$AC$68="Menor"),CONCATENATE("R10C",'Mapa final'!$Q$68),"")</f>
        <v/>
      </c>
      <c r="V25" s="42" t="str">
        <f>IF(AND('Mapa final'!$AA$63="Alta",'Mapa final'!$AC$63="Moderado"),CONCATENATE("R10C",'Mapa final'!$Q$63),"")</f>
        <v/>
      </c>
      <c r="W25" s="43" t="str">
        <f>IF(AND('Mapa final'!$AA$64="Alta",'Mapa final'!$AC$64="Moderado"),CONCATENATE("R10C",'Mapa final'!$Q$64),"")</f>
        <v/>
      </c>
      <c r="X25" s="43" t="str">
        <f>IF(AND('Mapa final'!$AA$65="Alta",'Mapa final'!$AC$65="Moderado"),CONCATENATE("R10C",'Mapa final'!$Q$65),"")</f>
        <v/>
      </c>
      <c r="Y25" s="43" t="str">
        <f>IF(AND('Mapa final'!$AA$66="Alta",'Mapa final'!$AC$66="Moderado"),CONCATENATE("R10C",'Mapa final'!$Q$66),"")</f>
        <v/>
      </c>
      <c r="Z25" s="43" t="str">
        <f>IF(AND('Mapa final'!$AA$67="Alta",'Mapa final'!$AC$67="Moderado"),CONCATENATE("R10C",'Mapa final'!$Q$67),"")</f>
        <v/>
      </c>
      <c r="AA25" s="44" t="str">
        <f>IF(AND('Mapa final'!$AA$68="Alta",'Mapa final'!$AC$68="Moderado"),CONCATENATE("R10C",'Mapa final'!$Q$68),"")</f>
        <v/>
      </c>
      <c r="AB25" s="42" t="str">
        <f>IF(AND('Mapa final'!$AA$63="Alta",'Mapa final'!$AC$63="Mayor"),CONCATENATE("R10C",'Mapa final'!$Q$63),"")</f>
        <v/>
      </c>
      <c r="AC25" s="43" t="str">
        <f>IF(AND('Mapa final'!$AA$64="Alta",'Mapa final'!$AC$64="Mayor"),CONCATENATE("R10C",'Mapa final'!$Q$64),"")</f>
        <v/>
      </c>
      <c r="AD25" s="43" t="str">
        <f>IF(AND('Mapa final'!$AA$65="Alta",'Mapa final'!$AC$65="Mayor"),CONCATENATE("R10C",'Mapa final'!$Q$65),"")</f>
        <v/>
      </c>
      <c r="AE25" s="43" t="str">
        <f>IF(AND('Mapa final'!$AA$66="Alta",'Mapa final'!$AC$66="Mayor"),CONCATENATE("R10C",'Mapa final'!$Q$66),"")</f>
        <v/>
      </c>
      <c r="AF25" s="43" t="str">
        <f>IF(AND('Mapa final'!$AA$67="Alta",'Mapa final'!$AC$67="Mayor"),CONCATENATE("R10C",'Mapa final'!$Q$67),"")</f>
        <v/>
      </c>
      <c r="AG25" s="44" t="str">
        <f>IF(AND('Mapa final'!$AA$68="Alta",'Mapa final'!$AC$68="Mayor"),CONCATENATE("R10C",'Mapa final'!$Q$68),"")</f>
        <v/>
      </c>
      <c r="AH25" s="45" t="str">
        <f>IF(AND('Mapa final'!$AA$63="Alta",'Mapa final'!$AC$63="Catastrófico"),CONCATENATE("R10C",'Mapa final'!$Q$63),"")</f>
        <v/>
      </c>
      <c r="AI25" s="46" t="str">
        <f>IF(AND('Mapa final'!$AA$64="Alta",'Mapa final'!$AC$64="Catastrófico"),CONCATENATE("R10C",'Mapa final'!$Q$64),"")</f>
        <v/>
      </c>
      <c r="AJ25" s="46" t="str">
        <f>IF(AND('Mapa final'!$AA$65="Alta",'Mapa final'!$AC$65="Catastrófico"),CONCATENATE("R10C",'Mapa final'!$Q$65),"")</f>
        <v/>
      </c>
      <c r="AK25" s="46" t="str">
        <f>IF(AND('Mapa final'!$AA$66="Alta",'Mapa final'!$AC$66="Catastrófico"),CONCATENATE("R10C",'Mapa final'!$Q$66),"")</f>
        <v/>
      </c>
      <c r="AL25" s="46" t="str">
        <f>IF(AND('Mapa final'!$AA$67="Alta",'Mapa final'!$AC$67="Catastrófico"),CONCATENATE("R10C",'Mapa final'!$Q$67),"")</f>
        <v/>
      </c>
      <c r="AM25" s="47" t="str">
        <f>IF(AND('Mapa final'!$AA$68="Alta",'Mapa final'!$AC$68="Catastrófico"),CONCATENATE("R10C",'Mapa final'!$Q$68),"")</f>
        <v/>
      </c>
      <c r="AN25" s="67"/>
      <c r="AO25" s="397"/>
      <c r="AP25" s="398"/>
      <c r="AQ25" s="398"/>
      <c r="AR25" s="398"/>
      <c r="AS25" s="398"/>
      <c r="AT25" s="399"/>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305"/>
      <c r="C26" s="305"/>
      <c r="D26" s="306"/>
      <c r="E26" s="400" t="s">
        <v>111</v>
      </c>
      <c r="F26" s="401"/>
      <c r="G26" s="401"/>
      <c r="H26" s="401"/>
      <c r="I26" s="418"/>
      <c r="J26" s="48" t="str">
        <f>IF(AND('Mapa final'!$AA$10="Media",'Mapa final'!$AC$10="Leve"),CONCATENATE("R1C",'Mapa final'!$Q$10),"")</f>
        <v/>
      </c>
      <c r="K26" s="49" t="e">
        <f>IF(AND('Mapa final'!#REF!="Media",'Mapa final'!#REF!="Leve"),CONCATENATE("R1C",'Mapa final'!#REF!),"")</f>
        <v>#REF!</v>
      </c>
      <c r="L26" s="49" t="str">
        <f>IF(AND('Mapa final'!$AA$11="Media",'Mapa final'!$AC$11="Leve"),CONCATENATE("R1C",'Mapa final'!$Q$11),"")</f>
        <v/>
      </c>
      <c r="M26" s="49" t="str">
        <f>IF(AND('Mapa final'!$AA$12="Media",'Mapa final'!$AC$12="Leve"),CONCATENATE("R1C",'Mapa final'!$Q$12),"")</f>
        <v/>
      </c>
      <c r="N26" s="49" t="str">
        <f>IF(AND('Mapa final'!$AA$13="Media",'Mapa final'!$AC$13="Leve"),CONCATENATE("R1C",'Mapa final'!$Q$13),"")</f>
        <v/>
      </c>
      <c r="O26" s="50" t="str">
        <f>IF(AND('Mapa final'!$AA$14="Media",'Mapa final'!$AC$14="Leve"),CONCATENATE("R1C",'Mapa final'!$Q$14),"")</f>
        <v/>
      </c>
      <c r="P26" s="48" t="str">
        <f>IF(AND('Mapa final'!$AA$10="Media",'Mapa final'!$AC$10="Menor"),CONCATENATE("R1C",'Mapa final'!$Q$10),"")</f>
        <v/>
      </c>
      <c r="Q26" s="49" t="e">
        <f>IF(AND('Mapa final'!#REF!="Media",'Mapa final'!#REF!="Menor"),CONCATENATE("R1C",'Mapa final'!#REF!),"")</f>
        <v>#REF!</v>
      </c>
      <c r="R26" s="49" t="str">
        <f>IF(AND('Mapa final'!$AA$11="Media",'Mapa final'!$AC$11="Menor"),CONCATENATE("R1C",'Mapa final'!$Q$11),"")</f>
        <v/>
      </c>
      <c r="S26" s="49" t="str">
        <f>IF(AND('Mapa final'!$AA$12="Media",'Mapa final'!$AC$12="Menor"),CONCATENATE("R1C",'Mapa final'!$Q$12),"")</f>
        <v/>
      </c>
      <c r="T26" s="49" t="str">
        <f>IF(AND('Mapa final'!$AA$13="Media",'Mapa final'!$AC$13="Menor"),CONCATENATE("R1C",'Mapa final'!$Q$13),"")</f>
        <v/>
      </c>
      <c r="U26" s="50" t="str">
        <f>IF(AND('Mapa final'!$AA$14="Media",'Mapa final'!$AC$14="Menor"),CONCATENATE("R1C",'Mapa final'!$Q$14),"")</f>
        <v/>
      </c>
      <c r="V26" s="48" t="str">
        <f>IF(AND('Mapa final'!$AA$10="Media",'Mapa final'!$AC$10="Moderado"),CONCATENATE("R1C",'Mapa final'!$Q$10),"")</f>
        <v/>
      </c>
      <c r="W26" s="49" t="e">
        <f>IF(AND('Mapa final'!#REF!="Media",'Mapa final'!#REF!="Moderado"),CONCATENATE("R1C",'Mapa final'!#REF!),"")</f>
        <v>#REF!</v>
      </c>
      <c r="X26" s="49" t="str">
        <f>IF(AND('Mapa final'!$AA$11="Media",'Mapa final'!$AC$11="Moderado"),CONCATENATE("R1C",'Mapa final'!$Q$11),"")</f>
        <v/>
      </c>
      <c r="Y26" s="49" t="str">
        <f>IF(AND('Mapa final'!$AA$12="Media",'Mapa final'!$AC$12="Moderado"),CONCATENATE("R1C",'Mapa final'!$Q$12),"")</f>
        <v/>
      </c>
      <c r="Z26" s="49" t="str">
        <f>IF(AND('Mapa final'!$AA$13="Media",'Mapa final'!$AC$13="Moderado"),CONCATENATE("R1C",'Mapa final'!$Q$13),"")</f>
        <v/>
      </c>
      <c r="AA26" s="50" t="str">
        <f>IF(AND('Mapa final'!$AA$14="Media",'Mapa final'!$AC$14="Moderado"),CONCATENATE("R1C",'Mapa final'!$Q$14),"")</f>
        <v/>
      </c>
      <c r="AB26" s="30" t="str">
        <f>IF(AND('Mapa final'!$AA$10="Media",'Mapa final'!$AC$10="Mayor"),CONCATENATE("R1C",'Mapa final'!$Q$10),"")</f>
        <v/>
      </c>
      <c r="AC26" s="31" t="e">
        <f>IF(AND('Mapa final'!#REF!="Media",'Mapa final'!#REF!="Mayor"),CONCATENATE("R1C",'Mapa final'!#REF!),"")</f>
        <v>#REF!</v>
      </c>
      <c r="AD26" s="31" t="str">
        <f>IF(AND('Mapa final'!$AA$11="Media",'Mapa final'!$AC$11="Mayor"),CONCATENATE("R1C",'Mapa final'!$Q$11),"")</f>
        <v/>
      </c>
      <c r="AE26" s="31" t="str">
        <f>IF(AND('Mapa final'!$AA$12="Media",'Mapa final'!$AC$12="Mayor"),CONCATENATE("R1C",'Mapa final'!$Q$12),"")</f>
        <v/>
      </c>
      <c r="AF26" s="31" t="str">
        <f>IF(AND('Mapa final'!$AA$13="Media",'Mapa final'!$AC$13="Mayor"),CONCATENATE("R1C",'Mapa final'!$Q$13),"")</f>
        <v/>
      </c>
      <c r="AG26" s="32" t="str">
        <f>IF(AND('Mapa final'!$AA$14="Media",'Mapa final'!$AC$14="Mayor"),CONCATENATE("R1C",'Mapa final'!$Q$14),"")</f>
        <v/>
      </c>
      <c r="AH26" s="33" t="str">
        <f>IF(AND('Mapa final'!$AA$10="Media",'Mapa final'!$AC$10="Catastrófico"),CONCATENATE("R1C",'Mapa final'!$Q$10),"")</f>
        <v/>
      </c>
      <c r="AI26" s="34" t="e">
        <f>IF(AND('Mapa final'!#REF!="Media",'Mapa final'!#REF!="Catastrófico"),CONCATENATE("R1C",'Mapa final'!#REF!),"")</f>
        <v>#REF!</v>
      </c>
      <c r="AJ26" s="34" t="str">
        <f>IF(AND('Mapa final'!$AA$11="Media",'Mapa final'!$AC$11="Catastrófico"),CONCATENATE("R1C",'Mapa final'!$Q$11),"")</f>
        <v/>
      </c>
      <c r="AK26" s="34" t="str">
        <f>IF(AND('Mapa final'!$AA$12="Media",'Mapa final'!$AC$12="Catastrófico"),CONCATENATE("R1C",'Mapa final'!$Q$12),"")</f>
        <v/>
      </c>
      <c r="AL26" s="34" t="str">
        <f>IF(AND('Mapa final'!$AA$13="Media",'Mapa final'!$AC$13="Catastrófico"),CONCATENATE("R1C",'Mapa final'!$Q$13),"")</f>
        <v/>
      </c>
      <c r="AM26" s="35" t="str">
        <f>IF(AND('Mapa final'!$AA$14="Media",'Mapa final'!$AC$14="Catastrófico"),CONCATENATE("R1C",'Mapa final'!$Q$14),"")</f>
        <v/>
      </c>
      <c r="AN26" s="67"/>
      <c r="AO26" s="430" t="s">
        <v>79</v>
      </c>
      <c r="AP26" s="431"/>
      <c r="AQ26" s="431"/>
      <c r="AR26" s="431"/>
      <c r="AS26" s="431"/>
      <c r="AT26" s="43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305"/>
      <c r="C27" s="305"/>
      <c r="D27" s="306"/>
      <c r="E27" s="402"/>
      <c r="F27" s="403"/>
      <c r="G27" s="403"/>
      <c r="H27" s="403"/>
      <c r="I27" s="419"/>
      <c r="J27" s="51" t="str">
        <f>IF(AND('Mapa final'!$AA$15="Media",'Mapa final'!$AC$15="Leve"),CONCATENATE("R2C",'Mapa final'!$Q$15),"")</f>
        <v/>
      </c>
      <c r="K27" s="52" t="str">
        <f>IF(AND('Mapa final'!$AA$16="Media",'Mapa final'!$AC$16="Leve"),CONCATENATE("R2C",'Mapa final'!$Q$16),"")</f>
        <v/>
      </c>
      <c r="L27" s="52" t="str">
        <f>IF(AND('Mapa final'!$AA$17="Media",'Mapa final'!$AC$17="Leve"),CONCATENATE("R2C",'Mapa final'!$Q$17),"")</f>
        <v/>
      </c>
      <c r="M27" s="52" t="str">
        <f>IF(AND('Mapa final'!$AA$18="Media",'Mapa final'!$AC$18="Leve"),CONCATENATE("R2C",'Mapa final'!$Q$18),"")</f>
        <v/>
      </c>
      <c r="N27" s="52" t="str">
        <f>IF(AND('Mapa final'!$AA$19="Media",'Mapa final'!$AC$19="Leve"),CONCATENATE("R2C",'Mapa final'!$Q$19),"")</f>
        <v/>
      </c>
      <c r="O27" s="53" t="str">
        <f>IF(AND('Mapa final'!$AA$20="Media",'Mapa final'!$AC$20="Leve"),CONCATENATE("R2C",'Mapa final'!$Q$20),"")</f>
        <v/>
      </c>
      <c r="P27" s="51" t="str">
        <f>IF(AND('Mapa final'!$AA$15="Media",'Mapa final'!$AC$15="Menor"),CONCATENATE("R2C",'Mapa final'!$Q$15),"")</f>
        <v/>
      </c>
      <c r="Q27" s="52" t="str">
        <f>IF(AND('Mapa final'!$AA$16="Media",'Mapa final'!$AC$16="Menor"),CONCATENATE("R2C",'Mapa final'!$Q$16),"")</f>
        <v/>
      </c>
      <c r="R27" s="52" t="str">
        <f>IF(AND('Mapa final'!$AA$17="Media",'Mapa final'!$AC$17="Menor"),CONCATENATE("R2C",'Mapa final'!$Q$17),"")</f>
        <v/>
      </c>
      <c r="S27" s="52" t="str">
        <f>IF(AND('Mapa final'!$AA$18="Media",'Mapa final'!$AC$18="Menor"),CONCATENATE("R2C",'Mapa final'!$Q$18),"")</f>
        <v/>
      </c>
      <c r="T27" s="52" t="str">
        <f>IF(AND('Mapa final'!$AA$19="Media",'Mapa final'!$AC$19="Menor"),CONCATENATE("R2C",'Mapa final'!$Q$19),"")</f>
        <v/>
      </c>
      <c r="U27" s="53" t="str">
        <f>IF(AND('Mapa final'!$AA$20="Media",'Mapa final'!$AC$20="Menor"),CONCATENATE("R2C",'Mapa final'!$Q$20),"")</f>
        <v/>
      </c>
      <c r="V27" s="51" t="str">
        <f>IF(AND('Mapa final'!$AA$15="Media",'Mapa final'!$AC$15="Moderado"),CONCATENATE("R2C",'Mapa final'!$Q$15),"")</f>
        <v/>
      </c>
      <c r="W27" s="52" t="str">
        <f>IF(AND('Mapa final'!$AA$16="Media",'Mapa final'!$AC$16="Moderado"),CONCATENATE("R2C",'Mapa final'!$Q$16),"")</f>
        <v/>
      </c>
      <c r="X27" s="52" t="str">
        <f>IF(AND('Mapa final'!$AA$17="Media",'Mapa final'!$AC$17="Moderado"),CONCATENATE("R2C",'Mapa final'!$Q$17),"")</f>
        <v/>
      </c>
      <c r="Y27" s="52" t="str">
        <f>IF(AND('Mapa final'!$AA$18="Media",'Mapa final'!$AC$18="Moderado"),CONCATENATE("R2C",'Mapa final'!$Q$18),"")</f>
        <v/>
      </c>
      <c r="Z27" s="52" t="str">
        <f>IF(AND('Mapa final'!$AA$19="Media",'Mapa final'!$AC$19="Moderado"),CONCATENATE("R2C",'Mapa final'!$Q$19),"")</f>
        <v/>
      </c>
      <c r="AA27" s="53" t="str">
        <f>IF(AND('Mapa final'!$AA$20="Media",'Mapa final'!$AC$20="Moderado"),CONCATENATE("R2C",'Mapa final'!$Q$20),"")</f>
        <v/>
      </c>
      <c r="AB27" s="36" t="str">
        <f>IF(AND('Mapa final'!$AA$15="Media",'Mapa final'!$AC$15="Mayor"),CONCATENATE("R2C",'Mapa final'!$Q$15),"")</f>
        <v/>
      </c>
      <c r="AC27" s="37" t="str">
        <f>IF(AND('Mapa final'!$AA$16="Media",'Mapa final'!$AC$16="Mayor"),CONCATENATE("R2C",'Mapa final'!$Q$16),"")</f>
        <v/>
      </c>
      <c r="AD27" s="37" t="str">
        <f>IF(AND('Mapa final'!$AA$17="Media",'Mapa final'!$AC$17="Mayor"),CONCATENATE("R2C",'Mapa final'!$Q$17),"")</f>
        <v/>
      </c>
      <c r="AE27" s="37" t="str">
        <f>IF(AND('Mapa final'!$AA$18="Media",'Mapa final'!$AC$18="Mayor"),CONCATENATE("R2C",'Mapa final'!$Q$18),"")</f>
        <v/>
      </c>
      <c r="AF27" s="37" t="str">
        <f>IF(AND('Mapa final'!$AA$19="Media",'Mapa final'!$AC$19="Mayor"),CONCATENATE("R2C",'Mapa final'!$Q$19),"")</f>
        <v/>
      </c>
      <c r="AG27" s="38" t="str">
        <f>IF(AND('Mapa final'!$AA$20="Media",'Mapa final'!$AC$20="Mayor"),CONCATENATE("R2C",'Mapa final'!$Q$20),"")</f>
        <v/>
      </c>
      <c r="AH27" s="39" t="str">
        <f>IF(AND('Mapa final'!$AA$15="Media",'Mapa final'!$AC$15="Catastrófico"),CONCATENATE("R2C",'Mapa final'!$Q$15),"")</f>
        <v/>
      </c>
      <c r="AI27" s="40" t="str">
        <f>IF(AND('Mapa final'!$AA$16="Media",'Mapa final'!$AC$16="Catastrófico"),CONCATENATE("R2C",'Mapa final'!$Q$16),"")</f>
        <v/>
      </c>
      <c r="AJ27" s="40" t="str">
        <f>IF(AND('Mapa final'!$AA$17="Media",'Mapa final'!$AC$17="Catastrófico"),CONCATENATE("R2C",'Mapa final'!$Q$17),"")</f>
        <v/>
      </c>
      <c r="AK27" s="40" t="str">
        <f>IF(AND('Mapa final'!$AA$18="Media",'Mapa final'!$AC$18="Catastrófico"),CONCATENATE("R2C",'Mapa final'!$Q$18),"")</f>
        <v/>
      </c>
      <c r="AL27" s="40" t="str">
        <f>IF(AND('Mapa final'!$AA$19="Media",'Mapa final'!$AC$19="Catastrófico"),CONCATENATE("R2C",'Mapa final'!$Q$19),"")</f>
        <v/>
      </c>
      <c r="AM27" s="41" t="str">
        <f>IF(AND('Mapa final'!$AA$20="Media",'Mapa final'!$AC$20="Catastrófico"),CONCATENATE("R2C",'Mapa final'!$Q$20),"")</f>
        <v/>
      </c>
      <c r="AN27" s="67"/>
      <c r="AO27" s="433"/>
      <c r="AP27" s="434"/>
      <c r="AQ27" s="434"/>
      <c r="AR27" s="434"/>
      <c r="AS27" s="434"/>
      <c r="AT27" s="43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305"/>
      <c r="C28" s="305"/>
      <c r="D28" s="306"/>
      <c r="E28" s="404"/>
      <c r="F28" s="403"/>
      <c r="G28" s="403"/>
      <c r="H28" s="403"/>
      <c r="I28" s="419"/>
      <c r="J28" s="51" t="str">
        <f>IF(AND('Mapa final'!$AA$21="Media",'Mapa final'!$AC$21="Leve"),CONCATENATE("R3C",'Mapa final'!$Q$21),"")</f>
        <v/>
      </c>
      <c r="K28" s="52" t="str">
        <f>IF(AND('Mapa final'!$AA$22="Media",'Mapa final'!$AC$22="Leve"),CONCATENATE("R3C",'Mapa final'!$Q$22),"")</f>
        <v/>
      </c>
      <c r="L28" s="52" t="str">
        <f>IF(AND('Mapa final'!$AA$23="Media",'Mapa final'!$AC$23="Leve"),CONCATENATE("R3C",'Mapa final'!$Q$23),"")</f>
        <v/>
      </c>
      <c r="M28" s="52" t="str">
        <f>IF(AND('Mapa final'!$AA$24="Media",'Mapa final'!$AC$24="Leve"),CONCATENATE("R3C",'Mapa final'!$Q$24),"")</f>
        <v/>
      </c>
      <c r="N28" s="52" t="str">
        <f>IF(AND('Mapa final'!$AA$25="Media",'Mapa final'!$AC$25="Leve"),CONCATENATE("R3C",'Mapa final'!$Q$25),"")</f>
        <v/>
      </c>
      <c r="O28" s="53" t="str">
        <f>IF(AND('Mapa final'!$AA$26="Media",'Mapa final'!$AC$26="Leve"),CONCATENATE("R3C",'Mapa final'!$Q$26),"")</f>
        <v/>
      </c>
      <c r="P28" s="51" t="str">
        <f>IF(AND('Mapa final'!$AA$21="Media",'Mapa final'!$AC$21="Menor"),CONCATENATE("R3C",'Mapa final'!$Q$21),"")</f>
        <v/>
      </c>
      <c r="Q28" s="52" t="str">
        <f>IF(AND('Mapa final'!$AA$22="Media",'Mapa final'!$AC$22="Menor"),CONCATENATE("R3C",'Mapa final'!$Q$22),"")</f>
        <v/>
      </c>
      <c r="R28" s="52" t="str">
        <f>IF(AND('Mapa final'!$AA$23="Media",'Mapa final'!$AC$23="Menor"),CONCATENATE("R3C",'Mapa final'!$Q$23),"")</f>
        <v/>
      </c>
      <c r="S28" s="52" t="str">
        <f>IF(AND('Mapa final'!$AA$24="Media",'Mapa final'!$AC$24="Menor"),CONCATENATE("R3C",'Mapa final'!$Q$24),"")</f>
        <v/>
      </c>
      <c r="T28" s="52" t="str">
        <f>IF(AND('Mapa final'!$AA$25="Media",'Mapa final'!$AC$25="Menor"),CONCATENATE("R3C",'Mapa final'!$Q$25),"")</f>
        <v/>
      </c>
      <c r="U28" s="53" t="str">
        <f>IF(AND('Mapa final'!$AA$26="Media",'Mapa final'!$AC$26="Menor"),CONCATENATE("R3C",'Mapa final'!$Q$26),"")</f>
        <v/>
      </c>
      <c r="V28" s="51" t="str">
        <f>IF(AND('Mapa final'!$AA$21="Media",'Mapa final'!$AC$21="Moderado"),CONCATENATE("R3C",'Mapa final'!$Q$21),"")</f>
        <v/>
      </c>
      <c r="W28" s="52" t="str">
        <f>IF(AND('Mapa final'!$AA$22="Media",'Mapa final'!$AC$22="Moderado"),CONCATENATE("R3C",'Mapa final'!$Q$22),"")</f>
        <v/>
      </c>
      <c r="X28" s="52" t="str">
        <f>IF(AND('Mapa final'!$AA$23="Media",'Mapa final'!$AC$23="Moderado"),CONCATENATE("R3C",'Mapa final'!$Q$23),"")</f>
        <v/>
      </c>
      <c r="Y28" s="52" t="str">
        <f>IF(AND('Mapa final'!$AA$24="Media",'Mapa final'!$AC$24="Moderado"),CONCATENATE("R3C",'Mapa final'!$Q$24),"")</f>
        <v/>
      </c>
      <c r="Z28" s="52" t="str">
        <f>IF(AND('Mapa final'!$AA$25="Media",'Mapa final'!$AC$25="Moderado"),CONCATENATE("R3C",'Mapa final'!$Q$25),"")</f>
        <v/>
      </c>
      <c r="AA28" s="53" t="str">
        <f>IF(AND('Mapa final'!$AA$26="Media",'Mapa final'!$AC$26="Moderado"),CONCATENATE("R3C",'Mapa final'!$Q$26),"")</f>
        <v/>
      </c>
      <c r="AB28" s="36" t="str">
        <f>IF(AND('Mapa final'!$AA$21="Media",'Mapa final'!$AC$21="Mayor"),CONCATENATE("R3C",'Mapa final'!$Q$21),"")</f>
        <v/>
      </c>
      <c r="AC28" s="37" t="str">
        <f>IF(AND('Mapa final'!$AA$22="Media",'Mapa final'!$AC$22="Mayor"),CONCATENATE("R3C",'Mapa final'!$Q$22),"")</f>
        <v/>
      </c>
      <c r="AD28" s="37" t="str">
        <f>IF(AND('Mapa final'!$AA$23="Media",'Mapa final'!$AC$23="Mayor"),CONCATENATE("R3C",'Mapa final'!$Q$23),"")</f>
        <v/>
      </c>
      <c r="AE28" s="37" t="str">
        <f>IF(AND('Mapa final'!$AA$24="Media",'Mapa final'!$AC$24="Mayor"),CONCATENATE("R3C",'Mapa final'!$Q$24),"")</f>
        <v/>
      </c>
      <c r="AF28" s="37" t="str">
        <f>IF(AND('Mapa final'!$AA$25="Media",'Mapa final'!$AC$25="Mayor"),CONCATENATE("R3C",'Mapa final'!$Q$25),"")</f>
        <v/>
      </c>
      <c r="AG28" s="38" t="str">
        <f>IF(AND('Mapa final'!$AA$26="Media",'Mapa final'!$AC$26="Mayor"),CONCATENATE("R3C",'Mapa final'!$Q$26),"")</f>
        <v/>
      </c>
      <c r="AH28" s="39" t="str">
        <f>IF(AND('Mapa final'!$AA$21="Media",'Mapa final'!$AC$21="Catastrófico"),CONCATENATE("R3C",'Mapa final'!$Q$21),"")</f>
        <v/>
      </c>
      <c r="AI28" s="40" t="str">
        <f>IF(AND('Mapa final'!$AA$22="Media",'Mapa final'!$AC$22="Catastrófico"),CONCATENATE("R3C",'Mapa final'!$Q$22),"")</f>
        <v/>
      </c>
      <c r="AJ28" s="40" t="str">
        <f>IF(AND('Mapa final'!$AA$23="Media",'Mapa final'!$AC$23="Catastrófico"),CONCATENATE("R3C",'Mapa final'!$Q$23),"")</f>
        <v/>
      </c>
      <c r="AK28" s="40" t="str">
        <f>IF(AND('Mapa final'!$AA$24="Media",'Mapa final'!$AC$24="Catastrófico"),CONCATENATE("R3C",'Mapa final'!$Q$24),"")</f>
        <v/>
      </c>
      <c r="AL28" s="40" t="str">
        <f>IF(AND('Mapa final'!$AA$25="Media",'Mapa final'!$AC$25="Catastrófico"),CONCATENATE("R3C",'Mapa final'!$Q$25),"")</f>
        <v/>
      </c>
      <c r="AM28" s="41" t="str">
        <f>IF(AND('Mapa final'!$AA$26="Media",'Mapa final'!$AC$26="Catastrófico"),CONCATENATE("R3C",'Mapa final'!$Q$26),"")</f>
        <v/>
      </c>
      <c r="AN28" s="67"/>
      <c r="AO28" s="433"/>
      <c r="AP28" s="434"/>
      <c r="AQ28" s="434"/>
      <c r="AR28" s="434"/>
      <c r="AS28" s="434"/>
      <c r="AT28" s="43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305"/>
      <c r="C29" s="305"/>
      <c r="D29" s="306"/>
      <c r="E29" s="404"/>
      <c r="F29" s="403"/>
      <c r="G29" s="403"/>
      <c r="H29" s="403"/>
      <c r="I29" s="419"/>
      <c r="J29" s="51" t="str">
        <f>IF(AND('Mapa final'!$AA$27="Media",'Mapa final'!$AC$27="Leve"),CONCATENATE("R4C",'Mapa final'!$Q$27),"")</f>
        <v/>
      </c>
      <c r="K29" s="52" t="str">
        <f>IF(AND('Mapa final'!$AA$28="Media",'Mapa final'!$AC$28="Leve"),CONCATENATE("R4C",'Mapa final'!$Q$28),"")</f>
        <v/>
      </c>
      <c r="L29" s="52" t="str">
        <f>IF(AND('Mapa final'!$AA$29="Media",'Mapa final'!$AC$29="Leve"),CONCATENATE("R4C",'Mapa final'!$Q$29),"")</f>
        <v/>
      </c>
      <c r="M29" s="52" t="str">
        <f>IF(AND('Mapa final'!$AA$30="Media",'Mapa final'!$AC$30="Leve"),CONCATENATE("R4C",'Mapa final'!$Q$30),"")</f>
        <v/>
      </c>
      <c r="N29" s="52" t="str">
        <f>IF(AND('Mapa final'!$AA$31="Media",'Mapa final'!$AC$31="Leve"),CONCATENATE("R4C",'Mapa final'!$Q$31),"")</f>
        <v/>
      </c>
      <c r="O29" s="53" t="str">
        <f>IF(AND('Mapa final'!$AA$32="Media",'Mapa final'!$AC$32="Leve"),CONCATENATE("R4C",'Mapa final'!$Q$32),"")</f>
        <v/>
      </c>
      <c r="P29" s="51" t="str">
        <f>IF(AND('Mapa final'!$AA$27="Media",'Mapa final'!$AC$27="Menor"),CONCATENATE("R4C",'Mapa final'!$Q$27),"")</f>
        <v/>
      </c>
      <c r="Q29" s="52" t="str">
        <f>IF(AND('Mapa final'!$AA$28="Media",'Mapa final'!$AC$28="Menor"),CONCATENATE("R4C",'Mapa final'!$Q$28),"")</f>
        <v/>
      </c>
      <c r="R29" s="52" t="str">
        <f>IF(AND('Mapa final'!$AA$29="Media",'Mapa final'!$AC$29="Menor"),CONCATENATE("R4C",'Mapa final'!$Q$29),"")</f>
        <v/>
      </c>
      <c r="S29" s="52" t="str">
        <f>IF(AND('Mapa final'!$AA$30="Media",'Mapa final'!$AC$30="Menor"),CONCATENATE("R4C",'Mapa final'!$Q$30),"")</f>
        <v/>
      </c>
      <c r="T29" s="52" t="str">
        <f>IF(AND('Mapa final'!$AA$31="Media",'Mapa final'!$AC$31="Menor"),CONCATENATE("R4C",'Mapa final'!$Q$31),"")</f>
        <v/>
      </c>
      <c r="U29" s="53" t="str">
        <f>IF(AND('Mapa final'!$AA$32="Media",'Mapa final'!$AC$32="Menor"),CONCATENATE("R4C",'Mapa final'!$Q$32),"")</f>
        <v/>
      </c>
      <c r="V29" s="51" t="str">
        <f>IF(AND('Mapa final'!$AA$27="Media",'Mapa final'!$AC$27="Moderado"),CONCATENATE("R4C",'Mapa final'!$Q$27),"")</f>
        <v/>
      </c>
      <c r="W29" s="52" t="str">
        <f>IF(AND('Mapa final'!$AA$28="Media",'Mapa final'!$AC$28="Moderado"),CONCATENATE("R4C",'Mapa final'!$Q$28),"")</f>
        <v/>
      </c>
      <c r="X29" s="52" t="str">
        <f>IF(AND('Mapa final'!$AA$29="Media",'Mapa final'!$AC$29="Moderado"),CONCATENATE("R4C",'Mapa final'!$Q$29),"")</f>
        <v/>
      </c>
      <c r="Y29" s="52" t="str">
        <f>IF(AND('Mapa final'!$AA$30="Media",'Mapa final'!$AC$30="Moderado"),CONCATENATE("R4C",'Mapa final'!$Q$30),"")</f>
        <v/>
      </c>
      <c r="Z29" s="52" t="str">
        <f>IF(AND('Mapa final'!$AA$31="Media",'Mapa final'!$AC$31="Moderado"),CONCATENATE("R4C",'Mapa final'!$Q$31),"")</f>
        <v/>
      </c>
      <c r="AA29" s="53" t="str">
        <f>IF(AND('Mapa final'!$AA$32="Media",'Mapa final'!$AC$32="Moderado"),CONCATENATE("R4C",'Mapa final'!$Q$32),"")</f>
        <v/>
      </c>
      <c r="AB29" s="36" t="str">
        <f>IF(AND('Mapa final'!$AA$27="Media",'Mapa final'!$AC$27="Mayor"),CONCATENATE("R4C",'Mapa final'!$Q$27),"")</f>
        <v/>
      </c>
      <c r="AC29" s="37" t="str">
        <f>IF(AND('Mapa final'!$AA$28="Media",'Mapa final'!$AC$28="Mayor"),CONCATENATE("R4C",'Mapa final'!$Q$28),"")</f>
        <v/>
      </c>
      <c r="AD29" s="37" t="str">
        <f>IF(AND('Mapa final'!$AA$29="Media",'Mapa final'!$AC$29="Mayor"),CONCATENATE("R4C",'Mapa final'!$Q$29),"")</f>
        <v/>
      </c>
      <c r="AE29" s="37" t="str">
        <f>IF(AND('Mapa final'!$AA$30="Media",'Mapa final'!$AC$30="Mayor"),CONCATENATE("R4C",'Mapa final'!$Q$30),"")</f>
        <v/>
      </c>
      <c r="AF29" s="37" t="str">
        <f>IF(AND('Mapa final'!$AA$31="Media",'Mapa final'!$AC$31="Mayor"),CONCATENATE("R4C",'Mapa final'!$Q$31),"")</f>
        <v/>
      </c>
      <c r="AG29" s="38" t="str">
        <f>IF(AND('Mapa final'!$AA$32="Media",'Mapa final'!$AC$32="Mayor"),CONCATENATE("R4C",'Mapa final'!$Q$32),"")</f>
        <v/>
      </c>
      <c r="AH29" s="39" t="str">
        <f>IF(AND('Mapa final'!$AA$27="Media",'Mapa final'!$AC$27="Catastrófico"),CONCATENATE("R4C",'Mapa final'!$Q$27),"")</f>
        <v/>
      </c>
      <c r="AI29" s="40" t="str">
        <f>IF(AND('Mapa final'!$AA$28="Media",'Mapa final'!$AC$28="Catastrófico"),CONCATENATE("R4C",'Mapa final'!$Q$28),"")</f>
        <v/>
      </c>
      <c r="AJ29" s="40" t="str">
        <f>IF(AND('Mapa final'!$AA$29="Media",'Mapa final'!$AC$29="Catastrófico"),CONCATENATE("R4C",'Mapa final'!$Q$29),"")</f>
        <v/>
      </c>
      <c r="AK29" s="40" t="str">
        <f>IF(AND('Mapa final'!$AA$30="Media",'Mapa final'!$AC$30="Catastrófico"),CONCATENATE("R4C",'Mapa final'!$Q$30),"")</f>
        <v/>
      </c>
      <c r="AL29" s="40" t="str">
        <f>IF(AND('Mapa final'!$AA$31="Media",'Mapa final'!$AC$31="Catastrófico"),CONCATENATE("R4C",'Mapa final'!$Q$31),"")</f>
        <v/>
      </c>
      <c r="AM29" s="41" t="str">
        <f>IF(AND('Mapa final'!$AA$32="Media",'Mapa final'!$AC$32="Catastrófico"),CONCATENATE("R4C",'Mapa final'!$Q$32),"")</f>
        <v/>
      </c>
      <c r="AN29" s="67"/>
      <c r="AO29" s="433"/>
      <c r="AP29" s="434"/>
      <c r="AQ29" s="434"/>
      <c r="AR29" s="434"/>
      <c r="AS29" s="434"/>
      <c r="AT29" s="43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305"/>
      <c r="C30" s="305"/>
      <c r="D30" s="306"/>
      <c r="E30" s="404"/>
      <c r="F30" s="403"/>
      <c r="G30" s="403"/>
      <c r="H30" s="403"/>
      <c r="I30" s="419"/>
      <c r="J30" s="51" t="str">
        <f>IF(AND('Mapa final'!$AA$33="Media",'Mapa final'!$AC$33="Leve"),CONCATENATE("R5C",'Mapa final'!$Q$33),"")</f>
        <v/>
      </c>
      <c r="K30" s="52" t="str">
        <f>IF(AND('Mapa final'!$AA$34="Media",'Mapa final'!$AC$34="Leve"),CONCATENATE("R5C",'Mapa final'!$Q$34),"")</f>
        <v/>
      </c>
      <c r="L30" s="52" t="str">
        <f>IF(AND('Mapa final'!$AA$35="Media",'Mapa final'!$AC$35="Leve"),CONCATENATE("R5C",'Mapa final'!$Q$35),"")</f>
        <v/>
      </c>
      <c r="M30" s="52" t="str">
        <f>IF(AND('Mapa final'!$AA$36="Media",'Mapa final'!$AC$36="Leve"),CONCATENATE("R5C",'Mapa final'!$Q$36),"")</f>
        <v/>
      </c>
      <c r="N30" s="52" t="str">
        <f>IF(AND('Mapa final'!$AA$37="Media",'Mapa final'!$AC$37="Leve"),CONCATENATE("R5C",'Mapa final'!$Q$37),"")</f>
        <v/>
      </c>
      <c r="O30" s="53" t="str">
        <f>IF(AND('Mapa final'!$AA$38="Media",'Mapa final'!$AC$38="Leve"),CONCATENATE("R5C",'Mapa final'!$Q$38),"")</f>
        <v/>
      </c>
      <c r="P30" s="51" t="str">
        <f>IF(AND('Mapa final'!$AA$33="Media",'Mapa final'!$AC$33="Menor"),CONCATENATE("R5C",'Mapa final'!$Q$33),"")</f>
        <v/>
      </c>
      <c r="Q30" s="52" t="str">
        <f>IF(AND('Mapa final'!$AA$34="Media",'Mapa final'!$AC$34="Menor"),CONCATENATE("R5C",'Mapa final'!$Q$34),"")</f>
        <v/>
      </c>
      <c r="R30" s="52" t="str">
        <f>IF(AND('Mapa final'!$AA$35="Media",'Mapa final'!$AC$35="Menor"),CONCATENATE("R5C",'Mapa final'!$Q$35),"")</f>
        <v/>
      </c>
      <c r="S30" s="52" t="str">
        <f>IF(AND('Mapa final'!$AA$36="Media",'Mapa final'!$AC$36="Menor"),CONCATENATE("R5C",'Mapa final'!$Q$36),"")</f>
        <v/>
      </c>
      <c r="T30" s="52" t="str">
        <f>IF(AND('Mapa final'!$AA$37="Media",'Mapa final'!$AC$37="Menor"),CONCATENATE("R5C",'Mapa final'!$Q$37),"")</f>
        <v/>
      </c>
      <c r="U30" s="53" t="str">
        <f>IF(AND('Mapa final'!$AA$38="Media",'Mapa final'!$AC$38="Menor"),CONCATENATE("R5C",'Mapa final'!$Q$38),"")</f>
        <v/>
      </c>
      <c r="V30" s="51" t="str">
        <f>IF(AND('Mapa final'!$AA$33="Media",'Mapa final'!$AC$33="Moderado"),CONCATENATE("R5C",'Mapa final'!$Q$33),"")</f>
        <v/>
      </c>
      <c r="W30" s="52" t="str">
        <f>IF(AND('Mapa final'!$AA$34="Media",'Mapa final'!$AC$34="Moderado"),CONCATENATE("R5C",'Mapa final'!$Q$34),"")</f>
        <v/>
      </c>
      <c r="X30" s="52" t="str">
        <f>IF(AND('Mapa final'!$AA$35="Media",'Mapa final'!$AC$35="Moderado"),CONCATENATE("R5C",'Mapa final'!$Q$35),"")</f>
        <v/>
      </c>
      <c r="Y30" s="52" t="str">
        <f>IF(AND('Mapa final'!$AA$36="Media",'Mapa final'!$AC$36="Moderado"),CONCATENATE("R5C",'Mapa final'!$Q$36),"")</f>
        <v/>
      </c>
      <c r="Z30" s="52" t="str">
        <f>IF(AND('Mapa final'!$AA$37="Media",'Mapa final'!$AC$37="Moderado"),CONCATENATE("R5C",'Mapa final'!$Q$37),"")</f>
        <v/>
      </c>
      <c r="AA30" s="53" t="str">
        <f>IF(AND('Mapa final'!$AA$38="Media",'Mapa final'!$AC$38="Moderado"),CONCATENATE("R5C",'Mapa final'!$Q$38),"")</f>
        <v/>
      </c>
      <c r="AB30" s="36" t="str">
        <f>IF(AND('Mapa final'!$AA$33="Media",'Mapa final'!$AC$33="Mayor"),CONCATENATE("R5C",'Mapa final'!$Q$33),"")</f>
        <v/>
      </c>
      <c r="AC30" s="37" t="str">
        <f>IF(AND('Mapa final'!$AA$34="Media",'Mapa final'!$AC$34="Mayor"),CONCATENATE("R5C",'Mapa final'!$Q$34),"")</f>
        <v/>
      </c>
      <c r="AD30" s="37" t="str">
        <f>IF(AND('Mapa final'!$AA$35="Media",'Mapa final'!$AC$35="Mayor"),CONCATENATE("R5C",'Mapa final'!$Q$35),"")</f>
        <v/>
      </c>
      <c r="AE30" s="37" t="str">
        <f>IF(AND('Mapa final'!$AA$36="Media",'Mapa final'!$AC$36="Mayor"),CONCATENATE("R5C",'Mapa final'!$Q$36),"")</f>
        <v/>
      </c>
      <c r="AF30" s="37" t="str">
        <f>IF(AND('Mapa final'!$AA$37="Media",'Mapa final'!$AC$37="Mayor"),CONCATENATE("R5C",'Mapa final'!$Q$37),"")</f>
        <v/>
      </c>
      <c r="AG30" s="38" t="str">
        <f>IF(AND('Mapa final'!$AA$38="Media",'Mapa final'!$AC$38="Mayor"),CONCATENATE("R5C",'Mapa final'!$Q$38),"")</f>
        <v/>
      </c>
      <c r="AH30" s="39" t="str">
        <f>IF(AND('Mapa final'!$AA$33="Media",'Mapa final'!$AC$33="Catastrófico"),CONCATENATE("R5C",'Mapa final'!$Q$33),"")</f>
        <v/>
      </c>
      <c r="AI30" s="40" t="str">
        <f>IF(AND('Mapa final'!$AA$34="Media",'Mapa final'!$AC$34="Catastrófico"),CONCATENATE("R5C",'Mapa final'!$Q$34),"")</f>
        <v/>
      </c>
      <c r="AJ30" s="40" t="str">
        <f>IF(AND('Mapa final'!$AA$35="Media",'Mapa final'!$AC$35="Catastrófico"),CONCATENATE("R5C",'Mapa final'!$Q$35),"")</f>
        <v/>
      </c>
      <c r="AK30" s="40" t="str">
        <f>IF(AND('Mapa final'!$AA$36="Media",'Mapa final'!$AC$36="Catastrófico"),CONCATENATE("R5C",'Mapa final'!$Q$36),"")</f>
        <v/>
      </c>
      <c r="AL30" s="40" t="str">
        <f>IF(AND('Mapa final'!$AA$37="Media",'Mapa final'!$AC$37="Catastrófico"),CONCATENATE("R5C",'Mapa final'!$Q$37),"")</f>
        <v/>
      </c>
      <c r="AM30" s="41" t="str">
        <f>IF(AND('Mapa final'!$AA$38="Media",'Mapa final'!$AC$38="Catastrófico"),CONCATENATE("R5C",'Mapa final'!$Q$38),"")</f>
        <v/>
      </c>
      <c r="AN30" s="67"/>
      <c r="AO30" s="433"/>
      <c r="AP30" s="434"/>
      <c r="AQ30" s="434"/>
      <c r="AR30" s="434"/>
      <c r="AS30" s="434"/>
      <c r="AT30" s="435"/>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305"/>
      <c r="C31" s="305"/>
      <c r="D31" s="306"/>
      <c r="E31" s="404"/>
      <c r="F31" s="403"/>
      <c r="G31" s="403"/>
      <c r="H31" s="403"/>
      <c r="I31" s="419"/>
      <c r="J31" s="51" t="str">
        <f>IF(AND('Mapa final'!$AA$39="Media",'Mapa final'!$AC$39="Leve"),CONCATENATE("R6C",'Mapa final'!$Q$39),"")</f>
        <v/>
      </c>
      <c r="K31" s="52" t="str">
        <f>IF(AND('Mapa final'!$AA$40="Media",'Mapa final'!$AC$40="Leve"),CONCATENATE("R6C",'Mapa final'!$Q$40),"")</f>
        <v/>
      </c>
      <c r="L31" s="52" t="str">
        <f>IF(AND('Mapa final'!$AA$41="Media",'Mapa final'!$AC$41="Leve"),CONCATENATE("R6C",'Mapa final'!$Q$41),"")</f>
        <v/>
      </c>
      <c r="M31" s="52" t="str">
        <f>IF(AND('Mapa final'!$AA$42="Media",'Mapa final'!$AC$42="Leve"),CONCATENATE("R6C",'Mapa final'!$Q$42),"")</f>
        <v/>
      </c>
      <c r="N31" s="52" t="str">
        <f>IF(AND('Mapa final'!$AA$43="Media",'Mapa final'!$AC$43="Leve"),CONCATENATE("R6C",'Mapa final'!$Q$43),"")</f>
        <v/>
      </c>
      <c r="O31" s="53" t="str">
        <f>IF(AND('Mapa final'!$AA$44="Media",'Mapa final'!$AC$44="Leve"),CONCATENATE("R6C",'Mapa final'!$Q$44),"")</f>
        <v/>
      </c>
      <c r="P31" s="51" t="str">
        <f>IF(AND('Mapa final'!$AA$39="Media",'Mapa final'!$AC$39="Menor"),CONCATENATE("R6C",'Mapa final'!$Q$39),"")</f>
        <v/>
      </c>
      <c r="Q31" s="52" t="str">
        <f>IF(AND('Mapa final'!$AA$40="Media",'Mapa final'!$AC$40="Menor"),CONCATENATE("R6C",'Mapa final'!$Q$40),"")</f>
        <v/>
      </c>
      <c r="R31" s="52" t="str">
        <f>IF(AND('Mapa final'!$AA$41="Media",'Mapa final'!$AC$41="Menor"),CONCATENATE("R6C",'Mapa final'!$Q$41),"")</f>
        <v/>
      </c>
      <c r="S31" s="52" t="str">
        <f>IF(AND('Mapa final'!$AA$42="Media",'Mapa final'!$AC$42="Menor"),CONCATENATE("R6C",'Mapa final'!$Q$42),"")</f>
        <v/>
      </c>
      <c r="T31" s="52" t="str">
        <f>IF(AND('Mapa final'!$AA$43="Media",'Mapa final'!$AC$43="Menor"),CONCATENATE("R6C",'Mapa final'!$Q$43),"")</f>
        <v/>
      </c>
      <c r="U31" s="53" t="str">
        <f>IF(AND('Mapa final'!$AA$44="Media",'Mapa final'!$AC$44="Menor"),CONCATENATE("R6C",'Mapa final'!$Q$44),"")</f>
        <v/>
      </c>
      <c r="V31" s="51" t="str">
        <f>IF(AND('Mapa final'!$AA$39="Media",'Mapa final'!$AC$39="Moderado"),CONCATENATE("R6C",'Mapa final'!$Q$39),"")</f>
        <v/>
      </c>
      <c r="W31" s="52" t="str">
        <f>IF(AND('Mapa final'!$AA$40="Media",'Mapa final'!$AC$40="Moderado"),CONCATENATE("R6C",'Mapa final'!$Q$40),"")</f>
        <v/>
      </c>
      <c r="X31" s="52" t="str">
        <f>IF(AND('Mapa final'!$AA$41="Media",'Mapa final'!$AC$41="Moderado"),CONCATENATE("R6C",'Mapa final'!$Q$41),"")</f>
        <v/>
      </c>
      <c r="Y31" s="52" t="str">
        <f>IF(AND('Mapa final'!$AA$42="Media",'Mapa final'!$AC$42="Moderado"),CONCATENATE("R6C",'Mapa final'!$Q$42),"")</f>
        <v/>
      </c>
      <c r="Z31" s="52" t="str">
        <f>IF(AND('Mapa final'!$AA$43="Media",'Mapa final'!$AC$43="Moderado"),CONCATENATE("R6C",'Mapa final'!$Q$43),"")</f>
        <v/>
      </c>
      <c r="AA31" s="53" t="str">
        <f>IF(AND('Mapa final'!$AA$44="Media",'Mapa final'!$AC$44="Moderado"),CONCATENATE("R6C",'Mapa final'!$Q$44),"")</f>
        <v/>
      </c>
      <c r="AB31" s="36" t="str">
        <f>IF(AND('Mapa final'!$AA$39="Media",'Mapa final'!$AC$39="Mayor"),CONCATENATE("R6C",'Mapa final'!$Q$39),"")</f>
        <v/>
      </c>
      <c r="AC31" s="37" t="str">
        <f>IF(AND('Mapa final'!$AA$40="Media",'Mapa final'!$AC$40="Mayor"),CONCATENATE("R6C",'Mapa final'!$Q$40),"")</f>
        <v/>
      </c>
      <c r="AD31" s="37" t="str">
        <f>IF(AND('Mapa final'!$AA$41="Media",'Mapa final'!$AC$41="Mayor"),CONCATENATE("R6C",'Mapa final'!$Q$41),"")</f>
        <v/>
      </c>
      <c r="AE31" s="37" t="str">
        <f>IF(AND('Mapa final'!$AA$42="Media",'Mapa final'!$AC$42="Mayor"),CONCATENATE("R6C",'Mapa final'!$Q$42),"")</f>
        <v/>
      </c>
      <c r="AF31" s="37" t="str">
        <f>IF(AND('Mapa final'!$AA$43="Media",'Mapa final'!$AC$43="Mayor"),CONCATENATE("R6C",'Mapa final'!$Q$43),"")</f>
        <v/>
      </c>
      <c r="AG31" s="38" t="str">
        <f>IF(AND('Mapa final'!$AA$44="Media",'Mapa final'!$AC$44="Mayor"),CONCATENATE("R6C",'Mapa final'!$Q$44),"")</f>
        <v/>
      </c>
      <c r="AH31" s="39" t="str">
        <f>IF(AND('Mapa final'!$AA$39="Media",'Mapa final'!$AC$39="Catastrófico"),CONCATENATE("R6C",'Mapa final'!$Q$39),"")</f>
        <v/>
      </c>
      <c r="AI31" s="40" t="str">
        <f>IF(AND('Mapa final'!$AA$40="Media",'Mapa final'!$AC$40="Catastrófico"),CONCATENATE("R6C",'Mapa final'!$Q$40),"")</f>
        <v/>
      </c>
      <c r="AJ31" s="40" t="str">
        <f>IF(AND('Mapa final'!$AA$41="Media",'Mapa final'!$AC$41="Catastrófico"),CONCATENATE("R6C",'Mapa final'!$Q$41),"")</f>
        <v/>
      </c>
      <c r="AK31" s="40" t="str">
        <f>IF(AND('Mapa final'!$AA$42="Media",'Mapa final'!$AC$42="Catastrófico"),CONCATENATE("R6C",'Mapa final'!$Q$42),"")</f>
        <v/>
      </c>
      <c r="AL31" s="40" t="str">
        <f>IF(AND('Mapa final'!$AA$43="Media",'Mapa final'!$AC$43="Catastrófico"),CONCATENATE("R6C",'Mapa final'!$Q$43),"")</f>
        <v/>
      </c>
      <c r="AM31" s="41" t="str">
        <f>IF(AND('Mapa final'!$AA$44="Media",'Mapa final'!$AC$44="Catastrófico"),CONCATENATE("R6C",'Mapa final'!$Q$44),"")</f>
        <v/>
      </c>
      <c r="AN31" s="67"/>
      <c r="AO31" s="433"/>
      <c r="AP31" s="434"/>
      <c r="AQ31" s="434"/>
      <c r="AR31" s="434"/>
      <c r="AS31" s="434"/>
      <c r="AT31" s="43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305"/>
      <c r="C32" s="305"/>
      <c r="D32" s="306"/>
      <c r="E32" s="404"/>
      <c r="F32" s="403"/>
      <c r="G32" s="403"/>
      <c r="H32" s="403"/>
      <c r="I32" s="419"/>
      <c r="J32" s="51" t="str">
        <f>IF(AND('Mapa final'!$AA$45="Media",'Mapa final'!$AC$45="Leve"),CONCATENATE("R7C",'Mapa final'!$Q$45),"")</f>
        <v/>
      </c>
      <c r="K32" s="52" t="str">
        <f>IF(AND('Mapa final'!$AA$46="Media",'Mapa final'!$AC$46="Leve"),CONCATENATE("R7C",'Mapa final'!$Q$46),"")</f>
        <v/>
      </c>
      <c r="L32" s="52" t="str">
        <f>IF(AND('Mapa final'!$AA$47="Media",'Mapa final'!$AC$47="Leve"),CONCATENATE("R7C",'Mapa final'!$Q$47),"")</f>
        <v/>
      </c>
      <c r="M32" s="52" t="str">
        <f>IF(AND('Mapa final'!$AA$48="Media",'Mapa final'!$AC$48="Leve"),CONCATENATE("R7C",'Mapa final'!$Q$48),"")</f>
        <v/>
      </c>
      <c r="N32" s="52" t="str">
        <f>IF(AND('Mapa final'!$AA$49="Media",'Mapa final'!$AC$49="Leve"),CONCATENATE("R7C",'Mapa final'!$Q$49),"")</f>
        <v/>
      </c>
      <c r="O32" s="53" t="str">
        <f>IF(AND('Mapa final'!$AA$50="Media",'Mapa final'!$AC$50="Leve"),CONCATENATE("R7C",'Mapa final'!$Q$50),"")</f>
        <v/>
      </c>
      <c r="P32" s="51" t="str">
        <f>IF(AND('Mapa final'!$AA$45="Media",'Mapa final'!$AC$45="Menor"),CONCATENATE("R7C",'Mapa final'!$Q$45),"")</f>
        <v/>
      </c>
      <c r="Q32" s="52" t="str">
        <f>IF(AND('Mapa final'!$AA$46="Media",'Mapa final'!$AC$46="Menor"),CONCATENATE("R7C",'Mapa final'!$Q$46),"")</f>
        <v/>
      </c>
      <c r="R32" s="52" t="str">
        <f>IF(AND('Mapa final'!$AA$47="Media",'Mapa final'!$AC$47="Menor"),CONCATENATE("R7C",'Mapa final'!$Q$47),"")</f>
        <v/>
      </c>
      <c r="S32" s="52" t="str">
        <f>IF(AND('Mapa final'!$AA$48="Media",'Mapa final'!$AC$48="Menor"),CONCATENATE("R7C",'Mapa final'!$Q$48),"")</f>
        <v/>
      </c>
      <c r="T32" s="52" t="str">
        <f>IF(AND('Mapa final'!$AA$49="Media",'Mapa final'!$AC$49="Menor"),CONCATENATE("R7C",'Mapa final'!$Q$49),"")</f>
        <v/>
      </c>
      <c r="U32" s="53" t="str">
        <f>IF(AND('Mapa final'!$AA$50="Media",'Mapa final'!$AC$50="Menor"),CONCATENATE("R7C",'Mapa final'!$Q$50),"")</f>
        <v/>
      </c>
      <c r="V32" s="51" t="str">
        <f>IF(AND('Mapa final'!$AA$45="Media",'Mapa final'!$AC$45="Moderado"),CONCATENATE("R7C",'Mapa final'!$Q$45),"")</f>
        <v/>
      </c>
      <c r="W32" s="52" t="str">
        <f>IF(AND('Mapa final'!$AA$46="Media",'Mapa final'!$AC$46="Moderado"),CONCATENATE("R7C",'Mapa final'!$Q$46),"")</f>
        <v/>
      </c>
      <c r="X32" s="52" t="str">
        <f>IF(AND('Mapa final'!$AA$47="Media",'Mapa final'!$AC$47="Moderado"),CONCATENATE("R7C",'Mapa final'!$Q$47),"")</f>
        <v/>
      </c>
      <c r="Y32" s="52" t="str">
        <f>IF(AND('Mapa final'!$AA$48="Media",'Mapa final'!$AC$48="Moderado"),CONCATENATE("R7C",'Mapa final'!$Q$48),"")</f>
        <v/>
      </c>
      <c r="Z32" s="52" t="str">
        <f>IF(AND('Mapa final'!$AA$49="Media",'Mapa final'!$AC$49="Moderado"),CONCATENATE("R7C",'Mapa final'!$Q$49),"")</f>
        <v/>
      </c>
      <c r="AA32" s="53" t="str">
        <f>IF(AND('Mapa final'!$AA$50="Media",'Mapa final'!$AC$50="Moderado"),CONCATENATE("R7C",'Mapa final'!$Q$50),"")</f>
        <v/>
      </c>
      <c r="AB32" s="36" t="str">
        <f>IF(AND('Mapa final'!$AA$45="Media",'Mapa final'!$AC$45="Mayor"),CONCATENATE("R7C",'Mapa final'!$Q$45),"")</f>
        <v/>
      </c>
      <c r="AC32" s="37" t="str">
        <f>IF(AND('Mapa final'!$AA$46="Media",'Mapa final'!$AC$46="Mayor"),CONCATENATE("R7C",'Mapa final'!$Q$46),"")</f>
        <v/>
      </c>
      <c r="AD32" s="37" t="str">
        <f>IF(AND('Mapa final'!$AA$47="Media",'Mapa final'!$AC$47="Mayor"),CONCATENATE("R7C",'Mapa final'!$Q$47),"")</f>
        <v/>
      </c>
      <c r="AE32" s="37" t="str">
        <f>IF(AND('Mapa final'!$AA$48="Media",'Mapa final'!$AC$48="Mayor"),CONCATENATE("R7C",'Mapa final'!$Q$48),"")</f>
        <v/>
      </c>
      <c r="AF32" s="37" t="str">
        <f>IF(AND('Mapa final'!$AA$49="Media",'Mapa final'!$AC$49="Mayor"),CONCATENATE("R7C",'Mapa final'!$Q$49),"")</f>
        <v/>
      </c>
      <c r="AG32" s="38" t="str">
        <f>IF(AND('Mapa final'!$AA$50="Media",'Mapa final'!$AC$50="Mayor"),CONCATENATE("R7C",'Mapa final'!$Q$50),"")</f>
        <v/>
      </c>
      <c r="AH32" s="39" t="str">
        <f>IF(AND('Mapa final'!$AA$45="Media",'Mapa final'!$AC$45="Catastrófico"),CONCATENATE("R7C",'Mapa final'!$Q$45),"")</f>
        <v/>
      </c>
      <c r="AI32" s="40" t="str">
        <f>IF(AND('Mapa final'!$AA$46="Media",'Mapa final'!$AC$46="Catastrófico"),CONCATENATE("R7C",'Mapa final'!$Q$46),"")</f>
        <v/>
      </c>
      <c r="AJ32" s="40" t="str">
        <f>IF(AND('Mapa final'!$AA$47="Media",'Mapa final'!$AC$47="Catastrófico"),CONCATENATE("R7C",'Mapa final'!$Q$47),"")</f>
        <v/>
      </c>
      <c r="AK32" s="40" t="str">
        <f>IF(AND('Mapa final'!$AA$48="Media",'Mapa final'!$AC$48="Catastrófico"),CONCATENATE("R7C",'Mapa final'!$Q$48),"")</f>
        <v/>
      </c>
      <c r="AL32" s="40" t="str">
        <f>IF(AND('Mapa final'!$AA$49="Media",'Mapa final'!$AC$49="Catastrófico"),CONCATENATE("R7C",'Mapa final'!$Q$49),"")</f>
        <v/>
      </c>
      <c r="AM32" s="41" t="str">
        <f>IF(AND('Mapa final'!$AA$50="Media",'Mapa final'!$AC$50="Catastrófico"),CONCATENATE("R7C",'Mapa final'!$Q$50),"")</f>
        <v/>
      </c>
      <c r="AN32" s="67"/>
      <c r="AO32" s="433"/>
      <c r="AP32" s="434"/>
      <c r="AQ32" s="434"/>
      <c r="AR32" s="434"/>
      <c r="AS32" s="434"/>
      <c r="AT32" s="43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305"/>
      <c r="C33" s="305"/>
      <c r="D33" s="306"/>
      <c r="E33" s="404"/>
      <c r="F33" s="403"/>
      <c r="G33" s="403"/>
      <c r="H33" s="403"/>
      <c r="I33" s="419"/>
      <c r="J33" s="51" t="str">
        <f>IF(AND('Mapa final'!$AA$51="Media",'Mapa final'!$AC$51="Leve"),CONCATENATE("R8C",'Mapa final'!$Q$51),"")</f>
        <v/>
      </c>
      <c r="K33" s="52" t="str">
        <f>IF(AND('Mapa final'!$AA$52="Media",'Mapa final'!$AC$52="Leve"),CONCATENATE("R8C",'Mapa final'!$Q$52),"")</f>
        <v/>
      </c>
      <c r="L33" s="52" t="str">
        <f>IF(AND('Mapa final'!$AA$53="Media",'Mapa final'!$AC$53="Leve"),CONCATENATE("R8C",'Mapa final'!$Q$53),"")</f>
        <v/>
      </c>
      <c r="M33" s="52" t="str">
        <f>IF(AND('Mapa final'!$AA$54="Media",'Mapa final'!$AC$54="Leve"),CONCATENATE("R8C",'Mapa final'!$Q$54),"")</f>
        <v/>
      </c>
      <c r="N33" s="52" t="str">
        <f>IF(AND('Mapa final'!$AA$55="Media",'Mapa final'!$AC$55="Leve"),CONCATENATE("R8C",'Mapa final'!$Q$55),"")</f>
        <v/>
      </c>
      <c r="O33" s="53" t="str">
        <f>IF(AND('Mapa final'!$AA$56="Media",'Mapa final'!$AC$56="Leve"),CONCATENATE("R8C",'Mapa final'!$Q$56),"")</f>
        <v/>
      </c>
      <c r="P33" s="51" t="str">
        <f>IF(AND('Mapa final'!$AA$51="Media",'Mapa final'!$AC$51="Menor"),CONCATENATE("R8C",'Mapa final'!$Q$51),"")</f>
        <v/>
      </c>
      <c r="Q33" s="52" t="str">
        <f>IF(AND('Mapa final'!$AA$52="Media",'Mapa final'!$AC$52="Menor"),CONCATENATE("R8C",'Mapa final'!$Q$52),"")</f>
        <v/>
      </c>
      <c r="R33" s="52" t="str">
        <f>IF(AND('Mapa final'!$AA$53="Media",'Mapa final'!$AC$53="Menor"),CONCATENATE("R8C",'Mapa final'!$Q$53),"")</f>
        <v/>
      </c>
      <c r="S33" s="52" t="str">
        <f>IF(AND('Mapa final'!$AA$54="Media",'Mapa final'!$AC$54="Menor"),CONCATENATE("R8C",'Mapa final'!$Q$54),"")</f>
        <v/>
      </c>
      <c r="T33" s="52" t="str">
        <f>IF(AND('Mapa final'!$AA$55="Media",'Mapa final'!$AC$55="Menor"),CONCATENATE("R8C",'Mapa final'!$Q$55),"")</f>
        <v/>
      </c>
      <c r="U33" s="53" t="str">
        <f>IF(AND('Mapa final'!$AA$56="Media",'Mapa final'!$AC$56="Menor"),CONCATENATE("R8C",'Mapa final'!$Q$56),"")</f>
        <v/>
      </c>
      <c r="V33" s="51" t="str">
        <f>IF(AND('Mapa final'!$AA$51="Media",'Mapa final'!$AC$51="Moderado"),CONCATENATE("R8C",'Mapa final'!$Q$51),"")</f>
        <v/>
      </c>
      <c r="W33" s="52" t="str">
        <f>IF(AND('Mapa final'!$AA$52="Media",'Mapa final'!$AC$52="Moderado"),CONCATENATE("R8C",'Mapa final'!$Q$52),"")</f>
        <v/>
      </c>
      <c r="X33" s="52" t="str">
        <f>IF(AND('Mapa final'!$AA$53="Media",'Mapa final'!$AC$53="Moderado"),CONCATENATE("R8C",'Mapa final'!$Q$53),"")</f>
        <v/>
      </c>
      <c r="Y33" s="52" t="str">
        <f>IF(AND('Mapa final'!$AA$54="Media",'Mapa final'!$AC$54="Moderado"),CONCATENATE("R8C",'Mapa final'!$Q$54),"")</f>
        <v/>
      </c>
      <c r="Z33" s="52" t="str">
        <f>IF(AND('Mapa final'!$AA$55="Media",'Mapa final'!$AC$55="Moderado"),CONCATENATE("R8C",'Mapa final'!$Q$55),"")</f>
        <v/>
      </c>
      <c r="AA33" s="53" t="str">
        <f>IF(AND('Mapa final'!$AA$56="Media",'Mapa final'!$AC$56="Moderado"),CONCATENATE("R8C",'Mapa final'!$Q$56),"")</f>
        <v/>
      </c>
      <c r="AB33" s="36" t="str">
        <f>IF(AND('Mapa final'!$AA$51="Media",'Mapa final'!$AC$51="Mayor"),CONCATENATE("R8C",'Mapa final'!$Q$51),"")</f>
        <v/>
      </c>
      <c r="AC33" s="37" t="str">
        <f>IF(AND('Mapa final'!$AA$52="Media",'Mapa final'!$AC$52="Mayor"),CONCATENATE("R8C",'Mapa final'!$Q$52),"")</f>
        <v/>
      </c>
      <c r="AD33" s="37" t="str">
        <f>IF(AND('Mapa final'!$AA$53="Media",'Mapa final'!$AC$53="Mayor"),CONCATENATE("R8C",'Mapa final'!$Q$53),"")</f>
        <v/>
      </c>
      <c r="AE33" s="37" t="str">
        <f>IF(AND('Mapa final'!$AA$54="Media",'Mapa final'!$AC$54="Mayor"),CONCATENATE("R8C",'Mapa final'!$Q$54),"")</f>
        <v/>
      </c>
      <c r="AF33" s="37" t="str">
        <f>IF(AND('Mapa final'!$AA$55="Media",'Mapa final'!$AC$55="Mayor"),CONCATENATE("R8C",'Mapa final'!$Q$55),"")</f>
        <v/>
      </c>
      <c r="AG33" s="38" t="str">
        <f>IF(AND('Mapa final'!$AA$56="Media",'Mapa final'!$AC$56="Mayor"),CONCATENATE("R8C",'Mapa final'!$Q$56),"")</f>
        <v/>
      </c>
      <c r="AH33" s="39" t="str">
        <f>IF(AND('Mapa final'!$AA$51="Media",'Mapa final'!$AC$51="Catastrófico"),CONCATENATE("R8C",'Mapa final'!$Q$51),"")</f>
        <v/>
      </c>
      <c r="AI33" s="40" t="str">
        <f>IF(AND('Mapa final'!$AA$52="Media",'Mapa final'!$AC$52="Catastrófico"),CONCATENATE("R8C",'Mapa final'!$Q$52),"")</f>
        <v/>
      </c>
      <c r="AJ33" s="40" t="str">
        <f>IF(AND('Mapa final'!$AA$53="Media",'Mapa final'!$AC$53="Catastrófico"),CONCATENATE("R8C",'Mapa final'!$Q$53),"")</f>
        <v/>
      </c>
      <c r="AK33" s="40" t="str">
        <f>IF(AND('Mapa final'!$AA$54="Media",'Mapa final'!$AC$54="Catastrófico"),CONCATENATE("R8C",'Mapa final'!$Q$54),"")</f>
        <v/>
      </c>
      <c r="AL33" s="40" t="str">
        <f>IF(AND('Mapa final'!$AA$55="Media",'Mapa final'!$AC$55="Catastrófico"),CONCATENATE("R8C",'Mapa final'!$Q$55),"")</f>
        <v/>
      </c>
      <c r="AM33" s="41" t="str">
        <f>IF(AND('Mapa final'!$AA$56="Media",'Mapa final'!$AC$56="Catastrófico"),CONCATENATE("R8C",'Mapa final'!$Q$56),"")</f>
        <v/>
      </c>
      <c r="AN33" s="67"/>
      <c r="AO33" s="433"/>
      <c r="AP33" s="434"/>
      <c r="AQ33" s="434"/>
      <c r="AR33" s="434"/>
      <c r="AS33" s="434"/>
      <c r="AT33" s="43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305"/>
      <c r="C34" s="305"/>
      <c r="D34" s="306"/>
      <c r="E34" s="404"/>
      <c r="F34" s="403"/>
      <c r="G34" s="403"/>
      <c r="H34" s="403"/>
      <c r="I34" s="419"/>
      <c r="J34" s="51" t="str">
        <f>IF(AND('Mapa final'!$AA$57="Media",'Mapa final'!$AC$57="Leve"),CONCATENATE("R9C",'Mapa final'!$Q$57),"")</f>
        <v/>
      </c>
      <c r="K34" s="52" t="str">
        <f>IF(AND('Mapa final'!$AA$58="Media",'Mapa final'!$AC$58="Leve"),CONCATENATE("R9C",'Mapa final'!$Q$58),"")</f>
        <v/>
      </c>
      <c r="L34" s="52" t="str">
        <f>IF(AND('Mapa final'!$AA$59="Media",'Mapa final'!$AC$59="Leve"),CONCATENATE("R9C",'Mapa final'!$Q$59),"")</f>
        <v/>
      </c>
      <c r="M34" s="52" t="str">
        <f>IF(AND('Mapa final'!$AA$60="Media",'Mapa final'!$AC$60="Leve"),CONCATENATE("R9C",'Mapa final'!$Q$60),"")</f>
        <v/>
      </c>
      <c r="N34" s="52" t="str">
        <f>IF(AND('Mapa final'!$AA$61="Media",'Mapa final'!$AC$61="Leve"),CONCATENATE("R9C",'Mapa final'!$Q$61),"")</f>
        <v/>
      </c>
      <c r="O34" s="53" t="str">
        <f>IF(AND('Mapa final'!$AA$62="Media",'Mapa final'!$AC$62="Leve"),CONCATENATE("R9C",'Mapa final'!$Q$62),"")</f>
        <v/>
      </c>
      <c r="P34" s="51" t="str">
        <f>IF(AND('Mapa final'!$AA$57="Media",'Mapa final'!$AC$57="Menor"),CONCATENATE("R9C",'Mapa final'!$Q$57),"")</f>
        <v/>
      </c>
      <c r="Q34" s="52" t="str">
        <f>IF(AND('Mapa final'!$AA$58="Media",'Mapa final'!$AC$58="Menor"),CONCATENATE("R9C",'Mapa final'!$Q$58),"")</f>
        <v/>
      </c>
      <c r="R34" s="52" t="str">
        <f>IF(AND('Mapa final'!$AA$59="Media",'Mapa final'!$AC$59="Menor"),CONCATENATE("R9C",'Mapa final'!$Q$59),"")</f>
        <v/>
      </c>
      <c r="S34" s="52" t="str">
        <f>IF(AND('Mapa final'!$AA$60="Media",'Mapa final'!$AC$60="Menor"),CONCATENATE("R9C",'Mapa final'!$Q$60),"")</f>
        <v/>
      </c>
      <c r="T34" s="52" t="str">
        <f>IF(AND('Mapa final'!$AA$61="Media",'Mapa final'!$AC$61="Menor"),CONCATENATE("R9C",'Mapa final'!$Q$61),"")</f>
        <v/>
      </c>
      <c r="U34" s="53" t="str">
        <f>IF(AND('Mapa final'!$AA$62="Media",'Mapa final'!$AC$62="Menor"),CONCATENATE("R9C",'Mapa final'!$Q$62),"")</f>
        <v/>
      </c>
      <c r="V34" s="51" t="str">
        <f>IF(AND('Mapa final'!$AA$57="Media",'Mapa final'!$AC$57="Moderado"),CONCATENATE("R9C",'Mapa final'!$Q$57),"")</f>
        <v/>
      </c>
      <c r="W34" s="52" t="str">
        <f>IF(AND('Mapa final'!$AA$58="Media",'Mapa final'!$AC$58="Moderado"),CONCATENATE("R9C",'Mapa final'!$Q$58),"")</f>
        <v/>
      </c>
      <c r="X34" s="52" t="str">
        <f>IF(AND('Mapa final'!$AA$59="Media",'Mapa final'!$AC$59="Moderado"),CONCATENATE("R9C",'Mapa final'!$Q$59),"")</f>
        <v/>
      </c>
      <c r="Y34" s="52" t="str">
        <f>IF(AND('Mapa final'!$AA$60="Media",'Mapa final'!$AC$60="Moderado"),CONCATENATE("R9C",'Mapa final'!$Q$60),"")</f>
        <v/>
      </c>
      <c r="Z34" s="52" t="str">
        <f>IF(AND('Mapa final'!$AA$61="Media",'Mapa final'!$AC$61="Moderado"),CONCATENATE("R9C",'Mapa final'!$Q$61),"")</f>
        <v/>
      </c>
      <c r="AA34" s="53" t="str">
        <f>IF(AND('Mapa final'!$AA$62="Media",'Mapa final'!$AC$62="Moderado"),CONCATENATE("R9C",'Mapa final'!$Q$62),"")</f>
        <v/>
      </c>
      <c r="AB34" s="36" t="str">
        <f>IF(AND('Mapa final'!$AA$57="Media",'Mapa final'!$AC$57="Mayor"),CONCATENATE("R9C",'Mapa final'!$Q$57),"")</f>
        <v/>
      </c>
      <c r="AC34" s="37" t="str">
        <f>IF(AND('Mapa final'!$AA$58="Media",'Mapa final'!$AC$58="Mayor"),CONCATENATE("R9C",'Mapa final'!$Q$58),"")</f>
        <v/>
      </c>
      <c r="AD34" s="37" t="str">
        <f>IF(AND('Mapa final'!$AA$59="Media",'Mapa final'!$AC$59="Mayor"),CONCATENATE("R9C",'Mapa final'!$Q$59),"")</f>
        <v/>
      </c>
      <c r="AE34" s="37" t="str">
        <f>IF(AND('Mapa final'!$AA$60="Media",'Mapa final'!$AC$60="Mayor"),CONCATENATE("R9C",'Mapa final'!$Q$60),"")</f>
        <v/>
      </c>
      <c r="AF34" s="37" t="str">
        <f>IF(AND('Mapa final'!$AA$61="Media",'Mapa final'!$AC$61="Mayor"),CONCATENATE("R9C",'Mapa final'!$Q$61),"")</f>
        <v/>
      </c>
      <c r="AG34" s="38" t="str">
        <f>IF(AND('Mapa final'!$AA$62="Media",'Mapa final'!$AC$62="Mayor"),CONCATENATE("R9C",'Mapa final'!$Q$62),"")</f>
        <v/>
      </c>
      <c r="AH34" s="39" t="str">
        <f>IF(AND('Mapa final'!$AA$57="Media",'Mapa final'!$AC$57="Catastrófico"),CONCATENATE("R9C",'Mapa final'!$Q$57),"")</f>
        <v/>
      </c>
      <c r="AI34" s="40" t="str">
        <f>IF(AND('Mapa final'!$AA$58="Media",'Mapa final'!$AC$58="Catastrófico"),CONCATENATE("R9C",'Mapa final'!$Q$58),"")</f>
        <v/>
      </c>
      <c r="AJ34" s="40" t="str">
        <f>IF(AND('Mapa final'!$AA$59="Media",'Mapa final'!$AC$59="Catastrófico"),CONCATENATE("R9C",'Mapa final'!$Q$59),"")</f>
        <v/>
      </c>
      <c r="AK34" s="40" t="str">
        <f>IF(AND('Mapa final'!$AA$60="Media",'Mapa final'!$AC$60="Catastrófico"),CONCATENATE("R9C",'Mapa final'!$Q$60),"")</f>
        <v/>
      </c>
      <c r="AL34" s="40" t="str">
        <f>IF(AND('Mapa final'!$AA$61="Media",'Mapa final'!$AC$61="Catastrófico"),CONCATENATE("R9C",'Mapa final'!$Q$61),"")</f>
        <v/>
      </c>
      <c r="AM34" s="41" t="str">
        <f>IF(AND('Mapa final'!$AA$62="Media",'Mapa final'!$AC$62="Catastrófico"),CONCATENATE("R9C",'Mapa final'!$Q$62),"")</f>
        <v/>
      </c>
      <c r="AN34" s="67"/>
      <c r="AO34" s="433"/>
      <c r="AP34" s="434"/>
      <c r="AQ34" s="434"/>
      <c r="AR34" s="434"/>
      <c r="AS34" s="434"/>
      <c r="AT34" s="43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305"/>
      <c r="C35" s="305"/>
      <c r="D35" s="306"/>
      <c r="E35" s="405"/>
      <c r="F35" s="406"/>
      <c r="G35" s="406"/>
      <c r="H35" s="406"/>
      <c r="I35" s="420"/>
      <c r="J35" s="51" t="str">
        <f>IF(AND('Mapa final'!$AA$63="Media",'Mapa final'!$AC$63="Leve"),CONCATENATE("R10C",'Mapa final'!$Q$63),"")</f>
        <v/>
      </c>
      <c r="K35" s="52" t="str">
        <f>IF(AND('Mapa final'!$AA$64="Media",'Mapa final'!$AC$64="Leve"),CONCATENATE("R10C",'Mapa final'!$Q$64),"")</f>
        <v/>
      </c>
      <c r="L35" s="52" t="str">
        <f>IF(AND('Mapa final'!$AA$65="Media",'Mapa final'!$AC$65="Leve"),CONCATENATE("R10C",'Mapa final'!$Q$65),"")</f>
        <v/>
      </c>
      <c r="M35" s="52" t="str">
        <f>IF(AND('Mapa final'!$AA$66="Media",'Mapa final'!$AC$66="Leve"),CONCATENATE("R10C",'Mapa final'!$Q$66),"")</f>
        <v/>
      </c>
      <c r="N35" s="52" t="str">
        <f>IF(AND('Mapa final'!$AA$67="Media",'Mapa final'!$AC$67="Leve"),CONCATENATE("R10C",'Mapa final'!$Q$67),"")</f>
        <v/>
      </c>
      <c r="O35" s="53" t="str">
        <f>IF(AND('Mapa final'!$AA$68="Media",'Mapa final'!$AC$68="Leve"),CONCATENATE("R10C",'Mapa final'!$Q$68),"")</f>
        <v/>
      </c>
      <c r="P35" s="51" t="str">
        <f>IF(AND('Mapa final'!$AA$63="Media",'Mapa final'!$AC$63="Menor"),CONCATENATE("R10C",'Mapa final'!$Q$63),"")</f>
        <v/>
      </c>
      <c r="Q35" s="52" t="str">
        <f>IF(AND('Mapa final'!$AA$64="Media",'Mapa final'!$AC$64="Menor"),CONCATENATE("R10C",'Mapa final'!$Q$64),"")</f>
        <v/>
      </c>
      <c r="R35" s="52" t="str">
        <f>IF(AND('Mapa final'!$AA$65="Media",'Mapa final'!$AC$65="Menor"),CONCATENATE("R10C",'Mapa final'!$Q$65),"")</f>
        <v/>
      </c>
      <c r="S35" s="52" t="str">
        <f>IF(AND('Mapa final'!$AA$66="Media",'Mapa final'!$AC$66="Menor"),CONCATENATE("R10C",'Mapa final'!$Q$66),"")</f>
        <v/>
      </c>
      <c r="T35" s="52" t="str">
        <f>IF(AND('Mapa final'!$AA$67="Media",'Mapa final'!$AC$67="Menor"),CONCATENATE("R10C",'Mapa final'!$Q$67),"")</f>
        <v/>
      </c>
      <c r="U35" s="53" t="str">
        <f>IF(AND('Mapa final'!$AA$68="Media",'Mapa final'!$AC$68="Menor"),CONCATENATE("R10C",'Mapa final'!$Q$68),"")</f>
        <v/>
      </c>
      <c r="V35" s="51" t="str">
        <f>IF(AND('Mapa final'!$AA$63="Media",'Mapa final'!$AC$63="Moderado"),CONCATENATE("R10C",'Mapa final'!$Q$63),"")</f>
        <v/>
      </c>
      <c r="W35" s="52" t="str">
        <f>IF(AND('Mapa final'!$AA$64="Media",'Mapa final'!$AC$64="Moderado"),CONCATENATE("R10C",'Mapa final'!$Q$64),"")</f>
        <v/>
      </c>
      <c r="X35" s="52" t="str">
        <f>IF(AND('Mapa final'!$AA$65="Media",'Mapa final'!$AC$65="Moderado"),CONCATENATE("R10C",'Mapa final'!$Q$65),"")</f>
        <v/>
      </c>
      <c r="Y35" s="52" t="str">
        <f>IF(AND('Mapa final'!$AA$66="Media",'Mapa final'!$AC$66="Moderado"),CONCATENATE("R10C",'Mapa final'!$Q$66),"")</f>
        <v/>
      </c>
      <c r="Z35" s="52" t="str">
        <f>IF(AND('Mapa final'!$AA$67="Media",'Mapa final'!$AC$67="Moderado"),CONCATENATE("R10C",'Mapa final'!$Q$67),"")</f>
        <v/>
      </c>
      <c r="AA35" s="53" t="str">
        <f>IF(AND('Mapa final'!$AA$68="Media",'Mapa final'!$AC$68="Moderado"),CONCATENATE("R10C",'Mapa final'!$Q$68),"")</f>
        <v/>
      </c>
      <c r="AB35" s="42" t="str">
        <f>IF(AND('Mapa final'!$AA$63="Media",'Mapa final'!$AC$63="Mayor"),CONCATENATE("R10C",'Mapa final'!$Q$63),"")</f>
        <v/>
      </c>
      <c r="AC35" s="43" t="str">
        <f>IF(AND('Mapa final'!$AA$64="Media",'Mapa final'!$AC$64="Mayor"),CONCATENATE("R10C",'Mapa final'!$Q$64),"")</f>
        <v/>
      </c>
      <c r="AD35" s="43" t="str">
        <f>IF(AND('Mapa final'!$AA$65="Media",'Mapa final'!$AC$65="Mayor"),CONCATENATE("R10C",'Mapa final'!$Q$65),"")</f>
        <v/>
      </c>
      <c r="AE35" s="43" t="str">
        <f>IF(AND('Mapa final'!$AA$66="Media",'Mapa final'!$AC$66="Mayor"),CONCATENATE("R10C",'Mapa final'!$Q$66),"")</f>
        <v/>
      </c>
      <c r="AF35" s="43" t="str">
        <f>IF(AND('Mapa final'!$AA$67="Media",'Mapa final'!$AC$67="Mayor"),CONCATENATE("R10C",'Mapa final'!$Q$67),"")</f>
        <v/>
      </c>
      <c r="AG35" s="44" t="str">
        <f>IF(AND('Mapa final'!$AA$68="Media",'Mapa final'!$AC$68="Mayor"),CONCATENATE("R10C",'Mapa final'!$Q$68),"")</f>
        <v/>
      </c>
      <c r="AH35" s="45" t="str">
        <f>IF(AND('Mapa final'!$AA$63="Media",'Mapa final'!$AC$63="Catastrófico"),CONCATENATE("R10C",'Mapa final'!$Q$63),"")</f>
        <v/>
      </c>
      <c r="AI35" s="46" t="str">
        <f>IF(AND('Mapa final'!$AA$64="Media",'Mapa final'!$AC$64="Catastrófico"),CONCATENATE("R10C",'Mapa final'!$Q$64),"")</f>
        <v/>
      </c>
      <c r="AJ35" s="46" t="str">
        <f>IF(AND('Mapa final'!$AA$65="Media",'Mapa final'!$AC$65="Catastrófico"),CONCATENATE("R10C",'Mapa final'!$Q$65),"")</f>
        <v/>
      </c>
      <c r="AK35" s="46" t="str">
        <f>IF(AND('Mapa final'!$AA$66="Media",'Mapa final'!$AC$66="Catastrófico"),CONCATENATE("R10C",'Mapa final'!$Q$66),"")</f>
        <v/>
      </c>
      <c r="AL35" s="46" t="str">
        <f>IF(AND('Mapa final'!$AA$67="Media",'Mapa final'!$AC$67="Catastrófico"),CONCATENATE("R10C",'Mapa final'!$Q$67),"")</f>
        <v/>
      </c>
      <c r="AM35" s="47" t="str">
        <f>IF(AND('Mapa final'!$AA$68="Media",'Mapa final'!$AC$68="Catastrófico"),CONCATENATE("R10C",'Mapa final'!$Q$68),"")</f>
        <v/>
      </c>
      <c r="AN35" s="67"/>
      <c r="AO35" s="436"/>
      <c r="AP35" s="437"/>
      <c r="AQ35" s="437"/>
      <c r="AR35" s="437"/>
      <c r="AS35" s="437"/>
      <c r="AT35" s="438"/>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305"/>
      <c r="C36" s="305"/>
      <c r="D36" s="306"/>
      <c r="E36" s="400" t="s">
        <v>108</v>
      </c>
      <c r="F36" s="401"/>
      <c r="G36" s="401"/>
      <c r="H36" s="401"/>
      <c r="I36" s="401"/>
      <c r="J36" s="57" t="str">
        <f>IF(AND('Mapa final'!$AA$10="Baja",'Mapa final'!$AC$10="Leve"),CONCATENATE("R1C",'Mapa final'!$Q$10),"")</f>
        <v/>
      </c>
      <c r="K36" s="58" t="e">
        <f>IF(AND('Mapa final'!#REF!="Baja",'Mapa final'!#REF!="Leve"),CONCATENATE("R1C",'Mapa final'!#REF!),"")</f>
        <v>#REF!</v>
      </c>
      <c r="L36" s="58" t="str">
        <f>IF(AND('Mapa final'!$AA$11="Baja",'Mapa final'!$AC$11="Leve"),CONCATENATE("R1C",'Mapa final'!$Q$11),"")</f>
        <v/>
      </c>
      <c r="M36" s="58" t="str">
        <f>IF(AND('Mapa final'!$AA$12="Baja",'Mapa final'!$AC$12="Leve"),CONCATENATE("R1C",'Mapa final'!$Q$12),"")</f>
        <v/>
      </c>
      <c r="N36" s="58" t="str">
        <f>IF(AND('Mapa final'!$AA$13="Baja",'Mapa final'!$AC$13="Leve"),CONCATENATE("R1C",'Mapa final'!$Q$13),"")</f>
        <v/>
      </c>
      <c r="O36" s="59" t="str">
        <f>IF(AND('Mapa final'!$AA$14="Baja",'Mapa final'!$AC$14="Leve"),CONCATENATE("R1C",'Mapa final'!$Q$14),"")</f>
        <v/>
      </c>
      <c r="P36" s="48" t="str">
        <f>IF(AND('Mapa final'!$AA$10="Baja",'Mapa final'!$AC$10="Menor"),CONCATENATE("R1C",'Mapa final'!$Q$10),"")</f>
        <v/>
      </c>
      <c r="Q36" s="49" t="e">
        <f>IF(AND('Mapa final'!#REF!="Baja",'Mapa final'!#REF!="Menor"),CONCATENATE("R1C",'Mapa final'!#REF!),"")</f>
        <v>#REF!</v>
      </c>
      <c r="R36" s="49" t="str">
        <f>IF(AND('Mapa final'!$AA$11="Baja",'Mapa final'!$AC$11="Menor"),CONCATENATE("R1C",'Mapa final'!$Q$11),"")</f>
        <v/>
      </c>
      <c r="S36" s="49" t="str">
        <f>IF(AND('Mapa final'!$AA$12="Baja",'Mapa final'!$AC$12="Menor"),CONCATENATE("R1C",'Mapa final'!$Q$12),"")</f>
        <v/>
      </c>
      <c r="T36" s="49" t="str">
        <f>IF(AND('Mapa final'!$AA$13="Baja",'Mapa final'!$AC$13="Menor"),CONCATENATE("R1C",'Mapa final'!$Q$13),"")</f>
        <v/>
      </c>
      <c r="U36" s="50" t="str">
        <f>IF(AND('Mapa final'!$AA$14="Baja",'Mapa final'!$AC$14="Menor"),CONCATENATE("R1C",'Mapa final'!$Q$14),"")</f>
        <v/>
      </c>
      <c r="V36" s="48" t="str">
        <f>IF(AND('Mapa final'!$AA$10="Baja",'Mapa final'!$AC$10="Moderado"),CONCATENATE("R1C",'Mapa final'!$Q$10),"")</f>
        <v/>
      </c>
      <c r="W36" s="49" t="e">
        <f>IF(AND('Mapa final'!#REF!="Baja",'Mapa final'!#REF!="Moderado"),CONCATENATE("R1C",'Mapa final'!#REF!),"")</f>
        <v>#REF!</v>
      </c>
      <c r="X36" s="49" t="str">
        <f>IF(AND('Mapa final'!$AA$11="Baja",'Mapa final'!$AC$11="Moderado"),CONCATENATE("R1C",'Mapa final'!$Q$11),"")</f>
        <v/>
      </c>
      <c r="Y36" s="49" t="str">
        <f>IF(AND('Mapa final'!$AA$12="Baja",'Mapa final'!$AC$12="Moderado"),CONCATENATE("R1C",'Mapa final'!$Q$12),"")</f>
        <v/>
      </c>
      <c r="Z36" s="49" t="str">
        <f>IF(AND('Mapa final'!$AA$13="Baja",'Mapa final'!$AC$13="Moderado"),CONCATENATE("R1C",'Mapa final'!$Q$13),"")</f>
        <v/>
      </c>
      <c r="AA36" s="50" t="str">
        <f>IF(AND('Mapa final'!$AA$14="Baja",'Mapa final'!$AC$14="Moderado"),CONCATENATE("R1C",'Mapa final'!$Q$14),"")</f>
        <v/>
      </c>
      <c r="AB36" s="30" t="str">
        <f>IF(AND('Mapa final'!$AA$10="Baja",'Mapa final'!$AC$10="Mayor"),CONCATENATE("R1C",'Mapa final'!$Q$10),"")</f>
        <v/>
      </c>
      <c r="AC36" s="31" t="e">
        <f>IF(AND('Mapa final'!#REF!="Baja",'Mapa final'!#REF!="Mayor"),CONCATENATE("R1C",'Mapa final'!#REF!),"")</f>
        <v>#REF!</v>
      </c>
      <c r="AD36" s="31" t="str">
        <f>IF(AND('Mapa final'!$AA$11="Baja",'Mapa final'!$AC$11="Mayor"),CONCATENATE("R1C",'Mapa final'!$Q$11),"")</f>
        <v/>
      </c>
      <c r="AE36" s="31" t="str">
        <f>IF(AND('Mapa final'!$AA$12="Baja",'Mapa final'!$AC$12="Mayor"),CONCATENATE("R1C",'Mapa final'!$Q$12),"")</f>
        <v/>
      </c>
      <c r="AF36" s="31" t="str">
        <f>IF(AND('Mapa final'!$AA$13="Baja",'Mapa final'!$AC$13="Mayor"),CONCATENATE("R1C",'Mapa final'!$Q$13),"")</f>
        <v/>
      </c>
      <c r="AG36" s="32" t="str">
        <f>IF(AND('Mapa final'!$AA$14="Baja",'Mapa final'!$AC$14="Mayor"),CONCATENATE("R1C",'Mapa final'!$Q$14),"")</f>
        <v/>
      </c>
      <c r="AH36" s="33" t="str">
        <f>IF(AND('Mapa final'!$AA$10="Baja",'Mapa final'!$AC$10="Catastrófico"),CONCATENATE("R1C",'Mapa final'!$Q$10),"")</f>
        <v>R1C1</v>
      </c>
      <c r="AI36" s="34" t="e">
        <f>IF(AND('Mapa final'!#REF!="Baja",'Mapa final'!#REF!="Catastrófico"),CONCATENATE("R1C",'Mapa final'!#REF!),"")</f>
        <v>#REF!</v>
      </c>
      <c r="AJ36" s="34" t="str">
        <f>IF(AND('Mapa final'!$AA$11="Baja",'Mapa final'!$AC$11="Catastrófico"),CONCATENATE("R1C",'Mapa final'!$Q$11),"")</f>
        <v/>
      </c>
      <c r="AK36" s="34" t="str">
        <f>IF(AND('Mapa final'!$AA$12="Baja",'Mapa final'!$AC$12="Catastrófico"),CONCATENATE("R1C",'Mapa final'!$Q$12),"")</f>
        <v/>
      </c>
      <c r="AL36" s="34" t="str">
        <f>IF(AND('Mapa final'!$AA$13="Baja",'Mapa final'!$AC$13="Catastrófico"),CONCATENATE("R1C",'Mapa final'!$Q$13),"")</f>
        <v/>
      </c>
      <c r="AM36" s="35" t="str">
        <f>IF(AND('Mapa final'!$AA$14="Baja",'Mapa final'!$AC$14="Catastrófico"),CONCATENATE("R1C",'Mapa final'!$Q$14),"")</f>
        <v/>
      </c>
      <c r="AN36" s="67"/>
      <c r="AO36" s="421" t="s">
        <v>80</v>
      </c>
      <c r="AP36" s="422"/>
      <c r="AQ36" s="422"/>
      <c r="AR36" s="422"/>
      <c r="AS36" s="422"/>
      <c r="AT36" s="42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305"/>
      <c r="C37" s="305"/>
      <c r="D37" s="306"/>
      <c r="E37" s="402"/>
      <c r="F37" s="403"/>
      <c r="G37" s="403"/>
      <c r="H37" s="403"/>
      <c r="I37" s="403"/>
      <c r="J37" s="60" t="str">
        <f>IF(AND('Mapa final'!$AA$15="Baja",'Mapa final'!$AC$15="Leve"),CONCATENATE("R2C",'Mapa final'!$Q$15),"")</f>
        <v/>
      </c>
      <c r="K37" s="61" t="str">
        <f>IF(AND('Mapa final'!$AA$16="Baja",'Mapa final'!$AC$16="Leve"),CONCATENATE("R2C",'Mapa final'!$Q$16),"")</f>
        <v/>
      </c>
      <c r="L37" s="61" t="str">
        <f>IF(AND('Mapa final'!$AA$17="Baja",'Mapa final'!$AC$17="Leve"),CONCATENATE("R2C",'Mapa final'!$Q$17),"")</f>
        <v/>
      </c>
      <c r="M37" s="61" t="str">
        <f>IF(AND('Mapa final'!$AA$18="Baja",'Mapa final'!$AC$18="Leve"),CONCATENATE("R2C",'Mapa final'!$Q$18),"")</f>
        <v/>
      </c>
      <c r="N37" s="61" t="str">
        <f>IF(AND('Mapa final'!$AA$19="Baja",'Mapa final'!$AC$19="Leve"),CONCATENATE("R2C",'Mapa final'!$Q$19),"")</f>
        <v/>
      </c>
      <c r="O37" s="62" t="str">
        <f>IF(AND('Mapa final'!$AA$20="Baja",'Mapa final'!$AC$20="Leve"),CONCATENATE("R2C",'Mapa final'!$Q$20),"")</f>
        <v/>
      </c>
      <c r="P37" s="51" t="str">
        <f>IF(AND('Mapa final'!$AA$15="Baja",'Mapa final'!$AC$15="Menor"),CONCATENATE("R2C",'Mapa final'!$Q$15),"")</f>
        <v/>
      </c>
      <c r="Q37" s="52" t="str">
        <f>IF(AND('Mapa final'!$AA$16="Baja",'Mapa final'!$AC$16="Menor"),CONCATENATE("R2C",'Mapa final'!$Q$16),"")</f>
        <v/>
      </c>
      <c r="R37" s="52" t="str">
        <f>IF(AND('Mapa final'!$AA$17="Baja",'Mapa final'!$AC$17="Menor"),CONCATENATE("R2C",'Mapa final'!$Q$17),"")</f>
        <v/>
      </c>
      <c r="S37" s="52" t="str">
        <f>IF(AND('Mapa final'!$AA$18="Baja",'Mapa final'!$AC$18="Menor"),CONCATENATE("R2C",'Mapa final'!$Q$18),"")</f>
        <v/>
      </c>
      <c r="T37" s="52" t="str">
        <f>IF(AND('Mapa final'!$AA$19="Baja",'Mapa final'!$AC$19="Menor"),CONCATENATE("R2C",'Mapa final'!$Q$19),"")</f>
        <v/>
      </c>
      <c r="U37" s="53" t="str">
        <f>IF(AND('Mapa final'!$AA$20="Baja",'Mapa final'!$AC$20="Menor"),CONCATENATE("R2C",'Mapa final'!$Q$20),"")</f>
        <v/>
      </c>
      <c r="V37" s="51" t="str">
        <f>IF(AND('Mapa final'!$AA$15="Baja",'Mapa final'!$AC$15="Moderado"),CONCATENATE("R2C",'Mapa final'!$Q$15),"")</f>
        <v/>
      </c>
      <c r="W37" s="52" t="str">
        <f>IF(AND('Mapa final'!$AA$16="Baja",'Mapa final'!$AC$16="Moderado"),CONCATENATE("R2C",'Mapa final'!$Q$16),"")</f>
        <v/>
      </c>
      <c r="X37" s="52" t="str">
        <f>IF(AND('Mapa final'!$AA$17="Baja",'Mapa final'!$AC$17="Moderado"),CONCATENATE("R2C",'Mapa final'!$Q$17),"")</f>
        <v/>
      </c>
      <c r="Y37" s="52" t="str">
        <f>IF(AND('Mapa final'!$AA$18="Baja",'Mapa final'!$AC$18="Moderado"),CONCATENATE("R2C",'Mapa final'!$Q$18),"")</f>
        <v/>
      </c>
      <c r="Z37" s="52" t="str">
        <f>IF(AND('Mapa final'!$AA$19="Baja",'Mapa final'!$AC$19="Moderado"),CONCATENATE("R2C",'Mapa final'!$Q$19),"")</f>
        <v/>
      </c>
      <c r="AA37" s="53" t="str">
        <f>IF(AND('Mapa final'!$AA$20="Baja",'Mapa final'!$AC$20="Moderado"),CONCATENATE("R2C",'Mapa final'!$Q$20),"")</f>
        <v/>
      </c>
      <c r="AB37" s="36" t="str">
        <f>IF(AND('Mapa final'!$AA$15="Baja",'Mapa final'!$AC$15="Mayor"),CONCATENATE("R2C",'Mapa final'!$Q$15),"")</f>
        <v/>
      </c>
      <c r="AC37" s="37" t="str">
        <f>IF(AND('Mapa final'!$AA$16="Baja",'Mapa final'!$AC$16="Mayor"),CONCATENATE("R2C",'Mapa final'!$Q$16),"")</f>
        <v/>
      </c>
      <c r="AD37" s="37" t="str">
        <f>IF(AND('Mapa final'!$AA$17="Baja",'Mapa final'!$AC$17="Mayor"),CONCATENATE("R2C",'Mapa final'!$Q$17),"")</f>
        <v/>
      </c>
      <c r="AE37" s="37" t="str">
        <f>IF(AND('Mapa final'!$AA$18="Baja",'Mapa final'!$AC$18="Mayor"),CONCATENATE("R2C",'Mapa final'!$Q$18),"")</f>
        <v/>
      </c>
      <c r="AF37" s="37" t="str">
        <f>IF(AND('Mapa final'!$AA$19="Baja",'Mapa final'!$AC$19="Mayor"),CONCATENATE("R2C",'Mapa final'!$Q$19),"")</f>
        <v/>
      </c>
      <c r="AG37" s="38" t="str">
        <f>IF(AND('Mapa final'!$AA$20="Baja",'Mapa final'!$AC$20="Mayor"),CONCATENATE("R2C",'Mapa final'!$Q$20),"")</f>
        <v/>
      </c>
      <c r="AH37" s="39" t="str">
        <f>IF(AND('Mapa final'!$AA$15="Baja",'Mapa final'!$AC$15="Catastrófico"),CONCATENATE("R2C",'Mapa final'!$Q$15),"")</f>
        <v/>
      </c>
      <c r="AI37" s="40" t="str">
        <f>IF(AND('Mapa final'!$AA$16="Baja",'Mapa final'!$AC$16="Catastrófico"),CONCATENATE("R2C",'Mapa final'!$Q$16),"")</f>
        <v/>
      </c>
      <c r="AJ37" s="40" t="str">
        <f>IF(AND('Mapa final'!$AA$17="Baja",'Mapa final'!$AC$17="Catastrófico"),CONCATENATE("R2C",'Mapa final'!$Q$17),"")</f>
        <v/>
      </c>
      <c r="AK37" s="40" t="str">
        <f>IF(AND('Mapa final'!$AA$18="Baja",'Mapa final'!$AC$18="Catastrófico"),CONCATENATE("R2C",'Mapa final'!$Q$18),"")</f>
        <v/>
      </c>
      <c r="AL37" s="40" t="str">
        <f>IF(AND('Mapa final'!$AA$19="Baja",'Mapa final'!$AC$19="Catastrófico"),CONCATENATE("R2C",'Mapa final'!$Q$19),"")</f>
        <v/>
      </c>
      <c r="AM37" s="41" t="str">
        <f>IF(AND('Mapa final'!$AA$20="Baja",'Mapa final'!$AC$20="Catastrófico"),CONCATENATE("R2C",'Mapa final'!$Q$20),"")</f>
        <v/>
      </c>
      <c r="AN37" s="67"/>
      <c r="AO37" s="424"/>
      <c r="AP37" s="425"/>
      <c r="AQ37" s="425"/>
      <c r="AR37" s="425"/>
      <c r="AS37" s="425"/>
      <c r="AT37" s="42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305"/>
      <c r="C38" s="305"/>
      <c r="D38" s="306"/>
      <c r="E38" s="404"/>
      <c r="F38" s="403"/>
      <c r="G38" s="403"/>
      <c r="H38" s="403"/>
      <c r="I38" s="403"/>
      <c r="J38" s="60" t="str">
        <f>IF(AND('Mapa final'!$AA$21="Baja",'Mapa final'!$AC$21="Leve"),CONCATENATE("R3C",'Mapa final'!$Q$21),"")</f>
        <v/>
      </c>
      <c r="K38" s="61" t="str">
        <f>IF(AND('Mapa final'!$AA$22="Baja",'Mapa final'!$AC$22="Leve"),CONCATENATE("R3C",'Mapa final'!$Q$22),"")</f>
        <v/>
      </c>
      <c r="L38" s="61" t="str">
        <f>IF(AND('Mapa final'!$AA$23="Baja",'Mapa final'!$AC$23="Leve"),CONCATENATE("R3C",'Mapa final'!$Q$23),"")</f>
        <v/>
      </c>
      <c r="M38" s="61" t="str">
        <f>IF(AND('Mapa final'!$AA$24="Baja",'Mapa final'!$AC$24="Leve"),CONCATENATE("R3C",'Mapa final'!$Q$24),"")</f>
        <v/>
      </c>
      <c r="N38" s="61" t="str">
        <f>IF(AND('Mapa final'!$AA$25="Baja",'Mapa final'!$AC$25="Leve"),CONCATENATE("R3C",'Mapa final'!$Q$25),"")</f>
        <v/>
      </c>
      <c r="O38" s="62" t="str">
        <f>IF(AND('Mapa final'!$AA$26="Baja",'Mapa final'!$AC$26="Leve"),CONCATENATE("R3C",'Mapa final'!$Q$26),"")</f>
        <v/>
      </c>
      <c r="P38" s="51" t="str">
        <f>IF(AND('Mapa final'!$AA$21="Baja",'Mapa final'!$AC$21="Menor"),CONCATENATE("R3C",'Mapa final'!$Q$21),"")</f>
        <v/>
      </c>
      <c r="Q38" s="52" t="str">
        <f>IF(AND('Mapa final'!$AA$22="Baja",'Mapa final'!$AC$22="Menor"),CONCATENATE("R3C",'Mapa final'!$Q$22),"")</f>
        <v/>
      </c>
      <c r="R38" s="52" t="str">
        <f>IF(AND('Mapa final'!$AA$23="Baja",'Mapa final'!$AC$23="Menor"),CONCATENATE("R3C",'Mapa final'!$Q$23),"")</f>
        <v/>
      </c>
      <c r="S38" s="52" t="str">
        <f>IF(AND('Mapa final'!$AA$24="Baja",'Mapa final'!$AC$24="Menor"),CONCATENATE("R3C",'Mapa final'!$Q$24),"")</f>
        <v/>
      </c>
      <c r="T38" s="52" t="str">
        <f>IF(AND('Mapa final'!$AA$25="Baja",'Mapa final'!$AC$25="Menor"),CONCATENATE("R3C",'Mapa final'!$Q$25),"")</f>
        <v/>
      </c>
      <c r="U38" s="53" t="str">
        <f>IF(AND('Mapa final'!$AA$26="Baja",'Mapa final'!$AC$26="Menor"),CONCATENATE("R3C",'Mapa final'!$Q$26),"")</f>
        <v/>
      </c>
      <c r="V38" s="51" t="str">
        <f>IF(AND('Mapa final'!$AA$21="Baja",'Mapa final'!$AC$21="Moderado"),CONCATENATE("R3C",'Mapa final'!$Q$21),"")</f>
        <v/>
      </c>
      <c r="W38" s="52" t="str">
        <f>IF(AND('Mapa final'!$AA$22="Baja",'Mapa final'!$AC$22="Moderado"),CONCATENATE("R3C",'Mapa final'!$Q$22),"")</f>
        <v/>
      </c>
      <c r="X38" s="52" t="str">
        <f>IF(AND('Mapa final'!$AA$23="Baja",'Mapa final'!$AC$23="Moderado"),CONCATENATE("R3C",'Mapa final'!$Q$23),"")</f>
        <v/>
      </c>
      <c r="Y38" s="52" t="str">
        <f>IF(AND('Mapa final'!$AA$24="Baja",'Mapa final'!$AC$24="Moderado"),CONCATENATE("R3C",'Mapa final'!$Q$24),"")</f>
        <v/>
      </c>
      <c r="Z38" s="52" t="str">
        <f>IF(AND('Mapa final'!$AA$25="Baja",'Mapa final'!$AC$25="Moderado"),CONCATENATE("R3C",'Mapa final'!$Q$25),"")</f>
        <v/>
      </c>
      <c r="AA38" s="53" t="str">
        <f>IF(AND('Mapa final'!$AA$26="Baja",'Mapa final'!$AC$26="Moderado"),CONCATENATE("R3C",'Mapa final'!$Q$26),"")</f>
        <v/>
      </c>
      <c r="AB38" s="36" t="str">
        <f>IF(AND('Mapa final'!$AA$21="Baja",'Mapa final'!$AC$21="Mayor"),CONCATENATE("R3C",'Mapa final'!$Q$21),"")</f>
        <v/>
      </c>
      <c r="AC38" s="37" t="str">
        <f>IF(AND('Mapa final'!$AA$22="Baja",'Mapa final'!$AC$22="Mayor"),CONCATENATE("R3C",'Mapa final'!$Q$22),"")</f>
        <v/>
      </c>
      <c r="AD38" s="37" t="str">
        <f>IF(AND('Mapa final'!$AA$23="Baja",'Mapa final'!$AC$23="Mayor"),CONCATENATE("R3C",'Mapa final'!$Q$23),"")</f>
        <v/>
      </c>
      <c r="AE38" s="37" t="str">
        <f>IF(AND('Mapa final'!$AA$24="Baja",'Mapa final'!$AC$24="Mayor"),CONCATENATE("R3C",'Mapa final'!$Q$24),"")</f>
        <v/>
      </c>
      <c r="AF38" s="37" t="str">
        <f>IF(AND('Mapa final'!$AA$25="Baja",'Mapa final'!$AC$25="Mayor"),CONCATENATE("R3C",'Mapa final'!$Q$25),"")</f>
        <v/>
      </c>
      <c r="AG38" s="38" t="str">
        <f>IF(AND('Mapa final'!$AA$26="Baja",'Mapa final'!$AC$26="Mayor"),CONCATENATE("R3C",'Mapa final'!$Q$26),"")</f>
        <v/>
      </c>
      <c r="AH38" s="39" t="str">
        <f>IF(AND('Mapa final'!$AA$21="Baja",'Mapa final'!$AC$21="Catastrófico"),CONCATENATE("R3C",'Mapa final'!$Q$21),"")</f>
        <v/>
      </c>
      <c r="AI38" s="40" t="str">
        <f>IF(AND('Mapa final'!$AA$22="Baja",'Mapa final'!$AC$22="Catastrófico"),CONCATENATE("R3C",'Mapa final'!$Q$22),"")</f>
        <v/>
      </c>
      <c r="AJ38" s="40" t="str">
        <f>IF(AND('Mapa final'!$AA$23="Baja",'Mapa final'!$AC$23="Catastrófico"),CONCATENATE("R3C",'Mapa final'!$Q$23),"")</f>
        <v/>
      </c>
      <c r="AK38" s="40" t="str">
        <f>IF(AND('Mapa final'!$AA$24="Baja",'Mapa final'!$AC$24="Catastrófico"),CONCATENATE("R3C",'Mapa final'!$Q$24),"")</f>
        <v/>
      </c>
      <c r="AL38" s="40" t="str">
        <f>IF(AND('Mapa final'!$AA$25="Baja",'Mapa final'!$AC$25="Catastrófico"),CONCATENATE("R3C",'Mapa final'!$Q$25),"")</f>
        <v/>
      </c>
      <c r="AM38" s="41" t="str">
        <f>IF(AND('Mapa final'!$AA$26="Baja",'Mapa final'!$AC$26="Catastrófico"),CONCATENATE("R3C",'Mapa final'!$Q$26),"")</f>
        <v/>
      </c>
      <c r="AN38" s="67"/>
      <c r="AO38" s="424"/>
      <c r="AP38" s="425"/>
      <c r="AQ38" s="425"/>
      <c r="AR38" s="425"/>
      <c r="AS38" s="425"/>
      <c r="AT38" s="426"/>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305"/>
      <c r="C39" s="305"/>
      <c r="D39" s="306"/>
      <c r="E39" s="404"/>
      <c r="F39" s="403"/>
      <c r="G39" s="403"/>
      <c r="H39" s="403"/>
      <c r="I39" s="403"/>
      <c r="J39" s="60" t="str">
        <f>IF(AND('Mapa final'!$AA$27="Baja",'Mapa final'!$AC$27="Leve"),CONCATENATE("R4C",'Mapa final'!$Q$27),"")</f>
        <v/>
      </c>
      <c r="K39" s="61" t="str">
        <f>IF(AND('Mapa final'!$AA$28="Baja",'Mapa final'!$AC$28="Leve"),CONCATENATE("R4C",'Mapa final'!$Q$28),"")</f>
        <v/>
      </c>
      <c r="L39" s="61" t="str">
        <f>IF(AND('Mapa final'!$AA$29="Baja",'Mapa final'!$AC$29="Leve"),CONCATENATE("R4C",'Mapa final'!$Q$29),"")</f>
        <v/>
      </c>
      <c r="M39" s="61" t="str">
        <f>IF(AND('Mapa final'!$AA$30="Baja",'Mapa final'!$AC$30="Leve"),CONCATENATE("R4C",'Mapa final'!$Q$30),"")</f>
        <v/>
      </c>
      <c r="N39" s="61" t="str">
        <f>IF(AND('Mapa final'!$AA$31="Baja",'Mapa final'!$AC$31="Leve"),CONCATENATE("R4C",'Mapa final'!$Q$31),"")</f>
        <v/>
      </c>
      <c r="O39" s="62" t="str">
        <f>IF(AND('Mapa final'!$AA$32="Baja",'Mapa final'!$AC$32="Leve"),CONCATENATE("R4C",'Mapa final'!$Q$32),"")</f>
        <v/>
      </c>
      <c r="P39" s="51" t="str">
        <f>IF(AND('Mapa final'!$AA$27="Baja",'Mapa final'!$AC$27="Menor"),CONCATENATE("R4C",'Mapa final'!$Q$27),"")</f>
        <v/>
      </c>
      <c r="Q39" s="52" t="str">
        <f>IF(AND('Mapa final'!$AA$28="Baja",'Mapa final'!$AC$28="Menor"),CONCATENATE("R4C",'Mapa final'!$Q$28),"")</f>
        <v/>
      </c>
      <c r="R39" s="52" t="str">
        <f>IF(AND('Mapa final'!$AA$29="Baja",'Mapa final'!$AC$29="Menor"),CONCATENATE("R4C",'Mapa final'!$Q$29),"")</f>
        <v/>
      </c>
      <c r="S39" s="52" t="str">
        <f>IF(AND('Mapa final'!$AA$30="Baja",'Mapa final'!$AC$30="Menor"),CONCATENATE("R4C",'Mapa final'!$Q$30),"")</f>
        <v/>
      </c>
      <c r="T39" s="52" t="str">
        <f>IF(AND('Mapa final'!$AA$31="Baja",'Mapa final'!$AC$31="Menor"),CONCATENATE("R4C",'Mapa final'!$Q$31),"")</f>
        <v/>
      </c>
      <c r="U39" s="53" t="str">
        <f>IF(AND('Mapa final'!$AA$32="Baja",'Mapa final'!$AC$32="Menor"),CONCATENATE("R4C",'Mapa final'!$Q$32),"")</f>
        <v/>
      </c>
      <c r="V39" s="51" t="str">
        <f>IF(AND('Mapa final'!$AA$27="Baja",'Mapa final'!$AC$27="Moderado"),CONCATENATE("R4C",'Mapa final'!$Q$27),"")</f>
        <v/>
      </c>
      <c r="W39" s="52" t="str">
        <f>IF(AND('Mapa final'!$AA$28="Baja",'Mapa final'!$AC$28="Moderado"),CONCATENATE("R4C",'Mapa final'!$Q$28),"")</f>
        <v/>
      </c>
      <c r="X39" s="52" t="str">
        <f>IF(AND('Mapa final'!$AA$29="Baja",'Mapa final'!$AC$29="Moderado"),CONCATENATE("R4C",'Mapa final'!$Q$29),"")</f>
        <v/>
      </c>
      <c r="Y39" s="52" t="str">
        <f>IF(AND('Mapa final'!$AA$30="Baja",'Mapa final'!$AC$30="Moderado"),CONCATENATE("R4C",'Mapa final'!$Q$30),"")</f>
        <v/>
      </c>
      <c r="Z39" s="52" t="str">
        <f>IF(AND('Mapa final'!$AA$31="Baja",'Mapa final'!$AC$31="Moderado"),CONCATENATE("R4C",'Mapa final'!$Q$31),"")</f>
        <v/>
      </c>
      <c r="AA39" s="53" t="str">
        <f>IF(AND('Mapa final'!$AA$32="Baja",'Mapa final'!$AC$32="Moderado"),CONCATENATE("R4C",'Mapa final'!$Q$32),"")</f>
        <v/>
      </c>
      <c r="AB39" s="36" t="str">
        <f>IF(AND('Mapa final'!$AA$27="Baja",'Mapa final'!$AC$27="Mayor"),CONCATENATE("R4C",'Mapa final'!$Q$27),"")</f>
        <v/>
      </c>
      <c r="AC39" s="37" t="str">
        <f>IF(AND('Mapa final'!$AA$28="Baja",'Mapa final'!$AC$28="Mayor"),CONCATENATE("R4C",'Mapa final'!$Q$28),"")</f>
        <v/>
      </c>
      <c r="AD39" s="37" t="str">
        <f>IF(AND('Mapa final'!$AA$29="Baja",'Mapa final'!$AC$29="Mayor"),CONCATENATE("R4C",'Mapa final'!$Q$29),"")</f>
        <v/>
      </c>
      <c r="AE39" s="37" t="str">
        <f>IF(AND('Mapa final'!$AA$30="Baja",'Mapa final'!$AC$30="Mayor"),CONCATENATE("R4C",'Mapa final'!$Q$30),"")</f>
        <v/>
      </c>
      <c r="AF39" s="37" t="str">
        <f>IF(AND('Mapa final'!$AA$31="Baja",'Mapa final'!$AC$31="Mayor"),CONCATENATE("R4C",'Mapa final'!$Q$31),"")</f>
        <v/>
      </c>
      <c r="AG39" s="38" t="str">
        <f>IF(AND('Mapa final'!$AA$32="Baja",'Mapa final'!$AC$32="Mayor"),CONCATENATE("R4C",'Mapa final'!$Q$32),"")</f>
        <v/>
      </c>
      <c r="AH39" s="39" t="str">
        <f>IF(AND('Mapa final'!$AA$27="Baja",'Mapa final'!$AC$27="Catastrófico"),CONCATENATE("R4C",'Mapa final'!$Q$27),"")</f>
        <v/>
      </c>
      <c r="AI39" s="40" t="str">
        <f>IF(AND('Mapa final'!$AA$28="Baja",'Mapa final'!$AC$28="Catastrófico"),CONCATENATE("R4C",'Mapa final'!$Q$28),"")</f>
        <v/>
      </c>
      <c r="AJ39" s="40" t="str">
        <f>IF(AND('Mapa final'!$AA$29="Baja",'Mapa final'!$AC$29="Catastrófico"),CONCATENATE("R4C",'Mapa final'!$Q$29),"")</f>
        <v/>
      </c>
      <c r="AK39" s="40" t="str">
        <f>IF(AND('Mapa final'!$AA$30="Baja",'Mapa final'!$AC$30="Catastrófico"),CONCATENATE("R4C",'Mapa final'!$Q$30),"")</f>
        <v/>
      </c>
      <c r="AL39" s="40" t="str">
        <f>IF(AND('Mapa final'!$AA$31="Baja",'Mapa final'!$AC$31="Catastrófico"),CONCATENATE("R4C",'Mapa final'!$Q$31),"")</f>
        <v/>
      </c>
      <c r="AM39" s="41" t="str">
        <f>IF(AND('Mapa final'!$AA$32="Baja",'Mapa final'!$AC$32="Catastrófico"),CONCATENATE("R4C",'Mapa final'!$Q$32),"")</f>
        <v/>
      </c>
      <c r="AN39" s="67"/>
      <c r="AO39" s="424"/>
      <c r="AP39" s="425"/>
      <c r="AQ39" s="425"/>
      <c r="AR39" s="425"/>
      <c r="AS39" s="425"/>
      <c r="AT39" s="426"/>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305"/>
      <c r="C40" s="305"/>
      <c r="D40" s="306"/>
      <c r="E40" s="404"/>
      <c r="F40" s="403"/>
      <c r="G40" s="403"/>
      <c r="H40" s="403"/>
      <c r="I40" s="403"/>
      <c r="J40" s="60" t="str">
        <f>IF(AND('Mapa final'!$AA$33="Baja",'Mapa final'!$AC$33="Leve"),CONCATENATE("R5C",'Mapa final'!$Q$33),"")</f>
        <v/>
      </c>
      <c r="K40" s="61" t="str">
        <f>IF(AND('Mapa final'!$AA$34="Baja",'Mapa final'!$AC$34="Leve"),CONCATENATE("R5C",'Mapa final'!$Q$34),"")</f>
        <v/>
      </c>
      <c r="L40" s="61" t="str">
        <f>IF(AND('Mapa final'!$AA$35="Baja",'Mapa final'!$AC$35="Leve"),CONCATENATE("R5C",'Mapa final'!$Q$35),"")</f>
        <v/>
      </c>
      <c r="M40" s="61" t="str">
        <f>IF(AND('Mapa final'!$AA$36="Baja",'Mapa final'!$AC$36="Leve"),CONCATENATE("R5C",'Mapa final'!$Q$36),"")</f>
        <v/>
      </c>
      <c r="N40" s="61" t="str">
        <f>IF(AND('Mapa final'!$AA$37="Baja",'Mapa final'!$AC$37="Leve"),CONCATENATE("R5C",'Mapa final'!$Q$37),"")</f>
        <v/>
      </c>
      <c r="O40" s="62" t="str">
        <f>IF(AND('Mapa final'!$AA$38="Baja",'Mapa final'!$AC$38="Leve"),CONCATENATE("R5C",'Mapa final'!$Q$38),"")</f>
        <v/>
      </c>
      <c r="P40" s="51" t="str">
        <f>IF(AND('Mapa final'!$AA$33="Baja",'Mapa final'!$AC$33="Menor"),CONCATENATE("R5C",'Mapa final'!$Q$33),"")</f>
        <v/>
      </c>
      <c r="Q40" s="52" t="str">
        <f>IF(AND('Mapa final'!$AA$34="Baja",'Mapa final'!$AC$34="Menor"),CONCATENATE("R5C",'Mapa final'!$Q$34),"")</f>
        <v/>
      </c>
      <c r="R40" s="52" t="str">
        <f>IF(AND('Mapa final'!$AA$35="Baja",'Mapa final'!$AC$35="Menor"),CONCATENATE("R5C",'Mapa final'!$Q$35),"")</f>
        <v/>
      </c>
      <c r="S40" s="52" t="str">
        <f>IF(AND('Mapa final'!$AA$36="Baja",'Mapa final'!$AC$36="Menor"),CONCATENATE("R5C",'Mapa final'!$Q$36),"")</f>
        <v/>
      </c>
      <c r="T40" s="52" t="str">
        <f>IF(AND('Mapa final'!$AA$37="Baja",'Mapa final'!$AC$37="Menor"),CONCATENATE("R5C",'Mapa final'!$Q$37),"")</f>
        <v/>
      </c>
      <c r="U40" s="53" t="str">
        <f>IF(AND('Mapa final'!$AA$38="Baja",'Mapa final'!$AC$38="Menor"),CONCATENATE("R5C",'Mapa final'!$Q$38),"")</f>
        <v/>
      </c>
      <c r="V40" s="51" t="str">
        <f>IF(AND('Mapa final'!$AA$33="Baja",'Mapa final'!$AC$33="Moderado"),CONCATENATE("R5C",'Mapa final'!$Q$33),"")</f>
        <v/>
      </c>
      <c r="W40" s="52" t="str">
        <f>IF(AND('Mapa final'!$AA$34="Baja",'Mapa final'!$AC$34="Moderado"),CONCATENATE("R5C",'Mapa final'!$Q$34),"")</f>
        <v/>
      </c>
      <c r="X40" s="52" t="str">
        <f>IF(AND('Mapa final'!$AA$35="Baja",'Mapa final'!$AC$35="Moderado"),CONCATENATE("R5C",'Mapa final'!$Q$35),"")</f>
        <v/>
      </c>
      <c r="Y40" s="52" t="str">
        <f>IF(AND('Mapa final'!$AA$36="Baja",'Mapa final'!$AC$36="Moderado"),CONCATENATE("R5C",'Mapa final'!$Q$36),"")</f>
        <v/>
      </c>
      <c r="Z40" s="52" t="str">
        <f>IF(AND('Mapa final'!$AA$37="Baja",'Mapa final'!$AC$37="Moderado"),CONCATENATE("R5C",'Mapa final'!$Q$37),"")</f>
        <v/>
      </c>
      <c r="AA40" s="53" t="str">
        <f>IF(AND('Mapa final'!$AA$38="Baja",'Mapa final'!$AC$38="Moderado"),CONCATENATE("R5C",'Mapa final'!$Q$38),"")</f>
        <v/>
      </c>
      <c r="AB40" s="36" t="str">
        <f>IF(AND('Mapa final'!$AA$33="Baja",'Mapa final'!$AC$33="Mayor"),CONCATENATE("R5C",'Mapa final'!$Q$33),"")</f>
        <v/>
      </c>
      <c r="AC40" s="37" t="str">
        <f>IF(AND('Mapa final'!$AA$34="Baja",'Mapa final'!$AC$34="Mayor"),CONCATENATE("R5C",'Mapa final'!$Q$34),"")</f>
        <v/>
      </c>
      <c r="AD40" s="37" t="str">
        <f>IF(AND('Mapa final'!$AA$35="Baja",'Mapa final'!$AC$35="Mayor"),CONCATENATE("R5C",'Mapa final'!$Q$35),"")</f>
        <v/>
      </c>
      <c r="AE40" s="37" t="str">
        <f>IF(AND('Mapa final'!$AA$36="Baja",'Mapa final'!$AC$36="Mayor"),CONCATENATE("R5C",'Mapa final'!$Q$36),"")</f>
        <v/>
      </c>
      <c r="AF40" s="37" t="str">
        <f>IF(AND('Mapa final'!$AA$37="Baja",'Mapa final'!$AC$37="Mayor"),CONCATENATE("R5C",'Mapa final'!$Q$37),"")</f>
        <v/>
      </c>
      <c r="AG40" s="38" t="str">
        <f>IF(AND('Mapa final'!$AA$38="Baja",'Mapa final'!$AC$38="Mayor"),CONCATENATE("R5C",'Mapa final'!$Q$38),"")</f>
        <v/>
      </c>
      <c r="AH40" s="39" t="str">
        <f>IF(AND('Mapa final'!$AA$33="Baja",'Mapa final'!$AC$33="Catastrófico"),CONCATENATE("R5C",'Mapa final'!$Q$33),"")</f>
        <v/>
      </c>
      <c r="AI40" s="40" t="str">
        <f>IF(AND('Mapa final'!$AA$34="Baja",'Mapa final'!$AC$34="Catastrófico"),CONCATENATE("R5C",'Mapa final'!$Q$34),"")</f>
        <v/>
      </c>
      <c r="AJ40" s="40" t="str">
        <f>IF(AND('Mapa final'!$AA$35="Baja",'Mapa final'!$AC$35="Catastrófico"),CONCATENATE("R5C",'Mapa final'!$Q$35),"")</f>
        <v/>
      </c>
      <c r="AK40" s="40" t="str">
        <f>IF(AND('Mapa final'!$AA$36="Baja",'Mapa final'!$AC$36="Catastrófico"),CONCATENATE("R5C",'Mapa final'!$Q$36),"")</f>
        <v/>
      </c>
      <c r="AL40" s="40" t="str">
        <f>IF(AND('Mapa final'!$AA$37="Baja",'Mapa final'!$AC$37="Catastrófico"),CONCATENATE("R5C",'Mapa final'!$Q$37),"")</f>
        <v/>
      </c>
      <c r="AM40" s="41" t="str">
        <f>IF(AND('Mapa final'!$AA$38="Baja",'Mapa final'!$AC$38="Catastrófico"),CONCATENATE("R5C",'Mapa final'!$Q$38),"")</f>
        <v/>
      </c>
      <c r="AN40" s="67"/>
      <c r="AO40" s="424"/>
      <c r="AP40" s="425"/>
      <c r="AQ40" s="425"/>
      <c r="AR40" s="425"/>
      <c r="AS40" s="425"/>
      <c r="AT40" s="426"/>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305"/>
      <c r="C41" s="305"/>
      <c r="D41" s="306"/>
      <c r="E41" s="404"/>
      <c r="F41" s="403"/>
      <c r="G41" s="403"/>
      <c r="H41" s="403"/>
      <c r="I41" s="403"/>
      <c r="J41" s="60" t="str">
        <f>IF(AND('Mapa final'!$AA$39="Baja",'Mapa final'!$AC$39="Leve"),CONCATENATE("R6C",'Mapa final'!$Q$39),"")</f>
        <v/>
      </c>
      <c r="K41" s="61" t="str">
        <f>IF(AND('Mapa final'!$AA$40="Baja",'Mapa final'!$AC$40="Leve"),CONCATENATE("R6C",'Mapa final'!$Q$40),"")</f>
        <v/>
      </c>
      <c r="L41" s="61" t="str">
        <f>IF(AND('Mapa final'!$AA$41="Baja",'Mapa final'!$AC$41="Leve"),CONCATENATE("R6C",'Mapa final'!$Q$41),"")</f>
        <v/>
      </c>
      <c r="M41" s="61" t="str">
        <f>IF(AND('Mapa final'!$AA$42="Baja",'Mapa final'!$AC$42="Leve"),CONCATENATE("R6C",'Mapa final'!$Q$42),"")</f>
        <v/>
      </c>
      <c r="N41" s="61" t="str">
        <f>IF(AND('Mapa final'!$AA$43="Baja",'Mapa final'!$AC$43="Leve"),CONCATENATE("R6C",'Mapa final'!$Q$43),"")</f>
        <v/>
      </c>
      <c r="O41" s="62" t="str">
        <f>IF(AND('Mapa final'!$AA$44="Baja",'Mapa final'!$AC$44="Leve"),CONCATENATE("R6C",'Mapa final'!$Q$44),"")</f>
        <v/>
      </c>
      <c r="P41" s="51" t="str">
        <f>IF(AND('Mapa final'!$AA$39="Baja",'Mapa final'!$AC$39="Menor"),CONCATENATE("R6C",'Mapa final'!$Q$39),"")</f>
        <v/>
      </c>
      <c r="Q41" s="52" t="str">
        <f>IF(AND('Mapa final'!$AA$40="Baja",'Mapa final'!$AC$40="Menor"),CONCATENATE("R6C",'Mapa final'!$Q$40),"")</f>
        <v/>
      </c>
      <c r="R41" s="52" t="str">
        <f>IF(AND('Mapa final'!$AA$41="Baja",'Mapa final'!$AC$41="Menor"),CONCATENATE("R6C",'Mapa final'!$Q$41),"")</f>
        <v/>
      </c>
      <c r="S41" s="52" t="str">
        <f>IF(AND('Mapa final'!$AA$42="Baja",'Mapa final'!$AC$42="Menor"),CONCATENATE("R6C",'Mapa final'!$Q$42),"")</f>
        <v/>
      </c>
      <c r="T41" s="52" t="str">
        <f>IF(AND('Mapa final'!$AA$43="Baja",'Mapa final'!$AC$43="Menor"),CONCATENATE("R6C",'Mapa final'!$Q$43),"")</f>
        <v/>
      </c>
      <c r="U41" s="53" t="str">
        <f>IF(AND('Mapa final'!$AA$44="Baja",'Mapa final'!$AC$44="Menor"),CONCATENATE("R6C",'Mapa final'!$Q$44),"")</f>
        <v/>
      </c>
      <c r="V41" s="51" t="str">
        <f>IF(AND('Mapa final'!$AA$39="Baja",'Mapa final'!$AC$39="Moderado"),CONCATENATE("R6C",'Mapa final'!$Q$39),"")</f>
        <v/>
      </c>
      <c r="W41" s="52" t="str">
        <f>IF(AND('Mapa final'!$AA$40="Baja",'Mapa final'!$AC$40="Moderado"),CONCATENATE("R6C",'Mapa final'!$Q$40),"")</f>
        <v/>
      </c>
      <c r="X41" s="52" t="str">
        <f>IF(AND('Mapa final'!$AA$41="Baja",'Mapa final'!$AC$41="Moderado"),CONCATENATE("R6C",'Mapa final'!$Q$41),"")</f>
        <v/>
      </c>
      <c r="Y41" s="52" t="str">
        <f>IF(AND('Mapa final'!$AA$42="Baja",'Mapa final'!$AC$42="Moderado"),CONCATENATE("R6C",'Mapa final'!$Q$42),"")</f>
        <v/>
      </c>
      <c r="Z41" s="52" t="str">
        <f>IF(AND('Mapa final'!$AA$43="Baja",'Mapa final'!$AC$43="Moderado"),CONCATENATE("R6C",'Mapa final'!$Q$43),"")</f>
        <v/>
      </c>
      <c r="AA41" s="53" t="str">
        <f>IF(AND('Mapa final'!$AA$44="Baja",'Mapa final'!$AC$44="Moderado"),CONCATENATE("R6C",'Mapa final'!$Q$44),"")</f>
        <v/>
      </c>
      <c r="AB41" s="36" t="str">
        <f>IF(AND('Mapa final'!$AA$39="Baja",'Mapa final'!$AC$39="Mayor"),CONCATENATE("R6C",'Mapa final'!$Q$39),"")</f>
        <v/>
      </c>
      <c r="AC41" s="37" t="str">
        <f>IF(AND('Mapa final'!$AA$40="Baja",'Mapa final'!$AC$40="Mayor"),CONCATENATE("R6C",'Mapa final'!$Q$40),"")</f>
        <v/>
      </c>
      <c r="AD41" s="37" t="str">
        <f>IF(AND('Mapa final'!$AA$41="Baja",'Mapa final'!$AC$41="Mayor"),CONCATENATE("R6C",'Mapa final'!$Q$41),"")</f>
        <v/>
      </c>
      <c r="AE41" s="37" t="str">
        <f>IF(AND('Mapa final'!$AA$42="Baja",'Mapa final'!$AC$42="Mayor"),CONCATENATE("R6C",'Mapa final'!$Q$42),"")</f>
        <v/>
      </c>
      <c r="AF41" s="37" t="str">
        <f>IF(AND('Mapa final'!$AA$43="Baja",'Mapa final'!$AC$43="Mayor"),CONCATENATE("R6C",'Mapa final'!$Q$43),"")</f>
        <v/>
      </c>
      <c r="AG41" s="38" t="str">
        <f>IF(AND('Mapa final'!$AA$44="Baja",'Mapa final'!$AC$44="Mayor"),CONCATENATE("R6C",'Mapa final'!$Q$44),"")</f>
        <v/>
      </c>
      <c r="AH41" s="39" t="str">
        <f>IF(AND('Mapa final'!$AA$39="Baja",'Mapa final'!$AC$39="Catastrófico"),CONCATENATE("R6C",'Mapa final'!$Q$39),"")</f>
        <v/>
      </c>
      <c r="AI41" s="40" t="str">
        <f>IF(AND('Mapa final'!$AA$40="Baja",'Mapa final'!$AC$40="Catastrófico"),CONCATENATE("R6C",'Mapa final'!$Q$40),"")</f>
        <v/>
      </c>
      <c r="AJ41" s="40" t="str">
        <f>IF(AND('Mapa final'!$AA$41="Baja",'Mapa final'!$AC$41="Catastrófico"),CONCATENATE("R6C",'Mapa final'!$Q$41),"")</f>
        <v/>
      </c>
      <c r="AK41" s="40" t="str">
        <f>IF(AND('Mapa final'!$AA$42="Baja",'Mapa final'!$AC$42="Catastrófico"),CONCATENATE("R6C",'Mapa final'!$Q$42),"")</f>
        <v/>
      </c>
      <c r="AL41" s="40" t="str">
        <f>IF(AND('Mapa final'!$AA$43="Baja",'Mapa final'!$AC$43="Catastrófico"),CONCATENATE("R6C",'Mapa final'!$Q$43),"")</f>
        <v/>
      </c>
      <c r="AM41" s="41" t="str">
        <f>IF(AND('Mapa final'!$AA$44="Baja",'Mapa final'!$AC$44="Catastrófico"),CONCATENATE("R6C",'Mapa final'!$Q$44),"")</f>
        <v/>
      </c>
      <c r="AN41" s="67"/>
      <c r="AO41" s="424"/>
      <c r="AP41" s="425"/>
      <c r="AQ41" s="425"/>
      <c r="AR41" s="425"/>
      <c r="AS41" s="425"/>
      <c r="AT41" s="426"/>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305"/>
      <c r="C42" s="305"/>
      <c r="D42" s="306"/>
      <c r="E42" s="404"/>
      <c r="F42" s="403"/>
      <c r="G42" s="403"/>
      <c r="H42" s="403"/>
      <c r="I42" s="403"/>
      <c r="J42" s="60" t="str">
        <f>IF(AND('Mapa final'!$AA$45="Baja",'Mapa final'!$AC$45="Leve"),CONCATENATE("R7C",'Mapa final'!$Q$45),"")</f>
        <v/>
      </c>
      <c r="K42" s="61" t="str">
        <f>IF(AND('Mapa final'!$AA$46="Baja",'Mapa final'!$AC$46="Leve"),CONCATENATE("R7C",'Mapa final'!$Q$46),"")</f>
        <v/>
      </c>
      <c r="L42" s="61" t="str">
        <f>IF(AND('Mapa final'!$AA$47="Baja",'Mapa final'!$AC$47="Leve"),CONCATENATE("R7C",'Mapa final'!$Q$47),"")</f>
        <v/>
      </c>
      <c r="M42" s="61" t="str">
        <f>IF(AND('Mapa final'!$AA$48="Baja",'Mapa final'!$AC$48="Leve"),CONCATENATE("R7C",'Mapa final'!$Q$48),"")</f>
        <v/>
      </c>
      <c r="N42" s="61" t="str">
        <f>IF(AND('Mapa final'!$AA$49="Baja",'Mapa final'!$AC$49="Leve"),CONCATENATE("R7C",'Mapa final'!$Q$49),"")</f>
        <v/>
      </c>
      <c r="O42" s="62" t="str">
        <f>IF(AND('Mapa final'!$AA$50="Baja",'Mapa final'!$AC$50="Leve"),CONCATENATE("R7C",'Mapa final'!$Q$50),"")</f>
        <v/>
      </c>
      <c r="P42" s="51" t="str">
        <f>IF(AND('Mapa final'!$AA$45="Baja",'Mapa final'!$AC$45="Menor"),CONCATENATE("R7C",'Mapa final'!$Q$45),"")</f>
        <v/>
      </c>
      <c r="Q42" s="52" t="str">
        <f>IF(AND('Mapa final'!$AA$46="Baja",'Mapa final'!$AC$46="Menor"),CONCATENATE("R7C",'Mapa final'!$Q$46),"")</f>
        <v/>
      </c>
      <c r="R42" s="52" t="str">
        <f>IF(AND('Mapa final'!$AA$47="Baja",'Mapa final'!$AC$47="Menor"),CONCATENATE("R7C",'Mapa final'!$Q$47),"")</f>
        <v/>
      </c>
      <c r="S42" s="52" t="str">
        <f>IF(AND('Mapa final'!$AA$48="Baja",'Mapa final'!$AC$48="Menor"),CONCATENATE("R7C",'Mapa final'!$Q$48),"")</f>
        <v/>
      </c>
      <c r="T42" s="52" t="str">
        <f>IF(AND('Mapa final'!$AA$49="Baja",'Mapa final'!$AC$49="Menor"),CONCATENATE("R7C",'Mapa final'!$Q$49),"")</f>
        <v/>
      </c>
      <c r="U42" s="53" t="str">
        <f>IF(AND('Mapa final'!$AA$50="Baja",'Mapa final'!$AC$50="Menor"),CONCATENATE("R7C",'Mapa final'!$Q$50),"")</f>
        <v/>
      </c>
      <c r="V42" s="51" t="str">
        <f>IF(AND('Mapa final'!$AA$45="Baja",'Mapa final'!$AC$45="Moderado"),CONCATENATE("R7C",'Mapa final'!$Q$45),"")</f>
        <v/>
      </c>
      <c r="W42" s="52" t="str">
        <f>IF(AND('Mapa final'!$AA$46="Baja",'Mapa final'!$AC$46="Moderado"),CONCATENATE("R7C",'Mapa final'!$Q$46),"")</f>
        <v/>
      </c>
      <c r="X42" s="52" t="str">
        <f>IF(AND('Mapa final'!$AA$47="Baja",'Mapa final'!$AC$47="Moderado"),CONCATENATE("R7C",'Mapa final'!$Q$47),"")</f>
        <v/>
      </c>
      <c r="Y42" s="52" t="str">
        <f>IF(AND('Mapa final'!$AA$48="Baja",'Mapa final'!$AC$48="Moderado"),CONCATENATE("R7C",'Mapa final'!$Q$48),"")</f>
        <v/>
      </c>
      <c r="Z42" s="52" t="str">
        <f>IF(AND('Mapa final'!$AA$49="Baja",'Mapa final'!$AC$49="Moderado"),CONCATENATE("R7C",'Mapa final'!$Q$49),"")</f>
        <v/>
      </c>
      <c r="AA42" s="53" t="str">
        <f>IF(AND('Mapa final'!$AA$50="Baja",'Mapa final'!$AC$50="Moderado"),CONCATENATE("R7C",'Mapa final'!$Q$50),"")</f>
        <v/>
      </c>
      <c r="AB42" s="36" t="str">
        <f>IF(AND('Mapa final'!$AA$45="Baja",'Mapa final'!$AC$45="Mayor"),CONCATENATE("R7C",'Mapa final'!$Q$45),"")</f>
        <v/>
      </c>
      <c r="AC42" s="37" t="str">
        <f>IF(AND('Mapa final'!$AA$46="Baja",'Mapa final'!$AC$46="Mayor"),CONCATENATE("R7C",'Mapa final'!$Q$46),"")</f>
        <v/>
      </c>
      <c r="AD42" s="37" t="str">
        <f>IF(AND('Mapa final'!$AA$47="Baja",'Mapa final'!$AC$47="Mayor"),CONCATENATE("R7C",'Mapa final'!$Q$47),"")</f>
        <v/>
      </c>
      <c r="AE42" s="37" t="str">
        <f>IF(AND('Mapa final'!$AA$48="Baja",'Mapa final'!$AC$48="Mayor"),CONCATENATE("R7C",'Mapa final'!$Q$48),"")</f>
        <v/>
      </c>
      <c r="AF42" s="37" t="str">
        <f>IF(AND('Mapa final'!$AA$49="Baja",'Mapa final'!$AC$49="Mayor"),CONCATENATE("R7C",'Mapa final'!$Q$49),"")</f>
        <v/>
      </c>
      <c r="AG42" s="38" t="str">
        <f>IF(AND('Mapa final'!$AA$50="Baja",'Mapa final'!$AC$50="Mayor"),CONCATENATE("R7C",'Mapa final'!$Q$50),"")</f>
        <v/>
      </c>
      <c r="AH42" s="39" t="str">
        <f>IF(AND('Mapa final'!$AA$45="Baja",'Mapa final'!$AC$45="Catastrófico"),CONCATENATE("R7C",'Mapa final'!$Q$45),"")</f>
        <v/>
      </c>
      <c r="AI42" s="40" t="str">
        <f>IF(AND('Mapa final'!$AA$46="Baja",'Mapa final'!$AC$46="Catastrófico"),CONCATENATE("R7C",'Mapa final'!$Q$46),"")</f>
        <v/>
      </c>
      <c r="AJ42" s="40" t="str">
        <f>IF(AND('Mapa final'!$AA$47="Baja",'Mapa final'!$AC$47="Catastrófico"),CONCATENATE("R7C",'Mapa final'!$Q$47),"")</f>
        <v/>
      </c>
      <c r="AK42" s="40" t="str">
        <f>IF(AND('Mapa final'!$AA$48="Baja",'Mapa final'!$AC$48="Catastrófico"),CONCATENATE("R7C",'Mapa final'!$Q$48),"")</f>
        <v/>
      </c>
      <c r="AL42" s="40" t="str">
        <f>IF(AND('Mapa final'!$AA$49="Baja",'Mapa final'!$AC$49="Catastrófico"),CONCATENATE("R7C",'Mapa final'!$Q$49),"")</f>
        <v/>
      </c>
      <c r="AM42" s="41" t="str">
        <f>IF(AND('Mapa final'!$AA$50="Baja",'Mapa final'!$AC$50="Catastrófico"),CONCATENATE("R7C",'Mapa final'!$Q$50),"")</f>
        <v/>
      </c>
      <c r="AN42" s="67"/>
      <c r="AO42" s="424"/>
      <c r="AP42" s="425"/>
      <c r="AQ42" s="425"/>
      <c r="AR42" s="425"/>
      <c r="AS42" s="425"/>
      <c r="AT42" s="426"/>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305"/>
      <c r="C43" s="305"/>
      <c r="D43" s="306"/>
      <c r="E43" s="404"/>
      <c r="F43" s="403"/>
      <c r="G43" s="403"/>
      <c r="H43" s="403"/>
      <c r="I43" s="403"/>
      <c r="J43" s="60" t="str">
        <f>IF(AND('Mapa final'!$AA$51="Baja",'Mapa final'!$AC$51="Leve"),CONCATENATE("R8C",'Mapa final'!$Q$51),"")</f>
        <v/>
      </c>
      <c r="K43" s="61" t="str">
        <f>IF(AND('Mapa final'!$AA$52="Baja",'Mapa final'!$AC$52="Leve"),CONCATENATE("R8C",'Mapa final'!$Q$52),"")</f>
        <v/>
      </c>
      <c r="L43" s="61" t="str">
        <f>IF(AND('Mapa final'!$AA$53="Baja",'Mapa final'!$AC$53="Leve"),CONCATENATE("R8C",'Mapa final'!$Q$53),"")</f>
        <v/>
      </c>
      <c r="M43" s="61" t="str">
        <f>IF(AND('Mapa final'!$AA$54="Baja",'Mapa final'!$AC$54="Leve"),CONCATENATE("R8C",'Mapa final'!$Q$54),"")</f>
        <v/>
      </c>
      <c r="N43" s="61" t="str">
        <f>IF(AND('Mapa final'!$AA$55="Baja",'Mapa final'!$AC$55="Leve"),CONCATENATE("R8C",'Mapa final'!$Q$55),"")</f>
        <v/>
      </c>
      <c r="O43" s="62" t="str">
        <f>IF(AND('Mapa final'!$AA$56="Baja",'Mapa final'!$AC$56="Leve"),CONCATENATE("R8C",'Mapa final'!$Q$56),"")</f>
        <v/>
      </c>
      <c r="P43" s="51" t="str">
        <f>IF(AND('Mapa final'!$AA$51="Baja",'Mapa final'!$AC$51="Menor"),CONCATENATE("R8C",'Mapa final'!$Q$51),"")</f>
        <v/>
      </c>
      <c r="Q43" s="52" t="str">
        <f>IF(AND('Mapa final'!$AA$52="Baja",'Mapa final'!$AC$52="Menor"),CONCATENATE("R8C",'Mapa final'!$Q$52),"")</f>
        <v/>
      </c>
      <c r="R43" s="52" t="str">
        <f>IF(AND('Mapa final'!$AA$53="Baja",'Mapa final'!$AC$53="Menor"),CONCATENATE("R8C",'Mapa final'!$Q$53),"")</f>
        <v/>
      </c>
      <c r="S43" s="52" t="str">
        <f>IF(AND('Mapa final'!$AA$54="Baja",'Mapa final'!$AC$54="Menor"),CONCATENATE("R8C",'Mapa final'!$Q$54),"")</f>
        <v/>
      </c>
      <c r="T43" s="52" t="str">
        <f>IF(AND('Mapa final'!$AA$55="Baja",'Mapa final'!$AC$55="Menor"),CONCATENATE("R8C",'Mapa final'!$Q$55),"")</f>
        <v/>
      </c>
      <c r="U43" s="53" t="str">
        <f>IF(AND('Mapa final'!$AA$56="Baja",'Mapa final'!$AC$56="Menor"),CONCATENATE("R8C",'Mapa final'!$Q$56),"")</f>
        <v/>
      </c>
      <c r="V43" s="51" t="str">
        <f>IF(AND('Mapa final'!$AA$51="Baja",'Mapa final'!$AC$51="Moderado"),CONCATENATE("R8C",'Mapa final'!$Q$51),"")</f>
        <v/>
      </c>
      <c r="W43" s="52" t="str">
        <f>IF(AND('Mapa final'!$AA$52="Baja",'Mapa final'!$AC$52="Moderado"),CONCATENATE("R8C",'Mapa final'!$Q$52),"")</f>
        <v/>
      </c>
      <c r="X43" s="52" t="str">
        <f>IF(AND('Mapa final'!$AA$53="Baja",'Mapa final'!$AC$53="Moderado"),CONCATENATE("R8C",'Mapa final'!$Q$53),"")</f>
        <v/>
      </c>
      <c r="Y43" s="52" t="str">
        <f>IF(AND('Mapa final'!$AA$54="Baja",'Mapa final'!$AC$54="Moderado"),CONCATENATE("R8C",'Mapa final'!$Q$54),"")</f>
        <v/>
      </c>
      <c r="Z43" s="52" t="str">
        <f>IF(AND('Mapa final'!$AA$55="Baja",'Mapa final'!$AC$55="Moderado"),CONCATENATE("R8C",'Mapa final'!$Q$55),"")</f>
        <v/>
      </c>
      <c r="AA43" s="53" t="str">
        <f>IF(AND('Mapa final'!$AA$56="Baja",'Mapa final'!$AC$56="Moderado"),CONCATENATE("R8C",'Mapa final'!$Q$56),"")</f>
        <v/>
      </c>
      <c r="AB43" s="36" t="str">
        <f>IF(AND('Mapa final'!$AA$51="Baja",'Mapa final'!$AC$51="Mayor"),CONCATENATE("R8C",'Mapa final'!$Q$51),"")</f>
        <v/>
      </c>
      <c r="AC43" s="37" t="str">
        <f>IF(AND('Mapa final'!$AA$52="Baja",'Mapa final'!$AC$52="Mayor"),CONCATENATE("R8C",'Mapa final'!$Q$52),"")</f>
        <v/>
      </c>
      <c r="AD43" s="37" t="str">
        <f>IF(AND('Mapa final'!$AA$53="Baja",'Mapa final'!$AC$53="Mayor"),CONCATENATE("R8C",'Mapa final'!$Q$53),"")</f>
        <v/>
      </c>
      <c r="AE43" s="37" t="str">
        <f>IF(AND('Mapa final'!$AA$54="Baja",'Mapa final'!$AC$54="Mayor"),CONCATENATE("R8C",'Mapa final'!$Q$54),"")</f>
        <v/>
      </c>
      <c r="AF43" s="37" t="str">
        <f>IF(AND('Mapa final'!$AA$55="Baja",'Mapa final'!$AC$55="Mayor"),CONCATENATE("R8C",'Mapa final'!$Q$55),"")</f>
        <v/>
      </c>
      <c r="AG43" s="38" t="str">
        <f>IF(AND('Mapa final'!$AA$56="Baja",'Mapa final'!$AC$56="Mayor"),CONCATENATE("R8C",'Mapa final'!$Q$56),"")</f>
        <v/>
      </c>
      <c r="AH43" s="39" t="str">
        <f>IF(AND('Mapa final'!$AA$51="Baja",'Mapa final'!$AC$51="Catastrófico"),CONCATENATE("R8C",'Mapa final'!$Q$51),"")</f>
        <v/>
      </c>
      <c r="AI43" s="40" t="str">
        <f>IF(AND('Mapa final'!$AA$52="Baja",'Mapa final'!$AC$52="Catastrófico"),CONCATENATE("R8C",'Mapa final'!$Q$52),"")</f>
        <v/>
      </c>
      <c r="AJ43" s="40" t="str">
        <f>IF(AND('Mapa final'!$AA$53="Baja",'Mapa final'!$AC$53="Catastrófico"),CONCATENATE("R8C",'Mapa final'!$Q$53),"")</f>
        <v/>
      </c>
      <c r="AK43" s="40" t="str">
        <f>IF(AND('Mapa final'!$AA$54="Baja",'Mapa final'!$AC$54="Catastrófico"),CONCATENATE("R8C",'Mapa final'!$Q$54),"")</f>
        <v/>
      </c>
      <c r="AL43" s="40" t="str">
        <f>IF(AND('Mapa final'!$AA$55="Baja",'Mapa final'!$AC$55="Catastrófico"),CONCATENATE("R8C",'Mapa final'!$Q$55),"")</f>
        <v/>
      </c>
      <c r="AM43" s="41" t="str">
        <f>IF(AND('Mapa final'!$AA$56="Baja",'Mapa final'!$AC$56="Catastrófico"),CONCATENATE("R8C",'Mapa final'!$Q$56),"")</f>
        <v/>
      </c>
      <c r="AN43" s="67"/>
      <c r="AO43" s="424"/>
      <c r="AP43" s="425"/>
      <c r="AQ43" s="425"/>
      <c r="AR43" s="425"/>
      <c r="AS43" s="425"/>
      <c r="AT43" s="426"/>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305"/>
      <c r="C44" s="305"/>
      <c r="D44" s="306"/>
      <c r="E44" s="404"/>
      <c r="F44" s="403"/>
      <c r="G44" s="403"/>
      <c r="H44" s="403"/>
      <c r="I44" s="403"/>
      <c r="J44" s="60" t="str">
        <f>IF(AND('Mapa final'!$AA$57="Baja",'Mapa final'!$AC$57="Leve"),CONCATENATE("R9C",'Mapa final'!$Q$57),"")</f>
        <v/>
      </c>
      <c r="K44" s="61" t="str">
        <f>IF(AND('Mapa final'!$AA$58="Baja",'Mapa final'!$AC$58="Leve"),CONCATENATE("R9C",'Mapa final'!$Q$58),"")</f>
        <v/>
      </c>
      <c r="L44" s="61" t="str">
        <f>IF(AND('Mapa final'!$AA$59="Baja",'Mapa final'!$AC$59="Leve"),CONCATENATE("R9C",'Mapa final'!$Q$59),"")</f>
        <v/>
      </c>
      <c r="M44" s="61" t="str">
        <f>IF(AND('Mapa final'!$AA$60="Baja",'Mapa final'!$AC$60="Leve"),CONCATENATE("R9C",'Mapa final'!$Q$60),"")</f>
        <v/>
      </c>
      <c r="N44" s="61" t="str">
        <f>IF(AND('Mapa final'!$AA$61="Baja",'Mapa final'!$AC$61="Leve"),CONCATENATE("R9C",'Mapa final'!$Q$61),"")</f>
        <v/>
      </c>
      <c r="O44" s="62" t="str">
        <f>IF(AND('Mapa final'!$AA$62="Baja",'Mapa final'!$AC$62="Leve"),CONCATENATE("R9C",'Mapa final'!$Q$62),"")</f>
        <v/>
      </c>
      <c r="P44" s="51" t="str">
        <f>IF(AND('Mapa final'!$AA$57="Baja",'Mapa final'!$AC$57="Menor"),CONCATENATE("R9C",'Mapa final'!$Q$57),"")</f>
        <v/>
      </c>
      <c r="Q44" s="52" t="str">
        <f>IF(AND('Mapa final'!$AA$58="Baja",'Mapa final'!$AC$58="Menor"),CONCATENATE("R9C",'Mapa final'!$Q$58),"")</f>
        <v/>
      </c>
      <c r="R44" s="52" t="str">
        <f>IF(AND('Mapa final'!$AA$59="Baja",'Mapa final'!$AC$59="Menor"),CONCATENATE("R9C",'Mapa final'!$Q$59),"")</f>
        <v/>
      </c>
      <c r="S44" s="52" t="str">
        <f>IF(AND('Mapa final'!$AA$60="Baja",'Mapa final'!$AC$60="Menor"),CONCATENATE("R9C",'Mapa final'!$Q$60),"")</f>
        <v/>
      </c>
      <c r="T44" s="52" t="str">
        <f>IF(AND('Mapa final'!$AA$61="Baja",'Mapa final'!$AC$61="Menor"),CONCATENATE("R9C",'Mapa final'!$Q$61),"")</f>
        <v/>
      </c>
      <c r="U44" s="53" t="str">
        <f>IF(AND('Mapa final'!$AA$62="Baja",'Mapa final'!$AC$62="Menor"),CONCATENATE("R9C",'Mapa final'!$Q$62),"")</f>
        <v/>
      </c>
      <c r="V44" s="51" t="str">
        <f>IF(AND('Mapa final'!$AA$57="Baja",'Mapa final'!$AC$57="Moderado"),CONCATENATE("R9C",'Mapa final'!$Q$57),"")</f>
        <v/>
      </c>
      <c r="W44" s="52" t="str">
        <f>IF(AND('Mapa final'!$AA$58="Baja",'Mapa final'!$AC$58="Moderado"),CONCATENATE("R9C",'Mapa final'!$Q$58),"")</f>
        <v/>
      </c>
      <c r="X44" s="52" t="str">
        <f>IF(AND('Mapa final'!$AA$59="Baja",'Mapa final'!$AC$59="Moderado"),CONCATENATE("R9C",'Mapa final'!$Q$59),"")</f>
        <v/>
      </c>
      <c r="Y44" s="52" t="str">
        <f>IF(AND('Mapa final'!$AA$60="Baja",'Mapa final'!$AC$60="Moderado"),CONCATENATE("R9C",'Mapa final'!$Q$60),"")</f>
        <v/>
      </c>
      <c r="Z44" s="52" t="str">
        <f>IF(AND('Mapa final'!$AA$61="Baja",'Mapa final'!$AC$61="Moderado"),CONCATENATE("R9C",'Mapa final'!$Q$61),"")</f>
        <v/>
      </c>
      <c r="AA44" s="53" t="str">
        <f>IF(AND('Mapa final'!$AA$62="Baja",'Mapa final'!$AC$62="Moderado"),CONCATENATE("R9C",'Mapa final'!$Q$62),"")</f>
        <v/>
      </c>
      <c r="AB44" s="36" t="str">
        <f>IF(AND('Mapa final'!$AA$57="Baja",'Mapa final'!$AC$57="Mayor"),CONCATENATE("R9C",'Mapa final'!$Q$57),"")</f>
        <v/>
      </c>
      <c r="AC44" s="37" t="str">
        <f>IF(AND('Mapa final'!$AA$58="Baja",'Mapa final'!$AC$58="Mayor"),CONCATENATE("R9C",'Mapa final'!$Q$58),"")</f>
        <v/>
      </c>
      <c r="AD44" s="37" t="str">
        <f>IF(AND('Mapa final'!$AA$59="Baja",'Mapa final'!$AC$59="Mayor"),CONCATENATE("R9C",'Mapa final'!$Q$59),"")</f>
        <v/>
      </c>
      <c r="AE44" s="37" t="str">
        <f>IF(AND('Mapa final'!$AA$60="Baja",'Mapa final'!$AC$60="Mayor"),CONCATENATE("R9C",'Mapa final'!$Q$60),"")</f>
        <v/>
      </c>
      <c r="AF44" s="37" t="str">
        <f>IF(AND('Mapa final'!$AA$61="Baja",'Mapa final'!$AC$61="Mayor"),CONCATENATE("R9C",'Mapa final'!$Q$61),"")</f>
        <v/>
      </c>
      <c r="AG44" s="38" t="str">
        <f>IF(AND('Mapa final'!$AA$62="Baja",'Mapa final'!$AC$62="Mayor"),CONCATENATE("R9C",'Mapa final'!$Q$62),"")</f>
        <v/>
      </c>
      <c r="AH44" s="39" t="str">
        <f>IF(AND('Mapa final'!$AA$57="Baja",'Mapa final'!$AC$57="Catastrófico"),CONCATENATE("R9C",'Mapa final'!$Q$57),"")</f>
        <v/>
      </c>
      <c r="AI44" s="40" t="str">
        <f>IF(AND('Mapa final'!$AA$58="Baja",'Mapa final'!$AC$58="Catastrófico"),CONCATENATE("R9C",'Mapa final'!$Q$58),"")</f>
        <v/>
      </c>
      <c r="AJ44" s="40" t="str">
        <f>IF(AND('Mapa final'!$AA$59="Baja",'Mapa final'!$AC$59="Catastrófico"),CONCATENATE("R9C",'Mapa final'!$Q$59),"")</f>
        <v/>
      </c>
      <c r="AK44" s="40" t="str">
        <f>IF(AND('Mapa final'!$AA$60="Baja",'Mapa final'!$AC$60="Catastrófico"),CONCATENATE("R9C",'Mapa final'!$Q$60),"")</f>
        <v/>
      </c>
      <c r="AL44" s="40" t="str">
        <f>IF(AND('Mapa final'!$AA$61="Baja",'Mapa final'!$AC$61="Catastrófico"),CONCATENATE("R9C",'Mapa final'!$Q$61),"")</f>
        <v/>
      </c>
      <c r="AM44" s="41" t="str">
        <f>IF(AND('Mapa final'!$AA$62="Baja",'Mapa final'!$AC$62="Catastrófico"),CONCATENATE("R9C",'Mapa final'!$Q$62),"")</f>
        <v/>
      </c>
      <c r="AN44" s="67"/>
      <c r="AO44" s="424"/>
      <c r="AP44" s="425"/>
      <c r="AQ44" s="425"/>
      <c r="AR44" s="425"/>
      <c r="AS44" s="425"/>
      <c r="AT44" s="426"/>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305"/>
      <c r="C45" s="305"/>
      <c r="D45" s="306"/>
      <c r="E45" s="405"/>
      <c r="F45" s="406"/>
      <c r="G45" s="406"/>
      <c r="H45" s="406"/>
      <c r="I45" s="406"/>
      <c r="J45" s="63" t="str">
        <f>IF(AND('Mapa final'!$AA$63="Baja",'Mapa final'!$AC$63="Leve"),CONCATENATE("R10C",'Mapa final'!$Q$63),"")</f>
        <v/>
      </c>
      <c r="K45" s="64" t="str">
        <f>IF(AND('Mapa final'!$AA$64="Baja",'Mapa final'!$AC$64="Leve"),CONCATENATE("R10C",'Mapa final'!$Q$64),"")</f>
        <v/>
      </c>
      <c r="L45" s="64" t="str">
        <f>IF(AND('Mapa final'!$AA$65="Baja",'Mapa final'!$AC$65="Leve"),CONCATENATE("R10C",'Mapa final'!$Q$65),"")</f>
        <v/>
      </c>
      <c r="M45" s="64" t="str">
        <f>IF(AND('Mapa final'!$AA$66="Baja",'Mapa final'!$AC$66="Leve"),CONCATENATE("R10C",'Mapa final'!$Q$66),"")</f>
        <v/>
      </c>
      <c r="N45" s="64" t="str">
        <f>IF(AND('Mapa final'!$AA$67="Baja",'Mapa final'!$AC$67="Leve"),CONCATENATE("R10C",'Mapa final'!$Q$67),"")</f>
        <v/>
      </c>
      <c r="O45" s="65" t="str">
        <f>IF(AND('Mapa final'!$AA$68="Baja",'Mapa final'!$AC$68="Leve"),CONCATENATE("R10C",'Mapa final'!$Q$68),"")</f>
        <v/>
      </c>
      <c r="P45" s="51" t="str">
        <f>IF(AND('Mapa final'!$AA$63="Baja",'Mapa final'!$AC$63="Menor"),CONCATENATE("R10C",'Mapa final'!$Q$63),"")</f>
        <v/>
      </c>
      <c r="Q45" s="52" t="str">
        <f>IF(AND('Mapa final'!$AA$64="Baja",'Mapa final'!$AC$64="Menor"),CONCATENATE("R10C",'Mapa final'!$Q$64),"")</f>
        <v/>
      </c>
      <c r="R45" s="52" t="str">
        <f>IF(AND('Mapa final'!$AA$65="Baja",'Mapa final'!$AC$65="Menor"),CONCATENATE("R10C",'Mapa final'!$Q$65),"")</f>
        <v/>
      </c>
      <c r="S45" s="52" t="str">
        <f>IF(AND('Mapa final'!$AA$66="Baja",'Mapa final'!$AC$66="Menor"),CONCATENATE("R10C",'Mapa final'!$Q$66),"")</f>
        <v/>
      </c>
      <c r="T45" s="52" t="str">
        <f>IF(AND('Mapa final'!$AA$67="Baja",'Mapa final'!$AC$67="Menor"),CONCATENATE("R10C",'Mapa final'!$Q$67),"")</f>
        <v/>
      </c>
      <c r="U45" s="53" t="str">
        <f>IF(AND('Mapa final'!$AA$68="Baja",'Mapa final'!$AC$68="Menor"),CONCATENATE("R10C",'Mapa final'!$Q$68),"")</f>
        <v/>
      </c>
      <c r="V45" s="54" t="str">
        <f>IF(AND('Mapa final'!$AA$63="Baja",'Mapa final'!$AC$63="Moderado"),CONCATENATE("R10C",'Mapa final'!$Q$63),"")</f>
        <v/>
      </c>
      <c r="W45" s="55" t="str">
        <f>IF(AND('Mapa final'!$AA$64="Baja",'Mapa final'!$AC$64="Moderado"),CONCATENATE("R10C",'Mapa final'!$Q$64),"")</f>
        <v/>
      </c>
      <c r="X45" s="55" t="str">
        <f>IF(AND('Mapa final'!$AA$65="Baja",'Mapa final'!$AC$65="Moderado"),CONCATENATE("R10C",'Mapa final'!$Q$65),"")</f>
        <v/>
      </c>
      <c r="Y45" s="55" t="str">
        <f>IF(AND('Mapa final'!$AA$66="Baja",'Mapa final'!$AC$66="Moderado"),CONCATENATE("R10C",'Mapa final'!$Q$66),"")</f>
        <v/>
      </c>
      <c r="Z45" s="55" t="str">
        <f>IF(AND('Mapa final'!$AA$67="Baja",'Mapa final'!$AC$67="Moderado"),CONCATENATE("R10C",'Mapa final'!$Q$67),"")</f>
        <v/>
      </c>
      <c r="AA45" s="56" t="str">
        <f>IF(AND('Mapa final'!$AA$68="Baja",'Mapa final'!$AC$68="Moderado"),CONCATENATE("R10C",'Mapa final'!$Q$68),"")</f>
        <v/>
      </c>
      <c r="AB45" s="42" t="str">
        <f>IF(AND('Mapa final'!$AA$63="Baja",'Mapa final'!$AC$63="Mayor"),CONCATENATE("R10C",'Mapa final'!$Q$63),"")</f>
        <v/>
      </c>
      <c r="AC45" s="43" t="str">
        <f>IF(AND('Mapa final'!$AA$64="Baja",'Mapa final'!$AC$64="Mayor"),CONCATENATE("R10C",'Mapa final'!$Q$64),"")</f>
        <v/>
      </c>
      <c r="AD45" s="43" t="str">
        <f>IF(AND('Mapa final'!$AA$65="Baja",'Mapa final'!$AC$65="Mayor"),CONCATENATE("R10C",'Mapa final'!$Q$65),"")</f>
        <v/>
      </c>
      <c r="AE45" s="43" t="str">
        <f>IF(AND('Mapa final'!$AA$66="Baja",'Mapa final'!$AC$66="Mayor"),CONCATENATE("R10C",'Mapa final'!$Q$66),"")</f>
        <v/>
      </c>
      <c r="AF45" s="43" t="str">
        <f>IF(AND('Mapa final'!$AA$67="Baja",'Mapa final'!$AC$67="Mayor"),CONCATENATE("R10C",'Mapa final'!$Q$67),"")</f>
        <v/>
      </c>
      <c r="AG45" s="44" t="str">
        <f>IF(AND('Mapa final'!$AA$68="Baja",'Mapa final'!$AC$68="Mayor"),CONCATENATE("R10C",'Mapa final'!$Q$68),"")</f>
        <v/>
      </c>
      <c r="AH45" s="45" t="str">
        <f>IF(AND('Mapa final'!$AA$63="Baja",'Mapa final'!$AC$63="Catastrófico"),CONCATENATE("R10C",'Mapa final'!$Q$63),"")</f>
        <v/>
      </c>
      <c r="AI45" s="46" t="str">
        <f>IF(AND('Mapa final'!$AA$64="Baja",'Mapa final'!$AC$64="Catastrófico"),CONCATENATE("R10C",'Mapa final'!$Q$64),"")</f>
        <v/>
      </c>
      <c r="AJ45" s="46" t="str">
        <f>IF(AND('Mapa final'!$AA$65="Baja",'Mapa final'!$AC$65="Catastrófico"),CONCATENATE("R10C",'Mapa final'!$Q$65),"")</f>
        <v/>
      </c>
      <c r="AK45" s="46" t="str">
        <f>IF(AND('Mapa final'!$AA$66="Baja",'Mapa final'!$AC$66="Catastrófico"),CONCATENATE("R10C",'Mapa final'!$Q$66),"")</f>
        <v/>
      </c>
      <c r="AL45" s="46" t="str">
        <f>IF(AND('Mapa final'!$AA$67="Baja",'Mapa final'!$AC$67="Catastrófico"),CONCATENATE("R10C",'Mapa final'!$Q$67),"")</f>
        <v/>
      </c>
      <c r="AM45" s="47" t="str">
        <f>IF(AND('Mapa final'!$AA$68="Baja",'Mapa final'!$AC$68="Catastrófico"),CONCATENATE("R10C",'Mapa final'!$Q$68),"")</f>
        <v/>
      </c>
      <c r="AN45" s="67"/>
      <c r="AO45" s="427"/>
      <c r="AP45" s="428"/>
      <c r="AQ45" s="428"/>
      <c r="AR45" s="428"/>
      <c r="AS45" s="428"/>
      <c r="AT45" s="429"/>
    </row>
    <row r="46" spans="1:80" ht="46.5" customHeight="1" x14ac:dyDescent="0.45">
      <c r="A46" s="67"/>
      <c r="B46" s="305"/>
      <c r="C46" s="305"/>
      <c r="D46" s="306"/>
      <c r="E46" s="400" t="s">
        <v>107</v>
      </c>
      <c r="F46" s="401"/>
      <c r="G46" s="401"/>
      <c r="H46" s="401"/>
      <c r="I46" s="418"/>
      <c r="J46" s="57" t="str">
        <f>IF(AND('Mapa final'!$AA$10="Muy Baja",'Mapa final'!$AC$10="Leve"),CONCATENATE("R1C",'Mapa final'!$Q$10),"")</f>
        <v/>
      </c>
      <c r="K46" s="58" t="e">
        <f>IF(AND('Mapa final'!#REF!="Muy Baja",'Mapa final'!#REF!="Leve"),CONCATENATE("R1C",'Mapa final'!#REF!),"")</f>
        <v>#REF!</v>
      </c>
      <c r="L46" s="58" t="str">
        <f>IF(AND('Mapa final'!$AA$11="Muy Baja",'Mapa final'!$AC$11="Leve"),CONCATENATE("R1C",'Mapa final'!$Q$11),"")</f>
        <v/>
      </c>
      <c r="M46" s="58" t="str">
        <f>IF(AND('Mapa final'!$AA$12="Muy Baja",'Mapa final'!$AC$12="Leve"),CONCATENATE("R1C",'Mapa final'!$Q$12),"")</f>
        <v/>
      </c>
      <c r="N46" s="58" t="str">
        <f>IF(AND('Mapa final'!$AA$13="Muy Baja",'Mapa final'!$AC$13="Leve"),CONCATENATE("R1C",'Mapa final'!$Q$13),"")</f>
        <v/>
      </c>
      <c r="O46" s="59" t="str">
        <f>IF(AND('Mapa final'!$AA$14="Muy Baja",'Mapa final'!$AC$14="Leve"),CONCATENATE("R1C",'Mapa final'!$Q$14),"")</f>
        <v/>
      </c>
      <c r="P46" s="57" t="str">
        <f>IF(AND('Mapa final'!$AA$10="Muy Baja",'Mapa final'!$AC$10="Menor"),CONCATENATE("R1C",'Mapa final'!$Q$10),"")</f>
        <v/>
      </c>
      <c r="Q46" s="58" t="e">
        <f>IF(AND('Mapa final'!#REF!="Muy Baja",'Mapa final'!#REF!="Menor"),CONCATENATE("R1C",'Mapa final'!#REF!),"")</f>
        <v>#REF!</v>
      </c>
      <c r="R46" s="58" t="str">
        <f>IF(AND('Mapa final'!$AA$11="Muy Baja",'Mapa final'!$AC$11="Menor"),CONCATENATE("R1C",'Mapa final'!$Q$11),"")</f>
        <v/>
      </c>
      <c r="S46" s="58" t="str">
        <f>IF(AND('Mapa final'!$AA$12="Muy Baja",'Mapa final'!$AC$12="Menor"),CONCATENATE("R1C",'Mapa final'!$Q$12),"")</f>
        <v/>
      </c>
      <c r="T46" s="58" t="str">
        <f>IF(AND('Mapa final'!$AA$13="Muy Baja",'Mapa final'!$AC$13="Menor"),CONCATENATE("R1C",'Mapa final'!$Q$13),"")</f>
        <v/>
      </c>
      <c r="U46" s="59" t="str">
        <f>IF(AND('Mapa final'!$AA$14="Muy Baja",'Mapa final'!$AC$14="Menor"),CONCATENATE("R1C",'Mapa final'!$Q$14),"")</f>
        <v/>
      </c>
      <c r="V46" s="48" t="str">
        <f>IF(AND('Mapa final'!$AA$10="Muy Baja",'Mapa final'!$AC$10="Moderado"),CONCATENATE("R1C",'Mapa final'!$Q$10),"")</f>
        <v/>
      </c>
      <c r="W46" s="66" t="e">
        <f>IF(AND('Mapa final'!#REF!="Muy Baja",'Mapa final'!#REF!="Moderado"),CONCATENATE("R1C",'Mapa final'!#REF!),"")</f>
        <v>#REF!</v>
      </c>
      <c r="X46" s="49" t="str">
        <f>IF(AND('Mapa final'!$AA$11="Muy Baja",'Mapa final'!$AC$11="Moderado"),CONCATENATE("R1C",'Mapa final'!$Q$11),"")</f>
        <v/>
      </c>
      <c r="Y46" s="49" t="str">
        <f>IF(AND('Mapa final'!$AA$12="Muy Baja",'Mapa final'!$AC$12="Moderado"),CONCATENATE("R1C",'Mapa final'!$Q$12),"")</f>
        <v/>
      </c>
      <c r="Z46" s="49" t="str">
        <f>IF(AND('Mapa final'!$AA$13="Muy Baja",'Mapa final'!$AC$13="Moderado"),CONCATENATE("R1C",'Mapa final'!$Q$13),"")</f>
        <v/>
      </c>
      <c r="AA46" s="50" t="str">
        <f>IF(AND('Mapa final'!$AA$14="Muy Baja",'Mapa final'!$AC$14="Moderado"),CONCATENATE("R1C",'Mapa final'!$Q$14),"")</f>
        <v/>
      </c>
      <c r="AB46" s="30" t="str">
        <f>IF(AND('Mapa final'!$AA$10="Muy Baja",'Mapa final'!$AC$10="Mayor"),CONCATENATE("R1C",'Mapa final'!$Q$10),"")</f>
        <v/>
      </c>
      <c r="AC46" s="31" t="e">
        <f>IF(AND('Mapa final'!#REF!="Muy Baja",'Mapa final'!#REF!="Mayor"),CONCATENATE("R1C",'Mapa final'!#REF!),"")</f>
        <v>#REF!</v>
      </c>
      <c r="AD46" s="31" t="str">
        <f>IF(AND('Mapa final'!$AA$11="Muy Baja",'Mapa final'!$AC$11="Mayor"),CONCATENATE("R1C",'Mapa final'!$Q$11),"")</f>
        <v/>
      </c>
      <c r="AE46" s="31" t="str">
        <f>IF(AND('Mapa final'!$AA$12="Muy Baja",'Mapa final'!$AC$12="Mayor"),CONCATENATE("R1C",'Mapa final'!$Q$12),"")</f>
        <v/>
      </c>
      <c r="AF46" s="31" t="str">
        <f>IF(AND('Mapa final'!$AA$13="Muy Baja",'Mapa final'!$AC$13="Mayor"),CONCATENATE("R1C",'Mapa final'!$Q$13),"")</f>
        <v/>
      </c>
      <c r="AG46" s="32" t="str">
        <f>IF(AND('Mapa final'!$AA$14="Muy Baja",'Mapa final'!$AC$14="Mayor"),CONCATENATE("R1C",'Mapa final'!$Q$14),"")</f>
        <v/>
      </c>
      <c r="AH46" s="33" t="str">
        <f>IF(AND('Mapa final'!$AA$10="Muy Baja",'Mapa final'!$AC$10="Catastrófico"),CONCATENATE("R1C",'Mapa final'!$Q$10),"")</f>
        <v/>
      </c>
      <c r="AI46" s="34" t="e">
        <f>IF(AND('Mapa final'!#REF!="Muy Baja",'Mapa final'!#REF!="Catastrófico"),CONCATENATE("R1C",'Mapa final'!#REF!),"")</f>
        <v>#REF!</v>
      </c>
      <c r="AJ46" s="34" t="str">
        <f>IF(AND('Mapa final'!$AA$11="Muy Baja",'Mapa final'!$AC$11="Catastrófico"),CONCATENATE("R1C",'Mapa final'!$Q$11),"")</f>
        <v/>
      </c>
      <c r="AK46" s="34" t="str">
        <f>IF(AND('Mapa final'!$AA$12="Muy Baja",'Mapa final'!$AC$12="Catastrófico"),CONCATENATE("R1C",'Mapa final'!$Q$12),"")</f>
        <v/>
      </c>
      <c r="AL46" s="34" t="str">
        <f>IF(AND('Mapa final'!$AA$13="Muy Baja",'Mapa final'!$AC$13="Catastrófico"),CONCATENATE("R1C",'Mapa final'!$Q$13),"")</f>
        <v/>
      </c>
      <c r="AM46" s="35" t="str">
        <f>IF(AND('Mapa final'!$AA$14="Muy Baja",'Mapa final'!$AC$14="Catastrófico"),CONCATENATE("R1C",'Mapa final'!$Q$14),"")</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305"/>
      <c r="C47" s="305"/>
      <c r="D47" s="306"/>
      <c r="E47" s="402"/>
      <c r="F47" s="403"/>
      <c r="G47" s="403"/>
      <c r="H47" s="403"/>
      <c r="I47" s="419"/>
      <c r="J47" s="60" t="str">
        <f>IF(AND('Mapa final'!$AA$15="Muy Baja",'Mapa final'!$AC$15="Leve"),CONCATENATE("R2C",'Mapa final'!$Q$15),"")</f>
        <v/>
      </c>
      <c r="K47" s="61" t="str">
        <f>IF(AND('Mapa final'!$AA$16="Muy Baja",'Mapa final'!$AC$16="Leve"),CONCATENATE("R2C",'Mapa final'!$Q$16),"")</f>
        <v/>
      </c>
      <c r="L47" s="61" t="str">
        <f>IF(AND('Mapa final'!$AA$17="Muy Baja",'Mapa final'!$AC$17="Leve"),CONCATENATE("R2C",'Mapa final'!$Q$17),"")</f>
        <v/>
      </c>
      <c r="M47" s="61" t="str">
        <f>IF(AND('Mapa final'!$AA$18="Muy Baja",'Mapa final'!$AC$18="Leve"),CONCATENATE("R2C",'Mapa final'!$Q$18),"")</f>
        <v/>
      </c>
      <c r="N47" s="61" t="str">
        <f>IF(AND('Mapa final'!$AA$19="Muy Baja",'Mapa final'!$AC$19="Leve"),CONCATENATE("R2C",'Mapa final'!$Q$19),"")</f>
        <v/>
      </c>
      <c r="O47" s="62" t="str">
        <f>IF(AND('Mapa final'!$AA$20="Muy Baja",'Mapa final'!$AC$20="Leve"),CONCATENATE("R2C",'Mapa final'!$Q$20),"")</f>
        <v/>
      </c>
      <c r="P47" s="60" t="str">
        <f>IF(AND('Mapa final'!$AA$15="Muy Baja",'Mapa final'!$AC$15="Menor"),CONCATENATE("R2C",'Mapa final'!$Q$15),"")</f>
        <v/>
      </c>
      <c r="Q47" s="61" t="str">
        <f>IF(AND('Mapa final'!$AA$16="Muy Baja",'Mapa final'!$AC$16="Menor"),CONCATENATE("R2C",'Mapa final'!$Q$16),"")</f>
        <v/>
      </c>
      <c r="R47" s="61" t="str">
        <f>IF(AND('Mapa final'!$AA$17="Muy Baja",'Mapa final'!$AC$17="Menor"),CONCATENATE("R2C",'Mapa final'!$Q$17),"")</f>
        <v/>
      </c>
      <c r="S47" s="61" t="str">
        <f>IF(AND('Mapa final'!$AA$18="Muy Baja",'Mapa final'!$AC$18="Menor"),CONCATENATE("R2C",'Mapa final'!$Q$18),"")</f>
        <v/>
      </c>
      <c r="T47" s="61" t="str">
        <f>IF(AND('Mapa final'!$AA$19="Muy Baja",'Mapa final'!$AC$19="Menor"),CONCATENATE("R2C",'Mapa final'!$Q$19),"")</f>
        <v/>
      </c>
      <c r="U47" s="62" t="str">
        <f>IF(AND('Mapa final'!$AA$20="Muy Baja",'Mapa final'!$AC$20="Menor"),CONCATENATE("R2C",'Mapa final'!$Q$20),"")</f>
        <v/>
      </c>
      <c r="V47" s="51" t="str">
        <f>IF(AND('Mapa final'!$AA$15="Muy Baja",'Mapa final'!$AC$15="Moderado"),CONCATENATE("R2C",'Mapa final'!$Q$15),"")</f>
        <v/>
      </c>
      <c r="W47" s="52" t="str">
        <f>IF(AND('Mapa final'!$AA$16="Muy Baja",'Mapa final'!$AC$16="Moderado"),CONCATENATE("R2C",'Mapa final'!$Q$16),"")</f>
        <v/>
      </c>
      <c r="X47" s="52" t="str">
        <f>IF(AND('Mapa final'!$AA$17="Muy Baja",'Mapa final'!$AC$17="Moderado"),CONCATENATE("R2C",'Mapa final'!$Q$17),"")</f>
        <v/>
      </c>
      <c r="Y47" s="52" t="str">
        <f>IF(AND('Mapa final'!$AA$18="Muy Baja",'Mapa final'!$AC$18="Moderado"),CONCATENATE("R2C",'Mapa final'!$Q$18),"")</f>
        <v/>
      </c>
      <c r="Z47" s="52" t="str">
        <f>IF(AND('Mapa final'!$AA$19="Muy Baja",'Mapa final'!$AC$19="Moderado"),CONCATENATE("R2C",'Mapa final'!$Q$19),"")</f>
        <v/>
      </c>
      <c r="AA47" s="53" t="str">
        <f>IF(AND('Mapa final'!$AA$20="Muy Baja",'Mapa final'!$AC$20="Moderado"),CONCATENATE("R2C",'Mapa final'!$Q$20),"")</f>
        <v/>
      </c>
      <c r="AB47" s="36" t="str">
        <f>IF(AND('Mapa final'!$AA$15="Muy Baja",'Mapa final'!$AC$15="Mayor"),CONCATENATE("R2C",'Mapa final'!$Q$15),"")</f>
        <v/>
      </c>
      <c r="AC47" s="37" t="str">
        <f>IF(AND('Mapa final'!$AA$16="Muy Baja",'Mapa final'!$AC$16="Mayor"),CONCATENATE("R2C",'Mapa final'!$Q$16),"")</f>
        <v/>
      </c>
      <c r="AD47" s="37" t="str">
        <f>IF(AND('Mapa final'!$AA$17="Muy Baja",'Mapa final'!$AC$17="Mayor"),CONCATENATE("R2C",'Mapa final'!$Q$17),"")</f>
        <v/>
      </c>
      <c r="AE47" s="37" t="str">
        <f>IF(AND('Mapa final'!$AA$18="Muy Baja",'Mapa final'!$AC$18="Mayor"),CONCATENATE("R2C",'Mapa final'!$Q$18),"")</f>
        <v/>
      </c>
      <c r="AF47" s="37" t="str">
        <f>IF(AND('Mapa final'!$AA$19="Muy Baja",'Mapa final'!$AC$19="Mayor"),CONCATENATE("R2C",'Mapa final'!$Q$19),"")</f>
        <v/>
      </c>
      <c r="AG47" s="38" t="str">
        <f>IF(AND('Mapa final'!$AA$20="Muy Baja",'Mapa final'!$AC$20="Mayor"),CONCATENATE("R2C",'Mapa final'!$Q$20),"")</f>
        <v/>
      </c>
      <c r="AH47" s="39" t="str">
        <f>IF(AND('Mapa final'!$AA$15="Muy Baja",'Mapa final'!$AC$15="Catastrófico"),CONCATENATE("R2C",'Mapa final'!$Q$15),"")</f>
        <v/>
      </c>
      <c r="AI47" s="40" t="str">
        <f>IF(AND('Mapa final'!$AA$16="Muy Baja",'Mapa final'!$AC$16="Catastrófico"),CONCATENATE("R2C",'Mapa final'!$Q$16),"")</f>
        <v/>
      </c>
      <c r="AJ47" s="40" t="str">
        <f>IF(AND('Mapa final'!$AA$17="Muy Baja",'Mapa final'!$AC$17="Catastrófico"),CONCATENATE("R2C",'Mapa final'!$Q$17),"")</f>
        <v/>
      </c>
      <c r="AK47" s="40" t="str">
        <f>IF(AND('Mapa final'!$AA$18="Muy Baja",'Mapa final'!$AC$18="Catastrófico"),CONCATENATE("R2C",'Mapa final'!$Q$18),"")</f>
        <v/>
      </c>
      <c r="AL47" s="40" t="str">
        <f>IF(AND('Mapa final'!$AA$19="Muy Baja",'Mapa final'!$AC$19="Catastrófico"),CONCATENATE("R2C",'Mapa final'!$Q$19),"")</f>
        <v/>
      </c>
      <c r="AM47" s="41" t="str">
        <f>IF(AND('Mapa final'!$AA$20="Muy Baja",'Mapa final'!$AC$20="Catastrófico"),CONCATENATE("R2C",'Mapa final'!$Q$20),"")</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305"/>
      <c r="C48" s="305"/>
      <c r="D48" s="306"/>
      <c r="E48" s="402"/>
      <c r="F48" s="403"/>
      <c r="G48" s="403"/>
      <c r="H48" s="403"/>
      <c r="I48" s="419"/>
      <c r="J48" s="60" t="str">
        <f>IF(AND('Mapa final'!$AA$21="Muy Baja",'Mapa final'!$AC$21="Leve"),CONCATENATE("R3C",'Mapa final'!$Q$21),"")</f>
        <v/>
      </c>
      <c r="K48" s="61" t="str">
        <f>IF(AND('Mapa final'!$AA$22="Muy Baja",'Mapa final'!$AC$22="Leve"),CONCATENATE("R3C",'Mapa final'!$Q$22),"")</f>
        <v/>
      </c>
      <c r="L48" s="61" t="str">
        <f>IF(AND('Mapa final'!$AA$23="Muy Baja",'Mapa final'!$AC$23="Leve"),CONCATENATE("R3C",'Mapa final'!$Q$23),"")</f>
        <v/>
      </c>
      <c r="M48" s="61" t="str">
        <f>IF(AND('Mapa final'!$AA$24="Muy Baja",'Mapa final'!$AC$24="Leve"),CONCATENATE("R3C",'Mapa final'!$Q$24),"")</f>
        <v/>
      </c>
      <c r="N48" s="61" t="str">
        <f>IF(AND('Mapa final'!$AA$25="Muy Baja",'Mapa final'!$AC$25="Leve"),CONCATENATE("R3C",'Mapa final'!$Q$25),"")</f>
        <v/>
      </c>
      <c r="O48" s="62" t="str">
        <f>IF(AND('Mapa final'!$AA$26="Muy Baja",'Mapa final'!$AC$26="Leve"),CONCATENATE("R3C",'Mapa final'!$Q$26),"")</f>
        <v/>
      </c>
      <c r="P48" s="60" t="str">
        <f>IF(AND('Mapa final'!$AA$21="Muy Baja",'Mapa final'!$AC$21="Menor"),CONCATENATE("R3C",'Mapa final'!$Q$21),"")</f>
        <v/>
      </c>
      <c r="Q48" s="61" t="str">
        <f>IF(AND('Mapa final'!$AA$22="Muy Baja",'Mapa final'!$AC$22="Menor"),CONCATENATE("R3C",'Mapa final'!$Q$22),"")</f>
        <v/>
      </c>
      <c r="R48" s="61" t="str">
        <f>IF(AND('Mapa final'!$AA$23="Muy Baja",'Mapa final'!$AC$23="Menor"),CONCATENATE("R3C",'Mapa final'!$Q$23),"")</f>
        <v/>
      </c>
      <c r="S48" s="61" t="str">
        <f>IF(AND('Mapa final'!$AA$24="Muy Baja",'Mapa final'!$AC$24="Menor"),CONCATENATE("R3C",'Mapa final'!$Q$24),"")</f>
        <v/>
      </c>
      <c r="T48" s="61" t="str">
        <f>IF(AND('Mapa final'!$AA$25="Muy Baja",'Mapa final'!$AC$25="Menor"),CONCATENATE("R3C",'Mapa final'!$Q$25),"")</f>
        <v/>
      </c>
      <c r="U48" s="62" t="str">
        <f>IF(AND('Mapa final'!$AA$26="Muy Baja",'Mapa final'!$AC$26="Menor"),CONCATENATE("R3C",'Mapa final'!$Q$26),"")</f>
        <v/>
      </c>
      <c r="V48" s="51" t="str">
        <f>IF(AND('Mapa final'!$AA$21="Muy Baja",'Mapa final'!$AC$21="Moderado"),CONCATENATE("R3C",'Mapa final'!$Q$21),"")</f>
        <v/>
      </c>
      <c r="W48" s="52" t="str">
        <f>IF(AND('Mapa final'!$AA$22="Muy Baja",'Mapa final'!$AC$22="Moderado"),CONCATENATE("R3C",'Mapa final'!$Q$22),"")</f>
        <v/>
      </c>
      <c r="X48" s="52" t="str">
        <f>IF(AND('Mapa final'!$AA$23="Muy Baja",'Mapa final'!$AC$23="Moderado"),CONCATENATE("R3C",'Mapa final'!$Q$23),"")</f>
        <v/>
      </c>
      <c r="Y48" s="52" t="str">
        <f>IF(AND('Mapa final'!$AA$24="Muy Baja",'Mapa final'!$AC$24="Moderado"),CONCATENATE("R3C",'Mapa final'!$Q$24),"")</f>
        <v/>
      </c>
      <c r="Z48" s="52" t="str">
        <f>IF(AND('Mapa final'!$AA$25="Muy Baja",'Mapa final'!$AC$25="Moderado"),CONCATENATE("R3C",'Mapa final'!$Q$25),"")</f>
        <v/>
      </c>
      <c r="AA48" s="53" t="str">
        <f>IF(AND('Mapa final'!$AA$26="Muy Baja",'Mapa final'!$AC$26="Moderado"),CONCATENATE("R3C",'Mapa final'!$Q$26),"")</f>
        <v/>
      </c>
      <c r="AB48" s="36" t="str">
        <f>IF(AND('Mapa final'!$AA$21="Muy Baja",'Mapa final'!$AC$21="Mayor"),CONCATENATE("R3C",'Mapa final'!$Q$21),"")</f>
        <v/>
      </c>
      <c r="AC48" s="37" t="str">
        <f>IF(AND('Mapa final'!$AA$22="Muy Baja",'Mapa final'!$AC$22="Mayor"),CONCATENATE("R3C",'Mapa final'!$Q$22),"")</f>
        <v/>
      </c>
      <c r="AD48" s="37" t="str">
        <f>IF(AND('Mapa final'!$AA$23="Muy Baja",'Mapa final'!$AC$23="Mayor"),CONCATENATE("R3C",'Mapa final'!$Q$23),"")</f>
        <v/>
      </c>
      <c r="AE48" s="37" t="str">
        <f>IF(AND('Mapa final'!$AA$24="Muy Baja",'Mapa final'!$AC$24="Mayor"),CONCATENATE("R3C",'Mapa final'!$Q$24),"")</f>
        <v/>
      </c>
      <c r="AF48" s="37" t="str">
        <f>IF(AND('Mapa final'!$AA$25="Muy Baja",'Mapa final'!$AC$25="Mayor"),CONCATENATE("R3C",'Mapa final'!$Q$25),"")</f>
        <v/>
      </c>
      <c r="AG48" s="38" t="str">
        <f>IF(AND('Mapa final'!$AA$26="Muy Baja",'Mapa final'!$AC$26="Mayor"),CONCATENATE("R3C",'Mapa final'!$Q$26),"")</f>
        <v/>
      </c>
      <c r="AH48" s="39" t="str">
        <f>IF(AND('Mapa final'!$AA$21="Muy Baja",'Mapa final'!$AC$21="Catastrófico"),CONCATENATE("R3C",'Mapa final'!$Q$21),"")</f>
        <v/>
      </c>
      <c r="AI48" s="40" t="str">
        <f>IF(AND('Mapa final'!$AA$22="Muy Baja",'Mapa final'!$AC$22="Catastrófico"),CONCATENATE("R3C",'Mapa final'!$Q$22),"")</f>
        <v/>
      </c>
      <c r="AJ48" s="40" t="str">
        <f>IF(AND('Mapa final'!$AA$23="Muy Baja",'Mapa final'!$AC$23="Catastrófico"),CONCATENATE("R3C",'Mapa final'!$Q$23),"")</f>
        <v/>
      </c>
      <c r="AK48" s="40" t="str">
        <f>IF(AND('Mapa final'!$AA$24="Muy Baja",'Mapa final'!$AC$24="Catastrófico"),CONCATENATE("R3C",'Mapa final'!$Q$24),"")</f>
        <v/>
      </c>
      <c r="AL48" s="40" t="str">
        <f>IF(AND('Mapa final'!$AA$25="Muy Baja",'Mapa final'!$AC$25="Catastrófico"),CONCATENATE("R3C",'Mapa final'!$Q$25),"")</f>
        <v/>
      </c>
      <c r="AM48" s="41" t="str">
        <f>IF(AND('Mapa final'!$AA$26="Muy Baja",'Mapa final'!$AC$26="Catastrófico"),CONCATENATE("R3C",'Mapa final'!$Q$26),"")</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305"/>
      <c r="C49" s="305"/>
      <c r="D49" s="306"/>
      <c r="E49" s="404"/>
      <c r="F49" s="403"/>
      <c r="G49" s="403"/>
      <c r="H49" s="403"/>
      <c r="I49" s="419"/>
      <c r="J49" s="60" t="str">
        <f>IF(AND('Mapa final'!$AA$27="Muy Baja",'Mapa final'!$AC$27="Leve"),CONCATENATE("R4C",'Mapa final'!$Q$27),"")</f>
        <v/>
      </c>
      <c r="K49" s="61" t="str">
        <f>IF(AND('Mapa final'!$AA$28="Muy Baja",'Mapa final'!$AC$28="Leve"),CONCATENATE("R4C",'Mapa final'!$Q$28),"")</f>
        <v/>
      </c>
      <c r="L49" s="61" t="str">
        <f>IF(AND('Mapa final'!$AA$29="Muy Baja",'Mapa final'!$AC$29="Leve"),CONCATENATE("R4C",'Mapa final'!$Q$29),"")</f>
        <v/>
      </c>
      <c r="M49" s="61" t="str">
        <f>IF(AND('Mapa final'!$AA$30="Muy Baja",'Mapa final'!$AC$30="Leve"),CONCATENATE("R4C",'Mapa final'!$Q$30),"")</f>
        <v/>
      </c>
      <c r="N49" s="61" t="str">
        <f>IF(AND('Mapa final'!$AA$31="Muy Baja",'Mapa final'!$AC$31="Leve"),CONCATENATE("R4C",'Mapa final'!$Q$31),"")</f>
        <v/>
      </c>
      <c r="O49" s="62" t="str">
        <f>IF(AND('Mapa final'!$AA$32="Muy Baja",'Mapa final'!$AC$32="Leve"),CONCATENATE("R4C",'Mapa final'!$Q$32),"")</f>
        <v/>
      </c>
      <c r="P49" s="60" t="str">
        <f>IF(AND('Mapa final'!$AA$27="Muy Baja",'Mapa final'!$AC$27="Menor"),CONCATENATE("R4C",'Mapa final'!$Q$27),"")</f>
        <v/>
      </c>
      <c r="Q49" s="61" t="str">
        <f>IF(AND('Mapa final'!$AA$28="Muy Baja",'Mapa final'!$AC$28="Menor"),CONCATENATE("R4C",'Mapa final'!$Q$28),"")</f>
        <v/>
      </c>
      <c r="R49" s="61" t="str">
        <f>IF(AND('Mapa final'!$AA$29="Muy Baja",'Mapa final'!$AC$29="Menor"),CONCATENATE("R4C",'Mapa final'!$Q$29),"")</f>
        <v/>
      </c>
      <c r="S49" s="61" t="str">
        <f>IF(AND('Mapa final'!$AA$30="Muy Baja",'Mapa final'!$AC$30="Menor"),CONCATENATE("R4C",'Mapa final'!$Q$30),"")</f>
        <v/>
      </c>
      <c r="T49" s="61" t="str">
        <f>IF(AND('Mapa final'!$AA$31="Muy Baja",'Mapa final'!$AC$31="Menor"),CONCATENATE("R4C",'Mapa final'!$Q$31),"")</f>
        <v/>
      </c>
      <c r="U49" s="62" t="str">
        <f>IF(AND('Mapa final'!$AA$32="Muy Baja",'Mapa final'!$AC$32="Menor"),CONCATENATE("R4C",'Mapa final'!$Q$32),"")</f>
        <v/>
      </c>
      <c r="V49" s="51" t="str">
        <f>IF(AND('Mapa final'!$AA$27="Muy Baja",'Mapa final'!$AC$27="Moderado"),CONCATENATE("R4C",'Mapa final'!$Q$27),"")</f>
        <v/>
      </c>
      <c r="W49" s="52" t="str">
        <f>IF(AND('Mapa final'!$AA$28="Muy Baja",'Mapa final'!$AC$28="Moderado"),CONCATENATE("R4C",'Mapa final'!$Q$28),"")</f>
        <v/>
      </c>
      <c r="X49" s="52" t="str">
        <f>IF(AND('Mapa final'!$AA$29="Muy Baja",'Mapa final'!$AC$29="Moderado"),CONCATENATE("R4C",'Mapa final'!$Q$29),"")</f>
        <v/>
      </c>
      <c r="Y49" s="52" t="str">
        <f>IF(AND('Mapa final'!$AA$30="Muy Baja",'Mapa final'!$AC$30="Moderado"),CONCATENATE("R4C",'Mapa final'!$Q$30),"")</f>
        <v/>
      </c>
      <c r="Z49" s="52" t="str">
        <f>IF(AND('Mapa final'!$AA$31="Muy Baja",'Mapa final'!$AC$31="Moderado"),CONCATENATE("R4C",'Mapa final'!$Q$31),"")</f>
        <v/>
      </c>
      <c r="AA49" s="53" t="str">
        <f>IF(AND('Mapa final'!$AA$32="Muy Baja",'Mapa final'!$AC$32="Moderado"),CONCATENATE("R4C",'Mapa final'!$Q$32),"")</f>
        <v/>
      </c>
      <c r="AB49" s="36" t="str">
        <f>IF(AND('Mapa final'!$AA$27="Muy Baja",'Mapa final'!$AC$27="Mayor"),CONCATENATE("R4C",'Mapa final'!$Q$27),"")</f>
        <v/>
      </c>
      <c r="AC49" s="37" t="str">
        <f>IF(AND('Mapa final'!$AA$28="Muy Baja",'Mapa final'!$AC$28="Mayor"),CONCATENATE("R4C",'Mapa final'!$Q$28),"")</f>
        <v/>
      </c>
      <c r="AD49" s="37" t="str">
        <f>IF(AND('Mapa final'!$AA$29="Muy Baja",'Mapa final'!$AC$29="Mayor"),CONCATENATE("R4C",'Mapa final'!$Q$29),"")</f>
        <v/>
      </c>
      <c r="AE49" s="37" t="str">
        <f>IF(AND('Mapa final'!$AA$30="Muy Baja",'Mapa final'!$AC$30="Mayor"),CONCATENATE("R4C",'Mapa final'!$Q$30),"")</f>
        <v/>
      </c>
      <c r="AF49" s="37" t="str">
        <f>IF(AND('Mapa final'!$AA$31="Muy Baja",'Mapa final'!$AC$31="Mayor"),CONCATENATE("R4C",'Mapa final'!$Q$31),"")</f>
        <v/>
      </c>
      <c r="AG49" s="38" t="str">
        <f>IF(AND('Mapa final'!$AA$32="Muy Baja",'Mapa final'!$AC$32="Mayor"),CONCATENATE("R4C",'Mapa final'!$Q$32),"")</f>
        <v/>
      </c>
      <c r="AH49" s="39" t="str">
        <f>IF(AND('Mapa final'!$AA$27="Muy Baja",'Mapa final'!$AC$27="Catastrófico"),CONCATENATE("R4C",'Mapa final'!$Q$27),"")</f>
        <v/>
      </c>
      <c r="AI49" s="40" t="str">
        <f>IF(AND('Mapa final'!$AA$28="Muy Baja",'Mapa final'!$AC$28="Catastrófico"),CONCATENATE("R4C",'Mapa final'!$Q$28),"")</f>
        <v/>
      </c>
      <c r="AJ49" s="40" t="str">
        <f>IF(AND('Mapa final'!$AA$29="Muy Baja",'Mapa final'!$AC$29="Catastrófico"),CONCATENATE("R4C",'Mapa final'!$Q$29),"")</f>
        <v/>
      </c>
      <c r="AK49" s="40" t="str">
        <f>IF(AND('Mapa final'!$AA$30="Muy Baja",'Mapa final'!$AC$30="Catastrófico"),CONCATENATE("R4C",'Mapa final'!$Q$30),"")</f>
        <v/>
      </c>
      <c r="AL49" s="40" t="str">
        <f>IF(AND('Mapa final'!$AA$31="Muy Baja",'Mapa final'!$AC$31="Catastrófico"),CONCATENATE("R4C",'Mapa final'!$Q$31),"")</f>
        <v/>
      </c>
      <c r="AM49" s="41" t="str">
        <f>IF(AND('Mapa final'!$AA$32="Muy Baja",'Mapa final'!$AC$32="Catastrófico"),CONCATENATE("R4C",'Mapa final'!$Q$32),"")</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305"/>
      <c r="C50" s="305"/>
      <c r="D50" s="306"/>
      <c r="E50" s="404"/>
      <c r="F50" s="403"/>
      <c r="G50" s="403"/>
      <c r="H50" s="403"/>
      <c r="I50" s="419"/>
      <c r="J50" s="60" t="str">
        <f>IF(AND('Mapa final'!$AA$33="Muy Baja",'Mapa final'!$AC$33="Leve"),CONCATENATE("R5C",'Mapa final'!$Q$33),"")</f>
        <v/>
      </c>
      <c r="K50" s="61" t="str">
        <f>IF(AND('Mapa final'!$AA$34="Muy Baja",'Mapa final'!$AC$34="Leve"),CONCATENATE("R5C",'Mapa final'!$Q$34),"")</f>
        <v/>
      </c>
      <c r="L50" s="61" t="str">
        <f>IF(AND('Mapa final'!$AA$35="Muy Baja",'Mapa final'!$AC$35="Leve"),CONCATENATE("R5C",'Mapa final'!$Q$35),"")</f>
        <v/>
      </c>
      <c r="M50" s="61" t="str">
        <f>IF(AND('Mapa final'!$AA$36="Muy Baja",'Mapa final'!$AC$36="Leve"),CONCATENATE("R5C",'Mapa final'!$Q$36),"")</f>
        <v/>
      </c>
      <c r="N50" s="61" t="str">
        <f>IF(AND('Mapa final'!$AA$37="Muy Baja",'Mapa final'!$AC$37="Leve"),CONCATENATE("R5C",'Mapa final'!$Q$37),"")</f>
        <v/>
      </c>
      <c r="O50" s="62" t="str">
        <f>IF(AND('Mapa final'!$AA$38="Muy Baja",'Mapa final'!$AC$38="Leve"),CONCATENATE("R5C",'Mapa final'!$Q$38),"")</f>
        <v/>
      </c>
      <c r="P50" s="60" t="str">
        <f>IF(AND('Mapa final'!$AA$33="Muy Baja",'Mapa final'!$AC$33="Menor"),CONCATENATE("R5C",'Mapa final'!$Q$33),"")</f>
        <v/>
      </c>
      <c r="Q50" s="61" t="str">
        <f>IF(AND('Mapa final'!$AA$34="Muy Baja",'Mapa final'!$AC$34="Menor"),CONCATENATE("R5C",'Mapa final'!$Q$34),"")</f>
        <v/>
      </c>
      <c r="R50" s="61" t="str">
        <f>IF(AND('Mapa final'!$AA$35="Muy Baja",'Mapa final'!$AC$35="Menor"),CONCATENATE("R5C",'Mapa final'!$Q$35),"")</f>
        <v/>
      </c>
      <c r="S50" s="61" t="str">
        <f>IF(AND('Mapa final'!$AA$36="Muy Baja",'Mapa final'!$AC$36="Menor"),CONCATENATE("R5C",'Mapa final'!$Q$36),"")</f>
        <v/>
      </c>
      <c r="T50" s="61" t="str">
        <f>IF(AND('Mapa final'!$AA$37="Muy Baja",'Mapa final'!$AC$37="Menor"),CONCATENATE("R5C",'Mapa final'!$Q$37),"")</f>
        <v/>
      </c>
      <c r="U50" s="62" t="str">
        <f>IF(AND('Mapa final'!$AA$38="Muy Baja",'Mapa final'!$AC$38="Menor"),CONCATENATE("R5C",'Mapa final'!$Q$38),"")</f>
        <v/>
      </c>
      <c r="V50" s="51" t="str">
        <f>IF(AND('Mapa final'!$AA$33="Muy Baja",'Mapa final'!$AC$33="Moderado"),CONCATENATE("R5C",'Mapa final'!$Q$33),"")</f>
        <v/>
      </c>
      <c r="W50" s="52" t="str">
        <f>IF(AND('Mapa final'!$AA$34="Muy Baja",'Mapa final'!$AC$34="Moderado"),CONCATENATE("R5C",'Mapa final'!$Q$34),"")</f>
        <v/>
      </c>
      <c r="X50" s="52" t="str">
        <f>IF(AND('Mapa final'!$AA$35="Muy Baja",'Mapa final'!$AC$35="Moderado"),CONCATENATE("R5C",'Mapa final'!$Q$35),"")</f>
        <v/>
      </c>
      <c r="Y50" s="52" t="str">
        <f>IF(AND('Mapa final'!$AA$36="Muy Baja",'Mapa final'!$AC$36="Moderado"),CONCATENATE("R5C",'Mapa final'!$Q$36),"")</f>
        <v/>
      </c>
      <c r="Z50" s="52" t="str">
        <f>IF(AND('Mapa final'!$AA$37="Muy Baja",'Mapa final'!$AC$37="Moderado"),CONCATENATE("R5C",'Mapa final'!$Q$37),"")</f>
        <v/>
      </c>
      <c r="AA50" s="53" t="str">
        <f>IF(AND('Mapa final'!$AA$38="Muy Baja",'Mapa final'!$AC$38="Moderado"),CONCATENATE("R5C",'Mapa final'!$Q$38),"")</f>
        <v/>
      </c>
      <c r="AB50" s="36" t="str">
        <f>IF(AND('Mapa final'!$AA$33="Muy Baja",'Mapa final'!$AC$33="Mayor"),CONCATENATE("R5C",'Mapa final'!$Q$33),"")</f>
        <v/>
      </c>
      <c r="AC50" s="37" t="str">
        <f>IF(AND('Mapa final'!$AA$34="Muy Baja",'Mapa final'!$AC$34="Mayor"),CONCATENATE("R5C",'Mapa final'!$Q$34),"")</f>
        <v/>
      </c>
      <c r="AD50" s="37" t="str">
        <f>IF(AND('Mapa final'!$AA$35="Muy Baja",'Mapa final'!$AC$35="Mayor"),CONCATENATE("R5C",'Mapa final'!$Q$35),"")</f>
        <v/>
      </c>
      <c r="AE50" s="37" t="str">
        <f>IF(AND('Mapa final'!$AA$36="Muy Baja",'Mapa final'!$AC$36="Mayor"),CONCATENATE("R5C",'Mapa final'!$Q$36),"")</f>
        <v/>
      </c>
      <c r="AF50" s="37" t="str">
        <f>IF(AND('Mapa final'!$AA$37="Muy Baja",'Mapa final'!$AC$37="Mayor"),CONCATENATE("R5C",'Mapa final'!$Q$37),"")</f>
        <v/>
      </c>
      <c r="AG50" s="38" t="str">
        <f>IF(AND('Mapa final'!$AA$38="Muy Baja",'Mapa final'!$AC$38="Mayor"),CONCATENATE("R5C",'Mapa final'!$Q$38),"")</f>
        <v/>
      </c>
      <c r="AH50" s="39" t="str">
        <f>IF(AND('Mapa final'!$AA$33="Muy Baja",'Mapa final'!$AC$33="Catastrófico"),CONCATENATE("R5C",'Mapa final'!$Q$33),"")</f>
        <v/>
      </c>
      <c r="AI50" s="40" t="str">
        <f>IF(AND('Mapa final'!$AA$34="Muy Baja",'Mapa final'!$AC$34="Catastrófico"),CONCATENATE("R5C",'Mapa final'!$Q$34),"")</f>
        <v/>
      </c>
      <c r="AJ50" s="40" t="str">
        <f>IF(AND('Mapa final'!$AA$35="Muy Baja",'Mapa final'!$AC$35="Catastrófico"),CONCATENATE("R5C",'Mapa final'!$Q$35),"")</f>
        <v/>
      </c>
      <c r="AK50" s="40" t="str">
        <f>IF(AND('Mapa final'!$AA$36="Muy Baja",'Mapa final'!$AC$36="Catastrófico"),CONCATENATE("R5C",'Mapa final'!$Q$36),"")</f>
        <v/>
      </c>
      <c r="AL50" s="40" t="str">
        <f>IF(AND('Mapa final'!$AA$37="Muy Baja",'Mapa final'!$AC$37="Catastrófico"),CONCATENATE("R5C",'Mapa final'!$Q$37),"")</f>
        <v/>
      </c>
      <c r="AM50" s="41" t="str">
        <f>IF(AND('Mapa final'!$AA$38="Muy Baja",'Mapa final'!$AC$38="Catastrófico"),CONCATENATE("R5C",'Mapa final'!$Q$38),"")</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305"/>
      <c r="C51" s="305"/>
      <c r="D51" s="306"/>
      <c r="E51" s="404"/>
      <c r="F51" s="403"/>
      <c r="G51" s="403"/>
      <c r="H51" s="403"/>
      <c r="I51" s="419"/>
      <c r="J51" s="60" t="str">
        <f>IF(AND('Mapa final'!$AA$39="Muy Baja",'Mapa final'!$AC$39="Leve"),CONCATENATE("R6C",'Mapa final'!$Q$39),"")</f>
        <v/>
      </c>
      <c r="K51" s="61" t="str">
        <f>IF(AND('Mapa final'!$AA$40="Muy Baja",'Mapa final'!$AC$40="Leve"),CONCATENATE("R6C",'Mapa final'!$Q$40),"")</f>
        <v/>
      </c>
      <c r="L51" s="61" t="str">
        <f>IF(AND('Mapa final'!$AA$41="Muy Baja",'Mapa final'!$AC$41="Leve"),CONCATENATE("R6C",'Mapa final'!$Q$41),"")</f>
        <v/>
      </c>
      <c r="M51" s="61" t="str">
        <f>IF(AND('Mapa final'!$AA$42="Muy Baja",'Mapa final'!$AC$42="Leve"),CONCATENATE("R6C",'Mapa final'!$Q$42),"")</f>
        <v/>
      </c>
      <c r="N51" s="61" t="str">
        <f>IF(AND('Mapa final'!$AA$43="Muy Baja",'Mapa final'!$AC$43="Leve"),CONCATENATE("R6C",'Mapa final'!$Q$43),"")</f>
        <v/>
      </c>
      <c r="O51" s="62" t="str">
        <f>IF(AND('Mapa final'!$AA$44="Muy Baja",'Mapa final'!$AC$44="Leve"),CONCATENATE("R6C",'Mapa final'!$Q$44),"")</f>
        <v/>
      </c>
      <c r="P51" s="60" t="str">
        <f>IF(AND('Mapa final'!$AA$39="Muy Baja",'Mapa final'!$AC$39="Menor"),CONCATENATE("R6C",'Mapa final'!$Q$39),"")</f>
        <v/>
      </c>
      <c r="Q51" s="61" t="str">
        <f>IF(AND('Mapa final'!$AA$40="Muy Baja",'Mapa final'!$AC$40="Menor"),CONCATENATE("R6C",'Mapa final'!$Q$40),"")</f>
        <v/>
      </c>
      <c r="R51" s="61" t="str">
        <f>IF(AND('Mapa final'!$AA$41="Muy Baja",'Mapa final'!$AC$41="Menor"),CONCATENATE("R6C",'Mapa final'!$Q$41),"")</f>
        <v/>
      </c>
      <c r="S51" s="61" t="str">
        <f>IF(AND('Mapa final'!$AA$42="Muy Baja",'Mapa final'!$AC$42="Menor"),CONCATENATE("R6C",'Mapa final'!$Q$42),"")</f>
        <v/>
      </c>
      <c r="T51" s="61" t="str">
        <f>IF(AND('Mapa final'!$AA$43="Muy Baja",'Mapa final'!$AC$43="Menor"),CONCATENATE("R6C",'Mapa final'!$Q$43),"")</f>
        <v/>
      </c>
      <c r="U51" s="62" t="str">
        <f>IF(AND('Mapa final'!$AA$44="Muy Baja",'Mapa final'!$AC$44="Menor"),CONCATENATE("R6C",'Mapa final'!$Q$44),"")</f>
        <v/>
      </c>
      <c r="V51" s="51" t="str">
        <f>IF(AND('Mapa final'!$AA$39="Muy Baja",'Mapa final'!$AC$39="Moderado"),CONCATENATE("R6C",'Mapa final'!$Q$39),"")</f>
        <v/>
      </c>
      <c r="W51" s="52" t="str">
        <f>IF(AND('Mapa final'!$AA$40="Muy Baja",'Mapa final'!$AC$40="Moderado"),CONCATENATE("R6C",'Mapa final'!$Q$40),"")</f>
        <v/>
      </c>
      <c r="X51" s="52" t="str">
        <f>IF(AND('Mapa final'!$AA$41="Muy Baja",'Mapa final'!$AC$41="Moderado"),CONCATENATE("R6C",'Mapa final'!$Q$41),"")</f>
        <v/>
      </c>
      <c r="Y51" s="52" t="str">
        <f>IF(AND('Mapa final'!$AA$42="Muy Baja",'Mapa final'!$AC$42="Moderado"),CONCATENATE("R6C",'Mapa final'!$Q$42),"")</f>
        <v/>
      </c>
      <c r="Z51" s="52" t="str">
        <f>IF(AND('Mapa final'!$AA$43="Muy Baja",'Mapa final'!$AC$43="Moderado"),CONCATENATE("R6C",'Mapa final'!$Q$43),"")</f>
        <v/>
      </c>
      <c r="AA51" s="53" t="str">
        <f>IF(AND('Mapa final'!$AA$44="Muy Baja",'Mapa final'!$AC$44="Moderado"),CONCATENATE("R6C",'Mapa final'!$Q$44),"")</f>
        <v/>
      </c>
      <c r="AB51" s="36" t="str">
        <f>IF(AND('Mapa final'!$AA$39="Muy Baja",'Mapa final'!$AC$39="Mayor"),CONCATENATE("R6C",'Mapa final'!$Q$39),"")</f>
        <v/>
      </c>
      <c r="AC51" s="37" t="str">
        <f>IF(AND('Mapa final'!$AA$40="Muy Baja",'Mapa final'!$AC$40="Mayor"),CONCATENATE("R6C",'Mapa final'!$Q$40),"")</f>
        <v/>
      </c>
      <c r="AD51" s="37" t="str">
        <f>IF(AND('Mapa final'!$AA$41="Muy Baja",'Mapa final'!$AC$41="Mayor"),CONCATENATE("R6C",'Mapa final'!$Q$41),"")</f>
        <v/>
      </c>
      <c r="AE51" s="37" t="str">
        <f>IF(AND('Mapa final'!$AA$42="Muy Baja",'Mapa final'!$AC$42="Mayor"),CONCATENATE("R6C",'Mapa final'!$Q$42),"")</f>
        <v/>
      </c>
      <c r="AF51" s="37" t="str">
        <f>IF(AND('Mapa final'!$AA$43="Muy Baja",'Mapa final'!$AC$43="Mayor"),CONCATENATE("R6C",'Mapa final'!$Q$43),"")</f>
        <v/>
      </c>
      <c r="AG51" s="38" t="str">
        <f>IF(AND('Mapa final'!$AA$44="Muy Baja",'Mapa final'!$AC$44="Mayor"),CONCATENATE("R6C",'Mapa final'!$Q$44),"")</f>
        <v/>
      </c>
      <c r="AH51" s="39" t="str">
        <f>IF(AND('Mapa final'!$AA$39="Muy Baja",'Mapa final'!$AC$39="Catastrófico"),CONCATENATE("R6C",'Mapa final'!$Q$39),"")</f>
        <v/>
      </c>
      <c r="AI51" s="40" t="str">
        <f>IF(AND('Mapa final'!$AA$40="Muy Baja",'Mapa final'!$AC$40="Catastrófico"),CONCATENATE("R6C",'Mapa final'!$Q$40),"")</f>
        <v/>
      </c>
      <c r="AJ51" s="40" t="str">
        <f>IF(AND('Mapa final'!$AA$41="Muy Baja",'Mapa final'!$AC$41="Catastrófico"),CONCATENATE("R6C",'Mapa final'!$Q$41),"")</f>
        <v/>
      </c>
      <c r="AK51" s="40" t="str">
        <f>IF(AND('Mapa final'!$AA$42="Muy Baja",'Mapa final'!$AC$42="Catastrófico"),CONCATENATE("R6C",'Mapa final'!$Q$42),"")</f>
        <v/>
      </c>
      <c r="AL51" s="40" t="str">
        <f>IF(AND('Mapa final'!$AA$43="Muy Baja",'Mapa final'!$AC$43="Catastrófico"),CONCATENATE("R6C",'Mapa final'!$Q$43),"")</f>
        <v/>
      </c>
      <c r="AM51" s="41" t="str">
        <f>IF(AND('Mapa final'!$AA$44="Muy Baja",'Mapa final'!$AC$44="Catastrófico"),CONCATENATE("R6C",'Mapa final'!$Q$44),"")</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305"/>
      <c r="C52" s="305"/>
      <c r="D52" s="306"/>
      <c r="E52" s="404"/>
      <c r="F52" s="403"/>
      <c r="G52" s="403"/>
      <c r="H52" s="403"/>
      <c r="I52" s="419"/>
      <c r="J52" s="60" t="str">
        <f>IF(AND('Mapa final'!$AA$45="Muy Baja",'Mapa final'!$AC$45="Leve"),CONCATENATE("R7C",'Mapa final'!$Q$45),"")</f>
        <v/>
      </c>
      <c r="K52" s="61" t="str">
        <f>IF(AND('Mapa final'!$AA$46="Muy Baja",'Mapa final'!$AC$46="Leve"),CONCATENATE("R7C",'Mapa final'!$Q$46),"")</f>
        <v/>
      </c>
      <c r="L52" s="61" t="str">
        <f>IF(AND('Mapa final'!$AA$47="Muy Baja",'Mapa final'!$AC$47="Leve"),CONCATENATE("R7C",'Mapa final'!$Q$47),"")</f>
        <v/>
      </c>
      <c r="M52" s="61" t="str">
        <f>IF(AND('Mapa final'!$AA$48="Muy Baja",'Mapa final'!$AC$48="Leve"),CONCATENATE("R7C",'Mapa final'!$Q$48),"")</f>
        <v/>
      </c>
      <c r="N52" s="61" t="str">
        <f>IF(AND('Mapa final'!$AA$49="Muy Baja",'Mapa final'!$AC$49="Leve"),CONCATENATE("R7C",'Mapa final'!$Q$49),"")</f>
        <v/>
      </c>
      <c r="O52" s="62" t="str">
        <f>IF(AND('Mapa final'!$AA$50="Muy Baja",'Mapa final'!$AC$50="Leve"),CONCATENATE("R7C",'Mapa final'!$Q$50),"")</f>
        <v/>
      </c>
      <c r="P52" s="60" t="str">
        <f>IF(AND('Mapa final'!$AA$45="Muy Baja",'Mapa final'!$AC$45="Menor"),CONCATENATE("R7C",'Mapa final'!$Q$45),"")</f>
        <v/>
      </c>
      <c r="Q52" s="61" t="str">
        <f>IF(AND('Mapa final'!$AA$46="Muy Baja",'Mapa final'!$AC$46="Menor"),CONCATENATE("R7C",'Mapa final'!$Q$46),"")</f>
        <v/>
      </c>
      <c r="R52" s="61" t="str">
        <f>IF(AND('Mapa final'!$AA$47="Muy Baja",'Mapa final'!$AC$47="Menor"),CONCATENATE("R7C",'Mapa final'!$Q$47),"")</f>
        <v/>
      </c>
      <c r="S52" s="61" t="str">
        <f>IF(AND('Mapa final'!$AA$48="Muy Baja",'Mapa final'!$AC$48="Menor"),CONCATENATE("R7C",'Mapa final'!$Q$48),"")</f>
        <v/>
      </c>
      <c r="T52" s="61" t="str">
        <f>IF(AND('Mapa final'!$AA$49="Muy Baja",'Mapa final'!$AC$49="Menor"),CONCATENATE("R7C",'Mapa final'!$Q$49),"")</f>
        <v/>
      </c>
      <c r="U52" s="62" t="str">
        <f>IF(AND('Mapa final'!$AA$50="Muy Baja",'Mapa final'!$AC$50="Menor"),CONCATENATE("R7C",'Mapa final'!$Q$50),"")</f>
        <v/>
      </c>
      <c r="V52" s="51" t="str">
        <f>IF(AND('Mapa final'!$AA$45="Muy Baja",'Mapa final'!$AC$45="Moderado"),CONCATENATE("R7C",'Mapa final'!$Q$45),"")</f>
        <v/>
      </c>
      <c r="W52" s="52" t="str">
        <f>IF(AND('Mapa final'!$AA$46="Muy Baja",'Mapa final'!$AC$46="Moderado"),CONCATENATE("R7C",'Mapa final'!$Q$46),"")</f>
        <v/>
      </c>
      <c r="X52" s="52" t="str">
        <f>IF(AND('Mapa final'!$AA$47="Muy Baja",'Mapa final'!$AC$47="Moderado"),CONCATENATE("R7C",'Mapa final'!$Q$47),"")</f>
        <v/>
      </c>
      <c r="Y52" s="52" t="str">
        <f>IF(AND('Mapa final'!$AA$48="Muy Baja",'Mapa final'!$AC$48="Moderado"),CONCATENATE("R7C",'Mapa final'!$Q$48),"")</f>
        <v/>
      </c>
      <c r="Z52" s="52" t="str">
        <f>IF(AND('Mapa final'!$AA$49="Muy Baja",'Mapa final'!$AC$49="Moderado"),CONCATENATE("R7C",'Mapa final'!$Q$49),"")</f>
        <v/>
      </c>
      <c r="AA52" s="53" t="str">
        <f>IF(AND('Mapa final'!$AA$50="Muy Baja",'Mapa final'!$AC$50="Moderado"),CONCATENATE("R7C",'Mapa final'!$Q$50),"")</f>
        <v/>
      </c>
      <c r="AB52" s="36" t="str">
        <f>IF(AND('Mapa final'!$AA$45="Muy Baja",'Mapa final'!$AC$45="Mayor"),CONCATENATE("R7C",'Mapa final'!$Q$45),"")</f>
        <v/>
      </c>
      <c r="AC52" s="37" t="str">
        <f>IF(AND('Mapa final'!$AA$46="Muy Baja",'Mapa final'!$AC$46="Mayor"),CONCATENATE("R7C",'Mapa final'!$Q$46),"")</f>
        <v/>
      </c>
      <c r="AD52" s="37" t="str">
        <f>IF(AND('Mapa final'!$AA$47="Muy Baja",'Mapa final'!$AC$47="Mayor"),CONCATENATE("R7C",'Mapa final'!$Q$47),"")</f>
        <v/>
      </c>
      <c r="AE52" s="37" t="str">
        <f>IF(AND('Mapa final'!$AA$48="Muy Baja",'Mapa final'!$AC$48="Mayor"),CONCATENATE("R7C",'Mapa final'!$Q$48),"")</f>
        <v/>
      </c>
      <c r="AF52" s="37" t="str">
        <f>IF(AND('Mapa final'!$AA$49="Muy Baja",'Mapa final'!$AC$49="Mayor"),CONCATENATE("R7C",'Mapa final'!$Q$49),"")</f>
        <v/>
      </c>
      <c r="AG52" s="38" t="str">
        <f>IF(AND('Mapa final'!$AA$50="Muy Baja",'Mapa final'!$AC$50="Mayor"),CONCATENATE("R7C",'Mapa final'!$Q$50),"")</f>
        <v/>
      </c>
      <c r="AH52" s="39" t="str">
        <f>IF(AND('Mapa final'!$AA$45="Muy Baja",'Mapa final'!$AC$45="Catastrófico"),CONCATENATE("R7C",'Mapa final'!$Q$45),"")</f>
        <v/>
      </c>
      <c r="AI52" s="40" t="str">
        <f>IF(AND('Mapa final'!$AA$46="Muy Baja",'Mapa final'!$AC$46="Catastrófico"),CONCATENATE("R7C",'Mapa final'!$Q$46),"")</f>
        <v/>
      </c>
      <c r="AJ52" s="40" t="str">
        <f>IF(AND('Mapa final'!$AA$47="Muy Baja",'Mapa final'!$AC$47="Catastrófico"),CONCATENATE("R7C",'Mapa final'!$Q$47),"")</f>
        <v/>
      </c>
      <c r="AK52" s="40" t="str">
        <f>IF(AND('Mapa final'!$AA$48="Muy Baja",'Mapa final'!$AC$48="Catastrófico"),CONCATENATE("R7C",'Mapa final'!$Q$48),"")</f>
        <v/>
      </c>
      <c r="AL52" s="40" t="str">
        <f>IF(AND('Mapa final'!$AA$49="Muy Baja",'Mapa final'!$AC$49="Catastrófico"),CONCATENATE("R7C",'Mapa final'!$Q$49),"")</f>
        <v/>
      </c>
      <c r="AM52" s="41" t="str">
        <f>IF(AND('Mapa final'!$AA$50="Muy Baja",'Mapa final'!$AC$50="Catastrófico"),CONCATENATE("R7C",'Mapa final'!$Q$50),"")</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305"/>
      <c r="C53" s="305"/>
      <c r="D53" s="306"/>
      <c r="E53" s="404"/>
      <c r="F53" s="403"/>
      <c r="G53" s="403"/>
      <c r="H53" s="403"/>
      <c r="I53" s="419"/>
      <c r="J53" s="60" t="str">
        <f>IF(AND('Mapa final'!$AA$51="Muy Baja",'Mapa final'!$AC$51="Leve"),CONCATENATE("R8C",'Mapa final'!$Q$51),"")</f>
        <v/>
      </c>
      <c r="K53" s="61" t="str">
        <f>IF(AND('Mapa final'!$AA$52="Muy Baja",'Mapa final'!$AC$52="Leve"),CONCATENATE("R8C",'Mapa final'!$Q$52),"")</f>
        <v/>
      </c>
      <c r="L53" s="61" t="str">
        <f>IF(AND('Mapa final'!$AA$53="Muy Baja",'Mapa final'!$AC$53="Leve"),CONCATENATE("R8C",'Mapa final'!$Q$53),"")</f>
        <v/>
      </c>
      <c r="M53" s="61" t="str">
        <f>IF(AND('Mapa final'!$AA$54="Muy Baja",'Mapa final'!$AC$54="Leve"),CONCATENATE("R8C",'Mapa final'!$Q$54),"")</f>
        <v/>
      </c>
      <c r="N53" s="61" t="str">
        <f>IF(AND('Mapa final'!$AA$55="Muy Baja",'Mapa final'!$AC$55="Leve"),CONCATENATE("R8C",'Mapa final'!$Q$55),"")</f>
        <v/>
      </c>
      <c r="O53" s="62" t="str">
        <f>IF(AND('Mapa final'!$AA$56="Muy Baja",'Mapa final'!$AC$56="Leve"),CONCATENATE("R8C",'Mapa final'!$Q$56),"")</f>
        <v/>
      </c>
      <c r="P53" s="60" t="str">
        <f>IF(AND('Mapa final'!$AA$51="Muy Baja",'Mapa final'!$AC$51="Menor"),CONCATENATE("R8C",'Mapa final'!$Q$51),"")</f>
        <v/>
      </c>
      <c r="Q53" s="61" t="str">
        <f>IF(AND('Mapa final'!$AA$52="Muy Baja",'Mapa final'!$AC$52="Menor"),CONCATENATE("R8C",'Mapa final'!$Q$52),"")</f>
        <v/>
      </c>
      <c r="R53" s="61" t="str">
        <f>IF(AND('Mapa final'!$AA$53="Muy Baja",'Mapa final'!$AC$53="Menor"),CONCATENATE("R8C",'Mapa final'!$Q$53),"")</f>
        <v/>
      </c>
      <c r="S53" s="61" t="str">
        <f>IF(AND('Mapa final'!$AA$54="Muy Baja",'Mapa final'!$AC$54="Menor"),CONCATENATE("R8C",'Mapa final'!$Q$54),"")</f>
        <v/>
      </c>
      <c r="T53" s="61" t="str">
        <f>IF(AND('Mapa final'!$AA$55="Muy Baja",'Mapa final'!$AC$55="Menor"),CONCATENATE("R8C",'Mapa final'!$Q$55),"")</f>
        <v/>
      </c>
      <c r="U53" s="62" t="str">
        <f>IF(AND('Mapa final'!$AA$56="Muy Baja",'Mapa final'!$AC$56="Menor"),CONCATENATE("R8C",'Mapa final'!$Q$56),"")</f>
        <v/>
      </c>
      <c r="V53" s="51" t="str">
        <f>IF(AND('Mapa final'!$AA$51="Muy Baja",'Mapa final'!$AC$51="Moderado"),CONCATENATE("R8C",'Mapa final'!$Q$51),"")</f>
        <v/>
      </c>
      <c r="W53" s="52" t="str">
        <f>IF(AND('Mapa final'!$AA$52="Muy Baja",'Mapa final'!$AC$52="Moderado"),CONCATENATE("R8C",'Mapa final'!$Q$52),"")</f>
        <v/>
      </c>
      <c r="X53" s="52" t="str">
        <f>IF(AND('Mapa final'!$AA$53="Muy Baja",'Mapa final'!$AC$53="Moderado"),CONCATENATE("R8C",'Mapa final'!$Q$53),"")</f>
        <v/>
      </c>
      <c r="Y53" s="52" t="str">
        <f>IF(AND('Mapa final'!$AA$54="Muy Baja",'Mapa final'!$AC$54="Moderado"),CONCATENATE("R8C",'Mapa final'!$Q$54),"")</f>
        <v/>
      </c>
      <c r="Z53" s="52" t="str">
        <f>IF(AND('Mapa final'!$AA$55="Muy Baja",'Mapa final'!$AC$55="Moderado"),CONCATENATE("R8C",'Mapa final'!$Q$55),"")</f>
        <v/>
      </c>
      <c r="AA53" s="53" t="str">
        <f>IF(AND('Mapa final'!$AA$56="Muy Baja",'Mapa final'!$AC$56="Moderado"),CONCATENATE("R8C",'Mapa final'!$Q$56),"")</f>
        <v/>
      </c>
      <c r="AB53" s="36" t="str">
        <f>IF(AND('Mapa final'!$AA$51="Muy Baja",'Mapa final'!$AC$51="Mayor"),CONCATENATE("R8C",'Mapa final'!$Q$51),"")</f>
        <v/>
      </c>
      <c r="AC53" s="37" t="str">
        <f>IF(AND('Mapa final'!$AA$52="Muy Baja",'Mapa final'!$AC$52="Mayor"),CONCATENATE("R8C",'Mapa final'!$Q$52),"")</f>
        <v/>
      </c>
      <c r="AD53" s="37" t="str">
        <f>IF(AND('Mapa final'!$AA$53="Muy Baja",'Mapa final'!$AC$53="Mayor"),CONCATENATE("R8C",'Mapa final'!$Q$53),"")</f>
        <v/>
      </c>
      <c r="AE53" s="37" t="str">
        <f>IF(AND('Mapa final'!$AA$54="Muy Baja",'Mapa final'!$AC$54="Mayor"),CONCATENATE("R8C",'Mapa final'!$Q$54),"")</f>
        <v/>
      </c>
      <c r="AF53" s="37" t="str">
        <f>IF(AND('Mapa final'!$AA$55="Muy Baja",'Mapa final'!$AC$55="Mayor"),CONCATENATE("R8C",'Mapa final'!$Q$55),"")</f>
        <v/>
      </c>
      <c r="AG53" s="38" t="str">
        <f>IF(AND('Mapa final'!$AA$56="Muy Baja",'Mapa final'!$AC$56="Mayor"),CONCATENATE("R8C",'Mapa final'!$Q$56),"")</f>
        <v/>
      </c>
      <c r="AH53" s="39" t="str">
        <f>IF(AND('Mapa final'!$AA$51="Muy Baja",'Mapa final'!$AC$51="Catastrófico"),CONCATENATE("R8C",'Mapa final'!$Q$51),"")</f>
        <v/>
      </c>
      <c r="AI53" s="40" t="str">
        <f>IF(AND('Mapa final'!$AA$52="Muy Baja",'Mapa final'!$AC$52="Catastrófico"),CONCATENATE("R8C",'Mapa final'!$Q$52),"")</f>
        <v/>
      </c>
      <c r="AJ53" s="40" t="str">
        <f>IF(AND('Mapa final'!$AA$53="Muy Baja",'Mapa final'!$AC$53="Catastrófico"),CONCATENATE("R8C",'Mapa final'!$Q$53),"")</f>
        <v/>
      </c>
      <c r="AK53" s="40" t="str">
        <f>IF(AND('Mapa final'!$AA$54="Muy Baja",'Mapa final'!$AC$54="Catastrófico"),CONCATENATE("R8C",'Mapa final'!$Q$54),"")</f>
        <v/>
      </c>
      <c r="AL53" s="40" t="str">
        <f>IF(AND('Mapa final'!$AA$55="Muy Baja",'Mapa final'!$AC$55="Catastrófico"),CONCATENATE("R8C",'Mapa final'!$Q$55),"")</f>
        <v/>
      </c>
      <c r="AM53" s="41" t="str">
        <f>IF(AND('Mapa final'!$AA$56="Muy Baja",'Mapa final'!$AC$56="Catastrófico"),CONCATENATE("R8C",'Mapa final'!$Q$56),"")</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305"/>
      <c r="C54" s="305"/>
      <c r="D54" s="306"/>
      <c r="E54" s="404"/>
      <c r="F54" s="403"/>
      <c r="G54" s="403"/>
      <c r="H54" s="403"/>
      <c r="I54" s="419"/>
      <c r="J54" s="60" t="str">
        <f>IF(AND('Mapa final'!$AA$57="Muy Baja",'Mapa final'!$AC$57="Leve"),CONCATENATE("R9C",'Mapa final'!$Q$57),"")</f>
        <v/>
      </c>
      <c r="K54" s="61" t="str">
        <f>IF(AND('Mapa final'!$AA$58="Muy Baja",'Mapa final'!$AC$58="Leve"),CONCATENATE("R9C",'Mapa final'!$Q$58),"")</f>
        <v/>
      </c>
      <c r="L54" s="61" t="str">
        <f>IF(AND('Mapa final'!$AA$59="Muy Baja",'Mapa final'!$AC$59="Leve"),CONCATENATE("R9C",'Mapa final'!$Q$59),"")</f>
        <v/>
      </c>
      <c r="M54" s="61" t="str">
        <f>IF(AND('Mapa final'!$AA$60="Muy Baja",'Mapa final'!$AC$60="Leve"),CONCATENATE("R9C",'Mapa final'!$Q$60),"")</f>
        <v/>
      </c>
      <c r="N54" s="61" t="str">
        <f>IF(AND('Mapa final'!$AA$61="Muy Baja",'Mapa final'!$AC$61="Leve"),CONCATENATE("R9C",'Mapa final'!$Q$61),"")</f>
        <v/>
      </c>
      <c r="O54" s="62" t="str">
        <f>IF(AND('Mapa final'!$AA$62="Muy Baja",'Mapa final'!$AC$62="Leve"),CONCATENATE("R9C",'Mapa final'!$Q$62),"")</f>
        <v/>
      </c>
      <c r="P54" s="60" t="str">
        <f>IF(AND('Mapa final'!$AA$57="Muy Baja",'Mapa final'!$AC$57="Menor"),CONCATENATE("R9C",'Mapa final'!$Q$57),"")</f>
        <v/>
      </c>
      <c r="Q54" s="61" t="str">
        <f>IF(AND('Mapa final'!$AA$58="Muy Baja",'Mapa final'!$AC$58="Menor"),CONCATENATE("R9C",'Mapa final'!$Q$58),"")</f>
        <v/>
      </c>
      <c r="R54" s="61" t="str">
        <f>IF(AND('Mapa final'!$AA$59="Muy Baja",'Mapa final'!$AC$59="Menor"),CONCATENATE("R9C",'Mapa final'!$Q$59),"")</f>
        <v/>
      </c>
      <c r="S54" s="61" t="str">
        <f>IF(AND('Mapa final'!$AA$60="Muy Baja",'Mapa final'!$AC$60="Menor"),CONCATENATE("R9C",'Mapa final'!$Q$60),"")</f>
        <v/>
      </c>
      <c r="T54" s="61" t="str">
        <f>IF(AND('Mapa final'!$AA$61="Muy Baja",'Mapa final'!$AC$61="Menor"),CONCATENATE("R9C",'Mapa final'!$Q$61),"")</f>
        <v/>
      </c>
      <c r="U54" s="62" t="str">
        <f>IF(AND('Mapa final'!$AA$62="Muy Baja",'Mapa final'!$AC$62="Menor"),CONCATENATE("R9C",'Mapa final'!$Q$62),"")</f>
        <v/>
      </c>
      <c r="V54" s="51" t="str">
        <f>IF(AND('Mapa final'!$AA$57="Muy Baja",'Mapa final'!$AC$57="Moderado"),CONCATENATE("R9C",'Mapa final'!$Q$57),"")</f>
        <v/>
      </c>
      <c r="W54" s="52" t="str">
        <f>IF(AND('Mapa final'!$AA$58="Muy Baja",'Mapa final'!$AC$58="Moderado"),CONCATENATE("R9C",'Mapa final'!$Q$58),"")</f>
        <v/>
      </c>
      <c r="X54" s="52" t="str">
        <f>IF(AND('Mapa final'!$AA$59="Muy Baja",'Mapa final'!$AC$59="Moderado"),CONCATENATE("R9C",'Mapa final'!$Q$59),"")</f>
        <v/>
      </c>
      <c r="Y54" s="52" t="str">
        <f>IF(AND('Mapa final'!$AA$60="Muy Baja",'Mapa final'!$AC$60="Moderado"),CONCATENATE("R9C",'Mapa final'!$Q$60),"")</f>
        <v/>
      </c>
      <c r="Z54" s="52" t="str">
        <f>IF(AND('Mapa final'!$AA$61="Muy Baja",'Mapa final'!$AC$61="Moderado"),CONCATENATE("R9C",'Mapa final'!$Q$61),"")</f>
        <v/>
      </c>
      <c r="AA54" s="53" t="str">
        <f>IF(AND('Mapa final'!$AA$62="Muy Baja",'Mapa final'!$AC$62="Moderado"),CONCATENATE("R9C",'Mapa final'!$Q$62),"")</f>
        <v/>
      </c>
      <c r="AB54" s="36" t="str">
        <f>IF(AND('Mapa final'!$AA$57="Muy Baja",'Mapa final'!$AC$57="Mayor"),CONCATENATE("R9C",'Mapa final'!$Q$57),"")</f>
        <v/>
      </c>
      <c r="AC54" s="37" t="str">
        <f>IF(AND('Mapa final'!$AA$58="Muy Baja",'Mapa final'!$AC$58="Mayor"),CONCATENATE("R9C",'Mapa final'!$Q$58),"")</f>
        <v/>
      </c>
      <c r="AD54" s="37" t="str">
        <f>IF(AND('Mapa final'!$AA$59="Muy Baja",'Mapa final'!$AC$59="Mayor"),CONCATENATE("R9C",'Mapa final'!$Q$59),"")</f>
        <v/>
      </c>
      <c r="AE54" s="37" t="str">
        <f>IF(AND('Mapa final'!$AA$60="Muy Baja",'Mapa final'!$AC$60="Mayor"),CONCATENATE("R9C",'Mapa final'!$Q$60),"")</f>
        <v/>
      </c>
      <c r="AF54" s="37" t="str">
        <f>IF(AND('Mapa final'!$AA$61="Muy Baja",'Mapa final'!$AC$61="Mayor"),CONCATENATE("R9C",'Mapa final'!$Q$61),"")</f>
        <v/>
      </c>
      <c r="AG54" s="38" t="str">
        <f>IF(AND('Mapa final'!$AA$62="Muy Baja",'Mapa final'!$AC$62="Mayor"),CONCATENATE("R9C",'Mapa final'!$Q$62),"")</f>
        <v/>
      </c>
      <c r="AH54" s="39" t="str">
        <f>IF(AND('Mapa final'!$AA$57="Muy Baja",'Mapa final'!$AC$57="Catastrófico"),CONCATENATE("R9C",'Mapa final'!$Q$57),"")</f>
        <v/>
      </c>
      <c r="AI54" s="40" t="str">
        <f>IF(AND('Mapa final'!$AA$58="Muy Baja",'Mapa final'!$AC$58="Catastrófico"),CONCATENATE("R9C",'Mapa final'!$Q$58),"")</f>
        <v/>
      </c>
      <c r="AJ54" s="40" t="str">
        <f>IF(AND('Mapa final'!$AA$59="Muy Baja",'Mapa final'!$AC$59="Catastrófico"),CONCATENATE("R9C",'Mapa final'!$Q$59),"")</f>
        <v/>
      </c>
      <c r="AK54" s="40" t="str">
        <f>IF(AND('Mapa final'!$AA$60="Muy Baja",'Mapa final'!$AC$60="Catastrófico"),CONCATENATE("R9C",'Mapa final'!$Q$60),"")</f>
        <v/>
      </c>
      <c r="AL54" s="40" t="str">
        <f>IF(AND('Mapa final'!$AA$61="Muy Baja",'Mapa final'!$AC$61="Catastrófico"),CONCATENATE("R9C",'Mapa final'!$Q$61),"")</f>
        <v/>
      </c>
      <c r="AM54" s="41" t="str">
        <f>IF(AND('Mapa final'!$AA$62="Muy Baja",'Mapa final'!$AC$62="Catastrófico"),CONCATENATE("R9C",'Mapa final'!$Q$62),"")</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305"/>
      <c r="C55" s="305"/>
      <c r="D55" s="306"/>
      <c r="E55" s="405"/>
      <c r="F55" s="406"/>
      <c r="G55" s="406"/>
      <c r="H55" s="406"/>
      <c r="I55" s="420"/>
      <c r="J55" s="63" t="str">
        <f>IF(AND('Mapa final'!$AA$63="Muy Baja",'Mapa final'!$AC$63="Leve"),CONCATENATE("R10C",'Mapa final'!$Q$63),"")</f>
        <v/>
      </c>
      <c r="K55" s="64" t="str">
        <f>IF(AND('Mapa final'!$AA$64="Muy Baja",'Mapa final'!$AC$64="Leve"),CONCATENATE("R10C",'Mapa final'!$Q$64),"")</f>
        <v/>
      </c>
      <c r="L55" s="64" t="str">
        <f>IF(AND('Mapa final'!$AA$65="Muy Baja",'Mapa final'!$AC$65="Leve"),CONCATENATE("R10C",'Mapa final'!$Q$65),"")</f>
        <v/>
      </c>
      <c r="M55" s="64" t="str">
        <f>IF(AND('Mapa final'!$AA$66="Muy Baja",'Mapa final'!$AC$66="Leve"),CONCATENATE("R10C",'Mapa final'!$Q$66),"")</f>
        <v/>
      </c>
      <c r="N55" s="64" t="str">
        <f>IF(AND('Mapa final'!$AA$67="Muy Baja",'Mapa final'!$AC$67="Leve"),CONCATENATE("R10C",'Mapa final'!$Q$67),"")</f>
        <v/>
      </c>
      <c r="O55" s="65" t="str">
        <f>IF(AND('Mapa final'!$AA$68="Muy Baja",'Mapa final'!$AC$68="Leve"),CONCATENATE("R10C",'Mapa final'!$Q$68),"")</f>
        <v/>
      </c>
      <c r="P55" s="63" t="str">
        <f>IF(AND('Mapa final'!$AA$63="Muy Baja",'Mapa final'!$AC$63="Menor"),CONCATENATE("R10C",'Mapa final'!$Q$63),"")</f>
        <v/>
      </c>
      <c r="Q55" s="64" t="str">
        <f>IF(AND('Mapa final'!$AA$64="Muy Baja",'Mapa final'!$AC$64="Menor"),CONCATENATE("R10C",'Mapa final'!$Q$64),"")</f>
        <v/>
      </c>
      <c r="R55" s="64" t="str">
        <f>IF(AND('Mapa final'!$AA$65="Muy Baja",'Mapa final'!$AC$65="Menor"),CONCATENATE("R10C",'Mapa final'!$Q$65),"")</f>
        <v/>
      </c>
      <c r="S55" s="64" t="str">
        <f>IF(AND('Mapa final'!$AA$66="Muy Baja",'Mapa final'!$AC$66="Menor"),CONCATENATE("R10C",'Mapa final'!$Q$66),"")</f>
        <v/>
      </c>
      <c r="T55" s="64" t="str">
        <f>IF(AND('Mapa final'!$AA$67="Muy Baja",'Mapa final'!$AC$67="Menor"),CONCATENATE("R10C",'Mapa final'!$Q$67),"")</f>
        <v/>
      </c>
      <c r="U55" s="65" t="str">
        <f>IF(AND('Mapa final'!$AA$68="Muy Baja",'Mapa final'!$AC$68="Menor"),CONCATENATE("R10C",'Mapa final'!$Q$68),"")</f>
        <v/>
      </c>
      <c r="V55" s="54" t="str">
        <f>IF(AND('Mapa final'!$AA$63="Muy Baja",'Mapa final'!$AC$63="Moderado"),CONCATENATE("R10C",'Mapa final'!$Q$63),"")</f>
        <v/>
      </c>
      <c r="W55" s="55" t="str">
        <f>IF(AND('Mapa final'!$AA$64="Muy Baja",'Mapa final'!$AC$64="Moderado"),CONCATENATE("R10C",'Mapa final'!$Q$64),"")</f>
        <v/>
      </c>
      <c r="X55" s="55" t="str">
        <f>IF(AND('Mapa final'!$AA$65="Muy Baja",'Mapa final'!$AC$65="Moderado"),CONCATENATE("R10C",'Mapa final'!$Q$65),"")</f>
        <v/>
      </c>
      <c r="Y55" s="55" t="str">
        <f>IF(AND('Mapa final'!$AA$66="Muy Baja",'Mapa final'!$AC$66="Moderado"),CONCATENATE("R10C",'Mapa final'!$Q$66),"")</f>
        <v/>
      </c>
      <c r="Z55" s="55" t="str">
        <f>IF(AND('Mapa final'!$AA$67="Muy Baja",'Mapa final'!$AC$67="Moderado"),CONCATENATE("R10C",'Mapa final'!$Q$67),"")</f>
        <v/>
      </c>
      <c r="AA55" s="56" t="str">
        <f>IF(AND('Mapa final'!$AA$68="Muy Baja",'Mapa final'!$AC$68="Moderado"),CONCATENATE("R10C",'Mapa final'!$Q$68),"")</f>
        <v/>
      </c>
      <c r="AB55" s="42" t="str">
        <f>IF(AND('Mapa final'!$AA$63="Muy Baja",'Mapa final'!$AC$63="Mayor"),CONCATENATE("R10C",'Mapa final'!$Q$63),"")</f>
        <v/>
      </c>
      <c r="AC55" s="43" t="str">
        <f>IF(AND('Mapa final'!$AA$64="Muy Baja",'Mapa final'!$AC$64="Mayor"),CONCATENATE("R10C",'Mapa final'!$Q$64),"")</f>
        <v/>
      </c>
      <c r="AD55" s="43" t="str">
        <f>IF(AND('Mapa final'!$AA$65="Muy Baja",'Mapa final'!$AC$65="Mayor"),CONCATENATE("R10C",'Mapa final'!$Q$65),"")</f>
        <v/>
      </c>
      <c r="AE55" s="43" t="str">
        <f>IF(AND('Mapa final'!$AA$66="Muy Baja",'Mapa final'!$AC$66="Mayor"),CONCATENATE("R10C",'Mapa final'!$Q$66),"")</f>
        <v/>
      </c>
      <c r="AF55" s="43" t="str">
        <f>IF(AND('Mapa final'!$AA$67="Muy Baja",'Mapa final'!$AC$67="Mayor"),CONCATENATE("R10C",'Mapa final'!$Q$67),"")</f>
        <v/>
      </c>
      <c r="AG55" s="44" t="str">
        <f>IF(AND('Mapa final'!$AA$68="Muy Baja",'Mapa final'!$AC$68="Mayor"),CONCATENATE("R10C",'Mapa final'!$Q$68),"")</f>
        <v/>
      </c>
      <c r="AH55" s="45" t="str">
        <f>IF(AND('Mapa final'!$AA$63="Muy Baja",'Mapa final'!$AC$63="Catastrófico"),CONCATENATE("R10C",'Mapa final'!$Q$63),"")</f>
        <v/>
      </c>
      <c r="AI55" s="46" t="str">
        <f>IF(AND('Mapa final'!$AA$64="Muy Baja",'Mapa final'!$AC$64="Catastrófico"),CONCATENATE("R10C",'Mapa final'!$Q$64),"")</f>
        <v/>
      </c>
      <c r="AJ55" s="46" t="str">
        <f>IF(AND('Mapa final'!$AA$65="Muy Baja",'Mapa final'!$AC$65="Catastrófico"),CONCATENATE("R10C",'Mapa final'!$Q$65),"")</f>
        <v/>
      </c>
      <c r="AK55" s="46" t="str">
        <f>IF(AND('Mapa final'!$AA$66="Muy Baja",'Mapa final'!$AC$66="Catastrófico"),CONCATENATE("R10C",'Mapa final'!$Q$66),"")</f>
        <v/>
      </c>
      <c r="AL55" s="46" t="str">
        <f>IF(AND('Mapa final'!$AA$67="Muy Baja",'Mapa final'!$AC$67="Catastrófico"),CONCATENATE("R10C",'Mapa final'!$Q$67),"")</f>
        <v/>
      </c>
      <c r="AM55" s="47" t="str">
        <f>IF(AND('Mapa final'!$AA$68="Muy Baja",'Mapa final'!$AC$68="Catastrófico"),CONCATENATE("R10C",'Mapa final'!$Q$68),"")</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400" t="s">
        <v>106</v>
      </c>
      <c r="K56" s="401"/>
      <c r="L56" s="401"/>
      <c r="M56" s="401"/>
      <c r="N56" s="401"/>
      <c r="O56" s="418"/>
      <c r="P56" s="400" t="s">
        <v>105</v>
      </c>
      <c r="Q56" s="401"/>
      <c r="R56" s="401"/>
      <c r="S56" s="401"/>
      <c r="T56" s="401"/>
      <c r="U56" s="418"/>
      <c r="V56" s="400" t="s">
        <v>104</v>
      </c>
      <c r="W56" s="401"/>
      <c r="X56" s="401"/>
      <c r="Y56" s="401"/>
      <c r="Z56" s="401"/>
      <c r="AA56" s="418"/>
      <c r="AB56" s="400" t="s">
        <v>103</v>
      </c>
      <c r="AC56" s="439"/>
      <c r="AD56" s="401"/>
      <c r="AE56" s="401"/>
      <c r="AF56" s="401"/>
      <c r="AG56" s="418"/>
      <c r="AH56" s="400" t="s">
        <v>102</v>
      </c>
      <c r="AI56" s="401"/>
      <c r="AJ56" s="401"/>
      <c r="AK56" s="401"/>
      <c r="AL56" s="401"/>
      <c r="AM56" s="418"/>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404"/>
      <c r="K57" s="403"/>
      <c r="L57" s="403"/>
      <c r="M57" s="403"/>
      <c r="N57" s="403"/>
      <c r="O57" s="419"/>
      <c r="P57" s="404"/>
      <c r="Q57" s="403"/>
      <c r="R57" s="403"/>
      <c r="S57" s="403"/>
      <c r="T57" s="403"/>
      <c r="U57" s="419"/>
      <c r="V57" s="404"/>
      <c r="W57" s="403"/>
      <c r="X57" s="403"/>
      <c r="Y57" s="403"/>
      <c r="Z57" s="403"/>
      <c r="AA57" s="419"/>
      <c r="AB57" s="404"/>
      <c r="AC57" s="403"/>
      <c r="AD57" s="403"/>
      <c r="AE57" s="403"/>
      <c r="AF57" s="403"/>
      <c r="AG57" s="419"/>
      <c r="AH57" s="404"/>
      <c r="AI57" s="403"/>
      <c r="AJ57" s="403"/>
      <c r="AK57" s="403"/>
      <c r="AL57" s="403"/>
      <c r="AM57" s="419"/>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404"/>
      <c r="K58" s="403"/>
      <c r="L58" s="403"/>
      <c r="M58" s="403"/>
      <c r="N58" s="403"/>
      <c r="O58" s="419"/>
      <c r="P58" s="404"/>
      <c r="Q58" s="403"/>
      <c r="R58" s="403"/>
      <c r="S58" s="403"/>
      <c r="T58" s="403"/>
      <c r="U58" s="419"/>
      <c r="V58" s="404"/>
      <c r="W58" s="403"/>
      <c r="X58" s="403"/>
      <c r="Y58" s="403"/>
      <c r="Z58" s="403"/>
      <c r="AA58" s="419"/>
      <c r="AB58" s="404"/>
      <c r="AC58" s="403"/>
      <c r="AD58" s="403"/>
      <c r="AE58" s="403"/>
      <c r="AF58" s="403"/>
      <c r="AG58" s="419"/>
      <c r="AH58" s="404"/>
      <c r="AI58" s="403"/>
      <c r="AJ58" s="403"/>
      <c r="AK58" s="403"/>
      <c r="AL58" s="403"/>
      <c r="AM58" s="419"/>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404"/>
      <c r="K59" s="403"/>
      <c r="L59" s="403"/>
      <c r="M59" s="403"/>
      <c r="N59" s="403"/>
      <c r="O59" s="419"/>
      <c r="P59" s="404"/>
      <c r="Q59" s="403"/>
      <c r="R59" s="403"/>
      <c r="S59" s="403"/>
      <c r="T59" s="403"/>
      <c r="U59" s="419"/>
      <c r="V59" s="404"/>
      <c r="W59" s="403"/>
      <c r="X59" s="403"/>
      <c r="Y59" s="403"/>
      <c r="Z59" s="403"/>
      <c r="AA59" s="419"/>
      <c r="AB59" s="404"/>
      <c r="AC59" s="403"/>
      <c r="AD59" s="403"/>
      <c r="AE59" s="403"/>
      <c r="AF59" s="403"/>
      <c r="AG59" s="419"/>
      <c r="AH59" s="404"/>
      <c r="AI59" s="403"/>
      <c r="AJ59" s="403"/>
      <c r="AK59" s="403"/>
      <c r="AL59" s="403"/>
      <c r="AM59" s="419"/>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404"/>
      <c r="K60" s="403"/>
      <c r="L60" s="403"/>
      <c r="M60" s="403"/>
      <c r="N60" s="403"/>
      <c r="O60" s="419"/>
      <c r="P60" s="404"/>
      <c r="Q60" s="403"/>
      <c r="R60" s="403"/>
      <c r="S60" s="403"/>
      <c r="T60" s="403"/>
      <c r="U60" s="419"/>
      <c r="V60" s="404"/>
      <c r="W60" s="403"/>
      <c r="X60" s="403"/>
      <c r="Y60" s="403"/>
      <c r="Z60" s="403"/>
      <c r="AA60" s="419"/>
      <c r="AB60" s="404"/>
      <c r="AC60" s="403"/>
      <c r="AD60" s="403"/>
      <c r="AE60" s="403"/>
      <c r="AF60" s="403"/>
      <c r="AG60" s="419"/>
      <c r="AH60" s="404"/>
      <c r="AI60" s="403"/>
      <c r="AJ60" s="403"/>
      <c r="AK60" s="403"/>
      <c r="AL60" s="403"/>
      <c r="AM60" s="419"/>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405"/>
      <c r="K61" s="406"/>
      <c r="L61" s="406"/>
      <c r="M61" s="406"/>
      <c r="N61" s="406"/>
      <c r="O61" s="420"/>
      <c r="P61" s="405"/>
      <c r="Q61" s="406"/>
      <c r="R61" s="406"/>
      <c r="S61" s="406"/>
      <c r="T61" s="406"/>
      <c r="U61" s="420"/>
      <c r="V61" s="405"/>
      <c r="W61" s="406"/>
      <c r="X61" s="406"/>
      <c r="Y61" s="406"/>
      <c r="Z61" s="406"/>
      <c r="AA61" s="420"/>
      <c r="AB61" s="405"/>
      <c r="AC61" s="406"/>
      <c r="AD61" s="406"/>
      <c r="AE61" s="406"/>
      <c r="AF61" s="406"/>
      <c r="AG61" s="420"/>
      <c r="AH61" s="405"/>
      <c r="AI61" s="406"/>
      <c r="AJ61" s="406"/>
      <c r="AK61" s="406"/>
      <c r="AL61" s="406"/>
      <c r="AM61" s="420"/>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77" zoomScaleNormal="77"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440" t="s">
        <v>54</v>
      </c>
      <c r="C1" s="440"/>
      <c r="D1" s="440"/>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441" t="s">
        <v>61</v>
      </c>
      <c r="C1" s="441"/>
      <c r="D1" s="441"/>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33" t="s">
        <v>55</v>
      </c>
      <c r="D3" s="133" t="s">
        <v>56</v>
      </c>
      <c r="E3" s="89"/>
      <c r="F3" s="89"/>
      <c r="G3" s="89"/>
      <c r="H3" s="89"/>
      <c r="I3" s="89"/>
      <c r="J3" s="89"/>
      <c r="K3" s="89"/>
      <c r="L3" s="89"/>
      <c r="M3" s="89"/>
      <c r="N3" s="89"/>
      <c r="O3" s="89"/>
      <c r="P3" s="89"/>
      <c r="Q3" s="89"/>
      <c r="R3" s="89"/>
      <c r="S3" s="89"/>
      <c r="T3" s="89"/>
      <c r="U3" s="89"/>
    </row>
    <row r="4" spans="1:21" ht="32.4" x14ac:dyDescent="0.3">
      <c r="A4" s="89" t="s">
        <v>81</v>
      </c>
      <c r="B4" s="134" t="s">
        <v>95</v>
      </c>
      <c r="C4" s="135" t="s">
        <v>204</v>
      </c>
      <c r="D4" s="136" t="s">
        <v>91</v>
      </c>
      <c r="E4" s="89"/>
      <c r="F4" s="89"/>
      <c r="G4" s="89"/>
      <c r="H4" s="89"/>
      <c r="I4" s="89"/>
      <c r="J4" s="89"/>
      <c r="K4" s="89"/>
      <c r="L4" s="89"/>
      <c r="M4" s="89"/>
      <c r="N4" s="89"/>
      <c r="O4" s="89"/>
      <c r="P4" s="89"/>
      <c r="Q4" s="89"/>
      <c r="R4" s="89"/>
      <c r="S4" s="89"/>
      <c r="T4" s="89"/>
      <c r="U4" s="89"/>
    </row>
    <row r="5" spans="1:21" ht="64.8" x14ac:dyDescent="0.3">
      <c r="A5" s="89" t="s">
        <v>82</v>
      </c>
      <c r="B5" s="137" t="s">
        <v>57</v>
      </c>
      <c r="C5" s="138" t="s">
        <v>205</v>
      </c>
      <c r="D5" s="139" t="s">
        <v>92</v>
      </c>
      <c r="E5" s="89"/>
      <c r="F5" s="89"/>
      <c r="G5" s="89"/>
      <c r="H5" s="89"/>
      <c r="I5" s="89"/>
      <c r="J5" s="89"/>
      <c r="K5" s="89"/>
      <c r="L5" s="89"/>
      <c r="M5" s="89"/>
      <c r="N5" s="89"/>
      <c r="O5" s="89"/>
      <c r="P5" s="89"/>
      <c r="Q5" s="89"/>
      <c r="R5" s="89"/>
      <c r="S5" s="89"/>
      <c r="T5" s="89"/>
      <c r="U5" s="89"/>
    </row>
    <row r="6" spans="1:21" ht="64.8" x14ac:dyDescent="0.3">
      <c r="A6" s="89" t="s">
        <v>79</v>
      </c>
      <c r="B6" s="140" t="s">
        <v>58</v>
      </c>
      <c r="C6" s="138" t="s">
        <v>209</v>
      </c>
      <c r="D6" s="139" t="s">
        <v>94</v>
      </c>
      <c r="E6" s="89"/>
      <c r="F6" s="89"/>
      <c r="G6" s="89"/>
      <c r="H6" s="89"/>
      <c r="I6" s="89"/>
      <c r="J6" s="89"/>
      <c r="K6" s="89"/>
      <c r="L6" s="89"/>
      <c r="M6" s="89"/>
      <c r="N6" s="89"/>
      <c r="O6" s="89"/>
      <c r="P6" s="89"/>
      <c r="Q6" s="89"/>
      <c r="R6" s="89"/>
      <c r="S6" s="89"/>
      <c r="T6" s="89"/>
      <c r="U6" s="89"/>
    </row>
    <row r="7" spans="1:21" ht="97.2" x14ac:dyDescent="0.3">
      <c r="A7" s="89" t="s">
        <v>7</v>
      </c>
      <c r="B7" s="141" t="s">
        <v>59</v>
      </c>
      <c r="C7" s="138" t="s">
        <v>210</v>
      </c>
      <c r="D7" s="139" t="s">
        <v>93</v>
      </c>
      <c r="E7" s="89"/>
      <c r="F7" s="89"/>
      <c r="G7" s="89"/>
      <c r="H7" s="89"/>
      <c r="I7" s="89"/>
      <c r="J7" s="89"/>
      <c r="K7" s="89"/>
      <c r="L7" s="89"/>
      <c r="M7" s="89"/>
      <c r="N7" s="89"/>
      <c r="O7" s="89"/>
      <c r="P7" s="89"/>
      <c r="Q7" s="89"/>
      <c r="R7" s="89"/>
      <c r="S7" s="89"/>
      <c r="T7" s="89"/>
      <c r="U7" s="89"/>
    </row>
    <row r="8" spans="1:21" ht="64.8" x14ac:dyDescent="0.3">
      <c r="A8" s="89" t="s">
        <v>83</v>
      </c>
      <c r="B8" s="142" t="s">
        <v>60</v>
      </c>
      <c r="C8" s="138" t="s">
        <v>206</v>
      </c>
      <c r="D8" s="139"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7"/>
      <c r="D9" s="147"/>
      <c r="E9" s="87"/>
      <c r="F9" s="87"/>
      <c r="G9" s="87"/>
      <c r="H9" s="87"/>
      <c r="I9" s="87"/>
      <c r="J9" s="87"/>
      <c r="K9" s="87"/>
      <c r="L9" s="87"/>
      <c r="M9" s="87"/>
      <c r="N9" s="87"/>
      <c r="O9" s="87"/>
      <c r="P9" s="87"/>
      <c r="Q9" s="87"/>
      <c r="R9" s="87"/>
      <c r="S9" s="87"/>
      <c r="T9" s="87"/>
      <c r="U9" s="87"/>
    </row>
    <row r="10" spans="1:21" s="23" customFormat="1" x14ac:dyDescent="0.3">
      <c r="A10" s="87"/>
      <c r="B10" s="148"/>
      <c r="C10" s="148"/>
      <c r="D10" s="148"/>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7"/>
      <c r="D22" s="147"/>
      <c r="E22" s="87"/>
      <c r="F22" s="87"/>
      <c r="G22" s="87"/>
      <c r="H22" s="87"/>
      <c r="I22" s="87"/>
      <c r="J22" s="87"/>
      <c r="K22" s="87"/>
      <c r="L22" s="87"/>
      <c r="M22" s="87"/>
      <c r="N22" s="87"/>
      <c r="O22" s="87"/>
    </row>
    <row r="23" spans="1:15" s="23" customFormat="1" ht="20.399999999999999" x14ac:dyDescent="0.3">
      <c r="A23" s="87"/>
      <c r="B23" s="87"/>
      <c r="C23" s="147"/>
      <c r="D23" s="147"/>
      <c r="E23" s="87"/>
      <c r="F23" s="87"/>
      <c r="G23" s="87"/>
      <c r="H23" s="87"/>
      <c r="I23" s="87"/>
      <c r="J23" s="87"/>
      <c r="K23" s="87"/>
      <c r="L23" s="87"/>
      <c r="M23" s="87"/>
      <c r="N23" s="87"/>
      <c r="O23" s="87"/>
    </row>
    <row r="24" spans="1:15" s="23" customFormat="1" ht="20.399999999999999" x14ac:dyDescent="0.3">
      <c r="A24" s="87"/>
      <c r="B24" s="87"/>
      <c r="C24" s="147"/>
      <c r="D24" s="147"/>
      <c r="E24" s="87"/>
      <c r="F24" s="87"/>
      <c r="G24" s="87"/>
      <c r="H24" s="87"/>
      <c r="I24" s="87"/>
      <c r="J24" s="87"/>
      <c r="K24" s="87"/>
      <c r="L24" s="87"/>
      <c r="M24" s="87"/>
      <c r="N24" s="87"/>
      <c r="O24" s="87"/>
    </row>
    <row r="25" spans="1:15" s="23" customFormat="1" ht="20.399999999999999" x14ac:dyDescent="0.3">
      <c r="A25" s="87"/>
      <c r="B25" s="87"/>
      <c r="C25" s="147"/>
      <c r="D25" s="147"/>
      <c r="E25" s="87"/>
      <c r="F25" s="87"/>
      <c r="G25" s="87"/>
      <c r="H25" s="87"/>
      <c r="I25" s="87"/>
      <c r="J25" s="87"/>
      <c r="K25" s="87"/>
      <c r="L25" s="87"/>
      <c r="M25" s="87"/>
      <c r="N25" s="87"/>
      <c r="O25" s="87"/>
    </row>
    <row r="26" spans="1:15" s="23" customFormat="1" ht="20.399999999999999" x14ac:dyDescent="0.3">
      <c r="A26" s="87"/>
      <c r="B26" s="87"/>
      <c r="C26" s="147"/>
      <c r="D26" s="147"/>
      <c r="E26" s="87"/>
      <c r="F26" s="87"/>
      <c r="G26" s="87"/>
      <c r="H26" s="87"/>
      <c r="I26" s="87"/>
      <c r="J26" s="87"/>
      <c r="K26" s="87"/>
      <c r="L26" s="87"/>
      <c r="M26" s="87"/>
      <c r="N26" s="87"/>
      <c r="O26" s="87"/>
    </row>
    <row r="27" spans="1:15" s="23" customFormat="1" ht="20.399999999999999" x14ac:dyDescent="0.3">
      <c r="A27" s="87"/>
      <c r="B27" s="87"/>
      <c r="C27" s="147"/>
      <c r="D27" s="147"/>
      <c r="E27" s="87"/>
      <c r="F27" s="87"/>
      <c r="G27" s="87"/>
      <c r="H27" s="87"/>
      <c r="I27" s="87"/>
      <c r="J27" s="87"/>
      <c r="K27" s="87"/>
      <c r="L27" s="87"/>
      <c r="M27" s="87"/>
      <c r="N27" s="87"/>
      <c r="O27" s="87"/>
    </row>
    <row r="28" spans="1:15" s="23" customFormat="1" ht="20.399999999999999" x14ac:dyDescent="0.3">
      <c r="A28" s="87"/>
      <c r="B28" s="87"/>
      <c r="C28" s="147"/>
      <c r="D28" s="147"/>
      <c r="E28" s="87"/>
      <c r="F28" s="87"/>
      <c r="G28" s="87"/>
      <c r="H28" s="87"/>
      <c r="I28" s="87"/>
      <c r="J28" s="87"/>
      <c r="K28" s="87"/>
      <c r="L28" s="87"/>
      <c r="M28" s="87"/>
      <c r="N28" s="87"/>
      <c r="O28" s="87"/>
    </row>
    <row r="29" spans="1:15" s="23" customFormat="1" ht="20.399999999999999" x14ac:dyDescent="0.3">
      <c r="A29" s="87"/>
      <c r="B29" s="87"/>
      <c r="C29" s="147"/>
      <c r="D29" s="147"/>
      <c r="E29" s="87"/>
      <c r="F29" s="87"/>
      <c r="G29" s="87"/>
      <c r="H29" s="87"/>
      <c r="I29" s="87"/>
      <c r="J29" s="87"/>
      <c r="K29" s="87"/>
      <c r="L29" s="87"/>
      <c r="M29" s="87"/>
      <c r="N29" s="87"/>
      <c r="O29" s="87"/>
    </row>
    <row r="30" spans="1:15" s="23" customFormat="1" ht="20.399999999999999" x14ac:dyDescent="0.3">
      <c r="A30" s="87"/>
      <c r="B30" s="87"/>
      <c r="C30" s="147"/>
      <c r="D30" s="147"/>
      <c r="E30" s="87"/>
      <c r="F30" s="87"/>
      <c r="G30" s="87"/>
      <c r="H30" s="87"/>
      <c r="I30" s="87"/>
      <c r="J30" s="87"/>
      <c r="K30" s="87"/>
      <c r="L30" s="87"/>
      <c r="M30" s="87"/>
      <c r="N30" s="87"/>
      <c r="O30" s="87"/>
    </row>
    <row r="31" spans="1:15" s="23" customFormat="1" ht="20.399999999999999" x14ac:dyDescent="0.3">
      <c r="A31" s="87"/>
      <c r="B31" s="87"/>
      <c r="C31" s="147"/>
      <c r="D31" s="147"/>
      <c r="E31" s="87"/>
      <c r="F31" s="87"/>
      <c r="G31" s="87"/>
      <c r="H31" s="87"/>
      <c r="I31" s="87"/>
      <c r="J31" s="87"/>
      <c r="K31" s="87"/>
      <c r="L31" s="87"/>
      <c r="M31" s="87"/>
      <c r="N31" s="87"/>
      <c r="O31" s="87"/>
    </row>
    <row r="32" spans="1:15" s="23" customFormat="1" ht="20.399999999999999" x14ac:dyDescent="0.3">
      <c r="A32" s="87"/>
      <c r="B32" s="87"/>
      <c r="C32" s="147"/>
      <c r="D32" s="147"/>
      <c r="E32" s="87"/>
      <c r="F32" s="87"/>
      <c r="G32" s="87"/>
      <c r="H32" s="87"/>
      <c r="I32" s="87"/>
      <c r="J32" s="87"/>
      <c r="K32" s="87"/>
      <c r="L32" s="87"/>
      <c r="M32" s="87"/>
      <c r="N32" s="87"/>
      <c r="O32" s="87"/>
    </row>
    <row r="33" spans="1:15" s="23" customFormat="1" ht="20.399999999999999" x14ac:dyDescent="0.3">
      <c r="A33" s="87"/>
      <c r="B33" s="87"/>
      <c r="C33" s="147"/>
      <c r="D33" s="147"/>
      <c r="E33" s="87"/>
      <c r="F33" s="87"/>
      <c r="G33" s="87"/>
      <c r="H33" s="87"/>
      <c r="I33" s="87"/>
      <c r="J33" s="87"/>
      <c r="K33" s="87"/>
      <c r="L33" s="87"/>
      <c r="M33" s="87"/>
      <c r="N33" s="87"/>
      <c r="O33" s="87"/>
    </row>
    <row r="34" spans="1:15" s="23" customFormat="1" ht="20.399999999999999" x14ac:dyDescent="0.3">
      <c r="A34" s="87"/>
      <c r="B34" s="87"/>
      <c r="C34" s="147"/>
      <c r="D34" s="147"/>
      <c r="E34" s="87"/>
      <c r="F34" s="87"/>
      <c r="G34" s="87"/>
      <c r="H34" s="87"/>
      <c r="I34" s="87"/>
      <c r="J34" s="87"/>
      <c r="K34" s="87"/>
      <c r="L34" s="87"/>
      <c r="M34" s="87"/>
      <c r="N34" s="87"/>
      <c r="O34" s="87"/>
    </row>
    <row r="35" spans="1:15" s="23" customFormat="1" ht="20.399999999999999" x14ac:dyDescent="0.3">
      <c r="A35" s="87"/>
      <c r="B35" s="87"/>
      <c r="C35" s="147"/>
      <c r="D35" s="147"/>
      <c r="E35" s="87"/>
      <c r="F35" s="87"/>
      <c r="G35" s="87"/>
      <c r="H35" s="87"/>
      <c r="I35" s="87"/>
      <c r="J35" s="87"/>
      <c r="K35" s="87"/>
      <c r="L35" s="87"/>
      <c r="M35" s="87"/>
      <c r="N35" s="87"/>
      <c r="O35" s="87"/>
    </row>
    <row r="36" spans="1:15" s="23" customFormat="1" ht="20.399999999999999" x14ac:dyDescent="0.3">
      <c r="A36" s="87"/>
      <c r="B36" s="87"/>
      <c r="C36" s="147"/>
      <c r="D36" s="147"/>
      <c r="E36" s="87"/>
      <c r="F36" s="87"/>
      <c r="G36" s="87"/>
      <c r="H36" s="87"/>
      <c r="I36" s="87"/>
      <c r="J36" s="87"/>
      <c r="K36" s="87"/>
      <c r="L36" s="87"/>
      <c r="M36" s="87"/>
      <c r="N36" s="87"/>
      <c r="O36" s="87"/>
    </row>
    <row r="37" spans="1:15" s="23" customFormat="1" ht="20.399999999999999" x14ac:dyDescent="0.3">
      <c r="A37" s="87"/>
      <c r="B37" s="87"/>
      <c r="C37" s="147"/>
      <c r="D37" s="147"/>
      <c r="E37" s="87"/>
      <c r="F37" s="87"/>
      <c r="G37" s="87"/>
      <c r="H37" s="87"/>
      <c r="I37" s="87"/>
      <c r="J37" s="87"/>
      <c r="K37" s="87"/>
      <c r="L37" s="87"/>
      <c r="M37" s="87"/>
      <c r="N37" s="87"/>
      <c r="O37" s="87"/>
    </row>
    <row r="38" spans="1:15" s="23" customFormat="1" ht="20.399999999999999" x14ac:dyDescent="0.3">
      <c r="A38" s="87"/>
      <c r="B38" s="87"/>
      <c r="C38" s="147"/>
      <c r="D38" s="147"/>
      <c r="E38" s="87"/>
      <c r="F38" s="87"/>
      <c r="G38" s="87"/>
      <c r="H38" s="87"/>
      <c r="I38" s="87"/>
      <c r="J38" s="87"/>
      <c r="K38" s="87"/>
      <c r="L38" s="87"/>
      <c r="M38" s="87"/>
      <c r="N38" s="87"/>
      <c r="O38" s="87"/>
    </row>
    <row r="39" spans="1:15" s="23" customFormat="1" ht="20.399999999999999" x14ac:dyDescent="0.3">
      <c r="A39" s="87"/>
      <c r="B39" s="87"/>
      <c r="C39" s="147"/>
      <c r="D39" s="147"/>
      <c r="E39" s="87"/>
      <c r="F39" s="87"/>
      <c r="G39" s="87"/>
      <c r="H39" s="87"/>
      <c r="I39" s="87"/>
      <c r="J39" s="87"/>
      <c r="K39" s="87"/>
      <c r="L39" s="87"/>
      <c r="M39" s="87"/>
      <c r="N39" s="87"/>
      <c r="O39" s="87"/>
    </row>
    <row r="40" spans="1:15" s="23" customFormat="1" ht="20.399999999999999" x14ac:dyDescent="0.3">
      <c r="A40" s="87"/>
      <c r="B40" s="87"/>
      <c r="C40" s="147"/>
      <c r="D40" s="147"/>
      <c r="E40" s="87"/>
      <c r="F40" s="87"/>
      <c r="G40" s="87"/>
      <c r="H40" s="87"/>
      <c r="I40" s="87"/>
      <c r="J40" s="87"/>
      <c r="K40" s="87"/>
      <c r="L40" s="87"/>
      <c r="M40" s="87"/>
      <c r="N40" s="87"/>
      <c r="O40" s="87"/>
    </row>
    <row r="41" spans="1:15" s="23" customFormat="1" ht="20.399999999999999" x14ac:dyDescent="0.3">
      <c r="A41" s="87"/>
      <c r="B41" s="87"/>
      <c r="C41" s="147"/>
      <c r="D41" s="147"/>
      <c r="E41" s="87"/>
      <c r="F41" s="87"/>
      <c r="G41" s="87"/>
      <c r="H41" s="87"/>
      <c r="I41" s="87"/>
      <c r="J41" s="87"/>
      <c r="K41" s="87"/>
      <c r="L41" s="87"/>
      <c r="M41" s="87"/>
      <c r="N41" s="87"/>
      <c r="O41" s="87"/>
    </row>
    <row r="42" spans="1:15" s="23" customFormat="1" ht="20.399999999999999" x14ac:dyDescent="0.3">
      <c r="A42" s="87"/>
      <c r="B42" s="87"/>
      <c r="C42" s="147"/>
      <c r="D42" s="147"/>
      <c r="E42" s="87"/>
      <c r="F42" s="87"/>
      <c r="G42" s="87"/>
      <c r="H42" s="87"/>
      <c r="I42" s="87"/>
      <c r="J42" s="87"/>
      <c r="K42" s="87"/>
      <c r="L42" s="87"/>
      <c r="M42" s="87"/>
      <c r="N42" s="87"/>
      <c r="O42" s="87"/>
    </row>
    <row r="43" spans="1:15" s="23" customFormat="1" ht="20.399999999999999" x14ac:dyDescent="0.3">
      <c r="A43" s="87"/>
      <c r="B43" s="87"/>
      <c r="C43" s="147"/>
      <c r="D43" s="147"/>
      <c r="E43" s="87"/>
      <c r="F43" s="87"/>
      <c r="G43" s="87"/>
      <c r="H43" s="87"/>
      <c r="I43" s="87"/>
      <c r="J43" s="87"/>
      <c r="K43" s="87"/>
      <c r="L43" s="87"/>
      <c r="M43" s="87"/>
      <c r="N43" s="87"/>
      <c r="O43" s="87"/>
    </row>
    <row r="44" spans="1:15" s="23" customFormat="1" ht="20.399999999999999" x14ac:dyDescent="0.3">
      <c r="A44" s="87"/>
      <c r="B44" s="87"/>
      <c r="C44" s="147"/>
      <c r="D44" s="147"/>
      <c r="E44" s="87"/>
      <c r="F44" s="87"/>
      <c r="G44" s="87"/>
      <c r="H44" s="87"/>
      <c r="I44" s="87"/>
      <c r="J44" s="87"/>
      <c r="K44" s="87"/>
      <c r="L44" s="87"/>
      <c r="M44" s="87"/>
      <c r="N44" s="87"/>
      <c r="O44" s="87"/>
    </row>
    <row r="45" spans="1:15" s="23" customFormat="1" ht="20.399999999999999" x14ac:dyDescent="0.3">
      <c r="A45" s="87"/>
      <c r="B45" s="87"/>
      <c r="C45" s="147"/>
      <c r="D45" s="147"/>
      <c r="E45" s="87"/>
      <c r="F45" s="87"/>
      <c r="G45" s="87"/>
      <c r="H45" s="87"/>
      <c r="I45" s="87"/>
      <c r="J45" s="87"/>
      <c r="K45" s="87"/>
      <c r="L45" s="87"/>
      <c r="M45" s="87"/>
      <c r="N45" s="87"/>
      <c r="O45" s="87"/>
    </row>
    <row r="46" spans="1:15" s="23" customFormat="1" ht="20.399999999999999" x14ac:dyDescent="0.3">
      <c r="A46" s="87"/>
      <c r="B46" s="87"/>
      <c r="C46" s="147"/>
      <c r="D46" s="147"/>
      <c r="E46" s="87"/>
      <c r="F46" s="87"/>
      <c r="G46" s="87"/>
      <c r="H46" s="87"/>
      <c r="I46" s="87"/>
      <c r="J46" s="87"/>
      <c r="K46" s="87"/>
      <c r="L46" s="87"/>
      <c r="M46" s="87"/>
      <c r="N46" s="87"/>
      <c r="O46" s="87"/>
    </row>
    <row r="47" spans="1:15" s="23" customFormat="1" ht="20.399999999999999" x14ac:dyDescent="0.3">
      <c r="A47" s="87"/>
      <c r="B47" s="87"/>
      <c r="C47" s="147"/>
      <c r="D47" s="147"/>
      <c r="E47" s="87"/>
      <c r="F47" s="87"/>
      <c r="G47" s="87"/>
      <c r="H47" s="87"/>
      <c r="I47" s="87"/>
      <c r="J47" s="87"/>
      <c r="K47" s="87"/>
      <c r="L47" s="87"/>
      <c r="M47" s="87"/>
      <c r="N47" s="87"/>
      <c r="O47" s="87"/>
    </row>
    <row r="48" spans="1:15" s="23" customFormat="1" ht="20.399999999999999" x14ac:dyDescent="0.3">
      <c r="A48" s="87"/>
      <c r="B48" s="87"/>
      <c r="C48" s="147"/>
      <c r="D48" s="147"/>
      <c r="E48" s="87"/>
      <c r="F48" s="87"/>
      <c r="G48" s="87"/>
      <c r="H48" s="87"/>
      <c r="I48" s="87"/>
      <c r="J48" s="87"/>
      <c r="K48" s="87"/>
      <c r="L48" s="87"/>
      <c r="M48" s="87"/>
      <c r="N48" s="87"/>
      <c r="O48" s="87"/>
    </row>
    <row r="49" spans="1:15" s="23" customFormat="1" ht="20.399999999999999" x14ac:dyDescent="0.3">
      <c r="A49" s="87"/>
      <c r="B49" s="87"/>
      <c r="C49" s="147"/>
      <c r="D49" s="147"/>
      <c r="E49" s="87"/>
      <c r="F49" s="87"/>
      <c r="G49" s="87"/>
      <c r="H49" s="87"/>
      <c r="I49" s="87"/>
      <c r="J49" s="87"/>
      <c r="K49" s="87"/>
      <c r="L49" s="87"/>
      <c r="M49" s="87"/>
      <c r="N49" s="87"/>
      <c r="O49" s="87"/>
    </row>
    <row r="50" spans="1:15" s="23" customFormat="1" ht="20.399999999999999" x14ac:dyDescent="0.3">
      <c r="A50" s="87"/>
      <c r="B50" s="87"/>
      <c r="C50" s="147"/>
      <c r="D50" s="147"/>
      <c r="E50" s="87"/>
      <c r="F50" s="87"/>
      <c r="G50" s="87"/>
      <c r="H50" s="87"/>
      <c r="I50" s="87"/>
      <c r="J50" s="87"/>
      <c r="K50" s="87"/>
      <c r="L50" s="87"/>
      <c r="M50" s="87"/>
      <c r="N50" s="87"/>
      <c r="O50" s="87"/>
    </row>
    <row r="51" spans="1:15" s="23" customFormat="1" ht="20.399999999999999" x14ac:dyDescent="0.3">
      <c r="A51" s="87"/>
      <c r="B51" s="87"/>
      <c r="C51" s="147"/>
      <c r="D51" s="147"/>
      <c r="E51" s="87"/>
      <c r="F51" s="87"/>
      <c r="G51" s="87"/>
      <c r="H51" s="87"/>
      <c r="I51" s="87"/>
      <c r="J51" s="87"/>
      <c r="K51" s="87"/>
      <c r="L51" s="87"/>
      <c r="M51" s="87"/>
      <c r="N51" s="87"/>
      <c r="O51" s="87"/>
    </row>
    <row r="52" spans="1:15" s="23" customFormat="1" ht="20.399999999999999" x14ac:dyDescent="0.3">
      <c r="A52" s="87"/>
      <c r="C52" s="149"/>
      <c r="D52" s="149"/>
    </row>
    <row r="53" spans="1:15" s="23" customFormat="1" ht="20.399999999999999" x14ac:dyDescent="0.3">
      <c r="A53" s="87"/>
      <c r="C53" s="149"/>
      <c r="D53" s="149"/>
    </row>
    <row r="54" spans="1:15" s="23" customFormat="1" ht="20.399999999999999" x14ac:dyDescent="0.3">
      <c r="A54" s="87"/>
      <c r="C54" s="149"/>
      <c r="D54" s="149"/>
    </row>
    <row r="55" spans="1:15" s="23" customFormat="1" ht="20.399999999999999" x14ac:dyDescent="0.3">
      <c r="A55" s="87"/>
      <c r="C55" s="149"/>
      <c r="D55" s="149"/>
    </row>
    <row r="56" spans="1:15" s="23" customFormat="1" ht="20.399999999999999" x14ac:dyDescent="0.3">
      <c r="A56" s="87"/>
      <c r="C56" s="149"/>
      <c r="D56" s="149"/>
    </row>
    <row r="57" spans="1:15" s="23" customFormat="1" ht="20.399999999999999" x14ac:dyDescent="0.3">
      <c r="A57" s="87"/>
      <c r="C57" s="149"/>
      <c r="D57" s="149"/>
    </row>
    <row r="58" spans="1:15" s="23" customFormat="1" ht="20.399999999999999" x14ac:dyDescent="0.3">
      <c r="A58" s="87"/>
      <c r="C58" s="149"/>
      <c r="D58" s="149"/>
    </row>
    <row r="59" spans="1:15" s="23" customFormat="1" ht="20.399999999999999" x14ac:dyDescent="0.3">
      <c r="A59" s="87"/>
      <c r="C59" s="149"/>
      <c r="D59" s="149"/>
    </row>
    <row r="60" spans="1:15" s="23" customFormat="1" ht="20.399999999999999" x14ac:dyDescent="0.3">
      <c r="A60" s="87"/>
      <c r="C60" s="149"/>
      <c r="D60" s="149"/>
    </row>
    <row r="61" spans="1:15" s="23" customFormat="1" ht="20.399999999999999" x14ac:dyDescent="0.3">
      <c r="A61" s="87"/>
      <c r="C61" s="149"/>
      <c r="D61" s="149"/>
    </row>
    <row r="62" spans="1:15" s="23" customFormat="1" ht="20.399999999999999" x14ac:dyDescent="0.3">
      <c r="A62" s="87"/>
      <c r="C62" s="149"/>
      <c r="D62" s="149"/>
    </row>
    <row r="63" spans="1:15" s="23" customFormat="1" ht="20.399999999999999" x14ac:dyDescent="0.3">
      <c r="A63" s="87"/>
      <c r="C63" s="149"/>
      <c r="D63" s="149"/>
    </row>
    <row r="64" spans="1:15" s="23" customFormat="1" ht="20.399999999999999" x14ac:dyDescent="0.3">
      <c r="A64" s="87"/>
      <c r="C64" s="149"/>
      <c r="D64" s="149"/>
    </row>
    <row r="65" spans="1:4" s="23" customFormat="1" ht="20.399999999999999" x14ac:dyDescent="0.3">
      <c r="A65" s="87"/>
      <c r="C65" s="149"/>
      <c r="D65" s="149"/>
    </row>
    <row r="66" spans="1:4" s="23" customFormat="1" ht="20.399999999999999" x14ac:dyDescent="0.3">
      <c r="A66" s="87"/>
      <c r="C66" s="149"/>
      <c r="D66" s="149"/>
    </row>
    <row r="67" spans="1:4" s="23" customFormat="1" ht="20.399999999999999" x14ac:dyDescent="0.3">
      <c r="A67" s="87"/>
      <c r="C67" s="149"/>
      <c r="D67" s="149"/>
    </row>
    <row r="68" spans="1:4" s="23" customFormat="1" ht="20.399999999999999" x14ac:dyDescent="0.3">
      <c r="A68" s="87"/>
      <c r="C68" s="149"/>
      <c r="D68" s="149"/>
    </row>
    <row r="69" spans="1:4" s="23" customFormat="1" ht="20.399999999999999" x14ac:dyDescent="0.3">
      <c r="A69" s="87"/>
      <c r="C69" s="149"/>
      <c r="D69" s="149"/>
    </row>
    <row r="70" spans="1:4" s="23" customFormat="1" ht="20.399999999999999" x14ac:dyDescent="0.3">
      <c r="A70" s="87"/>
      <c r="C70" s="149"/>
      <c r="D70" s="149"/>
    </row>
    <row r="71" spans="1:4" s="23" customFormat="1" ht="20.399999999999999" x14ac:dyDescent="0.3">
      <c r="A71" s="87"/>
      <c r="C71" s="149"/>
      <c r="D71" s="149"/>
    </row>
    <row r="72" spans="1:4" s="23" customFormat="1" ht="20.399999999999999" x14ac:dyDescent="0.3">
      <c r="A72" s="87"/>
      <c r="C72" s="149"/>
      <c r="D72" s="149"/>
    </row>
    <row r="73" spans="1:4" s="23" customFormat="1" ht="20.399999999999999" x14ac:dyDescent="0.3">
      <c r="A73" s="87"/>
      <c r="C73" s="149"/>
      <c r="D73" s="149"/>
    </row>
    <row r="74" spans="1:4" s="23" customFormat="1" ht="20.399999999999999" x14ac:dyDescent="0.3">
      <c r="A74" s="87"/>
      <c r="C74" s="149"/>
      <c r="D74" s="149"/>
    </row>
    <row r="75" spans="1:4" s="23" customFormat="1" ht="20.399999999999999" x14ac:dyDescent="0.3">
      <c r="A75" s="87"/>
      <c r="C75" s="149"/>
      <c r="D75" s="149"/>
    </row>
    <row r="76" spans="1:4" s="23" customFormat="1" ht="20.399999999999999" x14ac:dyDescent="0.3">
      <c r="A76" s="87"/>
      <c r="C76" s="149"/>
      <c r="D76" s="149"/>
    </row>
    <row r="77" spans="1:4" s="23" customFormat="1" ht="20.399999999999999" x14ac:dyDescent="0.3">
      <c r="A77" s="87"/>
      <c r="C77" s="149"/>
      <c r="D77" s="149"/>
    </row>
    <row r="78" spans="1:4" s="23" customFormat="1" ht="20.399999999999999" x14ac:dyDescent="0.3">
      <c r="A78" s="87"/>
      <c r="C78" s="149"/>
      <c r="D78" s="149"/>
    </row>
    <row r="79" spans="1:4" s="23" customFormat="1" ht="20.399999999999999" x14ac:dyDescent="0.3">
      <c r="A79" s="87"/>
      <c r="C79" s="149"/>
      <c r="D79" s="149"/>
    </row>
    <row r="80" spans="1:4" s="23" customFormat="1" ht="20.399999999999999" x14ac:dyDescent="0.3">
      <c r="A80" s="87"/>
      <c r="C80" s="149"/>
      <c r="D80" s="149"/>
    </row>
    <row r="81" spans="1:4" s="23" customFormat="1" ht="20.399999999999999" x14ac:dyDescent="0.3">
      <c r="A81" s="87"/>
      <c r="C81" s="149"/>
      <c r="D81" s="149"/>
    </row>
    <row r="82" spans="1:4" s="23" customFormat="1" ht="20.399999999999999" x14ac:dyDescent="0.3">
      <c r="A82" s="87"/>
      <c r="C82" s="149"/>
      <c r="D82" s="149"/>
    </row>
    <row r="83" spans="1:4" s="23" customFormat="1" ht="20.399999999999999" x14ac:dyDescent="0.3">
      <c r="A83" s="87"/>
      <c r="C83" s="149"/>
      <c r="D83" s="149"/>
    </row>
    <row r="84" spans="1:4" s="23" customFormat="1" ht="20.399999999999999" x14ac:dyDescent="0.3">
      <c r="A84" s="87"/>
      <c r="C84" s="149"/>
      <c r="D84" s="149"/>
    </row>
    <row r="85" spans="1:4" s="23" customFormat="1" ht="20.399999999999999" x14ac:dyDescent="0.3">
      <c r="A85" s="87"/>
      <c r="C85" s="149"/>
      <c r="D85" s="149"/>
    </row>
    <row r="86" spans="1:4" s="23" customFormat="1" ht="20.399999999999999" x14ac:dyDescent="0.3">
      <c r="A86" s="87"/>
      <c r="C86" s="149"/>
      <c r="D86" s="149"/>
    </row>
    <row r="87" spans="1:4" s="23" customFormat="1" ht="20.399999999999999" x14ac:dyDescent="0.3">
      <c r="A87" s="87"/>
      <c r="C87" s="149"/>
      <c r="D87" s="149"/>
    </row>
    <row r="88" spans="1:4" s="23" customFormat="1" ht="20.399999999999999" x14ac:dyDescent="0.3">
      <c r="A88" s="87"/>
      <c r="C88" s="149"/>
      <c r="D88" s="149"/>
    </row>
    <row r="89" spans="1:4" s="23" customFormat="1" ht="20.399999999999999" x14ac:dyDescent="0.3">
      <c r="A89" s="87"/>
      <c r="C89" s="149"/>
      <c r="D89" s="149"/>
    </row>
    <row r="90" spans="1:4" s="23" customFormat="1" ht="20.399999999999999" x14ac:dyDescent="0.3">
      <c r="A90" s="87"/>
      <c r="C90" s="149"/>
      <c r="D90" s="149"/>
    </row>
    <row r="91" spans="1:4" s="23" customFormat="1" ht="20.399999999999999" x14ac:dyDescent="0.3">
      <c r="A91" s="87"/>
      <c r="C91" s="149"/>
      <c r="D91" s="149"/>
    </row>
    <row r="92" spans="1:4" s="23" customFormat="1" ht="20.399999999999999" x14ac:dyDescent="0.3">
      <c r="A92" s="87"/>
      <c r="C92" s="149"/>
      <c r="D92" s="149"/>
    </row>
    <row r="93" spans="1:4" s="23" customFormat="1" ht="20.399999999999999" x14ac:dyDescent="0.3">
      <c r="A93" s="87"/>
      <c r="C93" s="149"/>
      <c r="D93" s="149"/>
    </row>
    <row r="94" spans="1:4" s="23" customFormat="1" ht="20.399999999999999" x14ac:dyDescent="0.3">
      <c r="A94" s="87"/>
      <c r="C94" s="149"/>
      <c r="D94" s="149"/>
    </row>
    <row r="95" spans="1:4" s="23" customFormat="1" ht="20.399999999999999" x14ac:dyDescent="0.3">
      <c r="A95" s="87"/>
      <c r="C95" s="149"/>
      <c r="D95" s="149"/>
    </row>
    <row r="96" spans="1:4" s="23" customFormat="1" ht="20.399999999999999" x14ac:dyDescent="0.3">
      <c r="A96" s="87"/>
      <c r="C96" s="149"/>
      <c r="D96" s="149"/>
    </row>
    <row r="97" spans="1:4" s="23" customFormat="1" ht="20.399999999999999" x14ac:dyDescent="0.3">
      <c r="A97" s="87"/>
      <c r="C97" s="149"/>
      <c r="D97" s="149"/>
    </row>
    <row r="98" spans="1:4" s="23" customFormat="1" ht="20.399999999999999" x14ac:dyDescent="0.3">
      <c r="A98" s="87"/>
      <c r="C98" s="149"/>
      <c r="D98" s="149"/>
    </row>
    <row r="99" spans="1:4" s="23" customFormat="1" ht="20.399999999999999" x14ac:dyDescent="0.3">
      <c r="A99" s="87"/>
      <c r="C99" s="149"/>
      <c r="D99" s="149"/>
    </row>
    <row r="100" spans="1:4" s="23" customFormat="1" ht="20.399999999999999" x14ac:dyDescent="0.3">
      <c r="A100" s="87"/>
      <c r="C100" s="149"/>
      <c r="D100" s="149"/>
    </row>
    <row r="101" spans="1:4" s="23" customFormat="1" ht="20.399999999999999" x14ac:dyDescent="0.3">
      <c r="A101" s="87"/>
      <c r="C101" s="149"/>
      <c r="D101" s="149"/>
    </row>
    <row r="102" spans="1:4" s="23" customFormat="1" ht="20.399999999999999" x14ac:dyDescent="0.3">
      <c r="A102" s="87"/>
      <c r="C102" s="149"/>
      <c r="D102" s="149"/>
    </row>
    <row r="103" spans="1:4" s="23" customFormat="1" ht="20.399999999999999" x14ac:dyDescent="0.3">
      <c r="A103" s="87"/>
      <c r="C103" s="149"/>
      <c r="D103" s="149"/>
    </row>
    <row r="104" spans="1:4" s="23" customFormat="1" ht="20.399999999999999" x14ac:dyDescent="0.3">
      <c r="A104" s="87"/>
      <c r="C104" s="149"/>
      <c r="D104" s="149"/>
    </row>
    <row r="105" spans="1:4" s="23" customFormat="1" ht="20.399999999999999" x14ac:dyDescent="0.3">
      <c r="A105" s="87"/>
      <c r="C105" s="149"/>
      <c r="D105" s="149"/>
    </row>
    <row r="106" spans="1:4" s="23" customFormat="1" ht="20.399999999999999" x14ac:dyDescent="0.3">
      <c r="A106" s="87"/>
      <c r="C106" s="149"/>
      <c r="D106" s="149"/>
    </row>
    <row r="107" spans="1:4" s="23" customFormat="1" ht="20.399999999999999" x14ac:dyDescent="0.3">
      <c r="A107" s="87"/>
      <c r="C107" s="149"/>
      <c r="D107" s="149"/>
    </row>
    <row r="108" spans="1:4" s="23" customFormat="1" ht="20.399999999999999" x14ac:dyDescent="0.3">
      <c r="A108" s="87"/>
      <c r="C108" s="149"/>
      <c r="D108" s="149"/>
    </row>
    <row r="109" spans="1:4" s="23" customFormat="1" ht="20.399999999999999" x14ac:dyDescent="0.3">
      <c r="A109" s="87"/>
      <c r="C109" s="149"/>
      <c r="D109" s="149"/>
    </row>
    <row r="110" spans="1:4" s="23" customFormat="1" ht="20.399999999999999" x14ac:dyDescent="0.3">
      <c r="A110" s="87"/>
      <c r="C110" s="149"/>
      <c r="D110" s="149"/>
    </row>
    <row r="111" spans="1:4" s="23" customFormat="1" ht="20.399999999999999" x14ac:dyDescent="0.3">
      <c r="A111" s="87"/>
      <c r="C111" s="149"/>
      <c r="D111" s="149"/>
    </row>
    <row r="112" spans="1:4" s="23" customFormat="1" ht="20.399999999999999" x14ac:dyDescent="0.3">
      <c r="A112" s="87"/>
      <c r="C112" s="149"/>
      <c r="D112" s="149"/>
    </row>
    <row r="113" spans="1:4" s="23" customFormat="1" ht="20.399999999999999" x14ac:dyDescent="0.3">
      <c r="A113" s="87"/>
      <c r="C113" s="149"/>
      <c r="D113" s="149"/>
    </row>
    <row r="114" spans="1:4" s="23" customFormat="1" ht="20.399999999999999" x14ac:dyDescent="0.3">
      <c r="A114" s="87"/>
      <c r="C114" s="149"/>
      <c r="D114" s="149"/>
    </row>
    <row r="115" spans="1:4" s="23" customFormat="1" ht="20.399999999999999" x14ac:dyDescent="0.3">
      <c r="A115" s="87"/>
      <c r="C115" s="149"/>
      <c r="D115" s="149"/>
    </row>
    <row r="116" spans="1:4" s="23" customFormat="1" ht="20.399999999999999" x14ac:dyDescent="0.3">
      <c r="A116" s="87"/>
      <c r="C116" s="149"/>
      <c r="D116" s="149"/>
    </row>
    <row r="117" spans="1:4" s="23" customFormat="1" ht="20.399999999999999" x14ac:dyDescent="0.3">
      <c r="A117" s="87"/>
      <c r="C117" s="149"/>
      <c r="D117" s="149"/>
    </row>
    <row r="118" spans="1:4" s="23" customFormat="1" ht="20.399999999999999" x14ac:dyDescent="0.3">
      <c r="A118" s="87"/>
      <c r="C118" s="149"/>
      <c r="D118" s="149"/>
    </row>
    <row r="119" spans="1:4" s="23" customFormat="1" ht="20.399999999999999" x14ac:dyDescent="0.3">
      <c r="A119" s="87"/>
      <c r="C119" s="149"/>
      <c r="D119" s="149"/>
    </row>
    <row r="120" spans="1:4" s="23" customFormat="1" ht="20.399999999999999" x14ac:dyDescent="0.3">
      <c r="A120" s="87"/>
      <c r="C120" s="149"/>
      <c r="D120" s="149"/>
    </row>
    <row r="121" spans="1:4" s="23" customFormat="1" ht="20.399999999999999" x14ac:dyDescent="0.3">
      <c r="A121" s="87"/>
      <c r="C121" s="149"/>
      <c r="D121" s="149"/>
    </row>
    <row r="122" spans="1:4" s="23" customFormat="1" ht="20.399999999999999" x14ac:dyDescent="0.3">
      <c r="A122" s="87"/>
      <c r="C122" s="149"/>
      <c r="D122" s="149"/>
    </row>
    <row r="123" spans="1:4" s="23" customFormat="1" ht="20.399999999999999" x14ac:dyDescent="0.3">
      <c r="A123" s="87"/>
      <c r="C123" s="149"/>
      <c r="D123" s="149"/>
    </row>
    <row r="124" spans="1:4" s="23" customFormat="1" ht="20.399999999999999" x14ac:dyDescent="0.3">
      <c r="A124" s="87"/>
      <c r="C124" s="149"/>
      <c r="D124" s="149"/>
    </row>
    <row r="125" spans="1:4" s="23" customFormat="1" ht="20.399999999999999" x14ac:dyDescent="0.3">
      <c r="A125" s="87"/>
      <c r="C125" s="149"/>
      <c r="D125" s="149"/>
    </row>
    <row r="126" spans="1:4" s="23" customFormat="1" ht="20.399999999999999" x14ac:dyDescent="0.3">
      <c r="A126" s="87"/>
      <c r="C126" s="149"/>
      <c r="D126" s="149"/>
    </row>
    <row r="127" spans="1:4" s="23" customFormat="1" ht="20.399999999999999" x14ac:dyDescent="0.3">
      <c r="A127" s="87"/>
      <c r="C127" s="149"/>
      <c r="D127" s="149"/>
    </row>
    <row r="128" spans="1:4" s="23" customFormat="1" ht="20.399999999999999" x14ac:dyDescent="0.3">
      <c r="A128" s="87"/>
      <c r="C128" s="149"/>
      <c r="D128" s="149"/>
    </row>
    <row r="129" spans="1:4" s="23" customFormat="1" ht="20.399999999999999" x14ac:dyDescent="0.3">
      <c r="A129" s="87"/>
      <c r="C129" s="149"/>
      <c r="D129" s="149"/>
    </row>
    <row r="130" spans="1:4" s="23" customFormat="1" ht="20.399999999999999" x14ac:dyDescent="0.3">
      <c r="A130" s="87"/>
      <c r="C130" s="149"/>
      <c r="D130" s="149"/>
    </row>
    <row r="131" spans="1:4" s="23" customFormat="1" ht="20.399999999999999" x14ac:dyDescent="0.3">
      <c r="A131" s="87"/>
      <c r="C131" s="149"/>
      <c r="D131" s="149"/>
    </row>
    <row r="132" spans="1:4" s="23" customFormat="1" ht="20.399999999999999" x14ac:dyDescent="0.3">
      <c r="A132" s="87"/>
      <c r="C132" s="149"/>
      <c r="D132" s="149"/>
    </row>
    <row r="133" spans="1:4" s="23" customFormat="1" ht="20.399999999999999" x14ac:dyDescent="0.3">
      <c r="A133" s="87"/>
      <c r="C133" s="149"/>
      <c r="D133" s="149"/>
    </row>
    <row r="134" spans="1:4" s="23" customFormat="1" ht="20.399999999999999" x14ac:dyDescent="0.3">
      <c r="A134" s="87"/>
      <c r="C134" s="149"/>
      <c r="D134" s="149"/>
    </row>
    <row r="135" spans="1:4" s="23" customFormat="1" ht="20.399999999999999" x14ac:dyDescent="0.3">
      <c r="A135" s="87"/>
      <c r="C135" s="149"/>
      <c r="D135" s="149"/>
    </row>
    <row r="136" spans="1:4" s="23" customFormat="1" ht="20.399999999999999" x14ac:dyDescent="0.3">
      <c r="A136" s="87"/>
      <c r="C136" s="149"/>
      <c r="D136" s="149"/>
    </row>
    <row r="137" spans="1:4" s="23" customFormat="1" ht="20.399999999999999" x14ac:dyDescent="0.3">
      <c r="A137" s="87"/>
      <c r="C137" s="149"/>
      <c r="D137" s="149"/>
    </row>
    <row r="138" spans="1:4" s="23" customFormat="1" ht="20.399999999999999" x14ac:dyDescent="0.3">
      <c r="A138" s="87"/>
      <c r="C138" s="149"/>
      <c r="D138" s="149"/>
    </row>
    <row r="139" spans="1:4" s="23" customFormat="1" ht="20.399999999999999" x14ac:dyDescent="0.3">
      <c r="A139" s="87"/>
      <c r="C139" s="149"/>
      <c r="D139" s="149"/>
    </row>
    <row r="140" spans="1:4" s="23" customFormat="1" ht="20.399999999999999" x14ac:dyDescent="0.3">
      <c r="A140" s="87"/>
      <c r="C140" s="149"/>
      <c r="D140" s="149"/>
    </row>
    <row r="141" spans="1:4" s="23" customFormat="1" ht="20.399999999999999" x14ac:dyDescent="0.3">
      <c r="A141" s="87"/>
      <c r="C141" s="149"/>
      <c r="D141" s="149"/>
    </row>
    <row r="142" spans="1:4" s="23" customFormat="1" ht="20.399999999999999" x14ac:dyDescent="0.3">
      <c r="A142" s="87"/>
      <c r="C142" s="149"/>
      <c r="D142" s="149"/>
    </row>
    <row r="143" spans="1:4" s="23" customFormat="1" ht="20.399999999999999" x14ac:dyDescent="0.3">
      <c r="A143" s="87"/>
      <c r="C143" s="149"/>
      <c r="D143" s="149"/>
    </row>
    <row r="144" spans="1:4" s="23" customFormat="1" ht="20.399999999999999" x14ac:dyDescent="0.3">
      <c r="A144" s="87"/>
      <c r="C144" s="149"/>
      <c r="D144" s="149"/>
    </row>
    <row r="145" spans="1:4" s="23" customFormat="1" ht="20.399999999999999" x14ac:dyDescent="0.3">
      <c r="A145" s="87"/>
      <c r="C145" s="149"/>
      <c r="D145" s="149"/>
    </row>
    <row r="146" spans="1:4" s="23" customFormat="1" ht="20.399999999999999" x14ac:dyDescent="0.3">
      <c r="A146" s="87"/>
      <c r="C146" s="149"/>
      <c r="D146" s="149"/>
    </row>
    <row r="147" spans="1:4" s="23" customFormat="1" ht="20.399999999999999" x14ac:dyDescent="0.3">
      <c r="A147" s="87"/>
      <c r="C147" s="149"/>
      <c r="D147" s="149"/>
    </row>
    <row r="148" spans="1:4" s="23" customFormat="1" ht="20.399999999999999" x14ac:dyDescent="0.3">
      <c r="A148" s="87"/>
      <c r="C148" s="149"/>
      <c r="D148" s="149"/>
    </row>
    <row r="149" spans="1:4" s="23" customFormat="1" ht="20.399999999999999" x14ac:dyDescent="0.3">
      <c r="A149" s="87"/>
      <c r="C149" s="149"/>
      <c r="D149" s="149"/>
    </row>
    <row r="150" spans="1:4" s="23" customFormat="1" ht="20.399999999999999" x14ac:dyDescent="0.3">
      <c r="A150" s="87"/>
      <c r="C150" s="149"/>
      <c r="D150" s="149"/>
    </row>
    <row r="151" spans="1:4" s="23" customFormat="1" ht="20.399999999999999" x14ac:dyDescent="0.3">
      <c r="A151" s="87"/>
      <c r="C151" s="149"/>
      <c r="D151" s="149"/>
    </row>
    <row r="152" spans="1:4" s="23" customFormat="1" ht="20.399999999999999" x14ac:dyDescent="0.3">
      <c r="A152" s="87"/>
      <c r="C152" s="149"/>
      <c r="D152" s="149"/>
    </row>
    <row r="153" spans="1:4" s="23" customFormat="1" ht="20.399999999999999" x14ac:dyDescent="0.3">
      <c r="A153" s="87"/>
      <c r="C153" s="149"/>
      <c r="D153" s="149"/>
    </row>
    <row r="154" spans="1:4" s="23" customFormat="1" ht="20.399999999999999" x14ac:dyDescent="0.3">
      <c r="A154" s="87"/>
      <c r="C154" s="149"/>
      <c r="D154" s="149"/>
    </row>
    <row r="155" spans="1:4" s="23" customFormat="1" ht="20.399999999999999" x14ac:dyDescent="0.3">
      <c r="A155" s="87"/>
      <c r="C155" s="149"/>
      <c r="D155" s="149"/>
    </row>
    <row r="156" spans="1:4" s="23" customFormat="1" ht="20.399999999999999" x14ac:dyDescent="0.3">
      <c r="A156" s="87"/>
      <c r="C156" s="149"/>
      <c r="D156" s="149"/>
    </row>
    <row r="157" spans="1:4" s="23" customFormat="1" ht="20.399999999999999" x14ac:dyDescent="0.3">
      <c r="A157" s="87"/>
      <c r="C157" s="149"/>
      <c r="D157" s="149"/>
    </row>
    <row r="158" spans="1:4" s="23" customFormat="1" ht="20.399999999999999" x14ac:dyDescent="0.3">
      <c r="A158" s="87"/>
      <c r="C158" s="149"/>
      <c r="D158" s="149"/>
    </row>
    <row r="159" spans="1:4" s="23" customFormat="1" ht="20.399999999999999" x14ac:dyDescent="0.3">
      <c r="A159" s="87"/>
      <c r="C159" s="149"/>
      <c r="D159" s="149"/>
    </row>
    <row r="160" spans="1:4" s="23" customFormat="1" ht="20.399999999999999" x14ac:dyDescent="0.3">
      <c r="A160" s="87"/>
      <c r="C160" s="149"/>
      <c r="D160" s="149"/>
    </row>
    <row r="161" spans="1:4" s="23" customFormat="1" ht="20.399999999999999" x14ac:dyDescent="0.3">
      <c r="A161" s="87"/>
      <c r="C161" s="149"/>
      <c r="D161" s="149"/>
    </row>
    <row r="162" spans="1:4" s="23" customFormat="1" ht="20.399999999999999" x14ac:dyDescent="0.3">
      <c r="A162" s="87"/>
      <c r="C162" s="149"/>
      <c r="D162" s="149"/>
    </row>
    <row r="163" spans="1:4" s="23" customFormat="1" ht="20.399999999999999" x14ac:dyDescent="0.3">
      <c r="A163" s="87"/>
      <c r="C163" s="149"/>
      <c r="D163" s="149"/>
    </row>
    <row r="164" spans="1:4" s="23" customFormat="1" ht="20.399999999999999" x14ac:dyDescent="0.3">
      <c r="A164" s="87"/>
      <c r="C164" s="149"/>
      <c r="D164" s="149"/>
    </row>
    <row r="165" spans="1:4" s="23" customFormat="1" ht="20.399999999999999" x14ac:dyDescent="0.3">
      <c r="A165" s="87"/>
      <c r="C165" s="149"/>
      <c r="D165" s="149"/>
    </row>
    <row r="166" spans="1:4" s="23" customFormat="1" ht="20.399999999999999" x14ac:dyDescent="0.3">
      <c r="A166" s="87"/>
      <c r="C166" s="149"/>
      <c r="D166" s="149"/>
    </row>
    <row r="167" spans="1:4" s="23" customFormat="1" ht="20.399999999999999" x14ac:dyDescent="0.3">
      <c r="A167" s="87"/>
      <c r="C167" s="149"/>
      <c r="D167" s="149"/>
    </row>
    <row r="168" spans="1:4" s="23" customFormat="1" ht="20.399999999999999" x14ac:dyDescent="0.3">
      <c r="A168" s="87"/>
      <c r="C168" s="149"/>
      <c r="D168" s="149"/>
    </row>
    <row r="169" spans="1:4" s="23" customFormat="1" ht="20.399999999999999" x14ac:dyDescent="0.3">
      <c r="A169" s="87"/>
      <c r="C169" s="149"/>
      <c r="D169" s="149"/>
    </row>
    <row r="170" spans="1:4" s="23" customFormat="1" ht="20.399999999999999" x14ac:dyDescent="0.3">
      <c r="A170" s="87"/>
      <c r="C170" s="149"/>
      <c r="D170" s="149"/>
    </row>
    <row r="171" spans="1:4" s="23" customFormat="1" ht="20.399999999999999" x14ac:dyDescent="0.3">
      <c r="A171" s="87"/>
      <c r="C171" s="149"/>
      <c r="D171" s="149"/>
    </row>
    <row r="172" spans="1:4" s="23" customFormat="1" ht="20.399999999999999" x14ac:dyDescent="0.3">
      <c r="A172" s="87"/>
      <c r="C172" s="149"/>
      <c r="D172" s="149"/>
    </row>
    <row r="173" spans="1:4" s="23" customFormat="1" ht="20.399999999999999" x14ac:dyDescent="0.3">
      <c r="A173" s="87"/>
      <c r="C173" s="149"/>
      <c r="D173" s="149"/>
    </row>
    <row r="174" spans="1:4" s="23" customFormat="1" ht="20.399999999999999" x14ac:dyDescent="0.3">
      <c r="A174" s="87"/>
      <c r="C174" s="149"/>
      <c r="D174" s="149"/>
    </row>
    <row r="175" spans="1:4" s="23" customFormat="1" ht="20.399999999999999" x14ac:dyDescent="0.3">
      <c r="A175" s="87"/>
      <c r="C175" s="149"/>
      <c r="D175" s="149"/>
    </row>
    <row r="176" spans="1:4" s="23" customFormat="1" ht="20.399999999999999" x14ac:dyDescent="0.3">
      <c r="A176" s="87"/>
      <c r="C176" s="149"/>
      <c r="D176" s="149"/>
    </row>
    <row r="177" spans="1:4" s="23" customFormat="1" ht="20.399999999999999" x14ac:dyDescent="0.3">
      <c r="A177" s="87"/>
      <c r="C177" s="149"/>
      <c r="D177" s="149"/>
    </row>
    <row r="178" spans="1:4" s="23" customFormat="1" ht="20.399999999999999" x14ac:dyDescent="0.3">
      <c r="A178" s="87"/>
      <c r="C178" s="149"/>
      <c r="D178" s="149"/>
    </row>
    <row r="179" spans="1:4" s="23" customFormat="1" ht="20.399999999999999" x14ac:dyDescent="0.3">
      <c r="A179" s="87"/>
      <c r="C179" s="149"/>
      <c r="D179" s="149"/>
    </row>
    <row r="180" spans="1:4" s="23" customFormat="1" ht="20.399999999999999" x14ac:dyDescent="0.3">
      <c r="A180" s="87"/>
      <c r="C180" s="149"/>
      <c r="D180" s="149"/>
    </row>
    <row r="181" spans="1:4" s="23" customFormat="1" ht="20.399999999999999" x14ac:dyDescent="0.3">
      <c r="A181" s="87"/>
      <c r="C181" s="149"/>
      <c r="D181" s="149"/>
    </row>
    <row r="182" spans="1:4" s="23" customFormat="1" ht="20.399999999999999" x14ac:dyDescent="0.3">
      <c r="A182" s="87"/>
      <c r="C182" s="149"/>
      <c r="D182" s="149"/>
    </row>
    <row r="183" spans="1:4" s="23" customFormat="1" ht="20.399999999999999" x14ac:dyDescent="0.3">
      <c r="A183" s="87"/>
      <c r="C183" s="149"/>
      <c r="D183" s="149"/>
    </row>
    <row r="184" spans="1:4" s="23" customFormat="1" ht="20.399999999999999" x14ac:dyDescent="0.3">
      <c r="A184" s="87"/>
      <c r="C184" s="149"/>
      <c r="D184" s="149"/>
    </row>
    <row r="185" spans="1:4" s="23" customFormat="1" ht="20.399999999999999" x14ac:dyDescent="0.3">
      <c r="A185" s="87"/>
      <c r="C185" s="149"/>
      <c r="D185" s="149"/>
    </row>
    <row r="186" spans="1:4" s="23" customFormat="1" ht="20.399999999999999" x14ac:dyDescent="0.3">
      <c r="A186" s="87"/>
      <c r="C186" s="149"/>
      <c r="D186" s="149"/>
    </row>
    <row r="187" spans="1:4" s="23" customFormat="1" ht="20.399999999999999" x14ac:dyDescent="0.3">
      <c r="A187" s="87"/>
      <c r="C187" s="149"/>
      <c r="D187" s="149"/>
    </row>
    <row r="188" spans="1:4" s="23" customFormat="1" ht="20.399999999999999" x14ac:dyDescent="0.3">
      <c r="A188" s="87"/>
      <c r="C188" s="149"/>
      <c r="D188" s="149"/>
    </row>
    <row r="189" spans="1:4" s="23" customFormat="1" ht="20.399999999999999" x14ac:dyDescent="0.3">
      <c r="A189" s="87"/>
      <c r="C189" s="149"/>
      <c r="D189" s="149"/>
    </row>
    <row r="190" spans="1:4" s="23" customFormat="1" ht="20.399999999999999" x14ac:dyDescent="0.3">
      <c r="A190" s="87"/>
      <c r="C190" s="149"/>
      <c r="D190" s="149"/>
    </row>
    <row r="191" spans="1:4" s="23" customFormat="1" ht="20.399999999999999" x14ac:dyDescent="0.3">
      <c r="A191" s="87"/>
      <c r="C191" s="149"/>
      <c r="D191" s="149"/>
    </row>
    <row r="192" spans="1:4" s="23" customFormat="1" ht="20.399999999999999" x14ac:dyDescent="0.3">
      <c r="A192" s="87"/>
      <c r="C192" s="149"/>
      <c r="D192" s="149"/>
    </row>
    <row r="193" spans="1:4" s="23" customFormat="1" ht="20.399999999999999" x14ac:dyDescent="0.3">
      <c r="A193" s="87"/>
      <c r="C193" s="149"/>
      <c r="D193" s="149"/>
    </row>
    <row r="194" spans="1:4" s="23" customFormat="1" ht="20.399999999999999" x14ac:dyDescent="0.3">
      <c r="A194" s="87"/>
      <c r="C194" s="149"/>
      <c r="D194" s="149"/>
    </row>
    <row r="195" spans="1:4" s="23" customFormat="1" ht="20.399999999999999" x14ac:dyDescent="0.3">
      <c r="A195" s="87"/>
      <c r="C195" s="149"/>
      <c r="D195" s="149"/>
    </row>
    <row r="196" spans="1:4" s="23" customFormat="1" ht="20.399999999999999" x14ac:dyDescent="0.3">
      <c r="A196" s="87"/>
      <c r="C196" s="149"/>
      <c r="D196" s="149"/>
    </row>
    <row r="197" spans="1:4" s="23" customFormat="1" ht="20.399999999999999" x14ac:dyDescent="0.3">
      <c r="A197" s="87"/>
      <c r="C197" s="149"/>
      <c r="D197" s="149"/>
    </row>
    <row r="198" spans="1:4" s="23" customFormat="1" ht="20.399999999999999" x14ac:dyDescent="0.3">
      <c r="A198" s="87"/>
      <c r="C198" s="149"/>
      <c r="D198" s="149"/>
    </row>
    <row r="199" spans="1:4" s="23" customFormat="1" ht="20.399999999999999" x14ac:dyDescent="0.3">
      <c r="A199" s="87"/>
      <c r="C199" s="149"/>
      <c r="D199" s="149"/>
    </row>
    <row r="200" spans="1:4" s="23" customFormat="1" ht="20.399999999999999" x14ac:dyDescent="0.3">
      <c r="A200" s="87"/>
      <c r="C200" s="149"/>
      <c r="D200" s="149"/>
    </row>
    <row r="201" spans="1:4" s="23" customFormat="1" ht="20.399999999999999" x14ac:dyDescent="0.3">
      <c r="A201" s="87"/>
      <c r="C201" s="149"/>
      <c r="D201" s="149"/>
    </row>
    <row r="202" spans="1:4" s="23" customFormat="1" ht="20.399999999999999" x14ac:dyDescent="0.3">
      <c r="A202" s="87"/>
      <c r="C202" s="149"/>
      <c r="D202" s="149"/>
    </row>
    <row r="203" spans="1:4" s="23" customFormat="1" ht="20.399999999999999" x14ac:dyDescent="0.3">
      <c r="A203" s="87"/>
      <c r="C203" s="149"/>
      <c r="D203" s="149"/>
    </row>
    <row r="204" spans="1:4" s="23" customFormat="1" ht="20.399999999999999" x14ac:dyDescent="0.3">
      <c r="A204" s="87"/>
      <c r="C204" s="149"/>
      <c r="D204" s="149"/>
    </row>
    <row r="205" spans="1:4" s="23" customFormat="1" ht="20.399999999999999" x14ac:dyDescent="0.3">
      <c r="A205" s="87"/>
      <c r="C205" s="149"/>
      <c r="D205" s="149"/>
    </row>
    <row r="206" spans="1:4" s="23" customFormat="1" ht="20.399999999999999" x14ac:dyDescent="0.3">
      <c r="A206" s="87"/>
      <c r="C206" s="149"/>
      <c r="D206" s="149"/>
    </row>
    <row r="207" spans="1:4" s="23" customFormat="1" ht="20.399999999999999" x14ac:dyDescent="0.3">
      <c r="A207" s="87"/>
      <c r="C207" s="149"/>
      <c r="D207" s="149"/>
    </row>
    <row r="208" spans="1:4" s="23" customFormat="1" x14ac:dyDescent="0.3">
      <c r="A208" s="87"/>
    </row>
    <row r="209" spans="1:8" s="23" customFormat="1" ht="20.399999999999999" x14ac:dyDescent="0.3">
      <c r="A209" s="87"/>
      <c r="B209" s="150" t="s">
        <v>86</v>
      </c>
      <c r="C209" s="150" t="s">
        <v>139</v>
      </c>
      <c r="D209" s="151" t="s">
        <v>86</v>
      </c>
      <c r="E209" s="151" t="s">
        <v>139</v>
      </c>
    </row>
    <row r="210" spans="1:8" s="23" customFormat="1" ht="42" x14ac:dyDescent="0.4">
      <c r="A210" s="87"/>
      <c r="B210" s="152" t="s">
        <v>88</v>
      </c>
      <c r="C210" s="152"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52" t="s">
        <v>88</v>
      </c>
      <c r="C211" s="152" t="s">
        <v>205</v>
      </c>
      <c r="E211" s="23" t="s">
        <v>204</v>
      </c>
      <c r="F211" s="23" t="str">
        <f t="shared" ref="F211:F221" si="0">IF(NOT(ISBLANK(D211)),D211,IF(NOT(ISBLANK(E211)),"     "&amp;E211,FALSE))</f>
        <v xml:space="preserve">     Afectación menor a 200 SMLMV</v>
      </c>
    </row>
    <row r="212" spans="1:8" s="23" customFormat="1" ht="42" x14ac:dyDescent="0.4">
      <c r="A212" s="87"/>
      <c r="B212" s="152" t="s">
        <v>88</v>
      </c>
      <c r="C212" s="152" t="s">
        <v>209</v>
      </c>
      <c r="E212" s="23" t="s">
        <v>205</v>
      </c>
      <c r="F212" s="23" t="str">
        <f t="shared" si="0"/>
        <v xml:space="preserve">     Entre 200 y 1000 SMLMV</v>
      </c>
    </row>
    <row r="213" spans="1:8" s="23" customFormat="1" ht="42" x14ac:dyDescent="0.4">
      <c r="A213" s="87"/>
      <c r="B213" s="152" t="s">
        <v>88</v>
      </c>
      <c r="C213" s="152" t="s">
        <v>210</v>
      </c>
      <c r="E213" s="23" t="s">
        <v>209</v>
      </c>
      <c r="F213" s="23" t="str">
        <f t="shared" si="0"/>
        <v xml:space="preserve">     Entre 1000 y 5000 SMLMV </v>
      </c>
    </row>
    <row r="214" spans="1:8" s="23" customFormat="1" ht="42" x14ac:dyDescent="0.4">
      <c r="A214" s="87"/>
      <c r="B214" s="152" t="s">
        <v>88</v>
      </c>
      <c r="C214" s="152" t="s">
        <v>206</v>
      </c>
      <c r="E214" s="23" t="s">
        <v>210</v>
      </c>
      <c r="F214" s="23" t="str">
        <f t="shared" si="0"/>
        <v xml:space="preserve">     Entre 5000 y 10000 SMLMV</v>
      </c>
    </row>
    <row r="215" spans="1:8" s="23" customFormat="1" ht="21" x14ac:dyDescent="0.4">
      <c r="A215" s="87"/>
      <c r="B215" s="152" t="s">
        <v>56</v>
      </c>
      <c r="C215" s="152" t="s">
        <v>91</v>
      </c>
      <c r="E215" s="23" t="s">
        <v>206</v>
      </c>
      <c r="F215" s="23" t="str">
        <f t="shared" si="0"/>
        <v xml:space="preserve">     Mayor a 10000 SMLMV</v>
      </c>
    </row>
    <row r="216" spans="1:8" s="23" customFormat="1" ht="63" x14ac:dyDescent="0.4">
      <c r="A216" s="87"/>
      <c r="B216" s="152" t="s">
        <v>56</v>
      </c>
      <c r="C216" s="152" t="s">
        <v>92</v>
      </c>
      <c r="D216" s="23" t="s">
        <v>56</v>
      </c>
      <c r="F216" s="23" t="str">
        <f t="shared" si="0"/>
        <v>Pérdida Reputacional</v>
      </c>
    </row>
    <row r="217" spans="1:8" s="23" customFormat="1" ht="42" x14ac:dyDescent="0.4">
      <c r="A217" s="87"/>
      <c r="B217" s="152" t="s">
        <v>56</v>
      </c>
      <c r="C217" s="152" t="s">
        <v>94</v>
      </c>
      <c r="E217" s="23" t="s">
        <v>91</v>
      </c>
      <c r="F217" s="23" t="str">
        <f>IF(NOT(ISBLANK(D217)),D217,IF(NOT(ISBLANK(E217)),"     "&amp;E217,FALSE))</f>
        <v xml:space="preserve">     El riesgo afecta la imagen de alguna área de la organización</v>
      </c>
    </row>
    <row r="218" spans="1:8" s="23" customFormat="1" ht="63" x14ac:dyDescent="0.4">
      <c r="A218" s="87"/>
      <c r="B218" s="152" t="s">
        <v>56</v>
      </c>
      <c r="C218" s="152"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52" t="s">
        <v>56</v>
      </c>
      <c r="C219" s="152"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53" t="s">
        <v>140</v>
      </c>
    </row>
    <row r="224" spans="1:8" s="23" customFormat="1" x14ac:dyDescent="0.3">
      <c r="F224" s="153"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3" workbookViewId="0">
      <selection activeCell="A14" sqref="A14"/>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442" t="s">
        <v>76</v>
      </c>
      <c r="C1" s="443"/>
      <c r="D1" s="443"/>
      <c r="E1" s="443"/>
      <c r="F1" s="444"/>
    </row>
    <row r="2" spans="2:6" ht="16.2" thickBot="1" x14ac:dyDescent="0.35">
      <c r="B2" s="73"/>
      <c r="C2" s="73"/>
      <c r="D2" s="73"/>
      <c r="E2" s="73"/>
      <c r="F2" s="73"/>
    </row>
    <row r="3" spans="2:6" ht="16.2" thickBot="1" x14ac:dyDescent="0.35">
      <c r="B3" s="446" t="s">
        <v>62</v>
      </c>
      <c r="C3" s="447"/>
      <c r="D3" s="447"/>
      <c r="E3" s="85" t="s">
        <v>63</v>
      </c>
      <c r="F3" s="86" t="s">
        <v>64</v>
      </c>
    </row>
    <row r="4" spans="2:6" ht="31.2" x14ac:dyDescent="0.3">
      <c r="B4" s="448" t="s">
        <v>65</v>
      </c>
      <c r="C4" s="450" t="s">
        <v>13</v>
      </c>
      <c r="D4" s="74" t="s">
        <v>14</v>
      </c>
      <c r="E4" s="75" t="s">
        <v>66</v>
      </c>
      <c r="F4" s="76">
        <v>0.25</v>
      </c>
    </row>
    <row r="5" spans="2:6" ht="46.8" x14ac:dyDescent="0.3">
      <c r="B5" s="449"/>
      <c r="C5" s="451"/>
      <c r="D5" s="77" t="s">
        <v>15</v>
      </c>
      <c r="E5" s="78" t="s">
        <v>67</v>
      </c>
      <c r="F5" s="79">
        <v>0.15</v>
      </c>
    </row>
    <row r="6" spans="2:6" ht="46.8" x14ac:dyDescent="0.3">
      <c r="B6" s="449"/>
      <c r="C6" s="451"/>
      <c r="D6" s="77" t="s">
        <v>16</v>
      </c>
      <c r="E6" s="78" t="s">
        <v>68</v>
      </c>
      <c r="F6" s="79">
        <v>0.1</v>
      </c>
    </row>
    <row r="7" spans="2:6" ht="62.4" x14ac:dyDescent="0.3">
      <c r="B7" s="449"/>
      <c r="C7" s="451" t="s">
        <v>17</v>
      </c>
      <c r="D7" s="77" t="s">
        <v>10</v>
      </c>
      <c r="E7" s="78" t="s">
        <v>69</v>
      </c>
      <c r="F7" s="79">
        <v>0.25</v>
      </c>
    </row>
    <row r="8" spans="2:6" ht="31.2" x14ac:dyDescent="0.3">
      <c r="B8" s="449"/>
      <c r="C8" s="451"/>
      <c r="D8" s="77" t="s">
        <v>9</v>
      </c>
      <c r="E8" s="78" t="s">
        <v>70</v>
      </c>
      <c r="F8" s="79">
        <v>0.15</v>
      </c>
    </row>
    <row r="9" spans="2:6" ht="46.8" x14ac:dyDescent="0.3">
      <c r="B9" s="449" t="s">
        <v>150</v>
      </c>
      <c r="C9" s="451" t="s">
        <v>18</v>
      </c>
      <c r="D9" s="77" t="s">
        <v>19</v>
      </c>
      <c r="E9" s="78" t="s">
        <v>71</v>
      </c>
      <c r="F9" s="80" t="s">
        <v>72</v>
      </c>
    </row>
    <row r="10" spans="2:6" ht="46.8" x14ac:dyDescent="0.3">
      <c r="B10" s="449"/>
      <c r="C10" s="451"/>
      <c r="D10" s="77" t="s">
        <v>20</v>
      </c>
      <c r="E10" s="78" t="s">
        <v>73</v>
      </c>
      <c r="F10" s="80" t="s">
        <v>72</v>
      </c>
    </row>
    <row r="11" spans="2:6" ht="46.8" x14ac:dyDescent="0.3">
      <c r="B11" s="449"/>
      <c r="C11" s="451" t="s">
        <v>21</v>
      </c>
      <c r="D11" s="77" t="s">
        <v>22</v>
      </c>
      <c r="E11" s="78" t="s">
        <v>74</v>
      </c>
      <c r="F11" s="80" t="s">
        <v>72</v>
      </c>
    </row>
    <row r="12" spans="2:6" ht="46.8" x14ac:dyDescent="0.3">
      <c r="B12" s="449"/>
      <c r="C12" s="451"/>
      <c r="D12" s="77" t="s">
        <v>23</v>
      </c>
      <c r="E12" s="78" t="s">
        <v>75</v>
      </c>
      <c r="F12" s="80" t="s">
        <v>72</v>
      </c>
    </row>
    <row r="13" spans="2:6" ht="31.2" x14ac:dyDescent="0.3">
      <c r="B13" s="449"/>
      <c r="C13" s="451" t="s">
        <v>24</v>
      </c>
      <c r="D13" s="77" t="s">
        <v>113</v>
      </c>
      <c r="E13" s="78" t="s">
        <v>116</v>
      </c>
      <c r="F13" s="80" t="s">
        <v>72</v>
      </c>
    </row>
    <row r="14" spans="2:6" ht="16.2" thickBot="1" x14ac:dyDescent="0.35">
      <c r="B14" s="452"/>
      <c r="C14" s="453"/>
      <c r="D14" s="81" t="s">
        <v>114</v>
      </c>
      <c r="E14" s="82" t="s">
        <v>115</v>
      </c>
      <c r="F14" s="83" t="s">
        <v>72</v>
      </c>
    </row>
    <row r="15" spans="2:6" ht="49.5" customHeight="1" x14ac:dyDescent="0.3">
      <c r="B15" s="445" t="s">
        <v>147</v>
      </c>
      <c r="C15" s="445"/>
      <c r="D15" s="445"/>
      <c r="E15" s="445"/>
      <c r="F15" s="445"/>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2024-08-12T00:18:52Z</dcterms:modified>
</cp:coreProperties>
</file>