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hidePivotFieldList="1" defaultThemeVersion="124226"/>
  <mc:AlternateContent xmlns:mc="http://schemas.openxmlformats.org/markup-compatibility/2006">
    <mc:Choice Requires="x15">
      <x15ac:absPath xmlns:x15ac="http://schemas.microsoft.com/office/spreadsheetml/2010/11/ac" url="/Users/nataliabulla/Documents/ALCALDIA DE IBAGUE /2024/MAPA DE RIESGOS/NUEVO FORMATO MAPA RIESGOS/REPORTE MAYO JUNIO 2024/"/>
    </mc:Choice>
  </mc:AlternateContent>
  <xr:revisionPtr revIDLastSave="0" documentId="13_ncr:1_{5869237E-4209-F147-BBF6-AAF7C132A62E}" xr6:coauthVersionLast="47" xr6:coauthVersionMax="47" xr10:uidLastSave="{00000000-0000-0000-0000-000000000000}"/>
  <bookViews>
    <workbookView xWindow="0" yWindow="560" windowWidth="28800" windowHeight="16020"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 r:id="rId15"/>
  </externalReferences>
  <calcPr calcId="191029"/>
  <pivotCaches>
    <pivotCache cacheId="0"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10" i="1" l="1"/>
  <c r="C5" i="1" l="1"/>
  <c r="A7" i="22"/>
  <c r="A6" i="22"/>
  <c r="A6" i="23"/>
  <c r="C42" i="23"/>
  <c r="C41" i="23"/>
  <c r="C40" i="23"/>
  <c r="E23" i="23"/>
  <c r="E22" i="23"/>
  <c r="E21" i="23"/>
  <c r="E20" i="23"/>
  <c r="E19" i="23"/>
  <c r="E18" i="23"/>
  <c r="E17" i="23"/>
  <c r="E16" i="23"/>
  <c r="E15" i="23"/>
  <c r="E14" i="23"/>
  <c r="E13" i="23"/>
  <c r="E12" i="23"/>
  <c r="E11" i="23"/>
  <c r="S42" i="22"/>
  <c r="R31" i="22"/>
  <c r="S31" i="22" s="1"/>
  <c r="R30" i="22"/>
  <c r="S30" i="22" s="1"/>
  <c r="S29" i="22"/>
  <c r="R29" i="22"/>
  <c r="R28" i="22"/>
  <c r="S28" i="22" s="1"/>
  <c r="S27" i="22"/>
  <c r="R27" i="22"/>
  <c r="R26" i="22"/>
  <c r="S26" i="22" s="1"/>
  <c r="S25" i="22"/>
  <c r="R25" i="22"/>
  <c r="R24" i="22"/>
  <c r="S24" i="22" s="1"/>
  <c r="S23" i="22"/>
  <c r="R23" i="22"/>
  <c r="R22" i="22"/>
  <c r="S22" i="22" s="1"/>
  <c r="S21" i="22"/>
  <c r="R21" i="22"/>
  <c r="R20" i="22"/>
  <c r="S20" i="22" s="1"/>
  <c r="S19" i="22"/>
  <c r="R19" i="22"/>
  <c r="R18" i="22"/>
  <c r="S18" i="22" s="1"/>
  <c r="S17" i="22"/>
  <c r="R17" i="22"/>
  <c r="R16" i="22"/>
  <c r="S16" i="22" s="1"/>
  <c r="S15" i="22"/>
  <c r="R15" i="22"/>
  <c r="R14" i="22"/>
  <c r="S14" i="22" s="1"/>
  <c r="S13" i="22"/>
  <c r="R13" i="22"/>
  <c r="R12" i="22"/>
  <c r="S12" i="22" s="1"/>
  <c r="S11" i="22"/>
  <c r="R11" i="22"/>
  <c r="B31" i="22"/>
  <c r="B30" i="22"/>
  <c r="B29" i="22"/>
  <c r="B28" i="22"/>
  <c r="B27" i="22"/>
  <c r="B26" i="22"/>
  <c r="B25" i="22"/>
  <c r="B24" i="22"/>
  <c r="B23" i="22"/>
  <c r="B22" i="22"/>
  <c r="B21" i="22"/>
  <c r="B20" i="22"/>
  <c r="B19" i="22"/>
  <c r="B18" i="22"/>
  <c r="B17" i="22"/>
  <c r="B16" i="22"/>
  <c r="B15" i="22"/>
  <c r="B14" i="22"/>
  <c r="B13" i="22"/>
  <c r="B12" i="22"/>
  <c r="B11" i="22"/>
  <c r="A1" i="23"/>
  <c r="B1" i="22"/>
  <c r="S41" i="22" l="1"/>
  <c r="W69" i="1"/>
  <c r="T69" i="1"/>
  <c r="W68" i="1"/>
  <c r="T68" i="1"/>
  <c r="W67" i="1"/>
  <c r="T67" i="1"/>
  <c r="W66" i="1"/>
  <c r="T66" i="1"/>
  <c r="AE67" i="1" s="1"/>
  <c r="AD67" i="1" s="1"/>
  <c r="W65" i="1"/>
  <c r="T65" i="1"/>
  <c r="W64" i="1"/>
  <c r="T64" i="1"/>
  <c r="W63" i="1"/>
  <c r="T63" i="1"/>
  <c r="W62" i="1"/>
  <c r="T62" i="1"/>
  <c r="W61" i="1"/>
  <c r="T61" i="1"/>
  <c r="W60" i="1"/>
  <c r="T60" i="1"/>
  <c r="W59" i="1"/>
  <c r="T59" i="1"/>
  <c r="W58" i="1"/>
  <c r="T58" i="1"/>
  <c r="AE59" i="1" s="1"/>
  <c r="AD59" i="1" s="1"/>
  <c r="W57" i="1"/>
  <c r="T57" i="1"/>
  <c r="W56" i="1"/>
  <c r="T56" i="1"/>
  <c r="W55" i="1"/>
  <c r="T55" i="1"/>
  <c r="W54" i="1"/>
  <c r="T54" i="1"/>
  <c r="AE55" i="1" s="1"/>
  <c r="AD55" i="1" s="1"/>
  <c r="W53" i="1"/>
  <c r="T53" i="1"/>
  <c r="W52" i="1"/>
  <c r="T52" i="1"/>
  <c r="W51" i="1"/>
  <c r="T51" i="1"/>
  <c r="W50" i="1"/>
  <c r="T50" i="1"/>
  <c r="AE51" i="1" s="1"/>
  <c r="AD51" i="1" s="1"/>
  <c r="W49" i="1"/>
  <c r="T49" i="1"/>
  <c r="W48" i="1"/>
  <c r="T48" i="1"/>
  <c r="W47" i="1"/>
  <c r="T47" i="1"/>
  <c r="W46" i="1"/>
  <c r="T46" i="1"/>
  <c r="AE47" i="1" s="1"/>
  <c r="AD47" i="1" s="1"/>
  <c r="W45" i="1"/>
  <c r="T45" i="1"/>
  <c r="W44" i="1"/>
  <c r="T44" i="1"/>
  <c r="W43" i="1"/>
  <c r="T43" i="1"/>
  <c r="W42" i="1"/>
  <c r="T42" i="1"/>
  <c r="AE43" i="1" s="1"/>
  <c r="AD43" i="1" s="1"/>
  <c r="W41" i="1"/>
  <c r="T41" i="1"/>
  <c r="W40" i="1"/>
  <c r="T40" i="1"/>
  <c r="W39" i="1"/>
  <c r="T39" i="1"/>
  <c r="W38" i="1"/>
  <c r="T38" i="1"/>
  <c r="AE39" i="1" s="1"/>
  <c r="AD39" i="1" s="1"/>
  <c r="W37" i="1"/>
  <c r="T37" i="1"/>
  <c r="W36" i="1"/>
  <c r="T36" i="1"/>
  <c r="W35" i="1"/>
  <c r="T35" i="1"/>
  <c r="W34" i="1"/>
  <c r="T34" i="1"/>
  <c r="AE35" i="1" s="1"/>
  <c r="AD35" i="1" s="1"/>
  <c r="W33" i="1"/>
  <c r="T33" i="1"/>
  <c r="W32" i="1"/>
  <c r="T32" i="1"/>
  <c r="W31" i="1"/>
  <c r="T31" i="1"/>
  <c r="W30" i="1"/>
  <c r="T30" i="1"/>
  <c r="AE31" i="1" s="1"/>
  <c r="AD31" i="1" s="1"/>
  <c r="W29" i="1"/>
  <c r="T29" i="1"/>
  <c r="W28" i="1"/>
  <c r="T28" i="1"/>
  <c r="W27" i="1"/>
  <c r="T27" i="1"/>
  <c r="W26" i="1"/>
  <c r="T26" i="1"/>
  <c r="AE27" i="1" s="1"/>
  <c r="AD27" i="1" s="1"/>
  <c r="W25" i="1"/>
  <c r="T25" i="1"/>
  <c r="W24" i="1"/>
  <c r="T24" i="1"/>
  <c r="W23" i="1"/>
  <c r="T23" i="1"/>
  <c r="W22" i="1"/>
  <c r="T22" i="1"/>
  <c r="AE23" i="1" s="1"/>
  <c r="AD23" i="1" s="1"/>
  <c r="W21" i="1"/>
  <c r="T21" i="1"/>
  <c r="W20" i="1"/>
  <c r="T20" i="1"/>
  <c r="W19" i="1"/>
  <c r="T19" i="1"/>
  <c r="W18" i="1"/>
  <c r="T18" i="1"/>
  <c r="AE19" i="1" s="1"/>
  <c r="AD19" i="1" s="1"/>
  <c r="W17" i="1"/>
  <c r="T17" i="1"/>
  <c r="W16" i="1"/>
  <c r="T16" i="1"/>
  <c r="AE18" i="1" l="1"/>
  <c r="AD18" i="1" s="1"/>
  <c r="AE20" i="1"/>
  <c r="AD20" i="1" s="1"/>
  <c r="AE24" i="1"/>
  <c r="AD24" i="1" s="1"/>
  <c r="AE30" i="1"/>
  <c r="AD30" i="1" s="1"/>
  <c r="AE32" i="1"/>
  <c r="AD32" i="1" s="1"/>
  <c r="AE36" i="1"/>
  <c r="AD36" i="1" s="1"/>
  <c r="AE38" i="1"/>
  <c r="AD38" i="1" s="1"/>
  <c r="AE42" i="1"/>
  <c r="AD42" i="1" s="1"/>
  <c r="AE44" i="1"/>
  <c r="AD44" i="1" s="1"/>
  <c r="AE48" i="1"/>
  <c r="AD48" i="1" s="1"/>
  <c r="AE50" i="1"/>
  <c r="AD50" i="1" s="1"/>
  <c r="AE54" i="1"/>
  <c r="AD54" i="1" s="1"/>
  <c r="AE62" i="1"/>
  <c r="AD62" i="1" s="1"/>
  <c r="AE26" i="1"/>
  <c r="AD26" i="1" s="1"/>
  <c r="AE66" i="1"/>
  <c r="AD66" i="1" s="1"/>
  <c r="AE63" i="1"/>
  <c r="AD63" i="1" s="1"/>
  <c r="AE56" i="1"/>
  <c r="AD56" i="1" s="1"/>
  <c r="AE60" i="1"/>
  <c r="AD60" i="1" s="1"/>
  <c r="AE68" i="1"/>
  <c r="AD68" i="1" s="1"/>
  <c r="AE17" i="1"/>
  <c r="AD17" i="1" s="1"/>
  <c r="AE21" i="1"/>
  <c r="AD21" i="1" s="1"/>
  <c r="AE25" i="1"/>
  <c r="AD25" i="1" s="1"/>
  <c r="AE29" i="1"/>
  <c r="AD29" i="1" s="1"/>
  <c r="AE33" i="1"/>
  <c r="AD33" i="1" s="1"/>
  <c r="AE37" i="1"/>
  <c r="AD37" i="1" s="1"/>
  <c r="AE41" i="1"/>
  <c r="AD41" i="1" s="1"/>
  <c r="AE45" i="1"/>
  <c r="AD45" i="1" s="1"/>
  <c r="AE49" i="1"/>
  <c r="AD49" i="1" s="1"/>
  <c r="AE53" i="1"/>
  <c r="AD53" i="1" s="1"/>
  <c r="AE57" i="1"/>
  <c r="AD57" i="1" s="1"/>
  <c r="AE61" i="1"/>
  <c r="AD61" i="1" s="1"/>
  <c r="AE65" i="1"/>
  <c r="AD65" i="1" s="1"/>
  <c r="AE69" i="1"/>
  <c r="AD69" i="1" s="1"/>
  <c r="AA64" i="1"/>
  <c r="AA66" i="1"/>
  <c r="AA68" i="1"/>
  <c r="AE64" i="1"/>
  <c r="AD64" i="1" s="1"/>
  <c r="AA65" i="1"/>
  <c r="AA67" i="1"/>
  <c r="AA69" i="1"/>
  <c r="AA58" i="1"/>
  <c r="AA60" i="1"/>
  <c r="AA62" i="1"/>
  <c r="AE58" i="1"/>
  <c r="AD58" i="1" s="1"/>
  <c r="AA59" i="1"/>
  <c r="AA61" i="1"/>
  <c r="AA63" i="1"/>
  <c r="AA52" i="1"/>
  <c r="AA54" i="1"/>
  <c r="AA56" i="1"/>
  <c r="AE52" i="1"/>
  <c r="AD52" i="1" s="1"/>
  <c r="AA53" i="1"/>
  <c r="AA55" i="1"/>
  <c r="AA57" i="1"/>
  <c r="AA46" i="1"/>
  <c r="AA48" i="1"/>
  <c r="AA50" i="1"/>
  <c r="AE46" i="1"/>
  <c r="AD46" i="1" s="1"/>
  <c r="AA47" i="1"/>
  <c r="AA49" i="1"/>
  <c r="AA51" i="1"/>
  <c r="AA40" i="1"/>
  <c r="AA42" i="1"/>
  <c r="AA44" i="1"/>
  <c r="AE40" i="1"/>
  <c r="AD40" i="1" s="1"/>
  <c r="AA41" i="1"/>
  <c r="AA43" i="1"/>
  <c r="AA45" i="1"/>
  <c r="AA34" i="1"/>
  <c r="AA36" i="1"/>
  <c r="AA38" i="1"/>
  <c r="AE34" i="1"/>
  <c r="AD34" i="1" s="1"/>
  <c r="AA35" i="1"/>
  <c r="AA37" i="1"/>
  <c r="AA39" i="1"/>
  <c r="AA28" i="1"/>
  <c r="AA30" i="1"/>
  <c r="AA32" i="1"/>
  <c r="AE28" i="1"/>
  <c r="AD28" i="1" s="1"/>
  <c r="AA29" i="1"/>
  <c r="AA31" i="1"/>
  <c r="AA33" i="1"/>
  <c r="AA22" i="1"/>
  <c r="AA24" i="1"/>
  <c r="AA26" i="1"/>
  <c r="AE22" i="1"/>
  <c r="AD22" i="1" s="1"/>
  <c r="AA23" i="1"/>
  <c r="AA25" i="1"/>
  <c r="AA27" i="1"/>
  <c r="AA16" i="1"/>
  <c r="AA18" i="1"/>
  <c r="AA20" i="1"/>
  <c r="AA17" i="1"/>
  <c r="AA19" i="1"/>
  <c r="AA21" i="1"/>
  <c r="AC69" i="1" l="1"/>
  <c r="AB69" i="1"/>
  <c r="AF69" i="1" s="1"/>
  <c r="AC67" i="1"/>
  <c r="AB67" i="1"/>
  <c r="AF67" i="1" s="1"/>
  <c r="AC65" i="1"/>
  <c r="AB65" i="1"/>
  <c r="AF65" i="1" s="1"/>
  <c r="AC68" i="1"/>
  <c r="AB68" i="1"/>
  <c r="AF68" i="1" s="1"/>
  <c r="AC66" i="1"/>
  <c r="AB66" i="1"/>
  <c r="AF66" i="1" s="1"/>
  <c r="AC64" i="1"/>
  <c r="AB64" i="1"/>
  <c r="AF64" i="1" s="1"/>
  <c r="AC63" i="1"/>
  <c r="AB63" i="1"/>
  <c r="AF63" i="1" s="1"/>
  <c r="AC61" i="1"/>
  <c r="AB61" i="1"/>
  <c r="AF61" i="1" s="1"/>
  <c r="AC59" i="1"/>
  <c r="AB59" i="1"/>
  <c r="AF59" i="1" s="1"/>
  <c r="AC62" i="1"/>
  <c r="AB62" i="1"/>
  <c r="AF62" i="1" s="1"/>
  <c r="AC60" i="1"/>
  <c r="AB60" i="1"/>
  <c r="AF60" i="1" s="1"/>
  <c r="AC58" i="1"/>
  <c r="AB58" i="1"/>
  <c r="AF58" i="1" s="1"/>
  <c r="AC57" i="1"/>
  <c r="AB57" i="1"/>
  <c r="AF57" i="1" s="1"/>
  <c r="AC55" i="1"/>
  <c r="AB55" i="1"/>
  <c r="AF55" i="1" s="1"/>
  <c r="AC53" i="1"/>
  <c r="AB53" i="1"/>
  <c r="AF53" i="1" s="1"/>
  <c r="AC56" i="1"/>
  <c r="AB56" i="1"/>
  <c r="AF56" i="1" s="1"/>
  <c r="AC54" i="1"/>
  <c r="AB54" i="1"/>
  <c r="AF54" i="1" s="1"/>
  <c r="AC52" i="1"/>
  <c r="AB52" i="1"/>
  <c r="AF52" i="1" s="1"/>
  <c r="AC51" i="1"/>
  <c r="AB51" i="1"/>
  <c r="AF51" i="1" s="1"/>
  <c r="AC49" i="1"/>
  <c r="AB49" i="1"/>
  <c r="AF49" i="1" s="1"/>
  <c r="AC47" i="1"/>
  <c r="AB47" i="1"/>
  <c r="AF47" i="1" s="1"/>
  <c r="AC50" i="1"/>
  <c r="AB50" i="1"/>
  <c r="AF50" i="1" s="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F35" i="1" s="1"/>
  <c r="AB38" i="1"/>
  <c r="AF38" i="1" s="1"/>
  <c r="AC38" i="1"/>
  <c r="AB36" i="1"/>
  <c r="AF36" i="1" s="1"/>
  <c r="AC36" i="1"/>
  <c r="AC34" i="1"/>
  <c r="AB34" i="1"/>
  <c r="AF34" i="1" s="1"/>
  <c r="AC33" i="1"/>
  <c r="AB33" i="1"/>
  <c r="AF33" i="1" s="1"/>
  <c r="AC31" i="1"/>
  <c r="AB31" i="1"/>
  <c r="AF31" i="1" s="1"/>
  <c r="AC29" i="1"/>
  <c r="AB29" i="1"/>
  <c r="AF29" i="1" s="1"/>
  <c r="AC32" i="1"/>
  <c r="AB32" i="1"/>
  <c r="AF32" i="1" s="1"/>
  <c r="AC30" i="1"/>
  <c r="AB30" i="1"/>
  <c r="AF30" i="1" s="1"/>
  <c r="AC28" i="1"/>
  <c r="AB28" i="1"/>
  <c r="AF28" i="1" s="1"/>
  <c r="AC25" i="1"/>
  <c r="AB25" i="1"/>
  <c r="AF25" i="1" s="1"/>
  <c r="AC23" i="1"/>
  <c r="AB23" i="1"/>
  <c r="AF23" i="1" s="1"/>
  <c r="AC26" i="1"/>
  <c r="AB26" i="1"/>
  <c r="AF26" i="1" s="1"/>
  <c r="AC27" i="1"/>
  <c r="AB27" i="1"/>
  <c r="AF27" i="1" s="1"/>
  <c r="AC24" i="1"/>
  <c r="AB24" i="1"/>
  <c r="AF24" i="1" s="1"/>
  <c r="AC22" i="1"/>
  <c r="AB22" i="1"/>
  <c r="AF22" i="1" s="1"/>
  <c r="AC21" i="1"/>
  <c r="AB21" i="1"/>
  <c r="AF21" i="1" s="1"/>
  <c r="AC19" i="1"/>
  <c r="AB19" i="1"/>
  <c r="AF19" i="1" s="1"/>
  <c r="AC20" i="1"/>
  <c r="AB20" i="1"/>
  <c r="AF20" i="1" s="1"/>
  <c r="AC18" i="1"/>
  <c r="AB18" i="1"/>
  <c r="AF18" i="1" s="1"/>
  <c r="AC17" i="1"/>
  <c r="AB17" i="1"/>
  <c r="AF17" i="1" s="1"/>
  <c r="AC16" i="1"/>
  <c r="AB16" i="1"/>
  <c r="K10" i="1" l="1"/>
  <c r="K22" i="1"/>
  <c r="L22" i="1" s="1"/>
  <c r="K28" i="1"/>
  <c r="K34" i="1"/>
  <c r="L34" i="1" s="1"/>
  <c r="K40" i="1"/>
  <c r="L40" i="1" s="1"/>
  <c r="K46" i="1"/>
  <c r="L46" i="1" s="1"/>
  <c r="K52" i="1"/>
  <c r="L52" i="1" s="1"/>
  <c r="K58" i="1"/>
  <c r="L58" i="1" s="1"/>
  <c r="K64" i="1"/>
  <c r="L64" i="1" s="1"/>
  <c r="W12" i="1"/>
  <c r="W13" i="1"/>
  <c r="W14" i="1"/>
  <c r="W15" i="1"/>
  <c r="W11" i="1"/>
  <c r="N57" i="1"/>
  <c r="N69" i="1"/>
  <c r="N65" i="1"/>
  <c r="N53" i="1"/>
  <c r="N54" i="1"/>
  <c r="N23" i="1"/>
  <c r="N45" i="1"/>
  <c r="N33" i="1"/>
  <c r="N32" i="1"/>
  <c r="N35" i="1"/>
  <c r="N47" i="1"/>
  <c r="N29" i="1"/>
  <c r="N66" i="1"/>
  <c r="N42" i="1"/>
  <c r="N50" i="1"/>
  <c r="N48" i="1"/>
  <c r="N63" i="1"/>
  <c r="N31" i="1"/>
  <c r="N55" i="1"/>
  <c r="N51" i="1"/>
  <c r="N59" i="1"/>
  <c r="N68" i="1"/>
  <c r="N36" i="1"/>
  <c r="N49" i="1"/>
  <c r="N27" i="1"/>
  <c r="N24" i="1"/>
  <c r="N37" i="1"/>
  <c r="N25" i="1"/>
  <c r="N67" i="1"/>
  <c r="N39" i="1"/>
  <c r="N26" i="1"/>
  <c r="N41" i="1"/>
  <c r="N62" i="1"/>
  <c r="N43" i="1"/>
  <c r="N30" i="1"/>
  <c r="N60" i="1"/>
  <c r="N56" i="1"/>
  <c r="N44" i="1"/>
  <c r="N61" i="1"/>
  <c r="N38" i="1"/>
  <c r="L28" i="1" l="1"/>
  <c r="T11" i="1" l="1"/>
  <c r="F217" i="13"/>
  <c r="T12" i="1"/>
  <c r="T13" i="1"/>
  <c r="T14" i="1"/>
  <c r="T15" i="1"/>
  <c r="W10" i="1" l="1"/>
  <c r="T10" i="1"/>
  <c r="L10" i="1" l="1"/>
  <c r="N19" i="1"/>
  <c r="N17" i="1"/>
  <c r="N18" i="1"/>
  <c r="N21" i="1"/>
  <c r="N20" i="1"/>
  <c r="F221" i="13" l="1"/>
  <c r="F211" i="13"/>
  <c r="F212" i="13"/>
  <c r="F213" i="13"/>
  <c r="F214" i="13"/>
  <c r="F215" i="13"/>
  <c r="F216" i="13"/>
  <c r="F218" i="13"/>
  <c r="F219" i="13"/>
  <c r="F220" i="13"/>
  <c r="F210" i="13"/>
  <c r="N13" i="1"/>
  <c r="B221" i="13" a="1"/>
  <c r="N14" i="1"/>
  <c r="N11" i="1"/>
  <c r="N12" i="1"/>
  <c r="N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6" i="1" l="1"/>
  <c r="L16"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AA11" i="1" s="1"/>
  <c r="AC11" i="1" l="1"/>
  <c r="AA12" i="1" s="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12" i="1" l="1"/>
  <c r="AA13" i="1" s="1"/>
  <c r="AB12"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13" i="1" l="1"/>
  <c r="AC13" i="1"/>
  <c r="AA14"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C14" i="1" l="1"/>
  <c r="AA15" i="1" s="1"/>
  <c r="AB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C15" i="1" l="1"/>
  <c r="AB15"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2" i="1" l="1"/>
  <c r="O22" i="1" s="1"/>
  <c r="N28" i="1"/>
  <c r="O28" i="1" s="1"/>
  <c r="N34" i="1"/>
  <c r="O34" i="1" s="1"/>
  <c r="N40" i="1"/>
  <c r="O40" i="1" s="1"/>
  <c r="N46" i="1"/>
  <c r="O46" i="1" s="1"/>
  <c r="N52" i="1"/>
  <c r="O52" i="1" s="1"/>
  <c r="N58" i="1"/>
  <c r="O58" i="1" s="1"/>
  <c r="N64" i="1"/>
  <c r="O64" i="1" s="1"/>
  <c r="N16" i="1"/>
  <c r="O16"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AD16" i="1" s="1"/>
  <c r="AF16" i="1" s="1"/>
  <c r="L30" i="18"/>
  <c r="AJ14" i="18"/>
  <c r="L14" i="18"/>
  <c r="X38" i="18"/>
  <c r="L22" i="18"/>
  <c r="AD30" i="18"/>
  <c r="AJ22" i="18"/>
  <c r="X14" i="18"/>
  <c r="X6" i="18"/>
  <c r="R22" i="18"/>
  <c r="L6" i="18"/>
  <c r="X22" i="18"/>
  <c r="P64" i="1"/>
  <c r="Q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8" i="1"/>
  <c r="Q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2" i="1"/>
  <c r="P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6" i="1"/>
  <c r="Q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40" i="1"/>
  <c r="P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4" i="1"/>
  <c r="P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2" i="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J26" i="19" l="1"/>
  <c r="AH26" i="19"/>
  <c r="J36" i="19"/>
  <c r="J46" i="19"/>
  <c r="AH46" i="19"/>
  <c r="P46" i="19"/>
  <c r="AB6" i="19"/>
  <c r="AF10" i="1"/>
  <c r="P26" i="19"/>
  <c r="V16" i="19"/>
  <c r="J16" i="19"/>
  <c r="AB16" i="19"/>
  <c r="J6" i="19"/>
  <c r="V26" i="19"/>
  <c r="AH6" i="19"/>
  <c r="P16" i="19"/>
  <c r="AB26" i="19"/>
  <c r="AB46" i="19"/>
  <c r="AH16" i="19"/>
  <c r="V46" i="19"/>
  <c r="P6" i="19"/>
  <c r="AB36" i="19"/>
  <c r="V36" i="19"/>
  <c r="AH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E14"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D14" i="1"/>
  <c r="AE15" i="1"/>
  <c r="AD15" i="1" s="1"/>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F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F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Bulla</author>
  </authors>
  <commentList>
    <comment ref="J10" authorId="0" shapeId="0" xr:uid="{02DEC5CE-3A07-694D-B9C0-ABD280FEDC8E}">
      <text>
        <r>
          <rPr>
            <b/>
            <sz val="10"/>
            <color rgb="FF000000"/>
            <rFont val="Tahoma"/>
            <family val="2"/>
          </rPr>
          <t>Natalia Bulla:</t>
        </r>
        <r>
          <rPr>
            <sz val="10"/>
            <color rgb="FF000000"/>
            <rFont val="Tahoma"/>
            <family val="2"/>
          </rPr>
          <t xml:space="preserve"> número de series por el numero de dias habiles por vigencia</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<sst xmlns="http://schemas.openxmlformats.org/spreadsheetml/2006/main" count="521" uniqueCount="367">
  <si>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</si>
  <si>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</si>
  <si>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</si>
  <si>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</si>
  <si>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</si>
  <si>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</si>
  <si>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</si>
  <si>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</si>
  <si>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</si>
  <si>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</si>
  <si>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</si>
  <si>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</si>
  <si>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</si>
  <si>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</si>
  <si>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</si>
  <si>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</si>
  <si>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</si>
  <si>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</si>
  <si>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</si>
  <si>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</si>
  <si>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</si>
  <si>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</si>
  <si>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</si>
  <si>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</si>
  <si>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</si>
  <si>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</si>
  <si>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</si>
  <si>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</si>
  <si>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</si>
  <si>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</si>
  <si>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</si>
  <si>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</si>
  <si>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</si>
  <si>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</si>
  <si>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</si>
  <si>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</si>
  <si>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</si>
  <si>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</si>
  <si>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</si>
  <si>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</si>
  <si>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</si>
  <si>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</si>
  <si>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</si>
  <si>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</si>
  <si>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</si>
  <si>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</si>
  <si>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</si>
  <si>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</si>
  <si>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</si>
  <si>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</si>
  <si>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</si>
  <si>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</si>
  <si>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</si>
  <si>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</si>
  <si>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</si>
  <si>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</si>
  <si>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</si>
  <si>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</si>
  <si>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</si>
  <si>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</si>
  <si>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</si>
  <si>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</si>
  <si>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</si>
  <si>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</si>
  <si>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</si>
  <si>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</si>
  <si>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</si>
  <si>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</si>
  <si>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</si>
  <si>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</si>
  <si>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</si>
  <si>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</si>
  <si>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</si>
  <si>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</si>
  <si>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</si>
  <si>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</si>
  <si>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</si>
  <si>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</si>
  <si>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</si>
  <si>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</si>
  <si>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</si>
  <si>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</si>
  <si>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</si>
  <si>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</si>
  <si>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</si>
  <si>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</si>
  <si>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</si>
  <si>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</si>
  <si>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</si>
  <si>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</si>
  <si>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</si>
  <si>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</si>
  <si>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</si>
  <si>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</si>
  <si>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</si>
  <si>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</si>
  <si>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</si>
  <si>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</si>
  <si>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</si>
  <si>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</si>
  <si>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</si>
  <si>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</si>
  <si>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</si>
  <si>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</si>
  <si>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</si>
  <si>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</si>
  <si>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</si>
  <si>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</si>
  <si>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</si>
  <si>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</si>
  <si>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</si>
  <si>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</si>
  <si>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</si>
  <si>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</si>
  <si>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</si>
  <si>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</si>
  <si>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</si>
  <si>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</si>
  <si>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</si>
  <si>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</si>
  <si>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</si>
  <si>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</si>
  <si>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</si>
  <si>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</si>
  <si>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</si>
  <si>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</si>
  <si>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</si>
  <si>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</si>
  <si>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</si>
  <si>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</si>
  <si>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</si>
  <si>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</si>
  <si>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</si>
  <si>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</si>
  <si>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</si>
  <si>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</si>
  <si>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</si>
  <si>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</si>
  <si>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</si>
  <si>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</si>
  <si>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</si>
  <si>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</si>
  <si>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</si>
  <si>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</si>
  <si>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</si>
  <si>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</si>
  <si>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</si>
  <si>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</si>
  <si>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</si>
  <si>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</si>
  <si>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</si>
  <si>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</si>
  <si>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</si>
  <si>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</si>
  <si>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</si>
  <si>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</si>
  <si>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</si>
  <si>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</si>
  <si>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</si>
  <si>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</si>
  <si>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</si>
  <si>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</si>
  <si>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</si>
  <si>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</si>
  <si>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</si>
  <si>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</si>
  <si>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</si>
  <si>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</si>
  <si>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</si>
  <si>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</si>
  <si>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</si>
  <si>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</si>
  <si>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</si>
  <si>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</si>
  <si>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</si>
  <si>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</si>
  <si>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</si>
  <si>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</si>
  <si>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</si>
  <si>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</si>
  <si>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</si>
  <si>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</si>
  <si>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</si>
  <si>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</si>
  <si>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</si>
  <si>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</si>
  <si>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</si>
  <si>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</si>
  <si>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</si>
  <si>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</si>
  <si>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</si>
  <si>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</si>
  <si>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</si>
  <si>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</si>
  <si>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</si>
  <si>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</si>
  <si>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</si>
  <si>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</si>
  <si>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</si>
  <si>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</si>
  <si>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</si>
  <si>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</si>
  <si>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</si>
  <si>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</si>
  <si>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</si>
  <si>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</si>
  <si>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</si>
  <si>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</si>
  <si>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</si>
  <si>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</si>
  <si>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</si>
  <si>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</si>
  <si>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</si>
  <si>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</si>
  <si>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</si>
  <si>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</si>
  <si>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</si>
  <si>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</si>
  <si>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</si>
  <si>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</si>
  <si>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</si>
  <si>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</si>
  <si>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</si>
  <si>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TECNOLÓGICOS</t>
  </si>
  <si>
    <t>AMBIENTALES</t>
  </si>
  <si>
    <t>OTROS</t>
  </si>
  <si>
    <t xml:space="preserve">Versión: </t>
  </si>
  <si>
    <t xml:space="preserve">Fecha: </t>
  </si>
  <si>
    <t xml:space="preserve">Pagina:  </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</si>
  <si>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</si>
  <si>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</si>
  <si>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</si>
  <si>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</si>
  <si>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</si>
  <si>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</si>
  <si>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</si>
  <si>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</si>
  <si>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</si>
  <si>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</si>
  <si>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</si>
  <si>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</si>
  <si>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</si>
  <si>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</si>
  <si>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</si>
  <si>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</si>
  <si>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</si>
  <si>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</si>
  <si>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</si>
  <si>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</si>
  <si>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</si>
  <si>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</si>
  <si>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</si>
  <si>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</si>
  <si>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</si>
  <si>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</si>
  <si>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</si>
  <si>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</si>
  <si>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</si>
  <si>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</si>
  <si>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</si>
  <si>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</si>
  <si>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</si>
  <si>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</si>
  <si>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 xml:space="preserve">Codigo: </t>
  </si>
  <si>
    <t>Tipo de Riesgos</t>
  </si>
  <si>
    <t xml:space="preserve">PROCESO: SISTEMA INTEGRADO DE GESTIÓN </t>
  </si>
  <si>
    <t>Codigo:FOR-029-PRO-SIG-01</t>
  </si>
  <si>
    <t>Versión: 01</t>
  </si>
  <si>
    <t>Fecha: 21/02/2024</t>
  </si>
  <si>
    <t>Pagina:  1 de 1</t>
  </si>
  <si>
    <t>Fecha:21/02/2024</t>
  </si>
  <si>
    <t>PROCESO: GESTIÓN DOCUMENTAL</t>
  </si>
  <si>
    <t>LEGALES Y REGLAMENTARIOS</t>
  </si>
  <si>
    <t>Constante cambio de normatividad vigente a nivel nacional</t>
  </si>
  <si>
    <t>FINANCIEROS</t>
  </si>
  <si>
    <t>Asignación  presupuestal de funcionamiento e inversión para administrar la documentación  de la administración municipal</t>
  </si>
  <si>
    <t>TRANSVERSALIDAD</t>
  </si>
  <si>
    <t>aplicación de manuales, procedimientos y formatos en los archivos de gestión establecidos en el proceso de gestión documental por parte de las unidades administrativas</t>
  </si>
  <si>
    <t>Cambios de gobierno</t>
  </si>
  <si>
    <t>PERSONAL DE LA ENTIDAD (Capacidad del personal, políticas de manejo del talento humano, idoneidad)</t>
  </si>
  <si>
    <t>competencia e idoneidad del personal contratado frente al manejo del proceso de Gestión Documental en las Unidades Administrativas</t>
  </si>
  <si>
    <t>ARTICULACIÓN DE LOS PROCESOS</t>
  </si>
  <si>
    <t xml:space="preserve"> socialización y publicación  de documentos actualizados</t>
  </si>
  <si>
    <t>Idiosincrasia ciudadana -  soborno de ciudadanos para beneficio personal</t>
  </si>
  <si>
    <t>aplicación de los principios y valores establecido en el código y Integridad y Buen Gobierno</t>
  </si>
  <si>
    <t>COMUNICACIÓN ENTRE LOS PROCESOS</t>
  </si>
  <si>
    <t xml:space="preserve"> fluidez en los canales de comunicación y respuesta entre los procesos</t>
  </si>
  <si>
    <t>ECONÓMICOS Y FINANCIEROS</t>
  </si>
  <si>
    <t>Presupuesto destinado al proceso</t>
  </si>
  <si>
    <t>TECNOLOGÍA (integridad de datos, disponibilidad de datos y sistemas, desarrollo, producción, mantenimiento de sistemas de información)</t>
  </si>
  <si>
    <t xml:space="preserve">herramientas tecnológicas que garanticen el acceso oportuno, disponibilidad y conservación de la información mantenimiento preventivo a los mismos </t>
  </si>
  <si>
    <t>RESPONSABLES DEL PROCESO</t>
  </si>
  <si>
    <t>Compromiso con la aplicación de los procesos de gestión documental.</t>
  </si>
  <si>
    <t>Constante innovación tecnológica</t>
  </si>
  <si>
    <t>COMMUNICACIÓN INTERNA</t>
  </si>
  <si>
    <t>Diferentes canales de comunicación al interior de la entidad</t>
  </si>
  <si>
    <t>NORMATIVIDAD</t>
  </si>
  <si>
    <t>Aplicación de la normatividad vigente en las unidades administrativas.</t>
  </si>
  <si>
    <t>fenómenos
naturales.</t>
  </si>
  <si>
    <t>ESTRATÉGICOS</t>
  </si>
  <si>
    <t>Relevancia en la implementación, cumplimiento y seguimiento  del proceso de gestión documental en las unidades administrativas</t>
  </si>
  <si>
    <t>FACTORES GEOGRÁFICOS (ubicación, espacio,topografía, clima, recursos naturales, etc.)</t>
  </si>
  <si>
    <t>ubicación de depósitos y áreas de archivo</t>
  </si>
  <si>
    <t>compromiso y responsabilidad de los funcionarios  frente al desarrollo y cumplimiento de las actividades del  proceso en la unidades administrativas.</t>
  </si>
  <si>
    <t>PROCESOS OPERATIVOS</t>
  </si>
  <si>
    <t>Proceso de capacitación, inducción, reinducción en las unidades administrativas en cuanto al  proceso de gestión documental</t>
  </si>
  <si>
    <t>condiciones inadecuadas de almacenamiento</t>
  </si>
  <si>
    <t>Capacidad de almacenamiento de archivo dentro de las unidades administrativas</t>
  </si>
  <si>
    <t>x</t>
  </si>
  <si>
    <t>La administración cuenta con un sistema integrado de gestión -SIGAMI implementado con información disponible y de fácil acceso</t>
  </si>
  <si>
    <t xml:space="preserve">La alcaldía cuenta con procesos, procedimientos, manuales documentados, herramientas, formatos actualizados y publicados </t>
  </si>
  <si>
    <t>La entidad cuenta con una política de gestión documental aprobada, publicada,  articuladas con el Modelo Integrado de Planeación – MIPG,  implementando el Modelo de Gestión Documental  y Administración de archivos</t>
  </si>
  <si>
    <t>El grupo de gestión documental esta creado dentro de la estructura orgánica de la administración con personal de planta con perfil idóneo</t>
  </si>
  <si>
    <t>la entidad cuenta con un equipo interno de archivo para aprobación de documentos, formatos en articulación con SIGAMI</t>
  </si>
  <si>
    <t>Se cuenta con una Plataforma Integrada de Sistemas - PISAMI.</t>
  </si>
  <si>
    <t>Se cuenta con un proyecto de inversión pública y rubro presupuestal que garantiza el cubrimiento de las necesidades planeadas en la implementación del proceso</t>
  </si>
  <si>
    <t>Compromiso institucional por parte de la alta dirección de la administración municipal</t>
  </si>
  <si>
    <t xml:space="preserve">La entidad cuenta con la ejecución del Plan Institucional de Capacitación -PIC </t>
  </si>
  <si>
    <t>Entidades que brindan procesos de capacitación formal y no formal de fácil accesibilidad dentro de la red interinstitucional de capacitación, ofrecida por instituciones publicas (SENA-ESAP-AGN)</t>
  </si>
  <si>
    <t xml:space="preserve"> Dar a conocer a través de diferentes canales de comunicación institucional la oferta  de   capacitación de la red interinstitucional, las herramientas técnicas y el material de apoyo  disponible de las entidades del Estado  a los funcionarios y contratistas	</t>
  </si>
  <si>
    <t>Gestionar con la dirección de talento humano la inclusión en el PIC de cursos, talleres o diplomados ofertados por la red interinstitucional, en temática de gestión documental</t>
  </si>
  <si>
    <t>Asistencia técnica y acompañamiento por parte del Archivo General de la Nación AGN, a través del enlace territorial</t>
  </si>
  <si>
    <r>
      <t xml:space="preserve"> </t>
    </r>
    <r>
      <rPr>
        <sz val="11"/>
        <color theme="1"/>
        <rFont val="Arial"/>
        <family val="2"/>
      </rPr>
      <t>Vincular personal con perfiles idóneos de acuerdo a las necesidades del proceso de gestión documental</t>
    </r>
  </si>
  <si>
    <r>
      <rPr>
        <b/>
        <sz val="11"/>
        <color theme="1"/>
        <rFont val="Arial"/>
        <family val="2"/>
      </rPr>
      <t xml:space="preserve"> </t>
    </r>
    <r>
      <rPr>
        <sz val="11"/>
        <color theme="1"/>
        <rFont val="Arial"/>
        <family val="2"/>
      </rPr>
      <t>Mantener la vinculación de personal con perfiles idóneos de acuerdo a las necesidades del proceso de gestión documental</t>
    </r>
  </si>
  <si>
    <t>Disponibilidad de herramientas y material de apoyo de gestión documental y otros suministrado por entidades del estado a través del uso de tecnología (paginas web, plataformas)</t>
  </si>
  <si>
    <t xml:space="preserve">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t>
  </si>
  <si>
    <t>Hacer uso del beneficio de la asistencia técnica, orientación y acompañamiento del AGN a través del enlace territorial</t>
  </si>
  <si>
    <r>
      <rPr>
        <sz val="11"/>
        <color theme="1"/>
        <rFont val="Arial"/>
        <family val="2"/>
      </rPr>
      <t>Oferta de personal en la región ( profesional, tecnólogo, técnico)  con perfil (bibliotecólogos, otros perfiles</t>
    </r>
    <r>
      <rPr>
        <sz val="11"/>
        <color theme="1"/>
        <rFont val="Arial"/>
        <family val="2"/>
      </rPr>
      <t xml:space="preserve"> ) con </t>
    </r>
    <r>
      <rPr>
        <sz val="11"/>
        <color theme="1"/>
        <rFont val="Arial"/>
        <family val="2"/>
      </rPr>
      <t>competencias y experiencia acorde a las necesidades demandadas</t>
    </r>
  </si>
  <si>
    <t>Adquisición, adecuación de depósitos y dotación de archivo conforme a los requisitos normativos</t>
  </si>
  <si>
    <t>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t>
  </si>
  <si>
    <t xml:space="preserve">Constante actualización de instrumentos y herramientas técnicas que facilitan a apropiación del conocimiento  del proceso de gestión documental  </t>
  </si>
  <si>
    <t>Realizar reunión semestral con el grupo de gestión documental para socializar y fomentar los valores del código de integridad y buen gobierno</t>
  </si>
  <si>
    <t>Flexibilidad del estado en la planeación del presupuesto del municipio para el fortalecimiento institucional</t>
  </si>
  <si>
    <t>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t>
  </si>
  <si>
    <t>Fortalecer las competencias, conocimientos y habilidades de los servidores públicos  a través  de  la inclusión  de  capacitaciones  en el PIC , en las siguientes temáticas  ( aplicación de TRD, elaboración  de inventario documental -FUID, hoja de control, uso del formato de control de préstamo de documentos, procedimiento consulta y préstamo de documentos, guía reconstrucción de expedientes</t>
  </si>
  <si>
    <r>
      <rPr>
        <b/>
        <sz val="11"/>
        <color theme="1"/>
        <rFont val="Arial"/>
        <family val="2"/>
      </rPr>
      <t xml:space="preserve"> </t>
    </r>
    <r>
      <rPr>
        <sz val="11"/>
        <color theme="1"/>
        <rFont val="Arial"/>
        <family val="2"/>
      </rPr>
      <t>Coordinar con la dirección de talento Humano el seguimiento a la interiorización de principios y valores del código de integridad que contribuyan a mitigar la causa generadora del riesgo</t>
    </r>
  </si>
  <si>
    <t>Solicitar evidencias de capacitación en la socialización de la  política anti soborno a los servidores públicos, buscando  prevenir y prohibir cualquier intento o acto de soborno en el manejo documental</t>
  </si>
  <si>
    <t>Realizar visitas de  verificación y seguimiento  al proceso y procedimientos de  gestión documental por parte del grupo de gestión documental</t>
  </si>
  <si>
    <t>Realizar la verificación que las unidades administrativas cuenten con archivos de gestión organizados solicitando reportar al correo institucional de gestión documental, los inventarios documentales (FUID) de sus archivos de gestión conforme al procedimiento establecido</t>
  </si>
  <si>
    <t xml:space="preserve">Revisión periodica de la normatividad con el fin de tener actualizado el normograma del proceso </t>
  </si>
  <si>
    <t>Perdida de Informacion</t>
  </si>
  <si>
    <t xml:space="preserve">
Baja aplicación en los procesos de organización documental a la totalidad de los archivos de la administración Municipal.</t>
  </si>
  <si>
    <t xml:space="preserve"> Bajo compromiso y responsabilidad de los funcionarios frente al desarrollo y cumplimiento de las actividades del proceso en las unidades administrativas.</t>
  </si>
  <si>
    <t xml:space="preserve">Deficiencia en el control de prestamo de los documentos en las unidades administrativas </t>
  </si>
  <si>
    <t>Gestión</t>
  </si>
  <si>
    <t xml:space="preserve">"Politica operacional del proceso Gestion Documental
y
Procedimiento gestion de bienes y servicios para el funcionamiento de la administracion central.                                                         PRO-GD-006 ORGANIZACIÓN DE DOCUMENTOS DE ARCHIVO DE GESTION – EXPEDIENTES FISICOS. 
GUI-GD-03-GUIA PARA EL DILIGECIAMIENTO DEL FUID. 
GUI-GD-05-GUIA PARA LAS TRANSFERENCIAS PRIMARIAS. 
PGR-GD-01 PROGRAMA DE GESTIÓN DOCUMENTAL.  
MAN-GD- 01 MANUAL DE ARCHIVO Y CORRESPONDENCIA.                        CONSULTA Y PRESTAMO DE DOCUMENTOS "
</t>
  </si>
  <si>
    <t>El lider de gestion documental o profesional asignado anualmente ejecuta seguimiento según el cronograma establecido a las unidades administrativas verificando que la persona encargada de la custodia de los archivos diligencie el formato de préstamo de documentos en su totalidad, adicionalmente debe registrar la información del prestamo, ubicando los testigos o fichas de afuera en los espacios de los documentos extraidos de sus gavetas o estantes. de igual manera deberá hacer seguimiento periódico de los préstamos de documentos registrados en el formato de control de consulta y préstamo de documentos, y hacer cumplir el tiempo de devolución establecido (máximo 5 días hábiles) y solicitar su devolución.  En caso de desviacion  el responsable de su custodia o el Jefe de la Unidad administrativa debe colocar denuncia de pérdida ante las autoridades competentes y se deberá informar a la dependencia competente sobre esta situación. Así mismo tendrán la obligación de reconstruir el expediente teniendo en cuenta la guía para la reconstrucción de  los mismos, finalmente queda como evidencia el fomato de Analisis y Evaluación de los archivos de Gestión.</t>
  </si>
  <si>
    <t>El lider de gestion documental o profesional asignado anualmente ejecutara un plan de capacitaciones en todas las unidades administrativas con el fin de ensibilizar y capacitar al personal encargado de los archivos de gestión en los procesos archivisticos y la importancia del mismo</t>
  </si>
  <si>
    <t>Grupo de gestion documental</t>
  </si>
  <si>
    <t>01/05/2024 a 28/02/2025</t>
  </si>
  <si>
    <t>30/06/2024
30/08/2024
31/10/2024
31/12/2024
28/02/2025</t>
  </si>
  <si>
    <t xml:space="preserve">"Dirección de Recursos Fisicos
Grupo de Gestión Documental 
</t>
  </si>
  <si>
    <t>Realizar anualmente visitas de seguimiento verificando la correcta aplicación del formato de control de prestamos documentales.</t>
  </si>
  <si>
    <t>Grupo de Gestion Documental</t>
  </si>
  <si>
    <t xml:space="preserve">
Realizar Socializacion y
Capacitaciones a los
Funcionarios de planta y contrato en la aplicación de los
procesos archivisticos.</t>
  </si>
  <si>
    <t>OBJETIVO: IMPLEMENTAR EL PROGRAMA DE GESTIÓN DOCUMENTAL APLICANDO EL MODELO DE GESTION DOCUMENTAL
Y ADMINISTRACIÓN DE ARCHIVOS (MGDA), PARA GARANTIZAR EL ACCESO A LA INFORMACIÓN EN FORMA
OPORTUNA Y PRESERVAR LA MEMORIA INSTITUCIONAL.</t>
  </si>
  <si>
    <t>INICIA CON LA INTERIORIZACIÓN DE UNA CULTURA ARCHIVISTICA Y LA ARTICULACION DE LAS ACTIVIDADES
RELACIONADAS CON EL DISEÑO, PLANEACIÓN, VERIFICACIÓN, APLICACIÓN, MEJORAMIENTO Y
SOSTENIBILIDAD DE LA GESTIÓN DOCUMENTAL, GENERANDO ESTRATEGIAS ORGANIZACIONALES
FINALIZANDO CON EL SEGUIMIENTO Y EVALUACION DEL PROCESO</t>
  </si>
  <si>
    <t xml:space="preserve">
Posibilidad de perdida reputacional debido a la perdida de informacion por la deficiente aplicación en los criterios de organización a la totalidad de los archivos de Gestión para la conservación de la información</t>
  </si>
  <si>
    <t>El lider de Gestión documental o profesional asignado anualmente realiza seguimiento segun el cronograma   establecido a las unidades administrativas verificando que la documentación cuente con el proceso de organización establecido en el acuerdo  01 del 2024  y acorde al procedimiento de organizacion de documentos de archivo de gestion-Expedientes fisicos  frente a las condiciones fisicas que presentan la documentación, en caso de incumplimiento a los criterios archivisiticos establecidos,  la unidad administrativa debe diligenciar el formato de acciones correctivas y de mejora y posteriormente el grupo de gestión documental reporta a la direccion de fortalecimiento institucional y a la oficina de control interno para su respectivo seguimiento. (detectivo)</t>
  </si>
  <si>
    <r>
      <rPr>
        <b/>
        <sz val="12"/>
        <color theme="1"/>
        <rFont val="Arial Narrow"/>
        <family val="2"/>
      </rPr>
      <t>Mayo - Junio 2024</t>
    </r>
    <r>
      <rPr>
        <sz val="12"/>
        <color theme="1"/>
        <rFont val="Arial Narrow"/>
        <family val="2"/>
      </rPr>
      <t xml:space="preserve">
se elabora circular 28 del 22 de mayo del 2024 donde se socializa el cronograma de visitas de seguimiento a las unidades administritivas que presentaron planes de trabajo en la vigencia 2023 Durante este periodo se llevaron a cabo 46 visitas de seguimiento  a las siguientes unidades administrativas: 
</t>
    </r>
    <r>
      <rPr>
        <sz val="12"/>
        <color rgb="FFFF0000"/>
        <rFont val="Arial Narrow"/>
        <family val="2"/>
      </rPr>
      <t>Porcentaje de cumplimiento: 77%</t>
    </r>
    <r>
      <rPr>
        <sz val="12"/>
        <color theme="1"/>
        <rFont val="Arial Narrow"/>
        <family val="2"/>
      </rPr>
      <t xml:space="preserve">
 Despacho Alcalde Oficina de Control Interno Oficina de Control Unico Disciplinario Oficina Jurídica Oficina Contratación Oficina Comunicaciones Grupo Logística y Protocolo Gerencia de Proyectos Despacho Secretaria educativa Grupo Inspección y Vigilancia Dirección Calidad Educativa Grupo Evaluación Dirección Administrativa y Financiera Grupo Talento Humano y SST Despacho planeación Dirección Ordenamiento Territorial Sostenible - OTS Dirección Información y Aplicación de la norma Urbanística - DIANU Dirección planeación del desarollo Dirección Administración del SISBEN Dirección Fortalecimiento Institucional Despacho hacienda Dirección de Presupuesto Dirección Contabilidad Direccion Tecnica Direccion Operativa Despacho administrativa Dirección De Recursos Fìsicos Despacho Cultura Dirección de fomento de las practicas administrativas Despacho gobierno Dirección de justicia Centro de estudios y análisis de convivencia Dirección de participación ciudadana comunitaria Dirección de Infancia, Adolescencia y Juventud Grupo Etnias Despacho secretaria general Dirección de Atención al Ciudadano Despacho TIC Grupo Ciencia Tecnologia e innovaciòn Grupo Infraestructura Tecnologica  
2. Se elabora circualr 005 del 26 de junio de 2024 en donde se solicita planes de trabajo con vigencias 2024 y reportar los inventarior totales de la documentación existente 
3. De acuerdo a circular 35 del 22 de abril del 2024 donde se socializa el cronograma de capaciones en gestión documental 
Durante este periodo se realizan 7 capacitaciones donde se socializa las siguiente tematicas: protocolo para embalaje y traslado de archivos , fundamentos basicos de Gestión Documental e Implementación de TRD: 
Las unidades administrativas capacitadas fueron: GRUPO ALMACEN; GRUPO DE BIENES FISCALES Y DE USO PUBLICO; OFICINA JURIDICA; SECRETARÍA DE SALUD; DIRECCION DE JUSTICIA;  SECRETARÍA DE AMBIENTE Y GESTIÓN 
DEL RIESGO; SECRETARIA DE INFRAESTRUCTURA</t>
    </r>
  </si>
  <si>
    <t xml:space="preserve">
Incumplimiento al acuerdo 01 de 2024 al titulo 6 conservación y preservación de documentos en relación a los aspectos estructurales y de conservación que deben cumplir los depositos de archivo en arrendamiento.</t>
  </si>
  <si>
    <t>El profesional asignado por el director (a) de recursos fisicos para llevar a cabo el proceso contractual para la adquisicion de bienes muebles en arrendamiento y funcionamiento de las unidades administrativas cada vez que se presente una solictud por las areas, verifica  que los bienes muebles a adquirir en arrendamiento cumplan los aspectos estructurales establecidos en la  guia de condiciones fisicas y ambientales para depositos de archivo y el acuerdo 01 del 2024 del AGN  mediante la consulta de los criterios establecidos en los documentos relacionados frente a las condiciones que  presentan en los bienes muebles ofertados, en caso de incumplimiento de estas condiciones se le debe comunicar el rechazo de la oferta al oferente para finalmente dejar como evidencia de aplicacion del control el oficio de aceptación, minuta del contrato y/o estudios previos</t>
  </si>
  <si>
    <t xml:space="preserve">
1. Realizar  y presentar informes semestral de ejecucion  del Sistema Integrado de Conservación ( Programa de inspección y mantenimiento  de sistemas de almacenamiento e instalaciones fisicas )  a la Dirección de Recursos Fisicos.
2. Oficiar y realizar seguimiento a las necesidades de mantenimiento en infraestructura a la directora de recursos fisicos  para la respectiva solución.
3. Verificar la aplicación del procedimiento de Gestión del Cambio cada vez que se  vaya a adquirir un bien en arrendamiento.</t>
  </si>
  <si>
    <t>1. Se presenta informe semestral de ejecución del SIC  
 2. No se realizan actividades relacionadas en este periodo
 3. No se realizan actividades relacionadas en este periodo</t>
  </si>
  <si>
    <t xml:space="preserve"> 3. No se realizan actividades relacionadas en este periodo</t>
  </si>
  <si>
    <t>1. Ejecutar  seguimiento a los archivos de gestion segun cronograma establecido, Verificando que todas las unidades administrativas cuenten con el proceso de organización documental (Ordenación, clasifición y descripción).
2. Solicitar a las unidades administrativas elaborar y reportar al correo institucional de gestión documental, los inventarios documentales.
3. Realizar visitas de asistencia tecnica de acuerdo a la solicitud de los archivos de gestión</t>
  </si>
  <si>
    <r>
      <t xml:space="preserve">Se elabora circualr 005 del 26 de junio de 2024 en donde se solicita planes de trabajo con vigencias 2024 y reportar los inventarior totales de la documentación existente 
3. De acuerdo a circular 35 del 22 de abril del 2024 donde se socializa el cronograma de capaciones en gestión documental 
Durante este periodo se realizan 7 capacitaciones donde se socializa las siguiente tematicas: protocolo para embalaje y traslado de archivos , fundamentos basicos de Gestión Documental e Implementación de TRD: 
</t>
    </r>
    <r>
      <rPr>
        <sz val="11"/>
        <color rgb="FFFF0000"/>
        <rFont val="Arial Narrow"/>
        <family val="2"/>
      </rPr>
      <t>Porcentaje de cumplimiento: 100%</t>
    </r>
    <r>
      <rPr>
        <sz val="11"/>
        <color theme="1"/>
        <rFont val="Arial Narrow"/>
        <family val="2"/>
      </rPr>
      <t xml:space="preserve">
Las unidades administrativas capacitadas fueron: GRUPO ALMACEN; GRUPO DE BIENES FISCALES Y DE USO PUBLICO; OFICINA JURIDICA; SECRETARÍA DE SALUD; DIRECCION DE JUSTICIA;  SECRETARÍA DE AMBIENTE Y GESTIÓN 
DEL RIESGO; SECRETARIA DE INFRAESTRUCTURA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</si>
</sst>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0">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sz val="11"/>
      <color rgb="FF000000"/>
      <name val="Arial"/>
      <family val="2"/>
    </font>
    <font>
      <sz val="11"/>
      <name val="Calibri"/>
      <family val="2"/>
    </font>
    <font>
      <sz val="10"/>
      <color rgb="FF000000"/>
      <name val="Tahoma"/>
      <family val="2"/>
    </font>
    <font>
      <b/>
      <sz val="10"/>
      <color rgb="FF000000"/>
      <name val="Tahoma"/>
      <family val="2"/>
    </font>
    <font>
      <sz val="12"/>
      <color rgb="FFFF0000"/>
      <name val="Arial Narrow"/>
      <family val="2"/>
    </font>
    <font>
      <sz val="11"/>
      <color rgb="FFFF0000"/>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0"/>
        <bgColor theme="0"/>
      </patternFill>
    </fill>
  </fills>
  <borders count="10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0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4" fillId="3" borderId="75" xfId="0" applyFont="1" applyFill="1" applyBorder="1" applyAlignment="1">
      <alignment vertical="center" wrapText="1"/>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0" borderId="78" xfId="0" applyFont="1" applyBorder="1" applyAlignment="1">
      <alignment horizontal="left" vertical="center" wrapText="1"/>
    </xf>
    <xf numFmtId="0" fontId="61" fillId="18" borderId="78" xfId="0" applyFont="1" applyFill="1" applyBorder="1" applyAlignment="1">
      <alignment vertical="center" wrapText="1"/>
    </xf>
    <xf numFmtId="0" fontId="61" fillId="0" borderId="79" xfId="0" applyFont="1" applyBorder="1" applyAlignment="1">
      <alignment horizontal="left" vertical="center" wrapText="1"/>
    </xf>
    <xf numFmtId="0" fontId="61" fillId="18" borderId="37" xfId="0" applyFont="1" applyFill="1" applyBorder="1" applyAlignment="1">
      <alignment vertical="center" wrapText="1"/>
    </xf>
    <xf numFmtId="0" fontId="61" fillId="3" borderId="33" xfId="0" applyFont="1" applyFill="1" applyBorder="1" applyAlignment="1">
      <alignment horizontal="lef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61" fillId="0" borderId="103" xfId="0" applyFont="1" applyBorder="1" applyAlignment="1">
      <alignment horizontal="center" vertical="center"/>
    </xf>
    <xf numFmtId="0" fontId="74" fillId="0" borderId="103" xfId="0" applyFont="1" applyBorder="1" applyAlignment="1">
      <alignment horizontal="center" vertical="center"/>
    </xf>
    <xf numFmtId="0" fontId="74" fillId="0" borderId="104" xfId="0" applyFont="1" applyBorder="1" applyAlignment="1">
      <alignment horizontal="center" vertical="center"/>
    </xf>
    <xf numFmtId="14" fontId="27" fillId="0" borderId="2" xfId="0" applyNumberFormat="1"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0" xfId="0" applyFont="1" applyAlignment="1">
      <alignment horizontal="center"/>
    </xf>
    <xf numFmtId="0" fontId="38" fillId="3" borderId="0" xfId="0" applyFont="1" applyFill="1" applyAlignment="1">
      <alignment horizontal="left"/>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61" fillId="0" borderId="105" xfId="0" applyFont="1" applyBorder="1" applyAlignment="1">
      <alignment horizontal="left" vertical="center" wrapText="1"/>
    </xf>
    <xf numFmtId="0" fontId="75" fillId="0" borderId="106" xfId="0" applyFont="1" applyBorder="1"/>
    <xf numFmtId="0" fontId="75" fillId="0" borderId="104" xfId="0" applyFont="1" applyBorder="1"/>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38" fillId="3" borderId="33" xfId="0" applyFont="1" applyFill="1" applyBorder="1" applyAlignment="1" applyProtection="1">
      <alignment horizontal="left" vertical="center" wrapText="1"/>
      <protection locked="0"/>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center"/>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38" fillId="3" borderId="95" xfId="0" applyFont="1" applyFill="1" applyBorder="1" applyAlignment="1" applyProtection="1">
      <alignment horizontal="left" vertical="center"/>
      <protection locked="0"/>
    </xf>
    <xf numFmtId="0" fontId="73" fillId="3" borderId="92" xfId="0" applyFont="1" applyFill="1" applyBorder="1" applyAlignment="1" applyProtection="1">
      <alignment horizontal="left" vertical="center" wrapText="1"/>
      <protection locked="0"/>
    </xf>
    <xf numFmtId="0" fontId="73" fillId="3" borderId="99" xfId="0" applyFont="1" applyFill="1" applyBorder="1" applyAlignment="1" applyProtection="1">
      <alignment horizontal="left" vertical="center" wrapText="1"/>
      <protection locked="0"/>
    </xf>
    <xf numFmtId="0" fontId="38" fillId="0" borderId="92"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9" xfId="0" applyFont="1" applyBorder="1" applyAlignment="1" applyProtection="1">
      <alignment horizontal="left" vertical="center"/>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61" fillId="21" borderId="105" xfId="0" applyFont="1" applyFill="1" applyBorder="1" applyAlignment="1">
      <alignment horizontal="left" vertical="center" wrapText="1"/>
    </xf>
    <xf numFmtId="0" fontId="67" fillId="21" borderId="105" xfId="0" applyFont="1" applyFill="1" applyBorder="1" applyAlignment="1">
      <alignment horizontal="left" vertical="center" wrapText="1"/>
    </xf>
    <xf numFmtId="0" fontId="38" fillId="0" borderId="33" xfId="0" applyFont="1" applyBorder="1" applyAlignment="1" applyProtection="1">
      <alignment horizontal="left" vertical="center"/>
      <protection locked="0"/>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1" fillId="0" borderId="85" xfId="0" applyFont="1" applyBorder="1" applyAlignment="1">
      <alignment horizontal="center" vertical="center" wrapText="1"/>
    </xf>
    <xf numFmtId="0" fontId="61" fillId="0" borderId="98" xfId="0" applyFont="1" applyBorder="1" applyAlignment="1">
      <alignment horizontal="center" vertical="center" wrapText="1"/>
    </xf>
    <xf numFmtId="0" fontId="61" fillId="0" borderId="43" xfId="0" applyFont="1" applyBorder="1" applyAlignment="1">
      <alignment horizontal="center" vertical="center" wrapText="1"/>
    </xf>
    <xf numFmtId="0" fontId="60" fillId="0" borderId="68"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27" fillId="3" borderId="75" xfId="0" applyFont="1" applyFill="1" applyBorder="1" applyAlignment="1" applyProtection="1">
      <alignment horizontal="center" vertical="center"/>
      <protection locked="0"/>
    </xf>
    <xf numFmtId="0" fontId="27" fillId="3" borderId="75" xfId="0" applyFont="1" applyFill="1" applyBorder="1" applyAlignment="1" applyProtection="1">
      <alignment horizontal="center"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50" fillId="0" borderId="75" xfId="0" applyFont="1" applyBorder="1" applyAlignment="1" applyProtection="1">
      <alignment horizontal="center" vertical="center" wrapText="1"/>
      <protection locked="0"/>
    </xf>
    <xf numFmtId="0" fontId="4" fillId="0" borderId="75" xfId="0" applyFont="1" applyFill="1" applyBorder="1" applyAlignment="1">
      <alignment vertical="center" wrapText="1"/>
    </xf>
    <xf numFmtId="14" fontId="27" fillId="13" borderId="2" xfId="0" applyNumberFormat="1" applyFont="1" applyFill="1" applyBorder="1" applyAlignment="1" applyProtection="1">
      <alignment horizontal="center" vertical="top"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06/relationships/rdRichValue" Target="richData/rdrichvalu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47625</xdr:rowOff>
    </xdr:from>
    <xdr:to>
      <xdr:col>0</xdr:col>
      <xdr:colOff>1628140</xdr:colOff>
      <xdr:row>3</xdr:row>
      <xdr:rowOff>50165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7625"/>
          <a:ext cx="1313815" cy="5740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57150</xdr:colOff>
      <xdr:row>0</xdr:row>
      <xdr:rowOff>104775</xdr:rowOff>
    </xdr:from>
    <xdr:to>
      <xdr:col>1</xdr:col>
      <xdr:colOff>1543050</xdr:colOff>
      <xdr:row>2</xdr:row>
      <xdr:rowOff>133350</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4775"/>
          <a:ext cx="1485900" cy="7429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176447</xdr:rowOff>
    </xdr:to>
    <xdr:pic>
      <xdr:nvPicPr>
        <xdr:cNvPr id="2" name="1 Imagen" descr="logocapitalmusic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505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2</xdr:col>
      <xdr:colOff>914400</xdr:colOff>
      <xdr:row>4</xdr:row>
      <xdr:rowOff>19050</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0"/>
          <a:ext cx="1609725" cy="7905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Paula/Downloads/46942-MR-20230216141848(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nataliabulla/Documents/ALCALDIA%20DE%20IBAGUE%20/2024/MAPA%20DE%20RIESGOS/NUEVO%20FORMATO%20MAPA%20RIESGOS/OK%20Copia%20de%20Mapa%20de%20Riesgos%20de%20Corrupcio&#769;n%20Formato%20Nuevo.xlsx" TargetMode="External"/><Relationship Id="rId1" Type="http://schemas.openxmlformats.org/officeDocument/2006/relationships/externalLinkPath" Target="/Users/nataliabulla/Documents/ALCALDIA%20DE%20IBAGUE%20/2024/MAPA%20DE%20RIESGOS/NUEVO%20FORMATO%20MAPA%20RIESGOS/OK%20Copia%20de%20Mapa%20de%20Riesgos%20de%20Corrupcio&#769;n%20Formato%20Nuev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ataliabulla/Documents/ALCALDIA%20DE%20IBAGUE%20/2024/MAPA%20DE%20RIESGOS/NUEVO%20FORMATO%20MAPA%20RIESGOS/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AVANCE"/>
      <sheetName val="NOO"/>
      <sheetName val="NO"/>
    </sheetNames>
    <sheetDataSet>
      <sheetData sheetId="0"/>
      <sheetData sheetId="1">
        <row r="12">
          <cell r="B12" t="str">
            <v>Constante cambio de normatividad vigente a nivel nacional</v>
          </cell>
          <cell r="D12" t="str">
            <v>Asignación  presupuestal de funcionamiento e inversión para administrar la documentación  de la administración municipal</v>
          </cell>
          <cell r="F12" t="str">
            <v>aplicación de manuales, procedimientos y formatos en los archivos de gestión establecidos en el proceso de gestión documental por parte de las unidades administrativas</v>
          </cell>
        </row>
        <row r="13">
          <cell r="B13" t="str">
            <v>Cambios de gobierno</v>
          </cell>
          <cell r="D13" t="str">
            <v>competencia e idoneidad del personal contratado frente al manejo del proceso de Gestión Documental en las Unidades Administrativas</v>
          </cell>
          <cell r="F13" t="str">
            <v xml:space="preserve"> socialización y publicación  de documentos actualizados</v>
          </cell>
        </row>
        <row r="14">
          <cell r="B14" t="str">
            <v>Idiosincrasia ciudadana -  soborno de ciudadanos para beneficio personal</v>
          </cell>
          <cell r="D14" t="str">
            <v>aplicación de los principios y valores establecido en el código y Integridad y Buen Gobierno</v>
          </cell>
          <cell r="F14" t="str">
            <v xml:space="preserve"> fluidez en los canales de comunicación y respuesta entre los procesos</v>
          </cell>
        </row>
        <row r="15">
          <cell r="D15" t="str">
            <v xml:space="preserve">herramientas tecnológicas que garanticen el acceso oportuno, disponibilidad y conservación de la información mantenimiento preventivo a los mismos </v>
          </cell>
          <cell r="F15" t="str">
            <v>Compromiso con la aplicación de los procesos de gestión documental.</v>
          </cell>
        </row>
        <row r="16">
          <cell r="B16" t="str">
            <v>Constante innovación tecnológica</v>
          </cell>
          <cell r="D16" t="str">
            <v>Diferentes canales de comunicación al interior de la entidad</v>
          </cell>
          <cell r="F16" t="str">
            <v>Aplicación de la normatividad vigente en las unidades administrativas.</v>
          </cell>
        </row>
        <row r="17">
          <cell r="B17" t="str">
            <v>fenómenos
naturales.</v>
          </cell>
          <cell r="D17" t="str">
            <v>Relevancia en la implementación, cumplimiento y seguimiento  del proceso de gestión documental en las unidades administrativas</v>
          </cell>
        </row>
        <row r="18">
          <cell r="D18" t="str">
            <v>ubicación de depósitos y áreas de archivo</v>
          </cell>
        </row>
        <row r="19">
          <cell r="D19" t="str">
            <v>compromiso y responsabilidad de los funcionarios  frente al desarrollo y cumplimiento de las actividades del  proceso en la unidades administrativas.</v>
          </cell>
        </row>
        <row r="20">
          <cell r="D20" t="str">
            <v>Proceso de capacitación, inducción, reinducción en las unidades administrativas en cuanto al  proceso de gestión documental</v>
          </cell>
        </row>
        <row r="21">
          <cell r="D21" t="str">
            <v>condiciones inadecuadas de almacenamiento</v>
          </cell>
        </row>
        <row r="22">
          <cell r="D22" t="str">
            <v>Capacidad de almacenamiento de archivo dentro de las unidades administrativas</v>
          </cell>
        </row>
      </sheetData>
      <sheetData sheetId="2"/>
      <sheetData sheetId="3"/>
      <sheetData sheetId="4">
        <row r="11">
          <cell r="B11" t="str">
            <v>Constante cambio de normatividad vigente a nivel nacional</v>
          </cell>
        </row>
        <row r="12">
          <cell r="B12" t="str">
            <v>Cambios de gobierno</v>
          </cell>
        </row>
        <row r="13">
          <cell r="B13" t="str">
            <v>Idiosincrasia ciudadana -  soborno de ciudadanos para beneficio personal</v>
          </cell>
        </row>
        <row r="16">
          <cell r="B16" t="str">
            <v>Asignación  presupuestal de funcionamiento e inversión para administrar la documentación  de la administración municipal</v>
          </cell>
        </row>
        <row r="17">
          <cell r="B17" t="str">
            <v>competencia e idoneidad del personal contratado frente al manejo del proceso de Gestión Documental en las Unidades Administrativas</v>
          </cell>
        </row>
        <row r="18">
          <cell r="B18" t="str">
            <v>aplicación de los principios y valores establecido en el código y Integridad y Buen Gobierno</v>
          </cell>
        </row>
        <row r="19">
          <cell r="B19" t="str">
            <v xml:space="preserve">herramientas tecnológicas que garanticen el acceso oportuno, disponibilidad y conservación de la información mantenimiento preventivo a los mismos </v>
          </cell>
        </row>
        <row r="21">
          <cell r="B21" t="str">
            <v>Relevancia en la implementación, cumplimiento y seguimiento  del proceso de gestión documental en las unidades administrativas</v>
          </cell>
        </row>
        <row r="22">
          <cell r="B22" t="str">
            <v>ubicación de depósitos y áreas de archivo</v>
          </cell>
        </row>
        <row r="23">
          <cell r="B23" t="str">
            <v>compromiso y responsabilidad de los funcionarios  frente al desarrollo y cumplimiento de las actividades del  proceso en la unidades administrativas.</v>
          </cell>
        </row>
        <row r="24">
          <cell r="B24" t="str">
            <v>Proceso de capacitación, inducción, reinducción en las unidades administrativas en cuanto al  proceso de gestión documental</v>
          </cell>
        </row>
        <row r="26">
          <cell r="B26" t="str">
            <v>Capacidad de almacenamiento de archivo dentro de las unidades administrativas</v>
          </cell>
        </row>
        <row r="27">
          <cell r="B27" t="str">
            <v>aplicación de manuales, procedimientos y formatos en los archivos de gestión establecidos en el proceso de gestión documental por parte de las unidades administrativas</v>
          </cell>
        </row>
        <row r="29">
          <cell r="B29" t="str">
            <v xml:space="preserve"> fluidez en los canales de comunicación y respuesta entre los procesos</v>
          </cell>
        </row>
        <row r="30">
          <cell r="B30" t="str">
            <v>Compromiso con la aplicación de los procesos de gestión documental.</v>
          </cell>
        </row>
        <row r="31">
          <cell r="B31" t="str">
            <v>Aplicación de la normatividad vigente en las unidades administrativas.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7" sqref="B7:H7"/>
    </sheetView>
  </sheetViews>
  <sheetFormatPr baseColWidth="10" defaultColWidth="11.5" defaultRowHeight="15"/>
  <cols>
    <col min="1" max="1" width="2.8320312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5" style="67"/>
  </cols>
  <sheetData>
    <row r="1" spans="2:8" ht="16" thickBot="1"/>
    <row r="2" spans="2:8" ht="18">
      <c r="B2" s="233" t="s">
        <v>155</v>
      </c>
      <c r="C2" s="234"/>
      <c r="D2" s="234"/>
      <c r="E2" s="234"/>
      <c r="F2" s="234"/>
      <c r="G2" s="234"/>
      <c r="H2" s="235"/>
    </row>
    <row r="3" spans="2:8">
      <c r="B3" s="68"/>
      <c r="C3" s="69"/>
      <c r="D3" s="69"/>
      <c r="E3" s="69"/>
      <c r="F3" s="69"/>
      <c r="G3" s="69"/>
      <c r="H3" s="70"/>
    </row>
    <row r="4" spans="2:8" ht="63" customHeight="1">
      <c r="B4" s="236" t="s">
        <v>198</v>
      </c>
      <c r="C4" s="237"/>
      <c r="D4" s="237"/>
      <c r="E4" s="237"/>
      <c r="F4" s="237"/>
      <c r="G4" s="237"/>
      <c r="H4" s="238"/>
    </row>
    <row r="5" spans="2:8" ht="63" customHeight="1">
      <c r="B5" s="239"/>
      <c r="C5" s="240"/>
      <c r="D5" s="240"/>
      <c r="E5" s="240"/>
      <c r="F5" s="240"/>
      <c r="G5" s="240"/>
      <c r="H5" s="241"/>
    </row>
    <row r="6" spans="2:8">
      <c r="B6" s="242" t="s">
        <v>153</v>
      </c>
      <c r="C6" s="243"/>
      <c r="D6" s="243"/>
      <c r="E6" s="243"/>
      <c r="F6" s="243"/>
      <c r="G6" s="243"/>
      <c r="H6" s="244"/>
    </row>
    <row r="7" spans="2:8" ht="95.25" customHeight="1">
      <c r="B7" s="252" t="s">
        <v>158</v>
      </c>
      <c r="C7" s="253"/>
      <c r="D7" s="253"/>
      <c r="E7" s="253"/>
      <c r="F7" s="253"/>
      <c r="G7" s="253"/>
      <c r="H7" s="254"/>
    </row>
    <row r="8" spans="2:8">
      <c r="B8" s="102"/>
      <c r="C8" s="103"/>
      <c r="D8" s="103"/>
      <c r="E8" s="103"/>
      <c r="F8" s="103"/>
      <c r="G8" s="103"/>
      <c r="H8" s="104"/>
    </row>
    <row r="9" spans="2:8" ht="16.5" customHeight="1">
      <c r="B9" s="245" t="s">
        <v>191</v>
      </c>
      <c r="C9" s="246"/>
      <c r="D9" s="246"/>
      <c r="E9" s="246"/>
      <c r="F9" s="246"/>
      <c r="G9" s="246"/>
      <c r="H9" s="247"/>
    </row>
    <row r="10" spans="2:8" ht="44.25" customHeight="1">
      <c r="B10" s="245"/>
      <c r="C10" s="246"/>
      <c r="D10" s="246"/>
      <c r="E10" s="246"/>
      <c r="F10" s="246"/>
      <c r="G10" s="246"/>
      <c r="H10" s="247"/>
    </row>
    <row r="11" spans="2:8" ht="16" thickBot="1">
      <c r="B11" s="91"/>
      <c r="C11" s="94"/>
      <c r="D11" s="99"/>
      <c r="E11" s="100"/>
      <c r="F11" s="100"/>
      <c r="G11" s="101"/>
      <c r="H11" s="95"/>
    </row>
    <row r="12" spans="2:8" ht="16" thickTop="1">
      <c r="B12" s="91"/>
      <c r="C12" s="248" t="s">
        <v>154</v>
      </c>
      <c r="D12" s="249"/>
      <c r="E12" s="250" t="s">
        <v>192</v>
      </c>
      <c r="F12" s="251"/>
      <c r="G12" s="94"/>
      <c r="H12" s="95"/>
    </row>
    <row r="13" spans="2:8" ht="35.25" customHeight="1">
      <c r="B13" s="91"/>
      <c r="C13" s="220" t="s">
        <v>185</v>
      </c>
      <c r="D13" s="221"/>
      <c r="E13" s="222" t="s">
        <v>190</v>
      </c>
      <c r="F13" s="223"/>
      <c r="G13" s="94"/>
      <c r="H13" s="95"/>
    </row>
    <row r="14" spans="2:8" ht="17.25" customHeight="1">
      <c r="B14" s="91"/>
      <c r="C14" s="220" t="s">
        <v>186</v>
      </c>
      <c r="D14" s="221"/>
      <c r="E14" s="222" t="s">
        <v>188</v>
      </c>
      <c r="F14" s="223"/>
      <c r="G14" s="94"/>
      <c r="H14" s="95"/>
    </row>
    <row r="15" spans="2:8" ht="19.5" customHeight="1">
      <c r="B15" s="91"/>
      <c r="C15" s="220" t="s">
        <v>187</v>
      </c>
      <c r="D15" s="221"/>
      <c r="E15" s="222" t="s">
        <v>189</v>
      </c>
      <c r="F15" s="223"/>
      <c r="G15" s="94"/>
      <c r="H15" s="95"/>
    </row>
    <row r="16" spans="2:8" ht="69.75" customHeight="1">
      <c r="B16" s="91"/>
      <c r="C16" s="220" t="s">
        <v>156</v>
      </c>
      <c r="D16" s="221"/>
      <c r="E16" s="222" t="s">
        <v>157</v>
      </c>
      <c r="F16" s="223"/>
      <c r="G16" s="94"/>
      <c r="H16" s="95"/>
    </row>
    <row r="17" spans="2:8" ht="34.5" customHeight="1">
      <c r="B17" s="91"/>
      <c r="C17" s="224" t="s">
        <v>2</v>
      </c>
      <c r="D17" s="225"/>
      <c r="E17" s="216" t="s">
        <v>199</v>
      </c>
      <c r="F17" s="217"/>
      <c r="G17" s="94"/>
      <c r="H17" s="95"/>
    </row>
    <row r="18" spans="2:8" ht="27.75" customHeight="1">
      <c r="B18" s="91"/>
      <c r="C18" s="224" t="s">
        <v>3</v>
      </c>
      <c r="D18" s="225"/>
      <c r="E18" s="216" t="s">
        <v>200</v>
      </c>
      <c r="F18" s="217"/>
      <c r="G18" s="94"/>
      <c r="H18" s="95"/>
    </row>
    <row r="19" spans="2:8" ht="28.5" customHeight="1">
      <c r="B19" s="91"/>
      <c r="C19" s="224" t="s">
        <v>42</v>
      </c>
      <c r="D19" s="225"/>
      <c r="E19" s="216" t="s">
        <v>201</v>
      </c>
      <c r="F19" s="217"/>
      <c r="G19" s="94"/>
      <c r="H19" s="95"/>
    </row>
    <row r="20" spans="2:8" ht="72.75" customHeight="1">
      <c r="B20" s="91"/>
      <c r="C20" s="224" t="s">
        <v>1</v>
      </c>
      <c r="D20" s="225"/>
      <c r="E20" s="216" t="s">
        <v>202</v>
      </c>
      <c r="F20" s="217"/>
      <c r="G20" s="94"/>
      <c r="H20" s="95"/>
    </row>
    <row r="21" spans="2:8" ht="64.5" customHeight="1">
      <c r="B21" s="91"/>
      <c r="C21" s="224" t="s">
        <v>50</v>
      </c>
      <c r="D21" s="225"/>
      <c r="E21" s="216" t="s">
        <v>160</v>
      </c>
      <c r="F21" s="217"/>
      <c r="G21" s="94"/>
      <c r="H21" s="95"/>
    </row>
    <row r="22" spans="2:8" ht="71.25" customHeight="1">
      <c r="B22" s="91"/>
      <c r="C22" s="224" t="s">
        <v>159</v>
      </c>
      <c r="D22" s="225"/>
      <c r="E22" s="216" t="s">
        <v>161</v>
      </c>
      <c r="F22" s="217"/>
      <c r="G22" s="94"/>
      <c r="H22" s="95"/>
    </row>
    <row r="23" spans="2:8" ht="55.5" customHeight="1">
      <c r="B23" s="91"/>
      <c r="C23" s="218" t="s">
        <v>162</v>
      </c>
      <c r="D23" s="219"/>
      <c r="E23" s="216" t="s">
        <v>163</v>
      </c>
      <c r="F23" s="217"/>
      <c r="G23" s="94"/>
      <c r="H23" s="95"/>
    </row>
    <row r="24" spans="2:8" ht="42" customHeight="1">
      <c r="B24" s="91"/>
      <c r="C24" s="218" t="s">
        <v>48</v>
      </c>
      <c r="D24" s="219"/>
      <c r="E24" s="216" t="s">
        <v>164</v>
      </c>
      <c r="F24" s="217"/>
      <c r="G24" s="94"/>
      <c r="H24" s="95"/>
    </row>
    <row r="25" spans="2:8" ht="59.25" customHeight="1">
      <c r="B25" s="91"/>
      <c r="C25" s="218" t="s">
        <v>152</v>
      </c>
      <c r="D25" s="219"/>
      <c r="E25" s="216" t="s">
        <v>165</v>
      </c>
      <c r="F25" s="217"/>
      <c r="G25" s="94"/>
      <c r="H25" s="95"/>
    </row>
    <row r="26" spans="2:8" ht="23.25" customHeight="1">
      <c r="B26" s="91"/>
      <c r="C26" s="218" t="s">
        <v>12</v>
      </c>
      <c r="D26" s="219"/>
      <c r="E26" s="216" t="s">
        <v>166</v>
      </c>
      <c r="F26" s="217"/>
      <c r="G26" s="94"/>
      <c r="H26" s="95"/>
    </row>
    <row r="27" spans="2:8" ht="30.75" customHeight="1">
      <c r="B27" s="91"/>
      <c r="C27" s="218" t="s">
        <v>170</v>
      </c>
      <c r="D27" s="219"/>
      <c r="E27" s="216" t="s">
        <v>167</v>
      </c>
      <c r="F27" s="217"/>
      <c r="G27" s="94"/>
      <c r="H27" s="95"/>
    </row>
    <row r="28" spans="2:8" ht="35.25" customHeight="1">
      <c r="B28" s="91"/>
      <c r="C28" s="218" t="s">
        <v>171</v>
      </c>
      <c r="D28" s="219"/>
      <c r="E28" s="216" t="s">
        <v>168</v>
      </c>
      <c r="F28" s="217"/>
      <c r="G28" s="94"/>
      <c r="H28" s="95"/>
    </row>
    <row r="29" spans="2:8" ht="33" customHeight="1">
      <c r="B29" s="91"/>
      <c r="C29" s="218" t="s">
        <v>171</v>
      </c>
      <c r="D29" s="219"/>
      <c r="E29" s="216" t="s">
        <v>168</v>
      </c>
      <c r="F29" s="217"/>
      <c r="G29" s="94"/>
      <c r="H29" s="95"/>
    </row>
    <row r="30" spans="2:8" ht="30" customHeight="1">
      <c r="B30" s="91"/>
      <c r="C30" s="218" t="s">
        <v>172</v>
      </c>
      <c r="D30" s="219"/>
      <c r="E30" s="216" t="s">
        <v>169</v>
      </c>
      <c r="F30" s="217"/>
      <c r="G30" s="94"/>
      <c r="H30" s="95"/>
    </row>
    <row r="31" spans="2:8" ht="35.25" customHeight="1">
      <c r="B31" s="91"/>
      <c r="C31" s="218" t="s">
        <v>173</v>
      </c>
      <c r="D31" s="219"/>
      <c r="E31" s="216" t="s">
        <v>174</v>
      </c>
      <c r="F31" s="217"/>
      <c r="G31" s="94"/>
      <c r="H31" s="95"/>
    </row>
    <row r="32" spans="2:8" ht="31.5" customHeight="1">
      <c r="B32" s="91"/>
      <c r="C32" s="218" t="s">
        <v>175</v>
      </c>
      <c r="D32" s="219"/>
      <c r="E32" s="216" t="s">
        <v>176</v>
      </c>
      <c r="F32" s="217"/>
      <c r="G32" s="94"/>
      <c r="H32" s="95"/>
    </row>
    <row r="33" spans="2:8" ht="35.25" customHeight="1">
      <c r="B33" s="91"/>
      <c r="C33" s="218" t="s">
        <v>177</v>
      </c>
      <c r="D33" s="219"/>
      <c r="E33" s="216" t="s">
        <v>178</v>
      </c>
      <c r="F33" s="217"/>
      <c r="G33" s="94"/>
      <c r="H33" s="95"/>
    </row>
    <row r="34" spans="2:8" ht="59.25" customHeight="1">
      <c r="B34" s="91"/>
      <c r="C34" s="218" t="s">
        <v>179</v>
      </c>
      <c r="D34" s="219"/>
      <c r="E34" s="216" t="s">
        <v>180</v>
      </c>
      <c r="F34" s="217"/>
      <c r="G34" s="94"/>
      <c r="H34" s="95"/>
    </row>
    <row r="35" spans="2:8" ht="29.25" customHeight="1">
      <c r="B35" s="91"/>
      <c r="C35" s="218" t="s">
        <v>29</v>
      </c>
      <c r="D35" s="219"/>
      <c r="E35" s="216" t="s">
        <v>181</v>
      </c>
      <c r="F35" s="217"/>
      <c r="G35" s="94"/>
      <c r="H35" s="95"/>
    </row>
    <row r="36" spans="2:8" ht="82.5" customHeight="1">
      <c r="B36" s="91"/>
      <c r="C36" s="218" t="s">
        <v>183</v>
      </c>
      <c r="D36" s="219"/>
      <c r="E36" s="216" t="s">
        <v>182</v>
      </c>
      <c r="F36" s="217"/>
      <c r="G36" s="94"/>
      <c r="H36" s="95"/>
    </row>
    <row r="37" spans="2:8" ht="46.5" customHeight="1">
      <c r="B37" s="91"/>
      <c r="C37" s="218" t="s">
        <v>39</v>
      </c>
      <c r="D37" s="219"/>
      <c r="E37" s="216" t="s">
        <v>184</v>
      </c>
      <c r="F37" s="217"/>
      <c r="G37" s="94"/>
      <c r="H37" s="95"/>
    </row>
    <row r="38" spans="2:8" ht="6.75" customHeight="1" thickBot="1">
      <c r="B38" s="91"/>
      <c r="C38" s="229"/>
      <c r="D38" s="230"/>
      <c r="E38" s="231"/>
      <c r="F38" s="232"/>
      <c r="G38" s="94"/>
      <c r="H38" s="95"/>
    </row>
    <row r="39" spans="2:8" ht="16" thickTop="1">
      <c r="B39" s="91"/>
      <c r="C39" s="92"/>
      <c r="D39" s="92"/>
      <c r="E39" s="93"/>
      <c r="F39" s="93"/>
      <c r="G39" s="94"/>
      <c r="H39" s="95"/>
    </row>
    <row r="40" spans="2:8" ht="21" customHeight="1">
      <c r="B40" s="226" t="s">
        <v>193</v>
      </c>
      <c r="C40" s="227"/>
      <c r="D40" s="227"/>
      <c r="E40" s="227"/>
      <c r="F40" s="227"/>
      <c r="G40" s="227"/>
      <c r="H40" s="228"/>
    </row>
    <row r="41" spans="2:8" ht="20.25" customHeight="1">
      <c r="B41" s="226" t="s">
        <v>194</v>
      </c>
      <c r="C41" s="227"/>
      <c r="D41" s="227"/>
      <c r="E41" s="227"/>
      <c r="F41" s="227"/>
      <c r="G41" s="227"/>
      <c r="H41" s="228"/>
    </row>
    <row r="42" spans="2:8" ht="20.25" customHeight="1">
      <c r="B42" s="226" t="s">
        <v>195</v>
      </c>
      <c r="C42" s="227"/>
      <c r="D42" s="227"/>
      <c r="E42" s="227"/>
      <c r="F42" s="227"/>
      <c r="G42" s="227"/>
      <c r="H42" s="228"/>
    </row>
    <row r="43" spans="2:8" ht="20.25" customHeight="1">
      <c r="B43" s="226" t="s">
        <v>196</v>
      </c>
      <c r="C43" s="227"/>
      <c r="D43" s="227"/>
      <c r="E43" s="227"/>
      <c r="F43" s="227"/>
      <c r="G43" s="227"/>
      <c r="H43" s="228"/>
    </row>
    <row r="44" spans="2:8">
      <c r="B44" s="226" t="s">
        <v>197</v>
      </c>
      <c r="C44" s="227"/>
      <c r="D44" s="227"/>
      <c r="E44" s="227"/>
      <c r="F44" s="227"/>
      <c r="G44" s="227"/>
      <c r="H44" s="228"/>
    </row>
    <row r="45" spans="2:8" ht="16" thickBot="1">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4"/>
  <cols>
    <col min="1" max="2" width="14.33203125" style="72"/>
    <col min="3" max="3" width="17" style="72" customWidth="1"/>
    <col min="4" max="4" width="14.33203125" style="72"/>
    <col min="5" max="5" width="46" style="72" customWidth="1"/>
    <col min="6" max="16384" width="14.33203125" style="72"/>
  </cols>
  <sheetData>
    <row r="1" spans="2:6" ht="24" customHeight="1" thickBot="1">
      <c r="B1" s="587" t="s">
        <v>77</v>
      </c>
      <c r="C1" s="588"/>
      <c r="D1" s="588"/>
      <c r="E1" s="588"/>
      <c r="F1" s="589"/>
    </row>
    <row r="2" spans="2:6" ht="17" thickBot="1">
      <c r="B2" s="73"/>
      <c r="C2" s="73"/>
      <c r="D2" s="73"/>
      <c r="E2" s="73"/>
      <c r="F2" s="73"/>
    </row>
    <row r="3" spans="2:6" ht="18" thickBot="1">
      <c r="B3" s="591" t="s">
        <v>63</v>
      </c>
      <c r="C3" s="592"/>
      <c r="D3" s="592"/>
      <c r="E3" s="85" t="s">
        <v>64</v>
      </c>
      <c r="F3" s="86" t="s">
        <v>65</v>
      </c>
    </row>
    <row r="4" spans="2:6" ht="34">
      <c r="B4" s="593" t="s">
        <v>66</v>
      </c>
      <c r="C4" s="595" t="s">
        <v>13</v>
      </c>
      <c r="D4" s="74" t="s">
        <v>14</v>
      </c>
      <c r="E4" s="75" t="s">
        <v>67</v>
      </c>
      <c r="F4" s="76">
        <v>0.25</v>
      </c>
    </row>
    <row r="5" spans="2:6" ht="51">
      <c r="B5" s="594"/>
      <c r="C5" s="596"/>
      <c r="D5" s="77" t="s">
        <v>15</v>
      </c>
      <c r="E5" s="78" t="s">
        <v>68</v>
      </c>
      <c r="F5" s="79">
        <v>0.15</v>
      </c>
    </row>
    <row r="6" spans="2:6" ht="34">
      <c r="B6" s="594"/>
      <c r="C6" s="596"/>
      <c r="D6" s="77" t="s">
        <v>16</v>
      </c>
      <c r="E6" s="78" t="s">
        <v>69</v>
      </c>
      <c r="F6" s="79">
        <v>0.1</v>
      </c>
    </row>
    <row r="7" spans="2:6" ht="51">
      <c r="B7" s="594"/>
      <c r="C7" s="596" t="s">
        <v>17</v>
      </c>
      <c r="D7" s="77" t="s">
        <v>10</v>
      </c>
      <c r="E7" s="78" t="s">
        <v>70</v>
      </c>
      <c r="F7" s="79">
        <v>0.25</v>
      </c>
    </row>
    <row r="8" spans="2:6" ht="34">
      <c r="B8" s="594"/>
      <c r="C8" s="596"/>
      <c r="D8" s="77" t="s">
        <v>9</v>
      </c>
      <c r="E8" s="78" t="s">
        <v>71</v>
      </c>
      <c r="F8" s="79">
        <v>0.15</v>
      </c>
    </row>
    <row r="9" spans="2:6" ht="51">
      <c r="B9" s="594" t="s">
        <v>151</v>
      </c>
      <c r="C9" s="596" t="s">
        <v>18</v>
      </c>
      <c r="D9" s="77" t="s">
        <v>19</v>
      </c>
      <c r="E9" s="78" t="s">
        <v>72</v>
      </c>
      <c r="F9" s="80" t="s">
        <v>73</v>
      </c>
    </row>
    <row r="10" spans="2:6" ht="51">
      <c r="B10" s="594"/>
      <c r="C10" s="596"/>
      <c r="D10" s="77" t="s">
        <v>20</v>
      </c>
      <c r="E10" s="78" t="s">
        <v>74</v>
      </c>
      <c r="F10" s="80" t="s">
        <v>73</v>
      </c>
    </row>
    <row r="11" spans="2:6" ht="34">
      <c r="B11" s="594"/>
      <c r="C11" s="596" t="s">
        <v>21</v>
      </c>
      <c r="D11" s="77" t="s">
        <v>22</v>
      </c>
      <c r="E11" s="78" t="s">
        <v>75</v>
      </c>
      <c r="F11" s="80" t="s">
        <v>73</v>
      </c>
    </row>
    <row r="12" spans="2:6" ht="34">
      <c r="B12" s="594"/>
      <c r="C12" s="596"/>
      <c r="D12" s="77" t="s">
        <v>23</v>
      </c>
      <c r="E12" s="78" t="s">
        <v>76</v>
      </c>
      <c r="F12" s="80" t="s">
        <v>73</v>
      </c>
    </row>
    <row r="13" spans="2:6" ht="34">
      <c r="B13" s="594"/>
      <c r="C13" s="596" t="s">
        <v>24</v>
      </c>
      <c r="D13" s="77" t="s">
        <v>114</v>
      </c>
      <c r="E13" s="78" t="s">
        <v>117</v>
      </c>
      <c r="F13" s="80" t="s">
        <v>73</v>
      </c>
    </row>
    <row r="14" spans="2:6" ht="18" thickBot="1">
      <c r="B14" s="597"/>
      <c r="C14" s="598"/>
      <c r="D14" s="81" t="s">
        <v>115</v>
      </c>
      <c r="E14" s="82" t="s">
        <v>116</v>
      </c>
      <c r="F14" s="83" t="s">
        <v>73</v>
      </c>
    </row>
    <row r="15" spans="2:6" ht="49.5" customHeight="1">
      <c r="B15" s="590" t="s">
        <v>148</v>
      </c>
      <c r="C15" s="590"/>
      <c r="D15" s="590"/>
      <c r="E15" s="590"/>
      <c r="F15" s="590"/>
    </row>
    <row r="16" spans="2:6" ht="27" customHeight="1">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5"/>
  <sheetData>
    <row r="2" spans="2:5">
      <c r="B2" t="s">
        <v>31</v>
      </c>
      <c r="E2" t="s">
        <v>128</v>
      </c>
    </row>
    <row r="3" spans="2:5">
      <c r="B3" t="s">
        <v>32</v>
      </c>
      <c r="E3" t="s">
        <v>127</v>
      </c>
    </row>
    <row r="4" spans="2:5">
      <c r="B4" t="s">
        <v>132</v>
      </c>
      <c r="E4" t="s">
        <v>129</v>
      </c>
    </row>
    <row r="5" spans="2:5">
      <c r="B5" t="s">
        <v>131</v>
      </c>
    </row>
    <row r="8" spans="2:5">
      <c r="B8" t="s">
        <v>85</v>
      </c>
    </row>
    <row r="9" spans="2:5">
      <c r="B9" t="s">
        <v>40</v>
      </c>
    </row>
    <row r="10" spans="2:5">
      <c r="B10" t="s">
        <v>41</v>
      </c>
    </row>
    <row r="13" spans="2:5">
      <c r="B13" t="s">
        <v>124</v>
      </c>
    </row>
    <row r="14" spans="2:5">
      <c r="B14" t="s">
        <v>118</v>
      </c>
    </row>
    <row r="15" spans="2:5">
      <c r="B15" t="s">
        <v>121</v>
      </c>
    </row>
    <row r="16" spans="2:5">
      <c r="B16" t="s">
        <v>119</v>
      </c>
    </row>
    <row r="17" spans="2:2">
      <c r="B17" t="s">
        <v>120</v>
      </c>
    </row>
    <row r="18" spans="2:2">
      <c r="B18" t="s">
        <v>122</v>
      </c>
    </row>
    <row r="19" spans="2:2">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5" defaultRowHeight="14"/>
  <cols>
    <col min="1" max="1" width="32.83203125" style="9" customWidth="1"/>
    <col min="2" max="16384" width="11.5" style="9"/>
  </cols>
  <sheetData>
    <row r="3" spans="1:1">
      <c r="A3" s="10" t="s">
        <v>14</v>
      </c>
    </row>
    <row r="4" spans="1:1">
      <c r="A4" s="10" t="s">
        <v>15</v>
      </c>
    </row>
    <row r="5" spans="1:1">
      <c r="A5" s="10" t="s">
        <v>16</v>
      </c>
    </row>
    <row r="6" spans="1:1">
      <c r="A6" s="10" t="s">
        <v>10</v>
      </c>
    </row>
    <row r="7" spans="1:1">
      <c r="A7" s="10" t="s">
        <v>9</v>
      </c>
    </row>
    <row r="8" spans="1:1">
      <c r="A8" s="10" t="s">
        <v>19</v>
      </c>
    </row>
    <row r="9" spans="1:1">
      <c r="A9" s="10" t="s">
        <v>20</v>
      </c>
    </row>
    <row r="10" spans="1:1">
      <c r="A10" s="10" t="s">
        <v>22</v>
      </c>
    </row>
    <row r="11" spans="1:1">
      <c r="A11" s="10" t="s">
        <v>23</v>
      </c>
    </row>
    <row r="12" spans="1:1">
      <c r="A12" s="10" t="s">
        <v>25</v>
      </c>
    </row>
    <row r="13" spans="1:1">
      <c r="A13" s="10" t="s">
        <v>26</v>
      </c>
    </row>
    <row r="14" spans="1:1">
      <c r="A14" s="10" t="s">
        <v>27</v>
      </c>
    </row>
    <row r="16" spans="1:1">
      <c r="A16" s="10" t="s">
        <v>30</v>
      </c>
    </row>
    <row r="17" spans="1:1">
      <c r="A17" s="10" t="s">
        <v>31</v>
      </c>
    </row>
    <row r="18" spans="1:1">
      <c r="A18" s="10" t="s">
        <v>32</v>
      </c>
    </row>
    <row r="20" spans="1:1">
      <c r="A20" s="10" t="s">
        <v>40</v>
      </c>
    </row>
    <row r="21" spans="1:1">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opLeftCell="A3" workbookViewId="0">
      <selection activeCell="A9" sqref="A9:F9"/>
    </sheetView>
  </sheetViews>
  <sheetFormatPr baseColWidth="10" defaultColWidth="11.5" defaultRowHeight="14"/>
  <cols>
    <col min="1" max="1" width="29.5" style="152" customWidth="1"/>
    <col min="2" max="2" width="29.1640625" style="152" customWidth="1"/>
    <col min="3" max="3" width="30.33203125" style="152" customWidth="1"/>
    <col min="4" max="4" width="31.83203125" style="152" customWidth="1"/>
    <col min="5" max="5" width="32.5" style="152" customWidth="1"/>
    <col min="6" max="6" width="32" style="152" customWidth="1"/>
    <col min="7" max="16384" width="11.5" style="152"/>
  </cols>
  <sheetData>
    <row r="1" spans="1:10" ht="15" customHeight="1">
      <c r="A1" s="259"/>
      <c r="B1" s="261" t="s">
        <v>265</v>
      </c>
      <c r="C1" s="261"/>
      <c r="D1" s="261"/>
      <c r="E1" s="150" t="s">
        <v>266</v>
      </c>
      <c r="F1" s="263"/>
      <c r="G1" s="151"/>
      <c r="J1" s="265"/>
    </row>
    <row r="2" spans="1:10" ht="15" customHeight="1">
      <c r="A2" s="260"/>
      <c r="B2" s="262"/>
      <c r="C2" s="262"/>
      <c r="D2" s="262"/>
      <c r="E2" s="154" t="s">
        <v>267</v>
      </c>
      <c r="F2" s="264"/>
      <c r="G2" s="151"/>
      <c r="J2" s="265"/>
    </row>
    <row r="3" spans="1:10" ht="15" customHeight="1">
      <c r="A3" s="260"/>
      <c r="B3" s="262" t="s">
        <v>215</v>
      </c>
      <c r="C3" s="262"/>
      <c r="D3" s="262"/>
      <c r="E3" s="154" t="s">
        <v>268</v>
      </c>
      <c r="F3" s="264"/>
      <c r="G3" s="151"/>
      <c r="J3" s="265"/>
    </row>
    <row r="4" spans="1:10" ht="15.75" customHeight="1">
      <c r="A4" s="260"/>
      <c r="B4" s="262"/>
      <c r="C4" s="262"/>
      <c r="D4" s="262"/>
      <c r="E4" s="154" t="s">
        <v>269</v>
      </c>
      <c r="F4" s="264"/>
      <c r="G4" s="151"/>
      <c r="J4" s="265"/>
    </row>
    <row r="5" spans="1:10" ht="15.75" customHeight="1">
      <c r="A5" s="266"/>
      <c r="B5" s="267"/>
      <c r="C5" s="267"/>
      <c r="D5" s="267"/>
      <c r="E5" s="267"/>
      <c r="F5" s="268"/>
      <c r="G5" s="151"/>
      <c r="J5" s="153"/>
    </row>
    <row r="6" spans="1:10" ht="15" customHeight="1">
      <c r="A6" s="269" t="s">
        <v>216</v>
      </c>
      <c r="B6" s="270"/>
      <c r="C6" s="270"/>
      <c r="D6" s="270"/>
      <c r="E6" s="270"/>
      <c r="F6" s="271"/>
    </row>
    <row r="7" spans="1:10" ht="15.75" customHeight="1">
      <c r="A7" s="269"/>
      <c r="B7" s="270"/>
      <c r="C7" s="270"/>
      <c r="D7" s="270"/>
      <c r="E7" s="270"/>
      <c r="F7" s="271"/>
    </row>
    <row r="8" spans="1:10" ht="27" customHeight="1">
      <c r="A8" s="272" t="s">
        <v>271</v>
      </c>
      <c r="B8" s="273"/>
      <c r="C8" s="273"/>
      <c r="D8" s="273"/>
      <c r="E8" s="273"/>
      <c r="F8" s="274"/>
    </row>
    <row r="9" spans="1:10" ht="77.25" customHeight="1" thickBot="1">
      <c r="A9" s="255" t="s">
        <v>355</v>
      </c>
      <c r="B9" s="256"/>
      <c r="C9" s="256"/>
      <c r="D9" s="256"/>
      <c r="E9" s="256"/>
      <c r="F9" s="257"/>
    </row>
    <row r="10" spans="1:10" ht="18.75" customHeight="1" thickBot="1">
      <c r="A10" s="258"/>
      <c r="B10" s="258"/>
      <c r="C10" s="258"/>
      <c r="D10" s="258"/>
      <c r="E10" s="258"/>
      <c r="F10" s="258"/>
    </row>
    <row r="11" spans="1:10" ht="22.5" customHeight="1" thickBot="1">
      <c r="A11" s="155" t="s">
        <v>217</v>
      </c>
      <c r="B11" s="156" t="s">
        <v>218</v>
      </c>
      <c r="C11" s="156" t="s">
        <v>219</v>
      </c>
      <c r="D11" s="156" t="s">
        <v>218</v>
      </c>
      <c r="E11" s="156" t="s">
        <v>220</v>
      </c>
      <c r="F11" s="157" t="s">
        <v>218</v>
      </c>
    </row>
    <row r="12" spans="1:10" ht="75" customHeight="1">
      <c r="A12" s="158" t="s">
        <v>272</v>
      </c>
      <c r="B12" s="159" t="s">
        <v>273</v>
      </c>
      <c r="C12" s="160" t="s">
        <v>274</v>
      </c>
      <c r="D12" s="159" t="s">
        <v>275</v>
      </c>
      <c r="E12" s="160" t="s">
        <v>276</v>
      </c>
      <c r="F12" s="161" t="s">
        <v>277</v>
      </c>
    </row>
    <row r="13" spans="1:10" ht="60" customHeight="1">
      <c r="A13" s="162" t="s">
        <v>222</v>
      </c>
      <c r="B13" s="163" t="s">
        <v>278</v>
      </c>
      <c r="C13" s="164" t="s">
        <v>279</v>
      </c>
      <c r="D13" s="165" t="s">
        <v>280</v>
      </c>
      <c r="E13" s="164" t="s">
        <v>281</v>
      </c>
      <c r="F13" s="166" t="s">
        <v>282</v>
      </c>
    </row>
    <row r="14" spans="1:10" ht="82.5" customHeight="1">
      <c r="A14" s="162" t="s">
        <v>221</v>
      </c>
      <c r="B14" s="163" t="s">
        <v>283</v>
      </c>
      <c r="C14" s="164" t="s">
        <v>279</v>
      </c>
      <c r="D14" s="165" t="s">
        <v>284</v>
      </c>
      <c r="E14" s="164" t="s">
        <v>285</v>
      </c>
      <c r="F14" s="166" t="s">
        <v>286</v>
      </c>
    </row>
    <row r="15" spans="1:10" ht="73.5" customHeight="1">
      <c r="A15" s="162" t="s">
        <v>287</v>
      </c>
      <c r="B15" s="165" t="s">
        <v>288</v>
      </c>
      <c r="C15" s="164" t="s">
        <v>289</v>
      </c>
      <c r="D15" s="165" t="s">
        <v>290</v>
      </c>
      <c r="E15" s="164" t="s">
        <v>291</v>
      </c>
      <c r="F15" s="166" t="s">
        <v>292</v>
      </c>
    </row>
    <row r="16" spans="1:10" ht="59.25" customHeight="1">
      <c r="A16" s="162" t="s">
        <v>223</v>
      </c>
      <c r="B16" s="165" t="s">
        <v>293</v>
      </c>
      <c r="C16" s="164" t="s">
        <v>294</v>
      </c>
      <c r="D16" s="165" t="s">
        <v>295</v>
      </c>
      <c r="E16" s="164" t="s">
        <v>296</v>
      </c>
      <c r="F16" s="166" t="s">
        <v>297</v>
      </c>
    </row>
    <row r="17" spans="1:6" ht="69.75" customHeight="1">
      <c r="A17" s="162" t="s">
        <v>224</v>
      </c>
      <c r="B17" s="165" t="s">
        <v>298</v>
      </c>
      <c r="C17" s="164" t="s">
        <v>299</v>
      </c>
      <c r="D17" s="165" t="s">
        <v>300</v>
      </c>
      <c r="E17" s="164"/>
      <c r="F17" s="166"/>
    </row>
    <row r="18" spans="1:6" ht="66.75" customHeight="1">
      <c r="A18" s="162" t="s">
        <v>225</v>
      </c>
      <c r="B18" s="165"/>
      <c r="C18" s="164" t="s">
        <v>301</v>
      </c>
      <c r="D18" s="165" t="s">
        <v>302</v>
      </c>
      <c r="E18" s="164"/>
      <c r="F18" s="166"/>
    </row>
    <row r="19" spans="1:6" ht="73.5" customHeight="1">
      <c r="A19" s="162"/>
      <c r="B19" s="165"/>
      <c r="C19" s="164" t="s">
        <v>279</v>
      </c>
      <c r="D19" s="165" t="s">
        <v>303</v>
      </c>
      <c r="E19" s="164"/>
      <c r="F19" s="166"/>
    </row>
    <row r="20" spans="1:6" ht="65.25" customHeight="1">
      <c r="A20" s="162"/>
      <c r="B20" s="165"/>
      <c r="C20" s="164" t="s">
        <v>304</v>
      </c>
      <c r="D20" s="167" t="s">
        <v>305</v>
      </c>
      <c r="E20" s="164"/>
      <c r="F20" s="166"/>
    </row>
    <row r="21" spans="1:6" ht="66.75" customHeight="1">
      <c r="A21" s="162"/>
      <c r="B21" s="165"/>
      <c r="C21" s="164" t="s">
        <v>225</v>
      </c>
      <c r="D21" s="167" t="s">
        <v>306</v>
      </c>
      <c r="E21" s="164"/>
      <c r="F21" s="166"/>
    </row>
    <row r="22" spans="1:6" ht="69" customHeight="1">
      <c r="A22" s="162"/>
      <c r="B22" s="165"/>
      <c r="C22" s="164" t="s">
        <v>225</v>
      </c>
      <c r="D22" s="167" t="s">
        <v>307</v>
      </c>
      <c r="E22" s="164"/>
      <c r="F22" s="166"/>
    </row>
    <row r="23" spans="1:6" ht="61.5" customHeight="1">
      <c r="A23" s="162"/>
      <c r="B23" s="165"/>
      <c r="C23" s="164"/>
      <c r="D23" s="167"/>
      <c r="E23" s="164"/>
      <c r="F23" s="166"/>
    </row>
    <row r="24" spans="1:6" ht="57.75" customHeight="1">
      <c r="A24" s="162"/>
      <c r="B24" s="165"/>
      <c r="C24" s="164"/>
      <c r="D24" s="167"/>
      <c r="E24" s="164"/>
      <c r="F24" s="166"/>
    </row>
    <row r="25" spans="1:6" ht="62.25" customHeight="1">
      <c r="A25" s="162"/>
      <c r="B25" s="165"/>
      <c r="C25" s="164"/>
      <c r="D25" s="167"/>
      <c r="E25" s="164"/>
      <c r="F25" s="166"/>
    </row>
    <row r="26" spans="1:6" ht="56.25" customHeight="1" thickBot="1">
      <c r="A26" s="168"/>
      <c r="B26" s="169"/>
      <c r="C26" s="170"/>
      <c r="D26" s="171"/>
      <c r="E26" s="170"/>
      <c r="F26" s="172"/>
    </row>
    <row r="27" spans="1:6" ht="65.25" customHeight="1">
      <c r="A27" s="173"/>
      <c r="B27" s="174"/>
      <c r="C27" s="173"/>
      <c r="D27" s="175"/>
      <c r="E27" s="173"/>
      <c r="F27" s="175"/>
    </row>
    <row r="28" spans="1:6" ht="62.25" customHeight="1">
      <c r="A28" s="173"/>
      <c r="B28" s="174"/>
      <c r="C28" s="173"/>
      <c r="D28" s="175"/>
      <c r="E28" s="173"/>
      <c r="F28" s="175"/>
    </row>
    <row r="29" spans="1:6" ht="63" customHeight="1">
      <c r="A29" s="173"/>
      <c r="B29" s="174"/>
      <c r="C29" s="173"/>
      <c r="D29" s="175"/>
      <c r="E29" s="173"/>
      <c r="F29" s="174"/>
    </row>
    <row r="30" spans="1:6" ht="51.75" customHeight="1">
      <c r="A30" s="173"/>
      <c r="B30" s="174"/>
      <c r="C30" s="173"/>
      <c r="D30" s="175"/>
      <c r="E30" s="173"/>
      <c r="F30" s="174"/>
    </row>
    <row r="31" spans="1:6" ht="52.5" customHeight="1">
      <c r="A31" s="173"/>
      <c r="B31" s="175"/>
      <c r="C31" s="173"/>
      <c r="D31" s="175"/>
      <c r="E31" s="173"/>
      <c r="F31" s="175"/>
    </row>
    <row r="32" spans="1:6" ht="63.75" customHeight="1">
      <c r="A32" s="173"/>
      <c r="B32" s="175"/>
      <c r="C32" s="173"/>
      <c r="D32" s="175"/>
      <c r="E32" s="173"/>
      <c r="F32" s="175"/>
    </row>
    <row r="33" spans="1:6" ht="66" customHeight="1">
      <c r="A33" s="173"/>
      <c r="B33" s="176"/>
      <c r="C33" s="173"/>
      <c r="D33" s="177"/>
      <c r="E33" s="173"/>
      <c r="F33" s="176"/>
    </row>
    <row r="34" spans="1:6" ht="55.5" customHeight="1">
      <c r="A34" s="173"/>
      <c r="B34" s="176"/>
      <c r="C34" s="173"/>
      <c r="D34" s="177"/>
      <c r="E34" s="173"/>
      <c r="F34" s="178"/>
    </row>
    <row r="35" spans="1:6" ht="51.75" customHeight="1">
      <c r="A35" s="173"/>
      <c r="B35" s="178"/>
      <c r="C35" s="173"/>
      <c r="D35" s="179"/>
      <c r="E35" s="173"/>
      <c r="F35" s="178"/>
    </row>
    <row r="36" spans="1:6" ht="55.5" customHeight="1">
      <c r="A36" s="173"/>
      <c r="B36" s="178"/>
      <c r="C36" s="173"/>
      <c r="D36" s="178"/>
      <c r="E36" s="173"/>
      <c r="F36" s="178"/>
    </row>
    <row r="37" spans="1:6" ht="55.5" customHeight="1">
      <c r="A37" s="173"/>
      <c r="B37" s="178"/>
      <c r="C37" s="173"/>
      <c r="D37" s="178"/>
      <c r="E37" s="173"/>
      <c r="F37" s="178"/>
    </row>
    <row r="38" spans="1:6" ht="54.75" customHeight="1">
      <c r="A38" s="173"/>
      <c r="B38" s="178"/>
      <c r="C38" s="173"/>
      <c r="D38" s="178"/>
      <c r="E38" s="173"/>
      <c r="F38" s="178"/>
    </row>
    <row r="39" spans="1:6" ht="56.25" customHeight="1">
      <c r="A39" s="173"/>
      <c r="B39" s="178"/>
      <c r="C39" s="173"/>
      <c r="D39" s="178"/>
      <c r="E39" s="173"/>
      <c r="F39" s="178"/>
    </row>
    <row r="40" spans="1:6" ht="54.75" customHeight="1">
      <c r="A40" s="173"/>
      <c r="B40" s="176"/>
      <c r="C40" s="173"/>
      <c r="D40" s="177"/>
      <c r="E40" s="173"/>
      <c r="F40" s="176"/>
    </row>
    <row r="41" spans="1:6" ht="55.5" customHeight="1">
      <c r="A41" s="173"/>
      <c r="B41" s="176"/>
      <c r="C41" s="173"/>
      <c r="D41" s="177"/>
      <c r="E41" s="173"/>
      <c r="F41" s="178"/>
    </row>
    <row r="42" spans="1:6" ht="54.75" customHeight="1">
      <c r="A42" s="173"/>
      <c r="B42" s="178"/>
      <c r="C42" s="173"/>
      <c r="D42" s="179"/>
      <c r="E42" s="173"/>
      <c r="F42" s="178"/>
    </row>
    <row r="43" spans="1:6" ht="55.5" customHeight="1">
      <c r="A43" s="173"/>
      <c r="B43" s="178"/>
      <c r="C43" s="173"/>
      <c r="D43" s="178"/>
      <c r="E43" s="173"/>
      <c r="F43" s="178"/>
    </row>
    <row r="44" spans="1:6" ht="56.25" customHeight="1">
      <c r="A44" s="173"/>
      <c r="B44" s="178"/>
      <c r="C44" s="173"/>
      <c r="D44" s="178"/>
      <c r="E44" s="173"/>
      <c r="F44" s="178"/>
    </row>
    <row r="45" spans="1:6" ht="59.25" customHeight="1">
      <c r="A45" s="173"/>
      <c r="B45" s="178"/>
      <c r="C45" s="173"/>
      <c r="D45" s="178"/>
      <c r="E45" s="173"/>
      <c r="F45" s="178"/>
    </row>
    <row r="46" spans="1:6" ht="55.5" customHeight="1">
      <c r="A46" s="173"/>
      <c r="B46" s="178"/>
      <c r="C46" s="173"/>
      <c r="D46" s="178"/>
      <c r="E46" s="173"/>
      <c r="F46" s="178"/>
    </row>
    <row r="47" spans="1:6" ht="55.5" customHeight="1">
      <c r="A47" s="173"/>
      <c r="B47" s="176"/>
      <c r="C47" s="173"/>
      <c r="D47" s="177"/>
      <c r="E47" s="173"/>
      <c r="F47" s="176"/>
    </row>
    <row r="48" spans="1:6" ht="56.25" customHeight="1">
      <c r="A48" s="173"/>
      <c r="B48" s="176"/>
      <c r="C48" s="173"/>
      <c r="D48" s="177"/>
      <c r="E48" s="173"/>
      <c r="F48" s="178"/>
    </row>
    <row r="49" spans="1:6" ht="54" customHeight="1">
      <c r="A49" s="173"/>
      <c r="B49" s="178"/>
      <c r="C49" s="173"/>
      <c r="D49" s="179"/>
      <c r="E49" s="173"/>
      <c r="F49" s="178"/>
    </row>
    <row r="50" spans="1:6" ht="56.25" customHeight="1">
      <c r="A50" s="173"/>
      <c r="B50" s="178"/>
      <c r="C50" s="173"/>
      <c r="D50" s="178"/>
      <c r="E50" s="173"/>
      <c r="F50" s="178"/>
    </row>
    <row r="51" spans="1:6" ht="59.25" customHeight="1">
      <c r="A51" s="173"/>
      <c r="B51" s="178"/>
      <c r="C51" s="173"/>
      <c r="D51" s="178"/>
      <c r="E51" s="173"/>
      <c r="F51" s="178"/>
    </row>
    <row r="52" spans="1:6" ht="54.75" customHeight="1">
      <c r="A52" s="173"/>
      <c r="B52" s="178"/>
      <c r="C52" s="173"/>
      <c r="D52" s="178"/>
      <c r="E52" s="173"/>
      <c r="F52" s="178"/>
    </row>
    <row r="53" spans="1:6" ht="55.5" customHeight="1">
      <c r="A53" s="173"/>
      <c r="B53" s="178"/>
      <c r="C53" s="173"/>
      <c r="D53" s="178"/>
      <c r="E53" s="173"/>
      <c r="F53" s="178"/>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workbookViewId="0">
      <selection activeCell="A8" sqref="A8"/>
    </sheetView>
  </sheetViews>
  <sheetFormatPr baseColWidth="10" defaultColWidth="11.5" defaultRowHeight="15"/>
  <cols>
    <col min="1" max="1" width="5.1640625" style="207" customWidth="1"/>
    <col min="2" max="2" width="40.5" style="208" customWidth="1"/>
    <col min="3" max="17" width="6.5" style="208" customWidth="1"/>
    <col min="18" max="18" width="8.1640625" style="208" customWidth="1"/>
    <col min="19" max="19" width="13" style="209" customWidth="1"/>
    <col min="20" max="20" width="19.6640625" customWidth="1"/>
    <col min="21" max="23" width="11.5" hidden="1" customWidth="1"/>
  </cols>
  <sheetData>
    <row r="1" spans="1:24" ht="30.75" customHeight="1">
      <c r="A1" s="277"/>
      <c r="B1" s="280" t="str">
        <f>[1]CONTEXTO!B1</f>
        <v xml:space="preserve">PROCESO: </v>
      </c>
      <c r="C1" s="280"/>
      <c r="D1" s="280"/>
      <c r="E1" s="280"/>
      <c r="F1" s="280"/>
      <c r="G1" s="280"/>
      <c r="H1" s="280"/>
      <c r="I1" s="280"/>
      <c r="J1" s="280"/>
      <c r="K1" s="280"/>
      <c r="L1" s="280"/>
      <c r="M1" s="280"/>
      <c r="N1" s="280"/>
      <c r="O1" s="280"/>
      <c r="P1" s="280"/>
      <c r="Q1" s="280"/>
      <c r="R1" s="280"/>
      <c r="S1" s="281"/>
      <c r="T1" s="284" t="s">
        <v>266</v>
      </c>
      <c r="U1" s="284"/>
      <c r="V1" s="284"/>
      <c r="W1" s="285"/>
    </row>
    <row r="2" spans="1:24" ht="25.5" customHeight="1">
      <c r="A2" s="278"/>
      <c r="B2" s="282"/>
      <c r="C2" s="282"/>
      <c r="D2" s="282"/>
      <c r="E2" s="282"/>
      <c r="F2" s="282"/>
      <c r="G2" s="282"/>
      <c r="H2" s="282"/>
      <c r="I2" s="282"/>
      <c r="J2" s="282"/>
      <c r="K2" s="282"/>
      <c r="L2" s="282"/>
      <c r="M2" s="282"/>
      <c r="N2" s="282"/>
      <c r="O2" s="282"/>
      <c r="P2" s="282"/>
      <c r="Q2" s="282"/>
      <c r="R2" s="282"/>
      <c r="S2" s="283"/>
      <c r="T2" s="286" t="s">
        <v>267</v>
      </c>
      <c r="U2" s="286"/>
      <c r="V2" s="286"/>
      <c r="W2" s="287"/>
    </row>
    <row r="3" spans="1:24" ht="15" customHeight="1">
      <c r="A3" s="278"/>
      <c r="B3" s="282" t="s">
        <v>229</v>
      </c>
      <c r="C3" s="282"/>
      <c r="D3" s="282"/>
      <c r="E3" s="282"/>
      <c r="F3" s="282"/>
      <c r="G3" s="282"/>
      <c r="H3" s="282"/>
      <c r="I3" s="282"/>
      <c r="J3" s="282"/>
      <c r="K3" s="282"/>
      <c r="L3" s="282"/>
      <c r="M3" s="282"/>
      <c r="N3" s="282"/>
      <c r="O3" s="282"/>
      <c r="P3" s="282"/>
      <c r="Q3" s="282"/>
      <c r="R3" s="282"/>
      <c r="S3" s="283"/>
      <c r="T3" s="286" t="s">
        <v>270</v>
      </c>
      <c r="U3" s="286"/>
      <c r="V3" s="286"/>
      <c r="W3" s="287"/>
    </row>
    <row r="4" spans="1:24" ht="15.75" customHeight="1">
      <c r="A4" s="279"/>
      <c r="B4" s="288"/>
      <c r="C4" s="288"/>
      <c r="D4" s="288"/>
      <c r="E4" s="288"/>
      <c r="F4" s="288"/>
      <c r="G4" s="288"/>
      <c r="H4" s="288"/>
      <c r="I4" s="288"/>
      <c r="J4" s="288"/>
      <c r="K4" s="288"/>
      <c r="L4" s="288"/>
      <c r="M4" s="288"/>
      <c r="N4" s="288"/>
      <c r="O4" s="288"/>
      <c r="P4" s="288"/>
      <c r="Q4" s="288"/>
      <c r="R4" s="288"/>
      <c r="S4" s="289"/>
      <c r="T4" s="286" t="s">
        <v>269</v>
      </c>
      <c r="U4" s="286"/>
      <c r="V4" s="286"/>
      <c r="W4" s="287"/>
    </row>
    <row r="5" spans="1:24" ht="15.75" customHeight="1">
      <c r="A5" s="279"/>
      <c r="B5" s="279"/>
      <c r="C5" s="279"/>
      <c r="D5" s="279"/>
      <c r="E5" s="279"/>
      <c r="F5" s="279"/>
      <c r="G5" s="279"/>
      <c r="H5" s="279"/>
      <c r="I5" s="279"/>
      <c r="J5" s="279"/>
      <c r="K5" s="279"/>
      <c r="L5" s="279"/>
      <c r="M5" s="279"/>
      <c r="N5" s="279"/>
      <c r="O5" s="279"/>
      <c r="P5" s="279"/>
      <c r="Q5" s="279"/>
      <c r="R5" s="279"/>
      <c r="S5" s="279"/>
      <c r="T5" s="290"/>
      <c r="U5" s="174"/>
      <c r="V5" s="174"/>
      <c r="W5" s="180"/>
    </row>
    <row r="6" spans="1:24" s="152" customFormat="1" ht="27" customHeight="1">
      <c r="A6" s="291" t="str">
        <f>+Contexto!A8</f>
        <v>PROCESO: GESTIÓN DOCUMENTAL</v>
      </c>
      <c r="B6" s="291"/>
      <c r="C6" s="291"/>
      <c r="D6" s="291"/>
      <c r="E6" s="291"/>
      <c r="F6" s="291"/>
      <c r="G6" s="291"/>
      <c r="H6" s="291"/>
      <c r="I6" s="291"/>
      <c r="J6" s="291"/>
      <c r="K6" s="291"/>
      <c r="L6" s="291"/>
      <c r="M6" s="291"/>
      <c r="N6" s="291"/>
      <c r="O6" s="291"/>
      <c r="P6" s="291"/>
      <c r="Q6" s="291"/>
      <c r="R6" s="291"/>
      <c r="S6" s="291"/>
      <c r="T6" s="291"/>
      <c r="W6" s="181"/>
    </row>
    <row r="7" spans="1:24" s="152" customFormat="1" ht="81" customHeight="1" thickBot="1">
      <c r="A7" s="292" t="str">
        <f>+Contexto!A9</f>
        <v>OBJETIVO: IMPLEMENTAR EL PROGRAMA DE GESTIÓN DOCUMENTAL APLICANDO EL MODELO DE GESTION DOCUMENTAL
Y ADMINISTRACIÓN DE ARCHIVOS (MGDA), PARA GARANTIZAR EL ACCESO A LA INFORMACIÓN EN FORMA
OPORTUNA Y PRESERVAR LA MEMORIA INSTITUCIONAL.</v>
      </c>
      <c r="B7" s="292"/>
      <c r="C7" s="292"/>
      <c r="D7" s="292"/>
      <c r="E7" s="292"/>
      <c r="F7" s="292"/>
      <c r="G7" s="292"/>
      <c r="H7" s="292"/>
      <c r="I7" s="292"/>
      <c r="J7" s="292"/>
      <c r="K7" s="292"/>
      <c r="L7" s="292"/>
      <c r="M7" s="292"/>
      <c r="N7" s="292"/>
      <c r="O7" s="292"/>
      <c r="P7" s="292"/>
      <c r="Q7" s="292"/>
      <c r="R7" s="292"/>
      <c r="S7" s="292"/>
      <c r="T7" s="292"/>
      <c r="U7" s="182"/>
      <c r="V7" s="182"/>
      <c r="W7" s="183"/>
    </row>
    <row r="8" spans="1:24" s="152" customFormat="1" ht="26.25" customHeight="1" thickBot="1">
      <c r="A8" s="184"/>
      <c r="B8" s="184"/>
      <c r="C8" s="184"/>
      <c r="D8" s="184"/>
      <c r="E8" s="184"/>
      <c r="F8" s="184"/>
      <c r="G8" s="184"/>
      <c r="H8" s="184"/>
      <c r="I8" s="184"/>
      <c r="J8" s="184"/>
      <c r="K8" s="184"/>
      <c r="L8" s="184"/>
      <c r="M8" s="184"/>
      <c r="N8" s="184"/>
      <c r="O8" s="184"/>
      <c r="P8" s="184"/>
      <c r="Q8" s="184"/>
      <c r="R8" s="184"/>
      <c r="S8" s="184"/>
      <c r="T8" s="185"/>
      <c r="X8" s="186"/>
    </row>
    <row r="9" spans="1:24" s="152" customFormat="1" ht="39.75" customHeight="1" thickBot="1">
      <c r="A9" s="293"/>
      <c r="B9" s="293"/>
      <c r="C9" s="293" t="b">
        <v>0</v>
      </c>
      <c r="D9" s="293"/>
      <c r="E9" s="293"/>
      <c r="F9" s="293"/>
      <c r="G9" s="293"/>
      <c r="H9" s="293"/>
      <c r="I9" s="293"/>
      <c r="J9" s="293"/>
      <c r="K9" s="293"/>
      <c r="L9" s="293"/>
      <c r="M9" s="293"/>
      <c r="N9" s="293"/>
      <c r="O9" s="293"/>
      <c r="P9" s="293"/>
      <c r="Q9" s="293"/>
      <c r="R9" s="293"/>
      <c r="S9" s="293"/>
      <c r="T9" s="294"/>
    </row>
    <row r="10" spans="1:24" s="192" customFormat="1" ht="32.25" customHeight="1" thickBot="1">
      <c r="A10" s="187" t="s">
        <v>230</v>
      </c>
      <c r="B10" s="188" t="s">
        <v>231</v>
      </c>
      <c r="C10" s="188" t="s">
        <v>232</v>
      </c>
      <c r="D10" s="188" t="s">
        <v>233</v>
      </c>
      <c r="E10" s="188" t="s">
        <v>234</v>
      </c>
      <c r="F10" s="188" t="s">
        <v>235</v>
      </c>
      <c r="G10" s="188" t="s">
        <v>236</v>
      </c>
      <c r="H10" s="188" t="s">
        <v>237</v>
      </c>
      <c r="I10" s="188" t="s">
        <v>238</v>
      </c>
      <c r="J10" s="188" t="s">
        <v>239</v>
      </c>
      <c r="K10" s="188" t="s">
        <v>240</v>
      </c>
      <c r="L10" s="188" t="s">
        <v>241</v>
      </c>
      <c r="M10" s="188" t="s">
        <v>242</v>
      </c>
      <c r="N10" s="188" t="s">
        <v>243</v>
      </c>
      <c r="O10" s="188" t="s">
        <v>244</v>
      </c>
      <c r="P10" s="188" t="s">
        <v>245</v>
      </c>
      <c r="Q10" s="188" t="s">
        <v>246</v>
      </c>
      <c r="R10" s="189" t="s">
        <v>247</v>
      </c>
      <c r="S10" s="190" t="s">
        <v>248</v>
      </c>
      <c r="T10" s="191" t="s">
        <v>249</v>
      </c>
    </row>
    <row r="11" spans="1:24" ht="39.75" customHeight="1">
      <c r="A11" s="193">
        <v>1</v>
      </c>
      <c r="B11" s="165" t="str">
        <f>+[2]CONTEXTO!B12</f>
        <v>Constante cambio de normatividad vigente a nivel nacional</v>
      </c>
      <c r="C11" s="194">
        <v>3</v>
      </c>
      <c r="D11" s="211">
        <v>4</v>
      </c>
      <c r="E11" s="211">
        <v>5</v>
      </c>
      <c r="F11" s="211">
        <v>3</v>
      </c>
      <c r="G11" s="211">
        <v>4</v>
      </c>
      <c r="H11" s="211">
        <v>5</v>
      </c>
      <c r="I11" s="211">
        <v>4</v>
      </c>
      <c r="J11" s="194"/>
      <c r="K11" s="194"/>
      <c r="L11" s="194"/>
      <c r="M11" s="194"/>
      <c r="N11" s="194"/>
      <c r="O11" s="194"/>
      <c r="P11" s="194"/>
      <c r="Q11" s="194"/>
      <c r="R11" s="193">
        <f>+SUM(C11:Q11)</f>
        <v>28</v>
      </c>
      <c r="S11" s="195">
        <f>+R11/(COUNT(C11:Q11))</f>
        <v>4</v>
      </c>
      <c r="T11" s="196" t="s">
        <v>308</v>
      </c>
    </row>
    <row r="12" spans="1:24" ht="45.75" customHeight="1">
      <c r="A12" s="193">
        <v>2</v>
      </c>
      <c r="B12" s="165" t="str">
        <f>+[2]CONTEXTO!B13</f>
        <v>Cambios de gobierno</v>
      </c>
      <c r="C12" s="194">
        <v>2</v>
      </c>
      <c r="D12" s="211">
        <v>3</v>
      </c>
      <c r="E12" s="211">
        <v>4</v>
      </c>
      <c r="F12" s="211">
        <v>5</v>
      </c>
      <c r="G12" s="211">
        <v>5</v>
      </c>
      <c r="H12" s="211">
        <v>5</v>
      </c>
      <c r="I12" s="194">
        <v>4</v>
      </c>
      <c r="J12" s="194"/>
      <c r="K12" s="194"/>
      <c r="L12" s="194"/>
      <c r="M12" s="194"/>
      <c r="N12" s="194"/>
      <c r="O12" s="194"/>
      <c r="P12" s="194"/>
      <c r="Q12" s="194"/>
      <c r="R12" s="193">
        <f t="shared" ref="R12:R31" si="0">+SUM(C12:Q12)</f>
        <v>28</v>
      </c>
      <c r="S12" s="195">
        <f t="shared" ref="S12:S30" si="1">+R12/(COUNT(C12:Q12))</f>
        <v>4</v>
      </c>
      <c r="T12" s="197" t="s">
        <v>308</v>
      </c>
    </row>
    <row r="13" spans="1:24" ht="65.25" customHeight="1">
      <c r="A13" s="193">
        <v>3</v>
      </c>
      <c r="B13" s="165" t="str">
        <f>+[2]CONTEXTO!B14</f>
        <v>Idiosincrasia ciudadana -  soborno de ciudadanos para beneficio personal</v>
      </c>
      <c r="C13" s="194">
        <v>2</v>
      </c>
      <c r="D13" s="211">
        <v>4</v>
      </c>
      <c r="E13" s="211">
        <v>5</v>
      </c>
      <c r="F13" s="211">
        <v>5</v>
      </c>
      <c r="G13" s="211">
        <v>5</v>
      </c>
      <c r="H13" s="211">
        <v>5</v>
      </c>
      <c r="I13" s="211">
        <v>4</v>
      </c>
      <c r="J13" s="194"/>
      <c r="K13" s="194"/>
      <c r="L13" s="194"/>
      <c r="M13" s="194"/>
      <c r="N13" s="194"/>
      <c r="O13" s="194"/>
      <c r="P13" s="194"/>
      <c r="Q13" s="194"/>
      <c r="R13" s="193">
        <f t="shared" si="0"/>
        <v>30</v>
      </c>
      <c r="S13" s="195">
        <f t="shared" si="1"/>
        <v>4.2857142857142856</v>
      </c>
      <c r="T13" s="198" t="s">
        <v>308</v>
      </c>
    </row>
    <row r="14" spans="1:24" ht="39.75" customHeight="1">
      <c r="A14" s="193">
        <v>4</v>
      </c>
      <c r="B14" s="165" t="str">
        <f>+[2]CONTEXTO!B16</f>
        <v>Constante innovación tecnológica</v>
      </c>
      <c r="C14" s="194">
        <v>2</v>
      </c>
      <c r="D14" s="211">
        <v>3</v>
      </c>
      <c r="E14" s="211">
        <v>3</v>
      </c>
      <c r="F14" s="211">
        <v>3</v>
      </c>
      <c r="G14" s="211">
        <v>3</v>
      </c>
      <c r="H14" s="211">
        <v>4</v>
      </c>
      <c r="I14" s="211">
        <v>4</v>
      </c>
      <c r="J14" s="194"/>
      <c r="K14" s="194"/>
      <c r="L14" s="194"/>
      <c r="M14" s="194"/>
      <c r="N14" s="194"/>
      <c r="O14" s="194"/>
      <c r="P14" s="194"/>
      <c r="Q14" s="194"/>
      <c r="R14" s="193">
        <f t="shared" si="0"/>
        <v>22</v>
      </c>
      <c r="S14" s="195">
        <f t="shared" si="1"/>
        <v>3.1428571428571428</v>
      </c>
      <c r="T14" s="198"/>
    </row>
    <row r="15" spans="1:24" ht="39.75" customHeight="1">
      <c r="A15" s="193">
        <v>5</v>
      </c>
      <c r="B15" s="165" t="str">
        <f>+[2]CONTEXTO!B17</f>
        <v>fenómenos
naturales.</v>
      </c>
      <c r="C15" s="194">
        <v>3</v>
      </c>
      <c r="D15" s="212">
        <v>4</v>
      </c>
      <c r="E15" s="213">
        <v>4</v>
      </c>
      <c r="F15" s="213">
        <v>3</v>
      </c>
      <c r="G15" s="213">
        <v>3</v>
      </c>
      <c r="H15" s="213">
        <v>3</v>
      </c>
      <c r="I15" s="213">
        <v>3</v>
      </c>
      <c r="J15" s="194"/>
      <c r="K15" s="194"/>
      <c r="L15" s="194"/>
      <c r="M15" s="194"/>
      <c r="N15" s="194"/>
      <c r="O15" s="194"/>
      <c r="P15" s="194"/>
      <c r="Q15" s="194"/>
      <c r="R15" s="193">
        <f t="shared" si="0"/>
        <v>23</v>
      </c>
      <c r="S15" s="195">
        <f t="shared" si="1"/>
        <v>3.2857142857142856</v>
      </c>
      <c r="T15" s="198"/>
    </row>
    <row r="16" spans="1:24" ht="39.75" customHeight="1">
      <c r="A16" s="193">
        <v>6</v>
      </c>
      <c r="B16" s="165" t="str">
        <f>+[2]CONTEXTO!D12</f>
        <v>Asignación  presupuestal de funcionamiento e inversión para administrar la documentación  de la administración municipal</v>
      </c>
      <c r="C16" s="194">
        <v>4</v>
      </c>
      <c r="D16" s="212">
        <v>5</v>
      </c>
      <c r="E16" s="213">
        <v>5</v>
      </c>
      <c r="F16" s="213">
        <v>4</v>
      </c>
      <c r="G16" s="213">
        <v>5</v>
      </c>
      <c r="H16" s="213">
        <v>5</v>
      </c>
      <c r="I16" s="213">
        <v>4</v>
      </c>
      <c r="J16" s="194"/>
      <c r="K16" s="194"/>
      <c r="L16" s="194"/>
      <c r="M16" s="194"/>
      <c r="N16" s="194"/>
      <c r="O16" s="194"/>
      <c r="P16" s="194"/>
      <c r="Q16" s="194"/>
      <c r="R16" s="193">
        <f t="shared" si="0"/>
        <v>32</v>
      </c>
      <c r="S16" s="195">
        <f t="shared" si="1"/>
        <v>4.5714285714285712</v>
      </c>
      <c r="T16" s="198" t="s">
        <v>308</v>
      </c>
    </row>
    <row r="17" spans="1:20" ht="39.75" customHeight="1">
      <c r="A17" s="193">
        <v>7</v>
      </c>
      <c r="B17" s="165" t="str">
        <f>+[2]CONTEXTO!D13</f>
        <v>competencia e idoneidad del personal contratado frente al manejo del proceso de Gestión Documental en las Unidades Administrativas</v>
      </c>
      <c r="C17" s="194">
        <v>5</v>
      </c>
      <c r="D17" s="211">
        <v>4</v>
      </c>
      <c r="E17" s="211">
        <v>4</v>
      </c>
      <c r="F17" s="211">
        <v>5</v>
      </c>
      <c r="G17" s="211">
        <v>4</v>
      </c>
      <c r="H17" s="211">
        <v>4</v>
      </c>
      <c r="I17" s="211">
        <v>4</v>
      </c>
      <c r="J17" s="194"/>
      <c r="K17" s="194"/>
      <c r="L17" s="194"/>
      <c r="M17" s="194"/>
      <c r="N17" s="194"/>
      <c r="O17" s="194"/>
      <c r="P17" s="194"/>
      <c r="Q17" s="194"/>
      <c r="R17" s="193">
        <f t="shared" si="0"/>
        <v>30</v>
      </c>
      <c r="S17" s="195">
        <f t="shared" si="1"/>
        <v>4.2857142857142856</v>
      </c>
      <c r="T17" s="198" t="s">
        <v>308</v>
      </c>
    </row>
    <row r="18" spans="1:20" ht="46.5" customHeight="1">
      <c r="A18" s="193">
        <v>8</v>
      </c>
      <c r="B18" s="165" t="str">
        <f>+[2]CONTEXTO!D14</f>
        <v>aplicación de los principios y valores establecido en el código y Integridad y Buen Gobierno</v>
      </c>
      <c r="C18" s="194">
        <v>4</v>
      </c>
      <c r="D18" s="211">
        <v>5</v>
      </c>
      <c r="E18" s="211">
        <v>5</v>
      </c>
      <c r="F18" s="211">
        <v>4</v>
      </c>
      <c r="G18" s="211">
        <v>5</v>
      </c>
      <c r="H18" s="211">
        <v>5</v>
      </c>
      <c r="I18" s="211">
        <v>5</v>
      </c>
      <c r="J18" s="194"/>
      <c r="K18" s="194"/>
      <c r="L18" s="194"/>
      <c r="M18" s="194"/>
      <c r="N18" s="194"/>
      <c r="O18" s="194"/>
      <c r="P18" s="194"/>
      <c r="Q18" s="194"/>
      <c r="R18" s="193">
        <f t="shared" si="0"/>
        <v>33</v>
      </c>
      <c r="S18" s="195">
        <f t="shared" si="1"/>
        <v>4.7142857142857144</v>
      </c>
      <c r="T18" s="198" t="s">
        <v>308</v>
      </c>
    </row>
    <row r="19" spans="1:20" ht="47.25" customHeight="1">
      <c r="A19" s="193">
        <v>9</v>
      </c>
      <c r="B19" s="165" t="str">
        <f>+[2]CONTEXTO!D15</f>
        <v xml:space="preserve">herramientas tecnológicas que garanticen el acceso oportuno, disponibilidad y conservación de la información mantenimiento preventivo a los mismos </v>
      </c>
      <c r="C19" s="194">
        <v>4</v>
      </c>
      <c r="D19" s="211">
        <v>4</v>
      </c>
      <c r="E19" s="211">
        <v>4</v>
      </c>
      <c r="F19" s="211">
        <v>3</v>
      </c>
      <c r="G19" s="211">
        <v>4</v>
      </c>
      <c r="H19" s="211">
        <v>4</v>
      </c>
      <c r="I19" s="211">
        <v>4</v>
      </c>
      <c r="J19" s="194"/>
      <c r="K19" s="194"/>
      <c r="L19" s="194"/>
      <c r="M19" s="194"/>
      <c r="N19" s="194"/>
      <c r="O19" s="194"/>
      <c r="P19" s="194"/>
      <c r="Q19" s="194"/>
      <c r="R19" s="193">
        <f t="shared" si="0"/>
        <v>27</v>
      </c>
      <c r="S19" s="195">
        <f t="shared" si="1"/>
        <v>3.8571428571428572</v>
      </c>
      <c r="T19" s="198" t="s">
        <v>308</v>
      </c>
    </row>
    <row r="20" spans="1:20" ht="39.75" customHeight="1">
      <c r="A20" s="193">
        <v>10</v>
      </c>
      <c r="B20" s="165" t="str">
        <f>+[2]CONTEXTO!D16</f>
        <v>Diferentes canales de comunicación al interior de la entidad</v>
      </c>
      <c r="C20" s="194">
        <v>3</v>
      </c>
      <c r="D20" s="211">
        <v>3</v>
      </c>
      <c r="E20" s="211">
        <v>3</v>
      </c>
      <c r="F20" s="211">
        <v>3</v>
      </c>
      <c r="G20" s="211">
        <v>4</v>
      </c>
      <c r="H20" s="211">
        <v>4</v>
      </c>
      <c r="I20" s="211">
        <v>4</v>
      </c>
      <c r="J20" s="194"/>
      <c r="K20" s="194"/>
      <c r="L20" s="194"/>
      <c r="M20" s="194"/>
      <c r="N20" s="194"/>
      <c r="O20" s="194"/>
      <c r="P20" s="194"/>
      <c r="Q20" s="194"/>
      <c r="R20" s="193">
        <f t="shared" si="0"/>
        <v>24</v>
      </c>
      <c r="S20" s="195">
        <f t="shared" si="1"/>
        <v>3.4285714285714284</v>
      </c>
      <c r="T20" s="198"/>
    </row>
    <row r="21" spans="1:20" ht="39.75" customHeight="1">
      <c r="A21" s="193">
        <v>11</v>
      </c>
      <c r="B21" s="165" t="str">
        <f>+[2]CONTEXTO!D17</f>
        <v>Relevancia en la implementación, cumplimiento y seguimiento  del proceso de gestión documental en las unidades administrativas</v>
      </c>
      <c r="C21" s="194">
        <v>5</v>
      </c>
      <c r="D21" s="211">
        <v>5</v>
      </c>
      <c r="E21" s="211">
        <v>4</v>
      </c>
      <c r="F21" s="211">
        <v>5</v>
      </c>
      <c r="G21" s="211">
        <v>4</v>
      </c>
      <c r="H21" s="211">
        <v>5</v>
      </c>
      <c r="I21" s="211">
        <v>4</v>
      </c>
      <c r="J21" s="194"/>
      <c r="K21" s="194"/>
      <c r="L21" s="194"/>
      <c r="M21" s="194"/>
      <c r="N21" s="194"/>
      <c r="O21" s="194"/>
      <c r="P21" s="194"/>
      <c r="Q21" s="194"/>
      <c r="R21" s="193">
        <f t="shared" si="0"/>
        <v>32</v>
      </c>
      <c r="S21" s="195">
        <f t="shared" si="1"/>
        <v>4.5714285714285712</v>
      </c>
      <c r="T21" s="198" t="s">
        <v>308</v>
      </c>
    </row>
    <row r="22" spans="1:20" ht="45.75" customHeight="1">
      <c r="A22" s="193">
        <v>12</v>
      </c>
      <c r="B22" s="165" t="str">
        <f>+[2]CONTEXTO!D18</f>
        <v>ubicación de depósitos y áreas de archivo</v>
      </c>
      <c r="C22" s="194">
        <v>4</v>
      </c>
      <c r="D22" s="211">
        <v>3</v>
      </c>
      <c r="E22" s="211">
        <v>3</v>
      </c>
      <c r="F22" s="211">
        <v>3</v>
      </c>
      <c r="G22" s="211">
        <v>4</v>
      </c>
      <c r="H22" s="211">
        <v>4</v>
      </c>
      <c r="I22" s="211">
        <v>4</v>
      </c>
      <c r="J22" s="194"/>
      <c r="K22" s="194"/>
      <c r="L22" s="194"/>
      <c r="M22" s="194"/>
      <c r="N22" s="194"/>
      <c r="O22" s="194"/>
      <c r="P22" s="194"/>
      <c r="Q22" s="194"/>
      <c r="R22" s="193">
        <f t="shared" si="0"/>
        <v>25</v>
      </c>
      <c r="S22" s="195">
        <f t="shared" si="1"/>
        <v>3.5714285714285716</v>
      </c>
      <c r="T22" s="198"/>
    </row>
    <row r="23" spans="1:20" ht="49.5" customHeight="1">
      <c r="A23" s="193">
        <v>13</v>
      </c>
      <c r="B23" s="165" t="str">
        <f>+[2]CONTEXTO!D19</f>
        <v>compromiso y responsabilidad de los funcionarios  frente al desarrollo y cumplimiento de las actividades del  proceso en la unidades administrativas.</v>
      </c>
      <c r="C23" s="194">
        <v>5</v>
      </c>
      <c r="D23" s="211">
        <v>4</v>
      </c>
      <c r="E23" s="211">
        <v>4</v>
      </c>
      <c r="F23" s="211">
        <v>5</v>
      </c>
      <c r="G23" s="211">
        <v>4</v>
      </c>
      <c r="H23" s="211">
        <v>5</v>
      </c>
      <c r="I23" s="211">
        <v>5</v>
      </c>
      <c r="J23" s="194"/>
      <c r="K23" s="194"/>
      <c r="L23" s="194"/>
      <c r="M23" s="194"/>
      <c r="N23" s="194"/>
      <c r="O23" s="194"/>
      <c r="P23" s="194"/>
      <c r="Q23" s="194"/>
      <c r="R23" s="193">
        <f t="shared" si="0"/>
        <v>32</v>
      </c>
      <c r="S23" s="195">
        <f t="shared" si="1"/>
        <v>4.5714285714285712</v>
      </c>
      <c r="T23" s="198" t="s">
        <v>308</v>
      </c>
    </row>
    <row r="24" spans="1:20" ht="39.75" customHeight="1">
      <c r="A24" s="193">
        <v>14</v>
      </c>
      <c r="B24" s="165" t="str">
        <f>+[2]CONTEXTO!D20</f>
        <v>Proceso de capacitación, inducción, reinducción en las unidades administrativas en cuanto al  proceso de gestión documental</v>
      </c>
      <c r="C24" s="194">
        <v>4</v>
      </c>
      <c r="D24" s="211">
        <v>5</v>
      </c>
      <c r="E24" s="211">
        <v>5</v>
      </c>
      <c r="F24" s="211">
        <v>4</v>
      </c>
      <c r="G24" s="211">
        <v>5</v>
      </c>
      <c r="H24" s="211">
        <v>5</v>
      </c>
      <c r="I24" s="211">
        <v>4</v>
      </c>
      <c r="J24" s="194"/>
      <c r="K24" s="194"/>
      <c r="L24" s="194"/>
      <c r="M24" s="194"/>
      <c r="N24" s="194"/>
      <c r="O24" s="194"/>
      <c r="P24" s="194"/>
      <c r="Q24" s="194"/>
      <c r="R24" s="193">
        <f t="shared" si="0"/>
        <v>32</v>
      </c>
      <c r="S24" s="195">
        <f t="shared" si="1"/>
        <v>4.5714285714285712</v>
      </c>
      <c r="T24" s="198" t="s">
        <v>308</v>
      </c>
    </row>
    <row r="25" spans="1:20" ht="39.75" customHeight="1">
      <c r="A25" s="193">
        <v>15</v>
      </c>
      <c r="B25" s="165" t="str">
        <f>+[2]CONTEXTO!D21</f>
        <v>condiciones inadecuadas de almacenamiento</v>
      </c>
      <c r="C25" s="194">
        <v>4</v>
      </c>
      <c r="D25" s="211">
        <v>3</v>
      </c>
      <c r="E25" s="211">
        <v>3</v>
      </c>
      <c r="F25" s="211">
        <v>3</v>
      </c>
      <c r="G25" s="211">
        <v>3</v>
      </c>
      <c r="H25" s="211">
        <v>3</v>
      </c>
      <c r="I25" s="211">
        <v>3</v>
      </c>
      <c r="J25" s="194"/>
      <c r="K25" s="194"/>
      <c r="L25" s="194"/>
      <c r="M25" s="194"/>
      <c r="N25" s="194"/>
      <c r="O25" s="194"/>
      <c r="P25" s="194"/>
      <c r="Q25" s="194"/>
      <c r="R25" s="193">
        <f t="shared" si="0"/>
        <v>22</v>
      </c>
      <c r="S25" s="195">
        <f t="shared" si="1"/>
        <v>3.1428571428571428</v>
      </c>
      <c r="T25" s="198"/>
    </row>
    <row r="26" spans="1:20" ht="48.75" customHeight="1">
      <c r="A26" s="193">
        <v>16</v>
      </c>
      <c r="B26" s="165" t="str">
        <f>+[2]CONTEXTO!D22</f>
        <v>Capacidad de almacenamiento de archivo dentro de las unidades administrativas</v>
      </c>
      <c r="C26" s="194">
        <v>4</v>
      </c>
      <c r="D26" s="194">
        <v>4</v>
      </c>
      <c r="E26" s="194">
        <v>4</v>
      </c>
      <c r="F26" s="194">
        <v>3</v>
      </c>
      <c r="G26" s="194">
        <v>4</v>
      </c>
      <c r="H26" s="194">
        <v>3</v>
      </c>
      <c r="I26" s="194">
        <v>3</v>
      </c>
      <c r="J26" s="194"/>
      <c r="K26" s="194"/>
      <c r="L26" s="194"/>
      <c r="M26" s="194"/>
      <c r="N26" s="194"/>
      <c r="O26" s="194"/>
      <c r="P26" s="194"/>
      <c r="Q26" s="194"/>
      <c r="R26" s="193">
        <f t="shared" si="0"/>
        <v>25</v>
      </c>
      <c r="S26" s="195">
        <f t="shared" si="1"/>
        <v>3.5714285714285716</v>
      </c>
      <c r="T26" s="198"/>
    </row>
    <row r="27" spans="1:20" ht="39.75" customHeight="1">
      <c r="A27" s="193">
        <v>17</v>
      </c>
      <c r="B27" s="165" t="str">
        <f>+[2]CONTEXTO!F12</f>
        <v>aplicación de manuales, procedimientos y formatos en los archivos de gestión establecidos en el proceso de gestión documental por parte de las unidades administrativas</v>
      </c>
      <c r="C27" s="194">
        <v>4</v>
      </c>
      <c r="D27" s="211">
        <v>5</v>
      </c>
      <c r="E27" s="211">
        <v>4</v>
      </c>
      <c r="F27" s="211">
        <v>5</v>
      </c>
      <c r="G27" s="211">
        <v>4</v>
      </c>
      <c r="H27" s="211">
        <v>5</v>
      </c>
      <c r="I27" s="211">
        <v>4</v>
      </c>
      <c r="J27" s="194"/>
      <c r="K27" s="194"/>
      <c r="L27" s="194"/>
      <c r="M27" s="194"/>
      <c r="N27" s="194"/>
      <c r="O27" s="194"/>
      <c r="P27" s="194"/>
      <c r="Q27" s="194"/>
      <c r="R27" s="193">
        <f t="shared" si="0"/>
        <v>31</v>
      </c>
      <c r="S27" s="195">
        <f t="shared" si="1"/>
        <v>4.4285714285714288</v>
      </c>
      <c r="T27" s="198" t="s">
        <v>308</v>
      </c>
    </row>
    <row r="28" spans="1:20" ht="39.75" customHeight="1">
      <c r="A28" s="193">
        <v>18</v>
      </c>
      <c r="B28" s="165" t="str">
        <f>+[2]CONTEXTO!F13</f>
        <v xml:space="preserve"> socialización y publicación  de documentos actualizados</v>
      </c>
      <c r="C28" s="194">
        <v>3</v>
      </c>
      <c r="D28" s="211">
        <v>3</v>
      </c>
      <c r="E28" s="211">
        <v>3</v>
      </c>
      <c r="F28" s="211">
        <v>2</v>
      </c>
      <c r="G28" s="211">
        <v>3</v>
      </c>
      <c r="H28" s="211">
        <v>2</v>
      </c>
      <c r="I28" s="211">
        <v>3</v>
      </c>
      <c r="J28" s="194"/>
      <c r="K28" s="194"/>
      <c r="L28" s="194"/>
      <c r="M28" s="194"/>
      <c r="N28" s="194"/>
      <c r="O28" s="194"/>
      <c r="P28" s="194"/>
      <c r="Q28" s="194"/>
      <c r="R28" s="193">
        <f t="shared" si="0"/>
        <v>19</v>
      </c>
      <c r="S28" s="195">
        <f t="shared" si="1"/>
        <v>2.7142857142857144</v>
      </c>
      <c r="T28" s="198"/>
    </row>
    <row r="29" spans="1:20" ht="48" customHeight="1">
      <c r="A29" s="193">
        <v>19</v>
      </c>
      <c r="B29" s="165" t="str">
        <f>+[2]CONTEXTO!F14</f>
        <v xml:space="preserve"> fluidez en los canales de comunicación y respuesta entre los procesos</v>
      </c>
      <c r="C29" s="194">
        <v>3</v>
      </c>
      <c r="D29" s="211">
        <v>4</v>
      </c>
      <c r="E29" s="211">
        <v>4</v>
      </c>
      <c r="F29" s="211">
        <v>3</v>
      </c>
      <c r="G29" s="211">
        <v>4</v>
      </c>
      <c r="H29" s="211">
        <v>5</v>
      </c>
      <c r="I29" s="211">
        <v>5</v>
      </c>
      <c r="J29" s="194"/>
      <c r="K29" s="194"/>
      <c r="L29" s="194"/>
      <c r="M29" s="194"/>
      <c r="N29" s="194"/>
      <c r="O29" s="194"/>
      <c r="P29" s="194"/>
      <c r="Q29" s="194"/>
      <c r="R29" s="193">
        <f t="shared" si="0"/>
        <v>28</v>
      </c>
      <c r="S29" s="195">
        <f t="shared" si="1"/>
        <v>4</v>
      </c>
      <c r="T29" s="198" t="s">
        <v>308</v>
      </c>
    </row>
    <row r="30" spans="1:20" ht="39.75" customHeight="1">
      <c r="A30" s="193">
        <v>20</v>
      </c>
      <c r="B30" s="165" t="str">
        <f>+[2]CONTEXTO!F15</f>
        <v>Compromiso con la aplicación de los procesos de gestión documental.</v>
      </c>
      <c r="C30" s="194">
        <v>4</v>
      </c>
      <c r="D30" s="211">
        <v>5</v>
      </c>
      <c r="E30" s="211">
        <v>4</v>
      </c>
      <c r="F30" s="211">
        <v>3</v>
      </c>
      <c r="G30" s="211">
        <v>5</v>
      </c>
      <c r="H30" s="211">
        <v>3</v>
      </c>
      <c r="I30" s="211">
        <v>5</v>
      </c>
      <c r="J30" s="194"/>
      <c r="K30" s="194"/>
      <c r="L30" s="194"/>
      <c r="M30" s="194"/>
      <c r="N30" s="194"/>
      <c r="O30" s="194"/>
      <c r="P30" s="194"/>
      <c r="Q30" s="194"/>
      <c r="R30" s="193">
        <f t="shared" si="0"/>
        <v>29</v>
      </c>
      <c r="S30" s="195">
        <f t="shared" si="1"/>
        <v>4.1428571428571432</v>
      </c>
      <c r="T30" s="198" t="s">
        <v>308</v>
      </c>
    </row>
    <row r="31" spans="1:20" ht="49.5" customHeight="1">
      <c r="A31" s="193">
        <v>21</v>
      </c>
      <c r="B31" s="165" t="str">
        <f>+[2]CONTEXTO!F16</f>
        <v>Aplicación de la normatividad vigente en las unidades administrativas.</v>
      </c>
      <c r="C31" s="194">
        <v>4</v>
      </c>
      <c r="D31" s="194">
        <v>3</v>
      </c>
      <c r="E31" s="194">
        <v>4</v>
      </c>
      <c r="F31" s="194">
        <v>4</v>
      </c>
      <c r="G31" s="194">
        <v>4</v>
      </c>
      <c r="H31" s="194">
        <v>3</v>
      </c>
      <c r="I31" s="194">
        <v>5</v>
      </c>
      <c r="J31" s="194"/>
      <c r="K31" s="194"/>
      <c r="L31" s="194"/>
      <c r="M31" s="194"/>
      <c r="N31" s="194"/>
      <c r="O31" s="194"/>
      <c r="P31" s="194"/>
      <c r="Q31" s="194"/>
      <c r="R31" s="193">
        <f t="shared" si="0"/>
        <v>27</v>
      </c>
      <c r="S31" s="195">
        <f>+R31/(COUNT(C31:Q31))</f>
        <v>3.8571428571428572</v>
      </c>
      <c r="T31" s="198" t="s">
        <v>308</v>
      </c>
    </row>
    <row r="32" spans="1:20" ht="42" customHeight="1">
      <c r="A32" s="193">
        <v>22</v>
      </c>
      <c r="B32" s="165"/>
      <c r="C32" s="194"/>
      <c r="D32" s="194"/>
      <c r="E32" s="194"/>
      <c r="F32" s="194"/>
      <c r="G32" s="194"/>
      <c r="H32" s="194"/>
      <c r="I32" s="194"/>
      <c r="J32" s="194"/>
      <c r="K32" s="194"/>
      <c r="L32" s="194"/>
      <c r="M32" s="194"/>
      <c r="N32" s="194"/>
      <c r="O32" s="194"/>
      <c r="P32" s="194"/>
      <c r="Q32" s="194"/>
      <c r="R32" s="193"/>
      <c r="S32" s="199"/>
      <c r="T32" s="198"/>
    </row>
    <row r="33" spans="1:20" ht="48" customHeight="1">
      <c r="A33" s="193">
        <v>23</v>
      </c>
      <c r="B33" s="165"/>
      <c r="C33" s="194"/>
      <c r="D33" s="194"/>
      <c r="E33" s="194"/>
      <c r="F33" s="194"/>
      <c r="G33" s="194"/>
      <c r="H33" s="194"/>
      <c r="I33" s="194"/>
      <c r="J33" s="194"/>
      <c r="K33" s="194"/>
      <c r="L33" s="194"/>
      <c r="M33" s="194"/>
      <c r="N33" s="194"/>
      <c r="O33" s="194"/>
      <c r="P33" s="194"/>
      <c r="Q33" s="194"/>
      <c r="R33" s="193"/>
      <c r="S33" s="199"/>
      <c r="T33" s="198"/>
    </row>
    <row r="34" spans="1:20" ht="46.5" customHeight="1">
      <c r="A34" s="193">
        <v>24</v>
      </c>
      <c r="B34" s="165"/>
      <c r="C34" s="194"/>
      <c r="D34" s="194"/>
      <c r="E34" s="194"/>
      <c r="F34" s="194"/>
      <c r="G34" s="194"/>
      <c r="H34" s="194"/>
      <c r="I34" s="194"/>
      <c r="J34" s="194"/>
      <c r="K34" s="194"/>
      <c r="L34" s="194"/>
      <c r="M34" s="194"/>
      <c r="N34" s="194"/>
      <c r="O34" s="194"/>
      <c r="P34" s="194"/>
      <c r="Q34" s="194"/>
      <c r="R34" s="193"/>
      <c r="S34" s="199"/>
      <c r="T34" s="198"/>
    </row>
    <row r="35" spans="1:20" ht="44.25" customHeight="1">
      <c r="A35" s="193">
        <v>25</v>
      </c>
      <c r="B35" s="165"/>
      <c r="C35" s="194"/>
      <c r="D35" s="194"/>
      <c r="E35" s="194"/>
      <c r="F35" s="194"/>
      <c r="G35" s="194"/>
      <c r="H35" s="194"/>
      <c r="I35" s="194"/>
      <c r="J35" s="194"/>
      <c r="K35" s="194"/>
      <c r="L35" s="194"/>
      <c r="M35" s="194"/>
      <c r="N35" s="194"/>
      <c r="O35" s="194"/>
      <c r="P35" s="194"/>
      <c r="Q35" s="194"/>
      <c r="R35" s="193"/>
      <c r="S35" s="199"/>
      <c r="T35" s="198"/>
    </row>
    <row r="36" spans="1:20" ht="42.75" customHeight="1">
      <c r="A36" s="193">
        <v>26</v>
      </c>
      <c r="B36" s="165"/>
      <c r="C36" s="194"/>
      <c r="D36" s="194"/>
      <c r="E36" s="194"/>
      <c r="F36" s="194"/>
      <c r="G36" s="194"/>
      <c r="H36" s="194"/>
      <c r="I36" s="194"/>
      <c r="J36" s="194"/>
      <c r="K36" s="194"/>
      <c r="L36" s="194"/>
      <c r="M36" s="194"/>
      <c r="N36" s="194"/>
      <c r="O36" s="194"/>
      <c r="P36" s="194"/>
      <c r="Q36" s="194"/>
      <c r="R36" s="193"/>
      <c r="S36" s="199"/>
      <c r="T36" s="198"/>
    </row>
    <row r="37" spans="1:20" ht="42" customHeight="1">
      <c r="A37" s="193">
        <v>27</v>
      </c>
      <c r="B37" s="165"/>
      <c r="C37" s="194"/>
      <c r="D37" s="194"/>
      <c r="E37" s="194"/>
      <c r="F37" s="194"/>
      <c r="G37" s="194"/>
      <c r="H37" s="194"/>
      <c r="I37" s="194"/>
      <c r="J37" s="194"/>
      <c r="K37" s="194"/>
      <c r="L37" s="194"/>
      <c r="M37" s="194"/>
      <c r="N37" s="194"/>
      <c r="O37" s="194"/>
      <c r="P37" s="194"/>
      <c r="Q37" s="194"/>
      <c r="R37" s="193"/>
      <c r="S37" s="199"/>
      <c r="T37" s="198"/>
    </row>
    <row r="38" spans="1:20" ht="42.75" customHeight="1">
      <c r="A38" s="193">
        <v>28</v>
      </c>
      <c r="B38" s="165"/>
      <c r="C38" s="194"/>
      <c r="D38" s="194"/>
      <c r="E38" s="194"/>
      <c r="F38" s="194"/>
      <c r="G38" s="194"/>
      <c r="H38" s="194"/>
      <c r="I38" s="194"/>
      <c r="J38" s="194"/>
      <c r="K38" s="194"/>
      <c r="L38" s="194"/>
      <c r="M38" s="194"/>
      <c r="N38" s="194"/>
      <c r="O38" s="194"/>
      <c r="P38" s="194"/>
      <c r="Q38" s="194"/>
      <c r="R38" s="193"/>
      <c r="S38" s="199"/>
      <c r="T38" s="198"/>
    </row>
    <row r="39" spans="1:20" ht="47.25" customHeight="1">
      <c r="A39" s="193">
        <v>29</v>
      </c>
      <c r="B39" s="165"/>
      <c r="C39" s="194"/>
      <c r="D39" s="194"/>
      <c r="E39" s="194"/>
      <c r="F39" s="194"/>
      <c r="G39" s="194"/>
      <c r="H39" s="194"/>
      <c r="I39" s="194"/>
      <c r="J39" s="194"/>
      <c r="K39" s="194"/>
      <c r="L39" s="194"/>
      <c r="M39" s="194"/>
      <c r="N39" s="194"/>
      <c r="O39" s="194"/>
      <c r="P39" s="194"/>
      <c r="Q39" s="194"/>
      <c r="R39" s="193"/>
      <c r="S39" s="199"/>
      <c r="T39" s="198"/>
    </row>
    <row r="40" spans="1:20" ht="50.25" customHeight="1" thickBot="1">
      <c r="A40" s="200">
        <v>30</v>
      </c>
      <c r="B40" s="201"/>
      <c r="C40" s="202"/>
      <c r="D40" s="202"/>
      <c r="E40" s="202"/>
      <c r="F40" s="202"/>
      <c r="G40" s="202"/>
      <c r="H40" s="202"/>
      <c r="I40" s="202"/>
      <c r="J40" s="202"/>
      <c r="K40" s="202"/>
      <c r="L40" s="202"/>
      <c r="M40" s="202"/>
      <c r="N40" s="202"/>
      <c r="O40" s="202"/>
      <c r="P40" s="202"/>
      <c r="Q40" s="202"/>
      <c r="R40" s="200"/>
      <c r="S40" s="203"/>
      <c r="T40" s="204"/>
    </row>
    <row r="41" spans="1:20" ht="24" customHeight="1">
      <c r="A41" s="295" t="s">
        <v>250</v>
      </c>
      <c r="B41" s="296"/>
      <c r="C41" s="296"/>
      <c r="D41" s="296"/>
      <c r="E41" s="296"/>
      <c r="F41" s="296"/>
      <c r="G41" s="296"/>
      <c r="H41" s="296"/>
      <c r="I41" s="296"/>
      <c r="J41" s="296"/>
      <c r="K41" s="296"/>
      <c r="L41" s="296"/>
      <c r="M41" s="296"/>
      <c r="N41" s="296"/>
      <c r="O41" s="296"/>
      <c r="P41" s="296"/>
      <c r="Q41" s="296"/>
      <c r="R41" s="297"/>
      <c r="S41" s="205">
        <f>SUM(S11:S40)</f>
        <v>82.714285714285694</v>
      </c>
    </row>
    <row r="42" spans="1:20" ht="28.5" customHeight="1" thickBot="1">
      <c r="A42" s="275" t="s">
        <v>248</v>
      </c>
      <c r="B42" s="276"/>
      <c r="C42" s="276"/>
      <c r="D42" s="276"/>
      <c r="E42" s="276"/>
      <c r="F42" s="276"/>
      <c r="G42" s="276"/>
      <c r="H42" s="276"/>
      <c r="I42" s="276"/>
      <c r="J42" s="276"/>
      <c r="K42" s="276"/>
      <c r="L42" s="276"/>
      <c r="M42" s="276"/>
      <c r="N42" s="276"/>
      <c r="O42" s="276"/>
      <c r="P42" s="276"/>
      <c r="Q42" s="276"/>
      <c r="R42" s="276"/>
      <c r="S42" s="206">
        <f>S41/A31</f>
        <v>3.9387755102040805</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2">
    <dataValidation type="whole" showErrorMessage="1" error="DATO INVÁLIDO_x000a_Tenga en cuenta que la escala de calificación va de 1 a 5" sqref="J11:Q40 C32:I40 I12 D26:I26 D31:I31 C11:C31" xr:uid="{00000000-0002-0000-0200-000000000000}">
      <formula1>1</formula1>
      <formula2>5</formula2>
    </dataValidation>
    <dataValidation type="decimal" allowBlank="1" showInputMessage="1" showErrorMessage="1" prompt="DATO INVÁLIDO_x000a_Tenga en cuenta que la escala de calificación va de 1 a 5" sqref="D11:I11 D12:H12 D13:I14 D17:I25 D27:I30" xr:uid="{C9E6D8A8-EB53-ED45-A117-DFC5D610E941}">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2"/>
  <sheetViews>
    <sheetView workbookViewId="0">
      <selection activeCell="A8" sqref="A8:D25"/>
    </sheetView>
  </sheetViews>
  <sheetFormatPr baseColWidth="10" defaultColWidth="11.5" defaultRowHeight="14"/>
  <cols>
    <col min="1" max="2" width="6.5" style="152" customWidth="1"/>
    <col min="3" max="3" width="32.6640625" style="152" customWidth="1"/>
    <col min="4" max="4" width="27.5" style="152" customWidth="1"/>
    <col min="5" max="5" width="38" style="152" customWidth="1"/>
    <col min="6" max="6" width="30.33203125" style="152" customWidth="1"/>
    <col min="7" max="7" width="18.33203125" style="152" customWidth="1"/>
    <col min="8" max="8" width="15.5" style="152" customWidth="1"/>
    <col min="9" max="9" width="19.33203125" style="152" customWidth="1"/>
    <col min="10" max="10" width="14.5" style="152" customWidth="1"/>
    <col min="11" max="16384" width="11.5" style="152"/>
  </cols>
  <sheetData>
    <row r="1" spans="1:14" ht="15" customHeight="1">
      <c r="A1" s="350" t="str">
        <f>[1]CONTEXTO!B1</f>
        <v xml:space="preserve">PROCESO: </v>
      </c>
      <c r="B1" s="280"/>
      <c r="C1" s="280"/>
      <c r="D1" s="280"/>
      <c r="E1" s="280"/>
      <c r="F1" s="280"/>
      <c r="G1" s="281"/>
      <c r="H1" s="284" t="s">
        <v>263</v>
      </c>
      <c r="I1" s="284"/>
      <c r="J1" s="352"/>
      <c r="K1" s="151"/>
      <c r="N1" s="265"/>
    </row>
    <row r="2" spans="1:14" ht="15" customHeight="1">
      <c r="A2" s="351"/>
      <c r="B2" s="282"/>
      <c r="C2" s="282"/>
      <c r="D2" s="282"/>
      <c r="E2" s="282"/>
      <c r="F2" s="282"/>
      <c r="G2" s="283"/>
      <c r="H2" s="286" t="s">
        <v>226</v>
      </c>
      <c r="I2" s="286"/>
      <c r="J2" s="353"/>
      <c r="K2" s="151"/>
      <c r="N2" s="265"/>
    </row>
    <row r="3" spans="1:14" ht="15" customHeight="1">
      <c r="A3" s="351" t="s">
        <v>251</v>
      </c>
      <c r="B3" s="282"/>
      <c r="C3" s="282"/>
      <c r="D3" s="282"/>
      <c r="E3" s="282"/>
      <c r="F3" s="282"/>
      <c r="G3" s="283"/>
      <c r="H3" s="286" t="s">
        <v>227</v>
      </c>
      <c r="I3" s="286"/>
      <c r="J3" s="353"/>
      <c r="K3" s="151"/>
      <c r="N3" s="265"/>
    </row>
    <row r="4" spans="1:14" ht="15.75" customHeight="1">
      <c r="A4" s="355"/>
      <c r="B4" s="288"/>
      <c r="C4" s="288"/>
      <c r="D4" s="288"/>
      <c r="E4" s="288"/>
      <c r="F4" s="288"/>
      <c r="G4" s="289"/>
      <c r="H4" s="286" t="s">
        <v>228</v>
      </c>
      <c r="I4" s="286"/>
      <c r="J4" s="354"/>
      <c r="K4" s="151"/>
      <c r="N4" s="265"/>
    </row>
    <row r="5" spans="1:14" ht="15.75" customHeight="1">
      <c r="A5" s="356"/>
      <c r="B5" s="357"/>
      <c r="C5" s="357"/>
      <c r="D5" s="357"/>
      <c r="E5" s="357"/>
      <c r="F5" s="357"/>
      <c r="G5" s="357"/>
      <c r="H5" s="357"/>
      <c r="I5" s="357"/>
      <c r="J5" s="358"/>
      <c r="K5" s="151"/>
      <c r="N5" s="153"/>
    </row>
    <row r="6" spans="1:14" ht="15" customHeight="1">
      <c r="A6" s="338" t="str">
        <f>Contexto!A8</f>
        <v>PROCESO: GESTIÓN DOCUMENTAL</v>
      </c>
      <c r="B6" s="339"/>
      <c r="C6" s="339"/>
      <c r="D6" s="339"/>
      <c r="E6" s="339"/>
      <c r="F6" s="339"/>
      <c r="G6" s="339"/>
      <c r="H6" s="339"/>
      <c r="I6" s="339"/>
      <c r="J6" s="340"/>
    </row>
    <row r="7" spans="1:14" ht="32.25" customHeight="1" thickBot="1">
      <c r="A7" s="341"/>
      <c r="B7" s="342"/>
      <c r="C7" s="342"/>
      <c r="D7" s="342"/>
      <c r="E7" s="342"/>
      <c r="F7" s="342"/>
      <c r="G7" s="342"/>
      <c r="H7" s="342"/>
      <c r="I7" s="342"/>
      <c r="J7" s="343"/>
    </row>
    <row r="8" spans="1:14" ht="23.25" customHeight="1">
      <c r="A8" s="344" t="s">
        <v>252</v>
      </c>
      <c r="B8" s="344"/>
      <c r="C8" s="344"/>
      <c r="D8" s="344"/>
      <c r="E8" s="332" t="s">
        <v>219</v>
      </c>
      <c r="F8" s="345"/>
      <c r="G8" s="345"/>
      <c r="H8" s="345"/>
      <c r="I8" s="345"/>
      <c r="J8" s="346"/>
    </row>
    <row r="9" spans="1:14" ht="23.25" customHeight="1">
      <c r="A9" s="344"/>
      <c r="B9" s="344"/>
      <c r="C9" s="344"/>
      <c r="D9" s="344"/>
      <c r="E9" s="331" t="s">
        <v>253</v>
      </c>
      <c r="F9" s="331"/>
      <c r="G9" s="331" t="s">
        <v>254</v>
      </c>
      <c r="H9" s="331"/>
      <c r="I9" s="331"/>
      <c r="J9" s="331"/>
    </row>
    <row r="10" spans="1:14" ht="23.25" customHeight="1">
      <c r="A10" s="344"/>
      <c r="B10" s="344"/>
      <c r="C10" s="344"/>
      <c r="D10" s="344"/>
      <c r="E10" s="314" t="s">
        <v>255</v>
      </c>
      <c r="F10" s="314"/>
      <c r="G10" s="347" t="s">
        <v>256</v>
      </c>
      <c r="H10" s="348"/>
      <c r="I10" s="348"/>
      <c r="J10" s="349"/>
    </row>
    <row r="11" spans="1:14" ht="43.5" customHeight="1">
      <c r="A11" s="344"/>
      <c r="B11" s="344"/>
      <c r="C11" s="344"/>
      <c r="D11" s="344"/>
      <c r="E11" s="323" t="str">
        <f>+'[2]PRIORIZACIÓN DE CAUSA'!B16</f>
        <v>Asignación  presupuestal de funcionamiento e inversión para administrar la documentación  de la administración municipal</v>
      </c>
      <c r="F11" s="324"/>
      <c r="G11" s="307" t="s">
        <v>309</v>
      </c>
      <c r="H11" s="308"/>
      <c r="I11" s="308"/>
      <c r="J11" s="309"/>
    </row>
    <row r="12" spans="1:14" ht="43.5" customHeight="1">
      <c r="A12" s="344"/>
      <c r="B12" s="344"/>
      <c r="C12" s="344"/>
      <c r="D12" s="344"/>
      <c r="E12" s="323" t="str">
        <f>+'[2]PRIORIZACIÓN DE CAUSA'!B17</f>
        <v>competencia e idoneidad del personal contratado frente al manejo del proceso de Gestión Documental en las Unidades Administrativas</v>
      </c>
      <c r="F12" s="324"/>
      <c r="G12" s="307" t="s">
        <v>310</v>
      </c>
      <c r="H12" s="308"/>
      <c r="I12" s="308"/>
      <c r="J12" s="309"/>
    </row>
    <row r="13" spans="1:14" ht="43.5" customHeight="1">
      <c r="A13" s="344"/>
      <c r="B13" s="344"/>
      <c r="C13" s="344"/>
      <c r="D13" s="344"/>
      <c r="E13" s="323" t="str">
        <f>+'[2]PRIORIZACIÓN DE CAUSA'!B18</f>
        <v>aplicación de los principios y valores establecido en el código y Integridad y Buen Gobierno</v>
      </c>
      <c r="F13" s="324"/>
      <c r="G13" s="307" t="s">
        <v>311</v>
      </c>
      <c r="H13" s="308"/>
      <c r="I13" s="308"/>
      <c r="J13" s="309"/>
    </row>
    <row r="14" spans="1:14" ht="43.5" customHeight="1">
      <c r="A14" s="344"/>
      <c r="B14" s="344"/>
      <c r="C14" s="344"/>
      <c r="D14" s="344"/>
      <c r="E14" s="323" t="str">
        <f>+'[2]PRIORIZACIÓN DE CAUSA'!B19</f>
        <v xml:space="preserve">herramientas tecnológicas que garanticen el acceso oportuno, disponibilidad y conservación de la información mantenimiento preventivo a los mismos </v>
      </c>
      <c r="F14" s="324"/>
      <c r="G14" s="307" t="s">
        <v>312</v>
      </c>
      <c r="H14" s="308"/>
      <c r="I14" s="308"/>
      <c r="J14" s="309"/>
    </row>
    <row r="15" spans="1:14" ht="49.5" customHeight="1">
      <c r="A15" s="344"/>
      <c r="B15" s="344"/>
      <c r="C15" s="344"/>
      <c r="D15" s="344"/>
      <c r="E15" s="323" t="str">
        <f>+'[2]PRIORIZACIÓN DE CAUSA'!B21</f>
        <v>Relevancia en la implementación, cumplimiento y seguimiento  del proceso de gestión documental en las unidades administrativas</v>
      </c>
      <c r="F15" s="324"/>
      <c r="G15" s="307" t="s">
        <v>313</v>
      </c>
      <c r="H15" s="308"/>
      <c r="I15" s="308"/>
      <c r="J15" s="309"/>
    </row>
    <row r="16" spans="1:14" ht="49.5" customHeight="1">
      <c r="A16" s="344"/>
      <c r="B16" s="344"/>
      <c r="C16" s="344"/>
      <c r="D16" s="344"/>
      <c r="E16" s="323" t="str">
        <f>+'[2]PRIORIZACIÓN DE CAUSA'!B22</f>
        <v>ubicación de depósitos y áreas de archivo</v>
      </c>
      <c r="F16" s="324"/>
      <c r="G16" s="307" t="s">
        <v>314</v>
      </c>
      <c r="H16" s="308"/>
      <c r="I16" s="308"/>
      <c r="J16" s="309"/>
    </row>
    <row r="17" spans="1:10" ht="54.75" customHeight="1">
      <c r="A17" s="344"/>
      <c r="B17" s="344"/>
      <c r="C17" s="344"/>
      <c r="D17" s="344"/>
      <c r="E17" s="323" t="str">
        <f>+'[2]PRIORIZACIÓN DE CAUSA'!B23</f>
        <v>compromiso y responsabilidad de los funcionarios  frente al desarrollo y cumplimiento de las actividades del  proceso en la unidades administrativas.</v>
      </c>
      <c r="F17" s="324"/>
      <c r="G17" s="307" t="s">
        <v>315</v>
      </c>
      <c r="H17" s="308"/>
      <c r="I17" s="308"/>
      <c r="J17" s="309"/>
    </row>
    <row r="18" spans="1:10" ht="48.75" customHeight="1">
      <c r="A18" s="344"/>
      <c r="B18" s="344"/>
      <c r="C18" s="344"/>
      <c r="D18" s="344"/>
      <c r="E18" s="323" t="str">
        <f>+'[2]PRIORIZACIÓN DE CAUSA'!B24</f>
        <v>Proceso de capacitación, inducción, reinducción en las unidades administrativas en cuanto al  proceso de gestión documental</v>
      </c>
      <c r="F18" s="324"/>
      <c r="G18" s="307" t="s">
        <v>316</v>
      </c>
      <c r="H18" s="308"/>
      <c r="I18" s="308"/>
      <c r="J18" s="309"/>
    </row>
    <row r="19" spans="1:10" ht="54.75" customHeight="1">
      <c r="A19" s="344"/>
      <c r="B19" s="344"/>
      <c r="C19" s="344"/>
      <c r="D19" s="344"/>
      <c r="E19" s="323" t="str">
        <f>+'[2]PRIORIZACIÓN DE CAUSA'!B29</f>
        <v xml:space="preserve"> fluidez en los canales de comunicación y respuesta entre los procesos</v>
      </c>
      <c r="F19" s="324"/>
      <c r="G19" s="307" t="s">
        <v>317</v>
      </c>
      <c r="H19" s="308"/>
      <c r="I19" s="308"/>
      <c r="J19" s="309"/>
    </row>
    <row r="20" spans="1:10" ht="59.25" customHeight="1">
      <c r="A20" s="344"/>
      <c r="B20" s="344"/>
      <c r="C20" s="344"/>
      <c r="D20" s="344"/>
      <c r="E20" s="323" t="str">
        <f>+'[2]PRIORIZACIÓN DE CAUSA'!B30</f>
        <v>Compromiso con la aplicación de los procesos de gestión documental.</v>
      </c>
      <c r="F20" s="324"/>
      <c r="G20" s="337"/>
      <c r="H20" s="337"/>
      <c r="I20" s="337"/>
      <c r="J20" s="337"/>
    </row>
    <row r="21" spans="1:10" ht="49.5" customHeight="1">
      <c r="A21" s="344"/>
      <c r="B21" s="344"/>
      <c r="C21" s="344"/>
      <c r="D21" s="344"/>
      <c r="E21" s="323" t="str">
        <f>+'[2]PRIORIZACIÓN DE CAUSA'!B31</f>
        <v>Aplicación de la normatividad vigente en las unidades administrativas.</v>
      </c>
      <c r="F21" s="324"/>
      <c r="G21" s="328"/>
      <c r="H21" s="329"/>
      <c r="I21" s="329"/>
      <c r="J21" s="330"/>
    </row>
    <row r="22" spans="1:10" ht="49.5" customHeight="1">
      <c r="A22" s="344"/>
      <c r="B22" s="344"/>
      <c r="C22" s="344"/>
      <c r="D22" s="344"/>
      <c r="E22" s="323" t="str">
        <f>+'[2]PRIORIZACIÓN DE CAUSA'!B26</f>
        <v>Capacidad de almacenamiento de archivo dentro de las unidades administrativas</v>
      </c>
      <c r="F22" s="324"/>
      <c r="G22" s="325"/>
      <c r="H22" s="326"/>
      <c r="I22" s="326"/>
      <c r="J22" s="327"/>
    </row>
    <row r="23" spans="1:10" ht="49.5" customHeight="1">
      <c r="A23" s="344"/>
      <c r="B23" s="344"/>
      <c r="C23" s="344"/>
      <c r="D23" s="344"/>
      <c r="E23" s="323" t="str">
        <f>+'[2]PRIORIZACIÓN DE CAUSA'!B27</f>
        <v>aplicación de manuales, procedimientos y formatos en los archivos de gestión establecidos en el proceso de gestión documental por parte de las unidades administrativas</v>
      </c>
      <c r="F23" s="324"/>
      <c r="G23" s="325"/>
      <c r="H23" s="326"/>
      <c r="I23" s="326"/>
      <c r="J23" s="327"/>
    </row>
    <row r="24" spans="1:10" ht="49.5" customHeight="1">
      <c r="A24" s="344"/>
      <c r="B24" s="344"/>
      <c r="C24" s="344"/>
      <c r="D24" s="344"/>
      <c r="E24" s="323"/>
      <c r="F24" s="324"/>
      <c r="G24" s="325"/>
      <c r="H24" s="326"/>
      <c r="I24" s="326"/>
      <c r="J24" s="327"/>
    </row>
    <row r="25" spans="1:10" ht="49.5" customHeight="1">
      <c r="A25" s="344"/>
      <c r="B25" s="344"/>
      <c r="C25" s="344"/>
      <c r="D25" s="344"/>
      <c r="E25" s="323"/>
      <c r="F25" s="324"/>
      <c r="G25" s="328"/>
      <c r="H25" s="329"/>
      <c r="I25" s="329"/>
      <c r="J25" s="330"/>
    </row>
    <row r="26" spans="1:10" ht="51.75" customHeight="1">
      <c r="A26" s="313" t="s">
        <v>217</v>
      </c>
      <c r="B26" s="313" t="s">
        <v>254</v>
      </c>
      <c r="C26" s="314" t="s">
        <v>257</v>
      </c>
      <c r="D26" s="314"/>
      <c r="E26" s="331" t="s">
        <v>258</v>
      </c>
      <c r="F26" s="314"/>
      <c r="G26" s="332" t="s">
        <v>259</v>
      </c>
      <c r="H26" s="333"/>
      <c r="I26" s="333"/>
      <c r="J26" s="334"/>
    </row>
    <row r="27" spans="1:10" ht="48.75" customHeight="1">
      <c r="A27" s="313"/>
      <c r="B27" s="313"/>
      <c r="C27" s="307" t="s">
        <v>318</v>
      </c>
      <c r="D27" s="309"/>
      <c r="E27" s="310" t="s">
        <v>319</v>
      </c>
      <c r="F27" s="311"/>
      <c r="G27" s="307" t="s">
        <v>320</v>
      </c>
      <c r="H27" s="308"/>
      <c r="I27" s="308"/>
      <c r="J27" s="309"/>
    </row>
    <row r="28" spans="1:10" ht="51" customHeight="1">
      <c r="A28" s="313"/>
      <c r="B28" s="313"/>
      <c r="C28" s="307" t="s">
        <v>321</v>
      </c>
      <c r="D28" s="309"/>
      <c r="E28" s="336" t="s">
        <v>322</v>
      </c>
      <c r="F28" s="309"/>
      <c r="G28" s="307" t="s">
        <v>323</v>
      </c>
      <c r="H28" s="308"/>
      <c r="I28" s="308"/>
      <c r="J28" s="309"/>
    </row>
    <row r="29" spans="1:10" ht="54.75" customHeight="1">
      <c r="A29" s="313"/>
      <c r="B29" s="313"/>
      <c r="C29" s="307" t="s">
        <v>324</v>
      </c>
      <c r="D29" s="309"/>
      <c r="E29" s="307" t="s">
        <v>325</v>
      </c>
      <c r="F29" s="309"/>
      <c r="G29" s="307" t="s">
        <v>326</v>
      </c>
      <c r="H29" s="308"/>
      <c r="I29" s="308"/>
      <c r="J29" s="309"/>
    </row>
    <row r="30" spans="1:10" ht="49.5" customHeight="1">
      <c r="A30" s="313"/>
      <c r="B30" s="313"/>
      <c r="C30" s="307" t="s">
        <v>327</v>
      </c>
      <c r="D30" s="309"/>
      <c r="E30" s="307" t="s">
        <v>328</v>
      </c>
      <c r="F30" s="309"/>
      <c r="G30" s="307" t="s">
        <v>329</v>
      </c>
      <c r="H30" s="308"/>
      <c r="I30" s="308"/>
      <c r="J30" s="309"/>
    </row>
    <row r="31" spans="1:10" ht="51" customHeight="1">
      <c r="A31" s="313"/>
      <c r="B31" s="313"/>
      <c r="C31" s="307" t="s">
        <v>330</v>
      </c>
      <c r="D31" s="309"/>
      <c r="E31" s="335" t="s">
        <v>331</v>
      </c>
      <c r="F31" s="309"/>
      <c r="G31" s="300"/>
      <c r="H31" s="303"/>
      <c r="I31" s="303"/>
      <c r="J31" s="302"/>
    </row>
    <row r="32" spans="1:10" ht="52.5" customHeight="1">
      <c r="A32" s="313"/>
      <c r="B32" s="313"/>
      <c r="C32" s="307" t="s">
        <v>332</v>
      </c>
      <c r="D32" s="309"/>
      <c r="E32" s="310"/>
      <c r="F32" s="311"/>
      <c r="G32" s="300"/>
      <c r="H32" s="300"/>
      <c r="I32" s="300"/>
      <c r="J32" s="300"/>
    </row>
    <row r="33" spans="1:10" ht="47.25" customHeight="1">
      <c r="A33" s="313"/>
      <c r="B33" s="313"/>
      <c r="C33" s="300"/>
      <c r="D33" s="300"/>
      <c r="E33" s="321"/>
      <c r="F33" s="322"/>
      <c r="G33" s="301"/>
      <c r="H33" s="303"/>
      <c r="I33" s="303"/>
      <c r="J33" s="302"/>
    </row>
    <row r="34" spans="1:10" ht="51" customHeight="1">
      <c r="A34" s="313"/>
      <c r="B34" s="313"/>
      <c r="C34" s="300"/>
      <c r="D34" s="300"/>
      <c r="E34" s="312"/>
      <c r="F34" s="312"/>
      <c r="G34" s="300"/>
      <c r="H34" s="300"/>
      <c r="I34" s="300"/>
      <c r="J34" s="300"/>
    </row>
    <row r="35" spans="1:10" ht="51" customHeight="1">
      <c r="A35" s="313"/>
      <c r="B35" s="313"/>
      <c r="C35" s="312"/>
      <c r="D35" s="312"/>
      <c r="E35" s="300"/>
      <c r="F35" s="300"/>
      <c r="G35" s="300"/>
      <c r="H35" s="300"/>
      <c r="I35" s="300"/>
      <c r="J35" s="300"/>
    </row>
    <row r="36" spans="1:10" ht="51" customHeight="1">
      <c r="A36" s="313"/>
      <c r="B36" s="313"/>
      <c r="C36" s="310"/>
      <c r="D36" s="311"/>
      <c r="E36" s="301"/>
      <c r="F36" s="302"/>
      <c r="G36" s="301"/>
      <c r="H36" s="303"/>
      <c r="I36" s="303"/>
      <c r="J36" s="302"/>
    </row>
    <row r="37" spans="1:10" ht="45.75" customHeight="1">
      <c r="A37" s="313"/>
      <c r="B37" s="313"/>
      <c r="C37" s="310"/>
      <c r="D37" s="311"/>
      <c r="E37" s="301"/>
      <c r="F37" s="302"/>
      <c r="G37" s="301"/>
      <c r="H37" s="303"/>
      <c r="I37" s="303"/>
      <c r="J37" s="302"/>
    </row>
    <row r="38" spans="1:10" ht="41.25" customHeight="1">
      <c r="A38" s="313"/>
      <c r="B38" s="313"/>
      <c r="C38" s="300"/>
      <c r="D38" s="300"/>
      <c r="E38" s="320"/>
      <c r="F38" s="320"/>
      <c r="G38" s="320"/>
      <c r="H38" s="320"/>
      <c r="I38" s="320"/>
      <c r="J38" s="320"/>
    </row>
    <row r="39" spans="1:10" ht="66" customHeight="1">
      <c r="A39" s="313"/>
      <c r="B39" s="313" t="s">
        <v>253</v>
      </c>
      <c r="C39" s="314" t="s">
        <v>260</v>
      </c>
      <c r="D39" s="314"/>
      <c r="E39" s="315" t="s">
        <v>261</v>
      </c>
      <c r="F39" s="316"/>
      <c r="G39" s="317" t="s">
        <v>262</v>
      </c>
      <c r="H39" s="318"/>
      <c r="I39" s="318"/>
      <c r="J39" s="319"/>
    </row>
    <row r="40" spans="1:10" ht="51.75" customHeight="1">
      <c r="A40" s="313"/>
      <c r="B40" s="313"/>
      <c r="C40" s="310" t="str">
        <f>+'[2]PRIORIZACIÓN DE CAUSA'!B11</f>
        <v>Constante cambio de normatividad vigente a nivel nacional</v>
      </c>
      <c r="D40" s="311"/>
      <c r="E40" s="307" t="s">
        <v>333</v>
      </c>
      <c r="F40" s="309"/>
      <c r="G40" s="307" t="s">
        <v>334</v>
      </c>
      <c r="H40" s="308"/>
      <c r="I40" s="308"/>
      <c r="J40" s="309"/>
    </row>
    <row r="41" spans="1:10" ht="47.25" customHeight="1">
      <c r="A41" s="313"/>
      <c r="B41" s="313"/>
      <c r="C41" s="310" t="str">
        <f>+'[2]PRIORIZACIÓN DE CAUSA'!B12</f>
        <v>Cambios de gobierno</v>
      </c>
      <c r="D41" s="311"/>
      <c r="E41" s="310"/>
      <c r="F41" s="311"/>
      <c r="G41" s="307" t="s">
        <v>335</v>
      </c>
      <c r="H41" s="308"/>
      <c r="I41" s="308"/>
      <c r="J41" s="309"/>
    </row>
    <row r="42" spans="1:10" ht="49.5" customHeight="1">
      <c r="A42" s="313"/>
      <c r="B42" s="313"/>
      <c r="C42" s="310" t="str">
        <f>+'[2]PRIORIZACIÓN DE CAUSA'!B13</f>
        <v>Idiosincrasia ciudadana -  soborno de ciudadanos para beneficio personal</v>
      </c>
      <c r="D42" s="311"/>
      <c r="E42" s="312"/>
      <c r="F42" s="312"/>
      <c r="G42" s="307" t="s">
        <v>336</v>
      </c>
      <c r="H42" s="308"/>
      <c r="I42" s="308"/>
      <c r="J42" s="309"/>
    </row>
    <row r="43" spans="1:10" ht="48" customHeight="1">
      <c r="A43" s="313"/>
      <c r="B43" s="313"/>
      <c r="C43" s="310"/>
      <c r="D43" s="311"/>
      <c r="E43" s="312"/>
      <c r="F43" s="312"/>
      <c r="G43" s="307" t="s">
        <v>337</v>
      </c>
      <c r="H43" s="308"/>
      <c r="I43" s="308"/>
      <c r="J43" s="309"/>
    </row>
    <row r="44" spans="1:10" ht="45.75" customHeight="1">
      <c r="A44" s="313"/>
      <c r="B44" s="313"/>
      <c r="C44" s="300"/>
      <c r="D44" s="300"/>
      <c r="E44" s="300"/>
      <c r="F44" s="300"/>
      <c r="G44" s="307" t="s">
        <v>338</v>
      </c>
      <c r="H44" s="308"/>
      <c r="I44" s="308"/>
      <c r="J44" s="309"/>
    </row>
    <row r="45" spans="1:10" ht="45.75" customHeight="1">
      <c r="A45" s="313"/>
      <c r="B45" s="313"/>
      <c r="C45" s="300"/>
      <c r="D45" s="300"/>
      <c r="E45" s="300"/>
      <c r="F45" s="300"/>
      <c r="G45" s="307" t="s">
        <v>339</v>
      </c>
      <c r="H45" s="308"/>
      <c r="I45" s="308"/>
      <c r="J45" s="309"/>
    </row>
    <row r="46" spans="1:10" ht="45" customHeight="1">
      <c r="A46" s="313"/>
      <c r="B46" s="313"/>
      <c r="C46" s="301"/>
      <c r="D46" s="302"/>
      <c r="E46" s="301"/>
      <c r="F46" s="302"/>
      <c r="G46" s="301"/>
      <c r="H46" s="303"/>
      <c r="I46" s="303"/>
      <c r="J46" s="302"/>
    </row>
    <row r="47" spans="1:10" ht="50.25" customHeight="1">
      <c r="A47" s="313"/>
      <c r="B47" s="313"/>
      <c r="C47" s="301"/>
      <c r="D47" s="302"/>
      <c r="E47" s="301"/>
      <c r="F47" s="302"/>
      <c r="G47" s="301"/>
      <c r="H47" s="303"/>
      <c r="I47" s="303"/>
      <c r="J47" s="302"/>
    </row>
    <row r="48" spans="1:10" ht="52.5" customHeight="1">
      <c r="A48" s="313"/>
      <c r="B48" s="313"/>
      <c r="C48" s="301"/>
      <c r="D48" s="302"/>
      <c r="E48" s="304"/>
      <c r="F48" s="305"/>
      <c r="G48" s="304"/>
      <c r="H48" s="306"/>
      <c r="I48" s="306"/>
      <c r="J48" s="305"/>
    </row>
    <row r="49" spans="1:10" ht="48" customHeight="1">
      <c r="A49" s="313"/>
      <c r="B49" s="313"/>
      <c r="C49" s="301"/>
      <c r="D49" s="302"/>
      <c r="E49" s="301"/>
      <c r="F49" s="302"/>
      <c r="G49" s="301"/>
      <c r="H49" s="303"/>
      <c r="I49" s="303"/>
      <c r="J49" s="302"/>
    </row>
    <row r="50" spans="1:10" ht="46.5" customHeight="1">
      <c r="A50" s="313"/>
      <c r="B50" s="313"/>
      <c r="C50" s="301"/>
      <c r="D50" s="302"/>
      <c r="E50" s="304"/>
      <c r="F50" s="305"/>
      <c r="G50" s="304"/>
      <c r="H50" s="306"/>
      <c r="I50" s="306"/>
      <c r="J50" s="305"/>
    </row>
    <row r="51" spans="1:10" ht="48" customHeight="1">
      <c r="A51" s="313"/>
      <c r="B51" s="313"/>
      <c r="C51" s="301"/>
      <c r="D51" s="302"/>
      <c r="E51" s="301"/>
      <c r="F51" s="302"/>
      <c r="G51" s="301"/>
      <c r="H51" s="303"/>
      <c r="I51" s="303"/>
      <c r="J51" s="302"/>
    </row>
    <row r="52" spans="1:10" ht="53.25" customHeight="1">
      <c r="A52" s="313"/>
      <c r="B52" s="313"/>
      <c r="C52" s="301"/>
      <c r="D52" s="302"/>
      <c r="E52" s="301"/>
      <c r="F52" s="302"/>
      <c r="G52" s="301"/>
      <c r="H52" s="303"/>
      <c r="I52" s="303"/>
      <c r="J52" s="302"/>
    </row>
    <row r="53" spans="1:10" ht="43.5" customHeight="1">
      <c r="A53" s="313"/>
      <c r="B53" s="313"/>
      <c r="C53" s="300"/>
      <c r="D53" s="300"/>
      <c r="E53" s="300"/>
      <c r="F53" s="300"/>
      <c r="G53" s="300"/>
      <c r="H53" s="300"/>
      <c r="I53" s="300"/>
      <c r="J53" s="300"/>
    </row>
    <row r="54" spans="1:10" ht="48.75" customHeight="1">
      <c r="A54" s="313"/>
      <c r="B54" s="313"/>
      <c r="C54" s="300"/>
      <c r="D54" s="300"/>
      <c r="E54" s="300"/>
      <c r="F54" s="300"/>
      <c r="G54" s="300"/>
      <c r="H54" s="300"/>
      <c r="I54" s="300"/>
      <c r="J54" s="300"/>
    </row>
    <row r="55" spans="1:10">
      <c r="C55" s="210"/>
      <c r="D55" s="210"/>
      <c r="E55" s="299"/>
      <c r="F55" s="299"/>
      <c r="G55" s="299"/>
      <c r="H55" s="299"/>
      <c r="I55" s="299"/>
      <c r="J55" s="299"/>
    </row>
    <row r="56" spans="1:10">
      <c r="C56" s="210"/>
      <c r="D56" s="210"/>
      <c r="E56" s="299"/>
      <c r="F56" s="299"/>
      <c r="G56" s="299"/>
      <c r="H56" s="299"/>
      <c r="I56" s="299"/>
      <c r="J56" s="299"/>
    </row>
    <row r="57" spans="1:10">
      <c r="E57" s="298"/>
      <c r="F57" s="298"/>
      <c r="G57" s="298"/>
      <c r="H57" s="298"/>
      <c r="I57" s="298"/>
      <c r="J57" s="298"/>
    </row>
    <row r="58" spans="1:10">
      <c r="E58" s="298"/>
      <c r="F58" s="298"/>
      <c r="G58" s="298"/>
      <c r="H58" s="298"/>
      <c r="I58" s="298"/>
      <c r="J58" s="298"/>
    </row>
    <row r="59" spans="1:10">
      <c r="E59" s="298"/>
      <c r="F59" s="298"/>
      <c r="G59" s="298"/>
      <c r="H59" s="298"/>
      <c r="I59" s="298"/>
      <c r="J59" s="298"/>
    </row>
    <row r="60" spans="1:10">
      <c r="E60" s="298"/>
      <c r="F60" s="298"/>
      <c r="G60" s="298"/>
      <c r="H60" s="298"/>
      <c r="I60" s="298"/>
      <c r="J60" s="298"/>
    </row>
    <row r="61" spans="1:10">
      <c r="E61" s="298"/>
      <c r="F61" s="298"/>
      <c r="G61" s="298"/>
      <c r="H61" s="298"/>
      <c r="I61" s="298"/>
      <c r="J61" s="298"/>
    </row>
    <row r="62" spans="1:10">
      <c r="E62" s="298"/>
      <c r="F62" s="298"/>
      <c r="G62" s="298"/>
      <c r="H62" s="298"/>
      <c r="I62" s="298"/>
      <c r="J62" s="298"/>
    </row>
    <row r="63" spans="1:10">
      <c r="E63" s="298"/>
      <c r="F63" s="298"/>
      <c r="G63" s="298"/>
      <c r="H63" s="298"/>
      <c r="I63" s="298"/>
      <c r="J63" s="298"/>
    </row>
    <row r="64" spans="1:10">
      <c r="E64" s="298"/>
      <c r="F64" s="298"/>
      <c r="G64" s="298"/>
      <c r="H64" s="298"/>
      <c r="I64" s="298"/>
      <c r="J64" s="298"/>
    </row>
    <row r="65" spans="5:10">
      <c r="E65" s="298"/>
      <c r="F65" s="298"/>
      <c r="G65" s="298"/>
      <c r="H65" s="298"/>
      <c r="I65" s="298"/>
      <c r="J65" s="298"/>
    </row>
    <row r="66" spans="5:10">
      <c r="E66" s="298"/>
      <c r="F66" s="298"/>
      <c r="G66" s="298"/>
      <c r="H66" s="298"/>
      <c r="I66" s="298"/>
      <c r="J66" s="298"/>
    </row>
    <row r="67" spans="5:10">
      <c r="E67" s="298"/>
      <c r="F67" s="298"/>
      <c r="G67" s="298"/>
      <c r="H67" s="298"/>
      <c r="I67" s="298"/>
      <c r="J67" s="298"/>
    </row>
    <row r="68" spans="5:10">
      <c r="E68" s="298"/>
      <c r="F68" s="298"/>
      <c r="G68" s="298"/>
      <c r="H68" s="298"/>
      <c r="I68" s="298"/>
      <c r="J68" s="298"/>
    </row>
    <row r="69" spans="5:10">
      <c r="E69" s="298"/>
      <c r="F69" s="298"/>
      <c r="G69" s="298"/>
      <c r="H69" s="298"/>
      <c r="I69" s="298"/>
      <c r="J69" s="298"/>
    </row>
    <row r="70" spans="5:10">
      <c r="E70" s="298"/>
      <c r="F70" s="298"/>
      <c r="G70" s="298"/>
      <c r="H70" s="298"/>
      <c r="I70" s="298"/>
      <c r="J70" s="298"/>
    </row>
    <row r="71" spans="5:10">
      <c r="E71" s="298"/>
      <c r="F71" s="298"/>
      <c r="G71" s="298"/>
      <c r="H71" s="298"/>
      <c r="I71" s="298"/>
      <c r="J71" s="298"/>
    </row>
    <row r="72" spans="5:10">
      <c r="E72" s="298"/>
      <c r="F72" s="298"/>
      <c r="G72" s="298"/>
      <c r="H72" s="298"/>
      <c r="I72" s="298"/>
      <c r="J72" s="298"/>
    </row>
    <row r="73" spans="5:10">
      <c r="E73" s="298"/>
      <c r="F73" s="298"/>
      <c r="G73" s="298"/>
      <c r="H73" s="298"/>
      <c r="I73" s="298"/>
      <c r="J73" s="298"/>
    </row>
    <row r="74" spans="5:10">
      <c r="E74" s="298"/>
      <c r="F74" s="298"/>
      <c r="G74" s="298"/>
      <c r="H74" s="298"/>
      <c r="I74" s="298"/>
      <c r="J74" s="298"/>
    </row>
    <row r="75" spans="5:10">
      <c r="E75" s="298"/>
      <c r="F75" s="298"/>
      <c r="G75" s="298"/>
      <c r="H75" s="298"/>
      <c r="I75" s="298"/>
      <c r="J75" s="298"/>
    </row>
    <row r="76" spans="5:10">
      <c r="E76" s="298"/>
      <c r="F76" s="298"/>
      <c r="G76" s="298"/>
      <c r="H76" s="298"/>
      <c r="I76" s="298"/>
      <c r="J76" s="298"/>
    </row>
    <row r="77" spans="5:10">
      <c r="E77" s="298"/>
      <c r="F77" s="298"/>
      <c r="G77" s="298"/>
      <c r="H77" s="298"/>
      <c r="I77" s="298"/>
      <c r="J77" s="298"/>
    </row>
    <row r="78" spans="5:10">
      <c r="E78" s="298"/>
      <c r="F78" s="298"/>
      <c r="G78" s="298"/>
      <c r="H78" s="298"/>
      <c r="I78" s="298"/>
      <c r="J78" s="298"/>
    </row>
    <row r="79" spans="5:10">
      <c r="E79" s="298"/>
      <c r="F79" s="298"/>
      <c r="G79" s="298"/>
      <c r="H79" s="298"/>
      <c r="I79" s="298"/>
      <c r="J79" s="298"/>
    </row>
    <row r="80" spans="5:10">
      <c r="E80" s="298"/>
      <c r="F80" s="298"/>
      <c r="G80" s="298"/>
      <c r="H80" s="298"/>
      <c r="I80" s="298"/>
      <c r="J80" s="298"/>
    </row>
    <row r="81" spans="5:10">
      <c r="E81" s="298"/>
      <c r="F81" s="298"/>
      <c r="G81" s="298"/>
      <c r="H81" s="298"/>
      <c r="I81" s="298"/>
      <c r="J81" s="298"/>
    </row>
    <row r="82" spans="5:10">
      <c r="E82" s="298"/>
      <c r="F82" s="298"/>
      <c r="G82" s="298"/>
      <c r="H82" s="298"/>
      <c r="I82" s="298"/>
      <c r="J82" s="298"/>
    </row>
    <row r="83" spans="5:10">
      <c r="E83" s="298"/>
      <c r="F83" s="298"/>
      <c r="G83" s="298"/>
      <c r="H83" s="298"/>
      <c r="I83" s="298"/>
      <c r="J83" s="298"/>
    </row>
    <row r="84" spans="5:10">
      <c r="E84" s="298"/>
      <c r="F84" s="298"/>
      <c r="G84" s="298"/>
      <c r="H84" s="298"/>
      <c r="I84" s="298"/>
      <c r="J84" s="298"/>
    </row>
    <row r="85" spans="5:10">
      <c r="E85" s="298"/>
      <c r="F85" s="298"/>
      <c r="G85" s="298"/>
      <c r="H85" s="298"/>
      <c r="I85" s="298"/>
      <c r="J85" s="298"/>
    </row>
    <row r="86" spans="5:10">
      <c r="E86" s="298"/>
      <c r="F86" s="298"/>
      <c r="G86" s="298"/>
      <c r="H86" s="298"/>
      <c r="I86" s="298"/>
      <c r="J86" s="298"/>
    </row>
    <row r="87" spans="5:10">
      <c r="E87" s="298"/>
      <c r="F87" s="298"/>
      <c r="G87" s="298"/>
      <c r="H87" s="298"/>
      <c r="I87" s="298"/>
      <c r="J87" s="298"/>
    </row>
    <row r="88" spans="5:10">
      <c r="E88" s="298"/>
      <c r="F88" s="298"/>
      <c r="G88" s="298"/>
      <c r="H88" s="298"/>
      <c r="I88" s="298"/>
      <c r="J88" s="298"/>
    </row>
    <row r="89" spans="5:10">
      <c r="E89" s="298"/>
      <c r="F89" s="298"/>
      <c r="G89" s="298"/>
      <c r="H89" s="298"/>
      <c r="I89" s="298"/>
      <c r="J89" s="298"/>
    </row>
    <row r="90" spans="5:10">
      <c r="E90" s="298"/>
      <c r="F90" s="298"/>
      <c r="G90" s="298"/>
      <c r="H90" s="298"/>
      <c r="I90" s="298"/>
      <c r="J90" s="298"/>
    </row>
    <row r="91" spans="5:10">
      <c r="E91" s="298"/>
      <c r="F91" s="298"/>
      <c r="G91" s="298"/>
      <c r="H91" s="298"/>
      <c r="I91" s="298"/>
      <c r="J91" s="298"/>
    </row>
    <row r="92" spans="5:10">
      <c r="E92" s="298"/>
      <c r="F92" s="298"/>
      <c r="G92" s="298"/>
      <c r="H92" s="298"/>
      <c r="I92" s="298"/>
      <c r="J92" s="298"/>
    </row>
    <row r="93" spans="5:10">
      <c r="E93" s="298"/>
      <c r="F93" s="298"/>
      <c r="G93" s="298"/>
      <c r="H93" s="298"/>
      <c r="I93" s="298"/>
      <c r="J93" s="298"/>
    </row>
    <row r="94" spans="5:10">
      <c r="E94" s="298"/>
      <c r="F94" s="298"/>
      <c r="G94" s="298"/>
      <c r="H94" s="298"/>
      <c r="I94" s="298"/>
      <c r="J94" s="298"/>
    </row>
    <row r="95" spans="5:10">
      <c r="E95" s="298"/>
      <c r="F95" s="298"/>
      <c r="G95" s="298"/>
      <c r="H95" s="298"/>
      <c r="I95" s="298"/>
      <c r="J95" s="298"/>
    </row>
    <row r="96" spans="5:10">
      <c r="E96" s="298"/>
      <c r="F96" s="298"/>
      <c r="G96" s="298"/>
      <c r="H96" s="298"/>
      <c r="I96" s="298"/>
      <c r="J96" s="298"/>
    </row>
    <row r="97" spans="5:10">
      <c r="E97" s="298"/>
      <c r="F97" s="298"/>
      <c r="G97" s="298"/>
      <c r="H97" s="298"/>
      <c r="I97" s="298"/>
      <c r="J97" s="298"/>
    </row>
    <row r="98" spans="5:10">
      <c r="E98" s="298"/>
      <c r="F98" s="298"/>
      <c r="G98" s="298"/>
      <c r="H98" s="298"/>
      <c r="I98" s="298"/>
      <c r="J98" s="298"/>
    </row>
    <row r="99" spans="5:10">
      <c r="E99" s="298"/>
      <c r="F99" s="298"/>
      <c r="G99" s="298"/>
      <c r="H99" s="298"/>
      <c r="I99" s="298"/>
      <c r="J99" s="298"/>
    </row>
    <row r="100" spans="5:10">
      <c r="E100" s="298"/>
      <c r="F100" s="298"/>
      <c r="G100" s="298"/>
      <c r="H100" s="298"/>
      <c r="I100" s="298"/>
      <c r="J100" s="298"/>
    </row>
    <row r="101" spans="5:10">
      <c r="E101" s="298"/>
      <c r="F101" s="298"/>
      <c r="G101" s="298"/>
      <c r="H101" s="298"/>
      <c r="I101" s="298"/>
      <c r="J101" s="298"/>
    </row>
    <row r="102" spans="5:10">
      <c r="E102" s="298"/>
      <c r="F102" s="298"/>
      <c r="G102" s="298"/>
      <c r="H102" s="298"/>
      <c r="I102" s="298"/>
      <c r="J102" s="298"/>
    </row>
    <row r="103" spans="5:10">
      <c r="E103" s="298"/>
      <c r="F103" s="298"/>
      <c r="G103" s="298"/>
      <c r="H103" s="298"/>
      <c r="I103" s="298"/>
      <c r="J103" s="298"/>
    </row>
    <row r="104" spans="5:10">
      <c r="E104" s="298"/>
      <c r="F104" s="298"/>
      <c r="G104" s="298"/>
      <c r="H104" s="298"/>
      <c r="I104" s="298"/>
      <c r="J104" s="298"/>
    </row>
    <row r="105" spans="5:10">
      <c r="E105" s="298"/>
      <c r="F105" s="298"/>
      <c r="G105" s="298"/>
      <c r="H105" s="298"/>
      <c r="I105" s="298"/>
      <c r="J105" s="298"/>
    </row>
    <row r="106" spans="5:10">
      <c r="E106" s="298"/>
      <c r="F106" s="298"/>
      <c r="G106" s="298"/>
      <c r="H106" s="298"/>
      <c r="I106" s="298"/>
      <c r="J106" s="298"/>
    </row>
    <row r="107" spans="5:10">
      <c r="E107" s="298"/>
      <c r="F107" s="298"/>
      <c r="G107" s="298"/>
      <c r="H107" s="298"/>
      <c r="I107" s="298"/>
      <c r="J107" s="298"/>
    </row>
    <row r="108" spans="5:10">
      <c r="E108" s="298"/>
      <c r="F108" s="298"/>
      <c r="G108" s="298"/>
      <c r="H108" s="298"/>
      <c r="I108" s="298"/>
      <c r="J108" s="298"/>
    </row>
    <row r="109" spans="5:10">
      <c r="E109" s="298"/>
      <c r="F109" s="298"/>
      <c r="G109" s="298"/>
      <c r="H109" s="298"/>
      <c r="I109" s="298"/>
      <c r="J109" s="298"/>
    </row>
    <row r="110" spans="5:10">
      <c r="E110" s="298"/>
      <c r="F110" s="298"/>
      <c r="G110" s="298"/>
      <c r="H110" s="298"/>
      <c r="I110" s="298"/>
      <c r="J110" s="298"/>
    </row>
    <row r="111" spans="5:10">
      <c r="E111" s="298"/>
      <c r="F111" s="298"/>
      <c r="G111" s="298"/>
      <c r="H111" s="298"/>
      <c r="I111" s="298"/>
      <c r="J111" s="298"/>
    </row>
    <row r="112" spans="5:10">
      <c r="E112" s="298"/>
      <c r="F112" s="298"/>
      <c r="G112" s="298"/>
      <c r="H112" s="298"/>
      <c r="I112" s="298"/>
      <c r="J112" s="298"/>
    </row>
    <row r="113" spans="5:10">
      <c r="E113" s="298"/>
      <c r="F113" s="298"/>
      <c r="G113" s="298"/>
      <c r="H113" s="298"/>
      <c r="I113" s="298"/>
      <c r="J113" s="298"/>
    </row>
    <row r="114" spans="5:10">
      <c r="E114" s="298"/>
      <c r="F114" s="298"/>
      <c r="G114" s="298"/>
      <c r="H114" s="298"/>
      <c r="I114" s="298"/>
      <c r="J114" s="298"/>
    </row>
    <row r="115" spans="5:10">
      <c r="E115" s="298"/>
      <c r="F115" s="298"/>
      <c r="G115" s="298"/>
      <c r="H115" s="298"/>
      <c r="I115" s="298"/>
      <c r="J115" s="298"/>
    </row>
    <row r="116" spans="5:10">
      <c r="E116" s="298"/>
      <c r="F116" s="298"/>
      <c r="G116" s="298"/>
      <c r="H116" s="298"/>
      <c r="I116" s="298"/>
      <c r="J116" s="298"/>
    </row>
    <row r="117" spans="5:10">
      <c r="E117" s="298"/>
      <c r="F117" s="298"/>
      <c r="G117" s="298"/>
      <c r="H117" s="298"/>
      <c r="I117" s="298"/>
      <c r="J117" s="298"/>
    </row>
    <row r="118" spans="5:10">
      <c r="E118" s="298"/>
      <c r="F118" s="298"/>
      <c r="G118" s="298"/>
      <c r="H118" s="298"/>
      <c r="I118" s="298"/>
      <c r="J118" s="298"/>
    </row>
    <row r="119" spans="5:10">
      <c r="E119" s="298"/>
      <c r="F119" s="298"/>
      <c r="G119" s="298"/>
      <c r="H119" s="298"/>
      <c r="I119" s="298"/>
      <c r="J119" s="298"/>
    </row>
    <row r="120" spans="5:10">
      <c r="E120" s="298"/>
      <c r="F120" s="298"/>
      <c r="G120" s="298"/>
      <c r="H120" s="298"/>
      <c r="I120" s="298"/>
      <c r="J120" s="298"/>
    </row>
    <row r="121" spans="5:10">
      <c r="E121" s="298"/>
      <c r="F121" s="298"/>
      <c r="G121" s="298"/>
      <c r="H121" s="298"/>
      <c r="I121" s="298"/>
      <c r="J121" s="298"/>
    </row>
    <row r="122" spans="5:10">
      <c r="E122" s="298"/>
      <c r="F122" s="298"/>
      <c r="G122" s="298"/>
      <c r="H122" s="298"/>
      <c r="I122" s="298"/>
      <c r="J122" s="298"/>
    </row>
    <row r="123" spans="5:10">
      <c r="E123" s="298"/>
      <c r="F123" s="298"/>
      <c r="G123" s="298"/>
      <c r="H123" s="298"/>
      <c r="I123" s="298"/>
      <c r="J123" s="298"/>
    </row>
    <row r="124" spans="5:10">
      <c r="E124" s="298"/>
      <c r="F124" s="298"/>
      <c r="G124" s="298"/>
      <c r="H124" s="298"/>
      <c r="I124" s="298"/>
      <c r="J124" s="298"/>
    </row>
    <row r="125" spans="5:10">
      <c r="E125" s="298"/>
      <c r="F125" s="298"/>
      <c r="G125" s="298"/>
      <c r="H125" s="298"/>
      <c r="I125" s="298"/>
      <c r="J125" s="298"/>
    </row>
    <row r="126" spans="5:10">
      <c r="E126" s="298"/>
      <c r="F126" s="298"/>
      <c r="G126" s="298"/>
      <c r="H126" s="298"/>
      <c r="I126" s="298"/>
      <c r="J126" s="298"/>
    </row>
    <row r="127" spans="5:10">
      <c r="E127" s="298"/>
      <c r="F127" s="298"/>
      <c r="G127" s="298"/>
      <c r="H127" s="298"/>
      <c r="I127" s="298"/>
      <c r="J127" s="298"/>
    </row>
    <row r="128" spans="5:10">
      <c r="E128" s="298"/>
      <c r="F128" s="298"/>
      <c r="G128" s="298"/>
      <c r="H128" s="298"/>
      <c r="I128" s="298"/>
      <c r="J128" s="298"/>
    </row>
    <row r="129" spans="5:10">
      <c r="E129" s="298"/>
      <c r="F129" s="298"/>
      <c r="G129" s="298"/>
      <c r="H129" s="298"/>
      <c r="I129" s="298"/>
      <c r="J129" s="298"/>
    </row>
    <row r="130" spans="5:10">
      <c r="E130" s="298"/>
      <c r="F130" s="298"/>
      <c r="G130" s="298"/>
      <c r="H130" s="298"/>
      <c r="I130" s="298"/>
      <c r="J130" s="298"/>
    </row>
    <row r="131" spans="5:10">
      <c r="E131" s="298"/>
      <c r="F131" s="298"/>
      <c r="G131" s="298"/>
      <c r="H131" s="298"/>
      <c r="I131" s="298"/>
      <c r="J131" s="298"/>
    </row>
    <row r="132" spans="5:10">
      <c r="E132" s="298"/>
      <c r="F132" s="298"/>
      <c r="G132" s="298"/>
      <c r="H132" s="298"/>
      <c r="I132" s="298"/>
      <c r="J132" s="298"/>
    </row>
  </sheetData>
  <mergeCells count="292">
    <mergeCell ref="A1:G2"/>
    <mergeCell ref="H1:I1"/>
    <mergeCell ref="J1:J4"/>
    <mergeCell ref="N1:N4"/>
    <mergeCell ref="H2:I2"/>
    <mergeCell ref="A3:G4"/>
    <mergeCell ref="H3:I3"/>
    <mergeCell ref="H4:I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4:F24"/>
    <mergeCell ref="G24:J24"/>
    <mergeCell ref="E25:F25"/>
    <mergeCell ref="G25:J25"/>
    <mergeCell ref="A26:A54"/>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C34:D34"/>
    <mergeCell ref="E34:F34"/>
    <mergeCell ref="G34:J34"/>
    <mergeCell ref="C35:D35"/>
    <mergeCell ref="E35:F35"/>
    <mergeCell ref="G35:J35"/>
    <mergeCell ref="C32:D32"/>
    <mergeCell ref="E32:F32"/>
    <mergeCell ref="G32:J32"/>
    <mergeCell ref="C33:D33"/>
    <mergeCell ref="E33:F33"/>
    <mergeCell ref="G33:J33"/>
    <mergeCell ref="B39:B54"/>
    <mergeCell ref="C39:D39"/>
    <mergeCell ref="E39:F39"/>
    <mergeCell ref="G39:J39"/>
    <mergeCell ref="C40:D40"/>
    <mergeCell ref="E40:F40"/>
    <mergeCell ref="G40:J40"/>
    <mergeCell ref="C36:D36"/>
    <mergeCell ref="E36:F36"/>
    <mergeCell ref="G36:J36"/>
    <mergeCell ref="C37:D37"/>
    <mergeCell ref="E37:F37"/>
    <mergeCell ref="G37:J37"/>
    <mergeCell ref="C41:D41"/>
    <mergeCell ref="E41:F41"/>
    <mergeCell ref="G41:J41"/>
    <mergeCell ref="C42:D42"/>
    <mergeCell ref="E42:F42"/>
    <mergeCell ref="G42:J42"/>
    <mergeCell ref="C38:D38"/>
    <mergeCell ref="E38:F38"/>
    <mergeCell ref="G38:J38"/>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G49:J49"/>
    <mergeCell ref="C50:D50"/>
    <mergeCell ref="E50:F50"/>
    <mergeCell ref="G50:J50"/>
    <mergeCell ref="C47:D47"/>
    <mergeCell ref="E47:F47"/>
    <mergeCell ref="G47:J47"/>
    <mergeCell ref="C48:D48"/>
    <mergeCell ref="E48:F48"/>
    <mergeCell ref="G48:J48"/>
    <mergeCell ref="C53:D53"/>
    <mergeCell ref="E53:F53"/>
    <mergeCell ref="G53:J53"/>
    <mergeCell ref="C54:D54"/>
    <mergeCell ref="E54:F54"/>
    <mergeCell ref="G54:J54"/>
    <mergeCell ref="C51:D51"/>
    <mergeCell ref="E51:F51"/>
    <mergeCell ref="G51:J51"/>
    <mergeCell ref="C52:D52"/>
    <mergeCell ref="E52:F52"/>
    <mergeCell ref="G52:J52"/>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88:F88"/>
    <mergeCell ref="G88:J88"/>
    <mergeCell ref="E89:F89"/>
    <mergeCell ref="G89:J89"/>
    <mergeCell ref="E90:F90"/>
    <mergeCell ref="G90:J90"/>
    <mergeCell ref="E85:F85"/>
    <mergeCell ref="G85:J85"/>
    <mergeCell ref="E86:F86"/>
    <mergeCell ref="G86:J86"/>
    <mergeCell ref="E87:F87"/>
    <mergeCell ref="G87:J87"/>
    <mergeCell ref="E94:F94"/>
    <mergeCell ref="G94:J94"/>
    <mergeCell ref="E95:F95"/>
    <mergeCell ref="G95:J95"/>
    <mergeCell ref="E96:F96"/>
    <mergeCell ref="G96:J96"/>
    <mergeCell ref="E91:F91"/>
    <mergeCell ref="G91:J91"/>
    <mergeCell ref="E92:F92"/>
    <mergeCell ref="G92:J92"/>
    <mergeCell ref="E93:F93"/>
    <mergeCell ref="G93:J93"/>
    <mergeCell ref="E100:F100"/>
    <mergeCell ref="G100:J100"/>
    <mergeCell ref="E101:F101"/>
    <mergeCell ref="G101:J101"/>
    <mergeCell ref="E102:F102"/>
    <mergeCell ref="G102:J102"/>
    <mergeCell ref="E97:F97"/>
    <mergeCell ref="G97:J97"/>
    <mergeCell ref="E98:F98"/>
    <mergeCell ref="G98:J98"/>
    <mergeCell ref="E99:F99"/>
    <mergeCell ref="G99:J99"/>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30:F130"/>
    <mergeCell ref="G130:J130"/>
    <mergeCell ref="E131:F131"/>
    <mergeCell ref="G131:J131"/>
    <mergeCell ref="E132:F132"/>
    <mergeCell ref="G132:J132"/>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72"/>
  <sheetViews>
    <sheetView tabSelected="1" topLeftCell="AI11" zoomScaleNormal="100" workbookViewId="0">
      <selection activeCell="AL12" sqref="AL12"/>
    </sheetView>
  </sheetViews>
  <sheetFormatPr baseColWidth="10" defaultColWidth="11.5" defaultRowHeight="14"/>
  <cols>
    <col min="1" max="1" width="4" style="2" bestFit="1" customWidth="1"/>
    <col min="2" max="2" width="14.1640625" style="2" customWidth="1"/>
    <col min="3" max="3" width="13.1640625" style="2" customWidth="1"/>
    <col min="4" max="4" width="16.1640625" style="2" customWidth="1"/>
    <col min="5" max="5" width="30.33203125" style="2" customWidth="1"/>
    <col min="6" max="8" width="35" style="1" customWidth="1"/>
    <col min="9" max="9" width="18.1640625" style="5" customWidth="1"/>
    <col min="10" max="10" width="14.33203125" style="1" customWidth="1"/>
    <col min="11" max="11" width="12" style="1" customWidth="1"/>
    <col min="12" max="12" width="6.33203125" style="1" bestFit="1" customWidth="1"/>
    <col min="13" max="13" width="24.5" style="1" bestFit="1" customWidth="1"/>
    <col min="14" max="14" width="28.33203125" style="1" hidden="1" customWidth="1"/>
    <col min="15" max="15" width="17.5" style="1" customWidth="1"/>
    <col min="16" max="16" width="6.33203125" style="1" bestFit="1" customWidth="1"/>
    <col min="17" max="17" width="16" style="1" customWidth="1"/>
    <col min="18" max="18" width="5.83203125" style="1" customWidth="1"/>
    <col min="19" max="19" width="67.33203125" style="1" customWidth="1"/>
    <col min="20" max="20" width="15.1640625" style="1" bestFit="1" customWidth="1"/>
    <col min="21" max="21" width="6.83203125" style="1" customWidth="1"/>
    <col min="22" max="22" width="5" style="1" customWidth="1"/>
    <col min="23" max="23" width="5.5" style="1" customWidth="1"/>
    <col min="24" max="24" width="7.1640625" style="1" customWidth="1"/>
    <col min="25" max="25" width="6.6640625" style="1" customWidth="1"/>
    <col min="26" max="26" width="4.6640625" style="1" bestFit="1" customWidth="1"/>
    <col min="27" max="27" width="38.5" style="1" bestFit="1" customWidth="1"/>
    <col min="28" max="28" width="8.6640625" style="1" customWidth="1"/>
    <col min="29" max="29" width="10.5" style="1" customWidth="1"/>
    <col min="30" max="30" width="9.33203125" style="1" customWidth="1"/>
    <col min="31" max="31" width="9.1640625" style="1" customWidth="1"/>
    <col min="32" max="32" width="8.5" style="1" customWidth="1"/>
    <col min="33" max="33" width="7.33203125" style="1" customWidth="1"/>
    <col min="34" max="34" width="42.6640625" style="1" customWidth="1"/>
    <col min="35" max="35" width="18.83203125" style="1" customWidth="1"/>
    <col min="36" max="36" width="16.83203125" style="1" customWidth="1"/>
    <col min="37" max="37" width="14.83203125" style="1" customWidth="1"/>
    <col min="38" max="38" width="134.33203125" style="1" customWidth="1"/>
    <col min="39" max="39" width="21" style="1" customWidth="1"/>
    <col min="40" max="16384" width="11.5" style="1"/>
  </cols>
  <sheetData>
    <row r="1" spans="1:71" ht="16.5" customHeight="1">
      <c r="A1" s="361" t="s">
        <v>139</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3"/>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c r="A2" s="364"/>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6"/>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c r="A4" s="407" t="s">
        <v>43</v>
      </c>
      <c r="B4" s="408"/>
      <c r="C4" s="359" t="s">
        <v>271</v>
      </c>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0" customHeight="1">
      <c r="A5" s="407" t="s">
        <v>125</v>
      </c>
      <c r="B5" s="408"/>
      <c r="C5" s="360" t="str">
        <f>+Contexto!A9</f>
        <v>OBJETIVO: IMPLEMENTAR EL PROGRAMA DE GESTIÓN DOCUMENTAL APLICANDO EL MODELO DE GESTION DOCUMENTAL
Y ADMINISTRACIÓN DE ARCHIVOS (MGDA), PARA GARANTIZAR EL ACCESO A LA INFORMACIÓN EN FORMA
OPORTUNA Y PRESERVAR LA MEMORIA INSTITUCIONAL.</v>
      </c>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c r="A6" s="407" t="s">
        <v>44</v>
      </c>
      <c r="B6" s="408"/>
      <c r="C6" s="360" t="s">
        <v>356</v>
      </c>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c r="A7" s="367" t="s">
        <v>134</v>
      </c>
      <c r="B7" s="368"/>
      <c r="C7" s="369"/>
      <c r="D7" s="369"/>
      <c r="E7" s="369"/>
      <c r="F7" s="369"/>
      <c r="G7" s="369"/>
      <c r="H7" s="369"/>
      <c r="I7" s="369"/>
      <c r="J7" s="370"/>
      <c r="K7" s="371" t="s">
        <v>135</v>
      </c>
      <c r="L7" s="369"/>
      <c r="M7" s="369"/>
      <c r="N7" s="369"/>
      <c r="O7" s="369"/>
      <c r="P7" s="369"/>
      <c r="Q7" s="370"/>
      <c r="R7" s="371" t="s">
        <v>136</v>
      </c>
      <c r="S7" s="369"/>
      <c r="T7" s="369"/>
      <c r="U7" s="369"/>
      <c r="V7" s="369"/>
      <c r="W7" s="369"/>
      <c r="X7" s="369"/>
      <c r="Y7" s="369"/>
      <c r="Z7" s="370"/>
      <c r="AA7" s="371" t="s">
        <v>137</v>
      </c>
      <c r="AB7" s="369"/>
      <c r="AC7" s="369"/>
      <c r="AD7" s="369"/>
      <c r="AE7" s="369"/>
      <c r="AF7" s="369"/>
      <c r="AG7" s="370"/>
      <c r="AH7" s="371" t="s">
        <v>34</v>
      </c>
      <c r="AI7" s="369"/>
      <c r="AJ7" s="369"/>
      <c r="AK7" s="369"/>
      <c r="AL7" s="369"/>
      <c r="AM7" s="370"/>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c r="A8" s="409" t="s">
        <v>0</v>
      </c>
      <c r="B8" s="421" t="s">
        <v>2</v>
      </c>
      <c r="C8" s="412" t="s">
        <v>3</v>
      </c>
      <c r="D8" s="412" t="s">
        <v>42</v>
      </c>
      <c r="E8" s="411" t="s">
        <v>203</v>
      </c>
      <c r="F8" s="413" t="s">
        <v>1</v>
      </c>
      <c r="G8" s="138"/>
      <c r="H8" s="138"/>
      <c r="I8" s="411" t="s">
        <v>50</v>
      </c>
      <c r="J8" s="412" t="s">
        <v>130</v>
      </c>
      <c r="K8" s="418" t="s">
        <v>33</v>
      </c>
      <c r="L8" s="419" t="s">
        <v>5</v>
      </c>
      <c r="M8" s="411" t="s">
        <v>86</v>
      </c>
      <c r="N8" s="411" t="s">
        <v>91</v>
      </c>
      <c r="O8" s="420" t="s">
        <v>45</v>
      </c>
      <c r="P8" s="419" t="s">
        <v>5</v>
      </c>
      <c r="Q8" s="412" t="s">
        <v>48</v>
      </c>
      <c r="R8" s="415" t="s">
        <v>11</v>
      </c>
      <c r="S8" s="406" t="s">
        <v>152</v>
      </c>
      <c r="T8" s="411" t="s">
        <v>12</v>
      </c>
      <c r="U8" s="406" t="s">
        <v>8</v>
      </c>
      <c r="V8" s="406"/>
      <c r="W8" s="406"/>
      <c r="X8" s="406"/>
      <c r="Y8" s="406"/>
      <c r="Z8" s="406"/>
      <c r="AA8" s="417" t="s">
        <v>133</v>
      </c>
      <c r="AB8" s="417" t="s">
        <v>46</v>
      </c>
      <c r="AC8" s="417" t="s">
        <v>5</v>
      </c>
      <c r="AD8" s="417" t="s">
        <v>47</v>
      </c>
      <c r="AE8" s="417" t="s">
        <v>5</v>
      </c>
      <c r="AF8" s="417" t="s">
        <v>49</v>
      </c>
      <c r="AG8" s="415" t="s">
        <v>29</v>
      </c>
      <c r="AH8" s="406" t="s">
        <v>34</v>
      </c>
      <c r="AI8" s="406" t="s">
        <v>35</v>
      </c>
      <c r="AJ8" s="406" t="s">
        <v>36</v>
      </c>
      <c r="AK8" s="406" t="s">
        <v>38</v>
      </c>
      <c r="AL8" s="406" t="s">
        <v>37</v>
      </c>
      <c r="AM8" s="406" t="s">
        <v>39</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c r="A9" s="410"/>
      <c r="B9" s="421"/>
      <c r="C9" s="406"/>
      <c r="D9" s="406"/>
      <c r="E9" s="418"/>
      <c r="F9" s="414"/>
      <c r="G9" s="138" t="s">
        <v>264</v>
      </c>
      <c r="H9" s="138" t="s">
        <v>204</v>
      </c>
      <c r="I9" s="412"/>
      <c r="J9" s="406"/>
      <c r="K9" s="412"/>
      <c r="L9" s="371"/>
      <c r="M9" s="412"/>
      <c r="N9" s="412"/>
      <c r="O9" s="371"/>
      <c r="P9" s="371"/>
      <c r="Q9" s="406"/>
      <c r="R9" s="416"/>
      <c r="S9" s="406"/>
      <c r="T9" s="412"/>
      <c r="U9" s="7" t="s">
        <v>13</v>
      </c>
      <c r="V9" s="7" t="s">
        <v>17</v>
      </c>
      <c r="W9" s="7" t="s">
        <v>28</v>
      </c>
      <c r="X9" s="7" t="s">
        <v>18</v>
      </c>
      <c r="Y9" s="7" t="s">
        <v>21</v>
      </c>
      <c r="Z9" s="7" t="s">
        <v>24</v>
      </c>
      <c r="AA9" s="417"/>
      <c r="AB9" s="417"/>
      <c r="AC9" s="417"/>
      <c r="AD9" s="417"/>
      <c r="AE9" s="417"/>
      <c r="AF9" s="417"/>
      <c r="AG9" s="416"/>
      <c r="AH9" s="406"/>
      <c r="AI9" s="406"/>
      <c r="AJ9" s="406"/>
      <c r="AK9" s="406"/>
      <c r="AL9" s="406"/>
      <c r="AM9" s="406"/>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409" customHeight="1">
      <c r="A10" s="381">
        <v>1</v>
      </c>
      <c r="B10" s="431" t="s">
        <v>127</v>
      </c>
      <c r="C10" s="431" t="s">
        <v>340</v>
      </c>
      <c r="D10" s="434" t="s">
        <v>341</v>
      </c>
      <c r="E10" s="139" t="s">
        <v>342</v>
      </c>
      <c r="F10" s="599" t="s">
        <v>357</v>
      </c>
      <c r="G10" s="447" t="s">
        <v>344</v>
      </c>
      <c r="H10" s="437" t="s">
        <v>345</v>
      </c>
      <c r="I10" s="422" t="s">
        <v>118</v>
      </c>
      <c r="J10" s="425">
        <f>254*412</f>
        <v>104648</v>
      </c>
      <c r="K10" s="428" t="str">
        <f>IF(J10&lt;=0,"",IF(J10&lt;=2,"Muy Baja",IF(J10&lt;=24,"Baja",IF(J10&lt;=500,"Media",IF(J10&lt;=5000,"Alta","Muy Alta")))))</f>
        <v>Muy Alta</v>
      </c>
      <c r="L10" s="441">
        <f>IF(K10="","",IF(K10="Muy Baja",0.2,IF(K10="Baja",0.4,IF(K10="Media",0.6,IF(K10="Alta",0.8,IF(K10="Muy Alta",1,))))))</f>
        <v>1</v>
      </c>
      <c r="M10" s="444" t="s">
        <v>146</v>
      </c>
      <c r="N10" s="441" t="str">
        <f ca="1">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28" t="str">
        <f ca="1">IF(OR(N10='Tabla Impacto'!$C$11,N10='Tabla Impacto'!$D$11),"Leve",IF(OR(N10='Tabla Impacto'!$C$12,N10='Tabla Impacto'!$D$12),"Menor",IF(OR(N10='Tabla Impacto'!$C$13,N10='Tabla Impacto'!$D$13),"Moderado",IF(OR(N10='Tabla Impacto'!$C$14,N10='Tabla Impacto'!$D$14),"Mayor",IF(OR(N10='Tabla Impacto'!$C$15,N10='Tabla Impacto'!$D$15),"Catastrófico","")))))</f>
        <v>Mayor</v>
      </c>
      <c r="P10" s="441">
        <f ca="1">IF(O10="","",IF(O10="Leve",0.2,IF(O10="Menor",0.4,IF(O10="Moderado",0.6,IF(O10="Mayor",0.8,IF(O10="Catastrófico",1,))))))</f>
        <v>0.8</v>
      </c>
      <c r="Q10" s="438" t="str">
        <f ca="1">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113" t="s">
        <v>358</v>
      </c>
      <c r="T10" s="107" t="str">
        <f>IF(OR(U10="Preventivo",U10="Detectivo"),"Probabilidad",IF(U10="Correctivo","Impacto",""))</f>
        <v>Probabilidad</v>
      </c>
      <c r="U10" s="114" t="s">
        <v>15</v>
      </c>
      <c r="V10" s="114" t="s">
        <v>9</v>
      </c>
      <c r="W10" s="115" t="str">
        <f>IF(AND(U10="Preventivo",V10="Automático"),"50%",IF(AND(U10="Preventivo",V10="Manual"),"40%",IF(AND(U10="Detectivo",V10="Automático"),"40%",IF(AND(U10="Detectivo",V10="Manual"),"30%",IF(AND(U10="Correctivo",V10="Automático"),"35%",IF(AND(U10="Correctivo",V10="Manual"),"25%",""))))))</f>
        <v>30%</v>
      </c>
      <c r="X10" s="114" t="s">
        <v>20</v>
      </c>
      <c r="Y10" s="114" t="s">
        <v>22</v>
      </c>
      <c r="Z10" s="114" t="s">
        <v>114</v>
      </c>
      <c r="AA10" s="108">
        <f>IFERROR(IF(T10="Probabilidad",(L10-(+L10*W10)),IF(T10="Impacto",L10,"")),"")</f>
        <v>0.7</v>
      </c>
      <c r="AB10" s="118" t="str">
        <f>IFERROR(IF(AA10="","",IF(AA10&lt;=0.2,"Muy Baja",IF(AA10&lt;=0.4,"Baja",IF(AA10&lt;=0.6,"Media",IF(AA10&lt;=0.8,"Alta","Muy Alta"))))),"")</f>
        <v>Alta</v>
      </c>
      <c r="AC10" s="119">
        <f>+AA10</f>
        <v>0.7</v>
      </c>
      <c r="AD10" s="118" t="str">
        <f ca="1">IFERROR(IF(AE10="","",IF(AE10&lt;=0.2,"Leve",IF(AE10&lt;=0.4,"Menor",IF(AE10&lt;=0.6,"Moderado",IF(AE10&lt;=0.8,"Mayor","Catastrófico"))))),"")</f>
        <v>Mayor</v>
      </c>
      <c r="AE10" s="119">
        <f ca="1">IFERROR(IF(T10="Impacto",(P10-(+P10*W10)),IF(T10="Probabilidad",P10,"")),"")</f>
        <v>0.8</v>
      </c>
      <c r="AF10" s="120" t="str">
        <f ca="1">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Alto</v>
      </c>
      <c r="AG10" s="121" t="s">
        <v>131</v>
      </c>
      <c r="AH10" s="116" t="s">
        <v>365</v>
      </c>
      <c r="AI10" s="116" t="s">
        <v>348</v>
      </c>
      <c r="AJ10" s="601" t="s">
        <v>349</v>
      </c>
      <c r="AK10" s="214" t="s">
        <v>350</v>
      </c>
      <c r="AL10" s="116" t="s">
        <v>359</v>
      </c>
      <c r="AM10" s="117"/>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255">
      <c r="A11" s="382"/>
      <c r="B11" s="432"/>
      <c r="C11" s="432"/>
      <c r="D11" s="435"/>
      <c r="E11" s="600" t="s">
        <v>360</v>
      </c>
      <c r="F11" s="599"/>
      <c r="G11" s="448"/>
      <c r="H11" s="437"/>
      <c r="I11" s="423"/>
      <c r="J11" s="426"/>
      <c r="K11" s="429"/>
      <c r="L11" s="442"/>
      <c r="M11" s="445"/>
      <c r="N11" s="442">
        <f ca="1">IF(NOT(ISERROR(MATCH(M11,_xlfn.ANCHORARRAY(F22),0))),L24&amp;"Por favor no seleccionar los criterios de impacto",M11)</f>
        <v>0</v>
      </c>
      <c r="O11" s="429"/>
      <c r="P11" s="442"/>
      <c r="Q11" s="439"/>
      <c r="R11" s="105">
        <v>2</v>
      </c>
      <c r="S11" s="106" t="s">
        <v>361</v>
      </c>
      <c r="T11" s="107" t="str">
        <f>IF(OR(U11="Preventivo",U11="Detectivo"),"Probabilidad",IF(U11="Correctivo","Impacto",""))</f>
        <v>Probabilidad</v>
      </c>
      <c r="U11" s="114" t="s">
        <v>14</v>
      </c>
      <c r="V11" s="114" t="s">
        <v>9</v>
      </c>
      <c r="W11" s="115" t="str">
        <f t="shared" ref="W11" si="0">IF(AND(U11="Preventivo",V11="Automático"),"50%",IF(AND(U11="Preventivo",V11="Manual"),"40%",IF(AND(U11="Detectivo",V11="Automático"),"40%",IF(AND(U11="Detectivo",V11="Manual"),"30%",IF(AND(U11="Correctivo",V11="Automático"),"35%",IF(AND(U11="Correctivo",V11="Manual"),"25%",""))))))</f>
        <v>40%</v>
      </c>
      <c r="X11" s="114" t="s">
        <v>20</v>
      </c>
      <c r="Y11" s="114" t="s">
        <v>23</v>
      </c>
      <c r="Z11" s="114" t="s">
        <v>114</v>
      </c>
      <c r="AA11" s="108">
        <f>IFERROR(IF(AND(T10="Probabilidad",T11="Probabilidad"),(AC10-(+AC10*W11)),IF(AND(T10="Impacto",T11="Probabilidad"),(L10-(+L10*W11)),IF(T11="Impacto",AC10,""))),"")</f>
        <v>0.42</v>
      </c>
      <c r="AB11" s="118" t="str">
        <f t="shared" ref="AB11" si="1">IFERROR(IF(AA11="","",IF(AA11&lt;=0.2,"Muy Baja",IF(AA11&lt;=0.4,"Baja",IF(AA11&lt;=0.6,"Media",IF(AA11&lt;=0.8,"Alta","Muy Alta"))))),"")</f>
        <v>Media</v>
      </c>
      <c r="AC11" s="119">
        <f>+AA11</f>
        <v>0.42</v>
      </c>
      <c r="AD11" s="118" t="str">
        <f t="shared" ref="AD11" ca="1" si="2">IFERROR(IF(AE11="","",IF(AE11&lt;=0.2,"Leve",IF(AE11&lt;=0.4,"Menor",IF(AE11&lt;=0.6,"Moderado",IF(AE11&lt;=0.8,"Mayor","Catastrófico"))))),"")</f>
        <v>Mayor</v>
      </c>
      <c r="AE11" s="119">
        <f ca="1">IFERROR(IF(AND(T10="Impacto",T11="Impacto"),(AE10-(+AE10*W11)),IF(AND(T10="Probabilidad",T11="Impacto"),(P10-(+P10*W11)),IF(T11="Probabilidad",AE10,""))),"")</f>
        <v>0.8</v>
      </c>
      <c r="AF11" s="120" t="str">
        <f t="shared" ref="AF11" ca="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121"/>
      <c r="AH11" s="109" t="s">
        <v>362</v>
      </c>
      <c r="AI11" s="109" t="s">
        <v>351</v>
      </c>
      <c r="AJ11" s="601" t="s">
        <v>349</v>
      </c>
      <c r="AK11" s="214" t="s">
        <v>350</v>
      </c>
      <c r="AL11" s="109" t="s">
        <v>363</v>
      </c>
      <c r="AM11" s="110"/>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202" customHeight="1">
      <c r="A12" s="382"/>
      <c r="B12" s="432"/>
      <c r="C12" s="432"/>
      <c r="D12" s="435"/>
      <c r="E12" s="140" t="s">
        <v>343</v>
      </c>
      <c r="F12" s="599"/>
      <c r="G12" s="448"/>
      <c r="H12" s="437"/>
      <c r="I12" s="423"/>
      <c r="J12" s="426"/>
      <c r="K12" s="429"/>
      <c r="L12" s="442"/>
      <c r="M12" s="445"/>
      <c r="N12" s="442">
        <f ca="1">IF(NOT(ISERROR(MATCH(M12,_xlfn.ANCHORARRAY(F23),0))),L25&amp;"Por favor no seleccionar los criterios de impacto",M12)</f>
        <v>0</v>
      </c>
      <c r="O12" s="429"/>
      <c r="P12" s="442"/>
      <c r="Q12" s="439"/>
      <c r="R12" s="105">
        <v>3</v>
      </c>
      <c r="S12" s="112" t="s">
        <v>346</v>
      </c>
      <c r="T12" s="107" t="str">
        <f t="shared" ref="T12:T15" si="4">IF(OR(U12="Preventivo",U12="Detectivo"),"Probabilidad",IF(U12="Correctivo","Impacto",""))</f>
        <v>Probabilidad</v>
      </c>
      <c r="U12" s="114" t="s">
        <v>15</v>
      </c>
      <c r="V12" s="114" t="s">
        <v>9</v>
      </c>
      <c r="W12" s="115" t="str">
        <f t="shared" ref="W12:W15" si="5">IF(AND(U12="Preventivo",V12="Automático"),"50%",IF(AND(U12="Preventivo",V12="Manual"),"40%",IF(AND(U12="Detectivo",V12="Automático"),"40%",IF(AND(U12="Detectivo",V12="Manual"),"30%",IF(AND(U12="Correctivo",V12="Automático"),"35%",IF(AND(U12="Correctivo",V12="Manual"),"25%",""))))))</f>
        <v>30%</v>
      </c>
      <c r="X12" s="114" t="s">
        <v>20</v>
      </c>
      <c r="Y12" s="114" t="s">
        <v>22</v>
      </c>
      <c r="Z12" s="114" t="s">
        <v>114</v>
      </c>
      <c r="AA12" s="108">
        <f>IFERROR(IF(AND(T11="Probabilidad",T12="Probabilidad"),(AC11-(+AC11*W12)),IF(AND(T11="Impacto",T12="Probabilidad"),(AC10-(+AC10*W12)),IF(T12="Impacto",AC11,""))),"")</f>
        <v>0.29399999999999998</v>
      </c>
      <c r="AB12" s="118" t="str">
        <f t="shared" ref="AB12:AB15" si="6">IFERROR(IF(AA12="","",IF(AA12&lt;=0.2,"Muy Baja",IF(AA12&lt;=0.4,"Baja",IF(AA12&lt;=0.6,"Media",IF(AA12&lt;=0.8,"Alta","Muy Alta"))))),"")</f>
        <v>Baja</v>
      </c>
      <c r="AC12" s="119">
        <f t="shared" ref="AC12:AC15" si="7">+AA12</f>
        <v>0.29399999999999998</v>
      </c>
      <c r="AD12" s="118" t="str">
        <f t="shared" ref="AD12:AD15" ca="1" si="8">IFERROR(IF(AE12="","",IF(AE12&lt;=0.2,"Leve",IF(AE12&lt;=0.4,"Menor",IF(AE12&lt;=0.6,"Moderado",IF(AE12&lt;=0.8,"Mayor","Catastrófico"))))),"")</f>
        <v>Mayor</v>
      </c>
      <c r="AE12" s="119">
        <f t="shared" ref="AE12:AE15" ca="1" si="9">IFERROR(IF(AND(T11="Impacto",T12="Impacto"),(AE11-(+AE11*W12)),IF(AND(T11="Probabilidad",T12="Impacto"),(AE10-(+AE10*W12)),IF(T12="Probabilidad",AE11,""))),"")</f>
        <v>0.8</v>
      </c>
      <c r="AF12" s="120" t="str">
        <f t="shared" ref="AF12:AF15" ca="1"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Alto</v>
      </c>
      <c r="AG12" s="121" t="s">
        <v>131</v>
      </c>
      <c r="AH12" s="109" t="s">
        <v>352</v>
      </c>
      <c r="AI12" s="109" t="s">
        <v>353</v>
      </c>
      <c r="AJ12" s="601" t="s">
        <v>349</v>
      </c>
      <c r="AK12" s="214" t="s">
        <v>350</v>
      </c>
      <c r="AL12" s="109" t="s">
        <v>364</v>
      </c>
      <c r="AM12" s="110"/>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76" customHeight="1">
      <c r="A13" s="382"/>
      <c r="B13" s="432"/>
      <c r="C13" s="432"/>
      <c r="D13" s="435"/>
      <c r="E13" s="140" t="s">
        <v>280</v>
      </c>
      <c r="F13" s="599"/>
      <c r="G13" s="448"/>
      <c r="H13" s="437"/>
      <c r="I13" s="423"/>
      <c r="J13" s="426"/>
      <c r="K13" s="429"/>
      <c r="L13" s="442"/>
      <c r="M13" s="445"/>
      <c r="N13" s="442">
        <f ca="1">IF(NOT(ISERROR(MATCH(M13,_xlfn.ANCHORARRAY(F24),0))),L26&amp;"Por favor no seleccionar los criterios de impacto",M13)</f>
        <v>0</v>
      </c>
      <c r="O13" s="429"/>
      <c r="P13" s="442"/>
      <c r="Q13" s="439"/>
      <c r="R13" s="105">
        <v>4</v>
      </c>
      <c r="S13" s="106" t="s">
        <v>347</v>
      </c>
      <c r="T13" s="107" t="str">
        <f t="shared" si="4"/>
        <v>Probabilidad</v>
      </c>
      <c r="U13" s="114" t="s">
        <v>15</v>
      </c>
      <c r="V13" s="114" t="s">
        <v>9</v>
      </c>
      <c r="W13" s="115" t="str">
        <f t="shared" si="5"/>
        <v>30%</v>
      </c>
      <c r="X13" s="114" t="s">
        <v>20</v>
      </c>
      <c r="Y13" s="114" t="s">
        <v>22</v>
      </c>
      <c r="Z13" s="114" t="s">
        <v>114</v>
      </c>
      <c r="AA13" s="108">
        <f t="shared" ref="AA13:AA15" si="11">IFERROR(IF(AND(T12="Probabilidad",T13="Probabilidad"),(AC12-(+AC12*W13)),IF(AND(T12="Impacto",T13="Probabilidad"),(AC11-(+AC11*W13)),IF(T13="Impacto",AC12,""))),"")</f>
        <v>0.20579999999999998</v>
      </c>
      <c r="AB13" s="118" t="str">
        <f t="shared" si="6"/>
        <v>Baja</v>
      </c>
      <c r="AC13" s="119">
        <f t="shared" si="7"/>
        <v>0.20579999999999998</v>
      </c>
      <c r="AD13" s="118" t="str">
        <f t="shared" ca="1" si="8"/>
        <v>Mayor</v>
      </c>
      <c r="AE13" s="119">
        <f t="shared" ca="1" si="9"/>
        <v>0.8</v>
      </c>
      <c r="AF13" s="120" t="str">
        <f t="shared" ca="1" si="10"/>
        <v>Alto</v>
      </c>
      <c r="AG13" s="121" t="s">
        <v>131</v>
      </c>
      <c r="AH13" s="215" t="s">
        <v>354</v>
      </c>
      <c r="AI13" s="110" t="s">
        <v>353</v>
      </c>
      <c r="AJ13" s="601" t="s">
        <v>349</v>
      </c>
      <c r="AK13" s="214" t="s">
        <v>350</v>
      </c>
      <c r="AL13" s="109" t="s">
        <v>366</v>
      </c>
      <c r="AM13" s="110"/>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48.75" customHeight="1">
      <c r="A14" s="382"/>
      <c r="B14" s="432"/>
      <c r="C14" s="432"/>
      <c r="D14" s="435"/>
      <c r="E14" s="140"/>
      <c r="F14" s="599"/>
      <c r="G14" s="448"/>
      <c r="H14" s="437"/>
      <c r="I14" s="423"/>
      <c r="J14" s="426"/>
      <c r="K14" s="429"/>
      <c r="L14" s="442"/>
      <c r="M14" s="445"/>
      <c r="N14" s="442">
        <f ca="1">IF(NOT(ISERROR(MATCH(M14,_xlfn.ANCHORARRAY(F25),0))),L27&amp;"Por favor no seleccionar los criterios de impacto",M14)</f>
        <v>0</v>
      </c>
      <c r="O14" s="429"/>
      <c r="P14" s="442"/>
      <c r="Q14" s="439"/>
      <c r="R14" s="105">
        <v>5</v>
      </c>
      <c r="S14" s="106"/>
      <c r="T14" s="107" t="str">
        <f t="shared" si="4"/>
        <v/>
      </c>
      <c r="U14" s="114"/>
      <c r="V14" s="114"/>
      <c r="W14" s="115" t="str">
        <f t="shared" si="5"/>
        <v/>
      </c>
      <c r="X14" s="114"/>
      <c r="Y14" s="114"/>
      <c r="Z14" s="114"/>
      <c r="AA14" s="108" t="str">
        <f t="shared" si="11"/>
        <v/>
      </c>
      <c r="AB14" s="118" t="str">
        <f t="shared" si="6"/>
        <v/>
      </c>
      <c r="AC14" s="119" t="str">
        <f t="shared" si="7"/>
        <v/>
      </c>
      <c r="AD14" s="118" t="str">
        <f t="shared" si="8"/>
        <v/>
      </c>
      <c r="AE14" s="119" t="str">
        <f t="shared" si="9"/>
        <v/>
      </c>
      <c r="AF14" s="120" t="str">
        <f t="shared" si="10"/>
        <v/>
      </c>
      <c r="AG14" s="121"/>
      <c r="AH14" s="109"/>
      <c r="AI14" s="110"/>
      <c r="AJ14" s="111"/>
      <c r="AK14" s="111"/>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42.75" customHeight="1">
      <c r="A15" s="383"/>
      <c r="B15" s="433"/>
      <c r="C15" s="433"/>
      <c r="D15" s="436"/>
      <c r="E15" s="140"/>
      <c r="F15" s="599"/>
      <c r="G15" s="449"/>
      <c r="H15" s="437"/>
      <c r="I15" s="424"/>
      <c r="J15" s="427"/>
      <c r="K15" s="430"/>
      <c r="L15" s="443"/>
      <c r="M15" s="446"/>
      <c r="N15" s="443">
        <f ca="1">IF(NOT(ISERROR(MATCH(M15,_xlfn.ANCHORARRAY(F26),0))),L28&amp;"Por favor no seleccionar los criterios de impacto",M15)</f>
        <v>0</v>
      </c>
      <c r="O15" s="430"/>
      <c r="P15" s="443"/>
      <c r="Q15" s="440"/>
      <c r="R15" s="105">
        <v>6</v>
      </c>
      <c r="S15" s="106"/>
      <c r="T15" s="107" t="str">
        <f t="shared" si="4"/>
        <v/>
      </c>
      <c r="U15" s="114"/>
      <c r="V15" s="114"/>
      <c r="W15" s="115" t="str">
        <f t="shared" si="5"/>
        <v/>
      </c>
      <c r="X15" s="114"/>
      <c r="Y15" s="114"/>
      <c r="Z15" s="114"/>
      <c r="AA15" s="108" t="str">
        <f t="shared" si="11"/>
        <v/>
      </c>
      <c r="AB15" s="118" t="str">
        <f t="shared" si="6"/>
        <v/>
      </c>
      <c r="AC15" s="119" t="str">
        <f t="shared" si="7"/>
        <v/>
      </c>
      <c r="AD15" s="118" t="str">
        <f t="shared" si="8"/>
        <v/>
      </c>
      <c r="AE15" s="119" t="str">
        <f t="shared" si="9"/>
        <v/>
      </c>
      <c r="AF15" s="120" t="str">
        <f t="shared" si="10"/>
        <v/>
      </c>
      <c r="AG15" s="121"/>
      <c r="AH15" s="109"/>
      <c r="AI15" s="110"/>
      <c r="AJ15" s="111"/>
      <c r="AK15" s="111"/>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71.25" customHeight="1">
      <c r="A16" s="381">
        <v>2</v>
      </c>
      <c r="B16" s="384"/>
      <c r="C16" s="384"/>
      <c r="D16" s="399"/>
      <c r="E16" s="141"/>
      <c r="F16" s="402"/>
      <c r="G16" s="447"/>
      <c r="H16" s="142"/>
      <c r="I16" s="403"/>
      <c r="J16" s="390"/>
      <c r="K16" s="393" t="str">
        <f>IF(J16&lt;=0,"",IF(J16&lt;=2,"Muy Baja",IF(J16&lt;=24,"Baja",IF(J16&lt;=500,"Media",IF(J16&lt;=5000,"Alta","Muy Alta")))))</f>
        <v/>
      </c>
      <c r="L16" s="375" t="str">
        <f>IF(K16="","",IF(K16="Muy Baja",0.2,IF(K16="Baja",0.4,IF(K16="Media",0.6,IF(K16="Alta",0.8,IF(K16="Muy Alta",1,))))))</f>
        <v/>
      </c>
      <c r="M16" s="396"/>
      <c r="N16" s="375">
        <f ca="1">IF(NOT(ISERROR(MATCH(M16,'Tabla Impacto'!$B$221:$B$223,0))),'Tabla Impacto'!$F$223&amp;"Por favor no seleccionar los criterios de impacto(Afectación Económica o presupuestal y Pérdida Reputacional)",M16)</f>
        <v>0</v>
      </c>
      <c r="O16" s="393" t="str">
        <f ca="1">IF(OR(N16='Tabla Impacto'!$C$11,N16='Tabla Impacto'!$D$11),"Leve",IF(OR(N16='Tabla Impacto'!$C$12,N16='Tabla Impacto'!$D$12),"Menor",IF(OR(N16='Tabla Impacto'!$C$13,N16='Tabla Impacto'!$D$13),"Moderado",IF(OR(N16='Tabla Impacto'!$C$14,N16='Tabla Impacto'!$D$14),"Mayor",IF(OR(N16='Tabla Impacto'!$C$15,N16='Tabla Impacto'!$D$15),"Catastrófico","")))))</f>
        <v/>
      </c>
      <c r="P16" s="375" t="str">
        <f ca="1">IF(O16="","",IF(O16="Leve",0.2,IF(O16="Menor",0.4,IF(O16="Moderado",0.6,IF(O16="Mayor",0.8,IF(O16="Catastrófico",1,))))))</f>
        <v/>
      </c>
      <c r="Q16" s="378" t="str">
        <f ca="1">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
      </c>
      <c r="R16" s="105">
        <v>1</v>
      </c>
      <c r="S16" s="106"/>
      <c r="T16" s="107" t="str">
        <f>IF(OR(U16="Preventivo",U16="Detectivo"),"Probabilidad",IF(U16="Correctivo","Impacto",""))</f>
        <v/>
      </c>
      <c r="U16" s="114"/>
      <c r="V16" s="114"/>
      <c r="W16" s="115" t="str">
        <f>IF(AND(U16="Preventivo",V16="Automático"),"50%",IF(AND(U16="Preventivo",V16="Manual"),"40%",IF(AND(U16="Detectivo",V16="Automático"),"40%",IF(AND(U16="Detectivo",V16="Manual"),"30%",IF(AND(U16="Correctivo",V16="Automático"),"35%",IF(AND(U16="Correctivo",V16="Manual"),"25%",""))))))</f>
        <v/>
      </c>
      <c r="X16" s="114"/>
      <c r="Y16" s="114"/>
      <c r="Z16" s="114"/>
      <c r="AA16" s="108" t="str">
        <f>IFERROR(IF(T16="Probabilidad",(L16-(+L16*W16)),IF(T16="Impacto",L16,"")),"")</f>
        <v/>
      </c>
      <c r="AB16" s="118" t="str">
        <f>IFERROR(IF(AA16="","",IF(AA16&lt;=0.2,"Muy Baja",IF(AA16&lt;=0.4,"Baja",IF(AA16&lt;=0.6,"Media",IF(AA16&lt;=0.8,"Alta","Muy Alta"))))),"")</f>
        <v/>
      </c>
      <c r="AC16" s="119" t="str">
        <f>+AA16</f>
        <v/>
      </c>
      <c r="AD16" s="118" t="str">
        <f>IFERROR(IF(AE16="","",IF(AE16&lt;=0.2,"Leve",IF(AE16&lt;=0.4,"Menor",IF(AE16&lt;=0.6,"Moderado",IF(AE16&lt;=0.8,"Mayor","Catastrófico"))))),"")</f>
        <v/>
      </c>
      <c r="AE16" s="119" t="str">
        <f>IFERROR(IF(T16="Impacto",(P16-(+P16*W16)),IF(T16="Probabilidad",P16,"")),"")</f>
        <v/>
      </c>
      <c r="AF16" s="120"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21"/>
      <c r="AH16" s="109"/>
      <c r="AI16" s="110"/>
      <c r="AJ16" s="111"/>
      <c r="AK16" s="111"/>
      <c r="AL16" s="109"/>
      <c r="AM16" s="110"/>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30" customHeight="1">
      <c r="A17" s="382"/>
      <c r="B17" s="385"/>
      <c r="C17" s="385"/>
      <c r="D17" s="400"/>
      <c r="E17" s="141"/>
      <c r="F17" s="402"/>
      <c r="G17" s="448"/>
      <c r="H17" s="142"/>
      <c r="I17" s="404"/>
      <c r="J17" s="391"/>
      <c r="K17" s="394"/>
      <c r="L17" s="376"/>
      <c r="M17" s="397"/>
      <c r="N17" s="376">
        <f ca="1">IF(NOT(ISERROR(MATCH(M17,_xlfn.ANCHORARRAY(F28),0))),L30&amp;"Por favor no seleccionar los criterios de impacto",M17)</f>
        <v>0</v>
      </c>
      <c r="O17" s="394"/>
      <c r="P17" s="376"/>
      <c r="Q17" s="379"/>
      <c r="R17" s="105">
        <v>2</v>
      </c>
      <c r="S17" s="106"/>
      <c r="T17" s="107" t="str">
        <f>IF(OR(U17="Preventivo",U17="Detectivo"),"Probabilidad",IF(U17="Correctivo","Impacto",""))</f>
        <v/>
      </c>
      <c r="U17" s="114"/>
      <c r="V17" s="114"/>
      <c r="W17" s="115" t="str">
        <f t="shared" ref="W17:W21" si="12">IF(AND(U17="Preventivo",V17="Automático"),"50%",IF(AND(U17="Preventivo",V17="Manual"),"40%",IF(AND(U17="Detectivo",V17="Automático"),"40%",IF(AND(U17="Detectivo",V17="Manual"),"30%",IF(AND(U17="Correctivo",V17="Automático"),"35%",IF(AND(U17="Correctivo",V17="Manual"),"25%",""))))))</f>
        <v/>
      </c>
      <c r="X17" s="114"/>
      <c r="Y17" s="114"/>
      <c r="Z17" s="114"/>
      <c r="AA17" s="108" t="str">
        <f>IFERROR(IF(AND(T16="Probabilidad",T17="Probabilidad"),(AC16-(+AC16*W17)),IF(AND(T16="Impacto",T17="Probabilidad"),(L16-(+L16*W17)),IF(T17="Impacto",AC16,""))),"")</f>
        <v/>
      </c>
      <c r="AB17" s="118" t="str">
        <f t="shared" ref="AB17:AB21" si="13">IFERROR(IF(AA17="","",IF(AA17&lt;=0.2,"Muy Baja",IF(AA17&lt;=0.4,"Baja",IF(AA17&lt;=0.6,"Media",IF(AA17&lt;=0.8,"Alta","Muy Alta"))))),"")</f>
        <v/>
      </c>
      <c r="AC17" s="119" t="str">
        <f>+AA17</f>
        <v/>
      </c>
      <c r="AD17" s="118" t="str">
        <f t="shared" ref="AD17:AD21" si="14">IFERROR(IF(AE17="","",IF(AE17&lt;=0.2,"Leve",IF(AE17&lt;=0.4,"Menor",IF(AE17&lt;=0.6,"Moderado",IF(AE17&lt;=0.8,"Mayor","Catastrófico"))))),"")</f>
        <v/>
      </c>
      <c r="AE17" s="119" t="str">
        <f>IFERROR(IF(AND(T16="Impacto",T17="Impacto"),(AE16-(+AE16*W17)),IF(AND(T16="Probabilidad",T17="Impacto"),(P16-(+P16*W17)),IF(T17="Probabilidad",AE16,""))),"")</f>
        <v/>
      </c>
      <c r="AF17" s="120" t="str">
        <f t="shared" ref="AF17:AF21" si="15">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121"/>
      <c r="AH17" s="109"/>
      <c r="AI17" s="110"/>
      <c r="AJ17" s="111"/>
      <c r="AK17" s="111"/>
      <c r="AL17" s="109"/>
      <c r="AM17" s="110"/>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25.5" customHeight="1">
      <c r="A18" s="382"/>
      <c r="B18" s="385"/>
      <c r="C18" s="385"/>
      <c r="D18" s="400"/>
      <c r="E18" s="141"/>
      <c r="F18" s="402"/>
      <c r="G18" s="448"/>
      <c r="H18" s="142"/>
      <c r="I18" s="404"/>
      <c r="J18" s="391"/>
      <c r="K18" s="394"/>
      <c r="L18" s="376"/>
      <c r="M18" s="397"/>
      <c r="N18" s="376">
        <f ca="1">IF(NOT(ISERROR(MATCH(M18,_xlfn.ANCHORARRAY(F29),0))),L31&amp;"Por favor no seleccionar los criterios de impacto",M18)</f>
        <v>0</v>
      </c>
      <c r="O18" s="394"/>
      <c r="P18" s="376"/>
      <c r="Q18" s="379"/>
      <c r="R18" s="105">
        <v>3</v>
      </c>
      <c r="S18" s="112"/>
      <c r="T18" s="107" t="str">
        <f t="shared" ref="T18:T21" si="16">IF(OR(U18="Preventivo",U18="Detectivo"),"Probabilidad",IF(U18="Correctivo","Impacto",""))</f>
        <v/>
      </c>
      <c r="U18" s="114"/>
      <c r="V18" s="114"/>
      <c r="W18" s="115" t="str">
        <f t="shared" si="12"/>
        <v/>
      </c>
      <c r="X18" s="114"/>
      <c r="Y18" s="114"/>
      <c r="Z18" s="114"/>
      <c r="AA18" s="108" t="str">
        <f>IFERROR(IF(AND(T17="Probabilidad",T18="Probabilidad"),(AC17-(+AC17*W18)),IF(AND(T17="Impacto",T18="Probabilidad"),(AC16-(+AC16*W18)),IF(T18="Impacto",AC17,""))),"")</f>
        <v/>
      </c>
      <c r="AB18" s="118" t="str">
        <f t="shared" si="13"/>
        <v/>
      </c>
      <c r="AC18" s="119" t="str">
        <f t="shared" ref="AC18:AC21" si="17">+AA18</f>
        <v/>
      </c>
      <c r="AD18" s="118" t="str">
        <f t="shared" si="14"/>
        <v/>
      </c>
      <c r="AE18" s="119" t="str">
        <f t="shared" ref="AE18:AE21" si="18">IFERROR(IF(AND(T17="Impacto",T18="Impacto"),(AE17-(+AE17*W18)),IF(AND(T17="Probabilidad",T18="Impacto"),(AE16-(+AE16*W18)),IF(T18="Probabilidad",AE17,""))),"")</f>
        <v/>
      </c>
      <c r="AF18" s="120" t="str">
        <f t="shared" si="15"/>
        <v/>
      </c>
      <c r="AG18" s="121"/>
      <c r="AH18" s="109"/>
      <c r="AI18" s="110"/>
      <c r="AJ18" s="111"/>
      <c r="AK18" s="111"/>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5.5" customHeight="1">
      <c r="A19" s="382"/>
      <c r="B19" s="385"/>
      <c r="C19" s="385"/>
      <c r="D19" s="400"/>
      <c r="E19" s="141"/>
      <c r="F19" s="402"/>
      <c r="G19" s="448"/>
      <c r="H19" s="142"/>
      <c r="I19" s="404"/>
      <c r="J19" s="391"/>
      <c r="K19" s="394"/>
      <c r="L19" s="376"/>
      <c r="M19" s="397"/>
      <c r="N19" s="376">
        <f ca="1">IF(NOT(ISERROR(MATCH(M19,_xlfn.ANCHORARRAY(F30),0))),L32&amp;"Por favor no seleccionar los criterios de impacto",M19)</f>
        <v>0</v>
      </c>
      <c r="O19" s="394"/>
      <c r="P19" s="376"/>
      <c r="Q19" s="379"/>
      <c r="R19" s="105">
        <v>4</v>
      </c>
      <c r="S19" s="106"/>
      <c r="T19" s="107" t="str">
        <f t="shared" si="16"/>
        <v/>
      </c>
      <c r="U19" s="114"/>
      <c r="V19" s="114"/>
      <c r="W19" s="115" t="str">
        <f t="shared" si="12"/>
        <v/>
      </c>
      <c r="X19" s="114"/>
      <c r="Y19" s="114"/>
      <c r="Z19" s="114"/>
      <c r="AA19" s="108" t="str">
        <f t="shared" ref="AA19:AA21" si="19">IFERROR(IF(AND(T18="Probabilidad",T19="Probabilidad"),(AC18-(+AC18*W19)),IF(AND(T18="Impacto",T19="Probabilidad"),(AC17-(+AC17*W19)),IF(T19="Impacto",AC18,""))),"")</f>
        <v/>
      </c>
      <c r="AB19" s="118" t="str">
        <f t="shared" si="13"/>
        <v/>
      </c>
      <c r="AC19" s="119" t="str">
        <f t="shared" si="17"/>
        <v/>
      </c>
      <c r="AD19" s="118" t="str">
        <f t="shared" si="14"/>
        <v/>
      </c>
      <c r="AE19" s="119" t="str">
        <f t="shared" si="18"/>
        <v/>
      </c>
      <c r="AF19" s="120" t="str">
        <f t="shared" si="15"/>
        <v/>
      </c>
      <c r="AG19" s="121"/>
      <c r="AH19" s="109"/>
      <c r="AI19" s="110"/>
      <c r="AJ19" s="111"/>
      <c r="AK19" s="111"/>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4" customHeight="1">
      <c r="A20" s="382"/>
      <c r="B20" s="385"/>
      <c r="C20" s="385"/>
      <c r="D20" s="400"/>
      <c r="E20" s="141"/>
      <c r="F20" s="402"/>
      <c r="G20" s="448"/>
      <c r="H20" s="142"/>
      <c r="I20" s="404"/>
      <c r="J20" s="391"/>
      <c r="K20" s="394"/>
      <c r="L20" s="376"/>
      <c r="M20" s="397"/>
      <c r="N20" s="376">
        <f ca="1">IF(NOT(ISERROR(MATCH(M20,_xlfn.ANCHORARRAY(F31),0))),L33&amp;"Por favor no seleccionar los criterios de impacto",M20)</f>
        <v>0</v>
      </c>
      <c r="O20" s="394"/>
      <c r="P20" s="376"/>
      <c r="Q20" s="379"/>
      <c r="R20" s="105">
        <v>5</v>
      </c>
      <c r="S20" s="106"/>
      <c r="T20" s="107" t="str">
        <f t="shared" si="16"/>
        <v/>
      </c>
      <c r="U20" s="114"/>
      <c r="V20" s="114"/>
      <c r="W20" s="115" t="str">
        <f t="shared" si="12"/>
        <v/>
      </c>
      <c r="X20" s="114"/>
      <c r="Y20" s="114"/>
      <c r="Z20" s="114"/>
      <c r="AA20" s="108" t="str">
        <f t="shared" si="19"/>
        <v/>
      </c>
      <c r="AB20" s="118" t="str">
        <f t="shared" si="13"/>
        <v/>
      </c>
      <c r="AC20" s="119" t="str">
        <f t="shared" si="17"/>
        <v/>
      </c>
      <c r="AD20" s="118" t="str">
        <f t="shared" si="14"/>
        <v/>
      </c>
      <c r="AE20" s="119" t="str">
        <f t="shared" si="18"/>
        <v/>
      </c>
      <c r="AF20" s="120" t="str">
        <f t="shared" si="15"/>
        <v/>
      </c>
      <c r="AG20" s="121"/>
      <c r="AH20" s="109"/>
      <c r="AI20" s="110"/>
      <c r="AJ20" s="111"/>
      <c r="AK20" s="111"/>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5.5" customHeight="1">
      <c r="A21" s="383"/>
      <c r="B21" s="386"/>
      <c r="C21" s="386"/>
      <c r="D21" s="401"/>
      <c r="E21" s="141"/>
      <c r="F21" s="402"/>
      <c r="G21" s="449"/>
      <c r="H21" s="142"/>
      <c r="I21" s="405"/>
      <c r="J21" s="392"/>
      <c r="K21" s="395"/>
      <c r="L21" s="377"/>
      <c r="M21" s="398"/>
      <c r="N21" s="377">
        <f ca="1">IF(NOT(ISERROR(MATCH(M21,_xlfn.ANCHORARRAY(F32),0))),L34&amp;"Por favor no seleccionar los criterios de impacto",M21)</f>
        <v>0</v>
      </c>
      <c r="O21" s="395"/>
      <c r="P21" s="377"/>
      <c r="Q21" s="380"/>
      <c r="R21" s="105">
        <v>6</v>
      </c>
      <c r="S21" s="106"/>
      <c r="T21" s="107" t="str">
        <f t="shared" si="16"/>
        <v/>
      </c>
      <c r="U21" s="114"/>
      <c r="V21" s="114"/>
      <c r="W21" s="115" t="str">
        <f t="shared" si="12"/>
        <v/>
      </c>
      <c r="X21" s="114"/>
      <c r="Y21" s="114"/>
      <c r="Z21" s="114"/>
      <c r="AA21" s="108" t="str">
        <f t="shared" si="19"/>
        <v/>
      </c>
      <c r="AB21" s="118" t="str">
        <f t="shared" si="13"/>
        <v/>
      </c>
      <c r="AC21" s="119" t="str">
        <f t="shared" si="17"/>
        <v/>
      </c>
      <c r="AD21" s="118" t="str">
        <f t="shared" si="14"/>
        <v/>
      </c>
      <c r="AE21" s="119" t="str">
        <f t="shared" si="18"/>
        <v/>
      </c>
      <c r="AF21" s="120" t="str">
        <f t="shared" si="15"/>
        <v/>
      </c>
      <c r="AG21" s="121"/>
      <c r="AH21" s="109"/>
      <c r="AI21" s="110"/>
      <c r="AJ21" s="111"/>
      <c r="AK21" s="111"/>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30.75" customHeight="1">
      <c r="A22" s="381">
        <v>3</v>
      </c>
      <c r="B22" s="384"/>
      <c r="C22" s="384"/>
      <c r="D22" s="399"/>
      <c r="E22" s="141"/>
      <c r="F22" s="402"/>
      <c r="G22" s="447"/>
      <c r="H22" s="142"/>
      <c r="I22" s="403"/>
      <c r="J22" s="390"/>
      <c r="K22" s="393" t="str">
        <f t="shared" ref="K22" si="20">IF(J22&lt;=0,"",IF(J22&lt;=2,"Muy Baja",IF(J22&lt;=24,"Baja",IF(J22&lt;=500,"Media",IF(J22&lt;=5000,"Alta","Muy Alta")))))</f>
        <v/>
      </c>
      <c r="L22" s="375" t="str">
        <f t="shared" ref="L22" si="21">IF(K22="","",IF(K22="Muy Baja",0.2,IF(K22="Baja",0.4,IF(K22="Media",0.6,IF(K22="Alta",0.8,IF(K22="Muy Alta",1,))))))</f>
        <v/>
      </c>
      <c r="M22" s="396"/>
      <c r="N22" s="375">
        <f ca="1">IF(NOT(ISERROR(MATCH(M22,'Tabla Impacto'!$B$221:$B$223,0))),'Tabla Impacto'!$F$223&amp;"Por favor no seleccionar los criterios de impacto(Afectación Económica o presupuestal y Pérdida Reputacional)",M22)</f>
        <v>0</v>
      </c>
      <c r="O22" s="393" t="str">
        <f ca="1">IF(OR(N22='Tabla Impacto'!$C$11,N22='Tabla Impacto'!$D$11),"Leve",IF(OR(N22='Tabla Impacto'!$C$12,N22='Tabla Impacto'!$D$12),"Menor",IF(OR(N22='Tabla Impacto'!$C$13,N22='Tabla Impacto'!$D$13),"Moderado",IF(OR(N22='Tabla Impacto'!$C$14,N22='Tabla Impacto'!$D$14),"Mayor",IF(OR(N22='Tabla Impacto'!$C$15,N22='Tabla Impacto'!$D$15),"Catastrófico","")))))</f>
        <v/>
      </c>
      <c r="P22" s="375" t="str">
        <f t="shared" ref="P22" ca="1" si="22">IF(O22="","",IF(O22="Leve",0.2,IF(O22="Menor",0.4,IF(O22="Moderado",0.6,IF(O22="Mayor",0.8,IF(O22="Catastrófico",1,))))))</f>
        <v/>
      </c>
      <c r="Q22" s="378" t="str">
        <f t="shared" ref="Q22" ca="1" si="23">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105">
        <v>1</v>
      </c>
      <c r="S22" s="106"/>
      <c r="T22" s="107" t="str">
        <f>IF(OR(U22="Preventivo",U22="Detectivo"),"Probabilidad",IF(U22="Correctivo","Impacto",""))</f>
        <v/>
      </c>
      <c r="U22" s="114"/>
      <c r="V22" s="114"/>
      <c r="W22" s="115" t="str">
        <f>IF(AND(U22="Preventivo",V22="Automático"),"50%",IF(AND(U22="Preventivo",V22="Manual"),"40%",IF(AND(U22="Detectivo",V22="Automático"),"40%",IF(AND(U22="Detectivo",V22="Manual"),"30%",IF(AND(U22="Correctivo",V22="Automático"),"35%",IF(AND(U22="Correctivo",V22="Manual"),"25%",""))))))</f>
        <v/>
      </c>
      <c r="X22" s="114"/>
      <c r="Y22" s="114"/>
      <c r="Z22" s="114"/>
      <c r="AA22" s="108" t="str">
        <f>IFERROR(IF(T22="Probabilidad",(L22-(+L22*W22)),IF(T22="Impacto",L22,"")),"")</f>
        <v/>
      </c>
      <c r="AB22" s="118" t="str">
        <f>IFERROR(IF(AA22="","",IF(AA22&lt;=0.2,"Muy Baja",IF(AA22&lt;=0.4,"Baja",IF(AA22&lt;=0.6,"Media",IF(AA22&lt;=0.8,"Alta","Muy Alta"))))),"")</f>
        <v/>
      </c>
      <c r="AC22" s="119" t="str">
        <f>+AA22</f>
        <v/>
      </c>
      <c r="AD22" s="118" t="str">
        <f>IFERROR(IF(AE22="","",IF(AE22&lt;=0.2,"Leve",IF(AE22&lt;=0.4,"Menor",IF(AE22&lt;=0.6,"Moderado",IF(AE22&lt;=0.8,"Mayor","Catastrófico"))))),"")</f>
        <v/>
      </c>
      <c r="AE22" s="119" t="str">
        <f>IFERROR(IF(T22="Impacto",(P22-(+P22*W22)),IF(T22="Probabilidad",P22,"")),"")</f>
        <v/>
      </c>
      <c r="AF22" s="120"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21"/>
      <c r="AH22" s="109"/>
      <c r="AI22" s="110"/>
      <c r="AJ22" s="111"/>
      <c r="AK22" s="111"/>
      <c r="AL22" s="109"/>
      <c r="AM22" s="110"/>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c r="A23" s="382"/>
      <c r="B23" s="385"/>
      <c r="C23" s="385"/>
      <c r="D23" s="400"/>
      <c r="E23" s="141"/>
      <c r="F23" s="402"/>
      <c r="G23" s="448"/>
      <c r="H23" s="142"/>
      <c r="I23" s="404"/>
      <c r="J23" s="391"/>
      <c r="K23" s="394"/>
      <c r="L23" s="376"/>
      <c r="M23" s="397"/>
      <c r="N23" s="376">
        <f ca="1">IF(NOT(ISERROR(MATCH(M23,_xlfn.ANCHORARRAY(F34),0))),L36&amp;"Por favor no seleccionar los criterios de impacto",M23)</f>
        <v>0</v>
      </c>
      <c r="O23" s="394"/>
      <c r="P23" s="376"/>
      <c r="Q23" s="379"/>
      <c r="R23" s="105">
        <v>2</v>
      </c>
      <c r="S23" s="106"/>
      <c r="T23" s="107" t="str">
        <f>IF(OR(U23="Preventivo",U23="Detectivo"),"Probabilidad",IF(U23="Correctivo","Impacto",""))</f>
        <v/>
      </c>
      <c r="U23" s="114"/>
      <c r="V23" s="114"/>
      <c r="W23" s="115" t="str">
        <f t="shared" ref="W23:W27" si="24">IF(AND(U23="Preventivo",V23="Automático"),"50%",IF(AND(U23="Preventivo",V23="Manual"),"40%",IF(AND(U23="Detectivo",V23="Automático"),"40%",IF(AND(U23="Detectivo",V23="Manual"),"30%",IF(AND(U23="Correctivo",V23="Automático"),"35%",IF(AND(U23="Correctivo",V23="Manual"),"25%",""))))))</f>
        <v/>
      </c>
      <c r="X23" s="114"/>
      <c r="Y23" s="114"/>
      <c r="Z23" s="114"/>
      <c r="AA23" s="108" t="str">
        <f>IFERROR(IF(AND(T22="Probabilidad",T23="Probabilidad"),(AC22-(+AC22*W23)),IF(AND(T22="Impacto",T23="Probabilidad"),(L22-(+L22*W23)),IF(T23="Impacto",AC22,""))),"")</f>
        <v/>
      </c>
      <c r="AB23" s="118" t="str">
        <f t="shared" ref="AB23:AB27" si="25">IFERROR(IF(AA23="","",IF(AA23&lt;=0.2,"Muy Baja",IF(AA23&lt;=0.4,"Baja",IF(AA23&lt;=0.6,"Media",IF(AA23&lt;=0.8,"Alta","Muy Alta"))))),"")</f>
        <v/>
      </c>
      <c r="AC23" s="119" t="str">
        <f>+AA23</f>
        <v/>
      </c>
      <c r="AD23" s="118" t="str">
        <f t="shared" ref="AD23:AD27" si="26">IFERROR(IF(AE23="","",IF(AE23&lt;=0.2,"Leve",IF(AE23&lt;=0.4,"Menor",IF(AE23&lt;=0.6,"Moderado",IF(AE23&lt;=0.8,"Mayor","Catastrófico"))))),"")</f>
        <v/>
      </c>
      <c r="AE23" s="119" t="str">
        <f>IFERROR(IF(AND(T22="Impacto",T23="Impacto"),(AE22-(+AE22*W23)),IF(AND(T22="Probabilidad",T23="Impacto"),(P22-(+P22*W23)),IF(T23="Probabilidad",AE22,""))),"")</f>
        <v/>
      </c>
      <c r="AF23" s="120" t="str">
        <f t="shared" ref="AF23:AF27" si="27">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21"/>
      <c r="AH23" s="109"/>
      <c r="AI23" s="110"/>
      <c r="AJ23" s="111"/>
      <c r="AK23" s="111"/>
      <c r="AL23" s="109"/>
      <c r="AM23" s="110"/>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c r="A24" s="382"/>
      <c r="B24" s="385"/>
      <c r="C24" s="385"/>
      <c r="D24" s="400"/>
      <c r="E24" s="141"/>
      <c r="F24" s="402"/>
      <c r="G24" s="448"/>
      <c r="H24" s="142"/>
      <c r="I24" s="404"/>
      <c r="J24" s="391"/>
      <c r="K24" s="394"/>
      <c r="L24" s="376"/>
      <c r="M24" s="397"/>
      <c r="N24" s="376">
        <f ca="1">IF(NOT(ISERROR(MATCH(M24,_xlfn.ANCHORARRAY(F35),0))),L37&amp;"Por favor no seleccionar los criterios de impacto",M24)</f>
        <v>0</v>
      </c>
      <c r="O24" s="394"/>
      <c r="P24" s="376"/>
      <c r="Q24" s="379"/>
      <c r="R24" s="105">
        <v>3</v>
      </c>
      <c r="S24" s="112"/>
      <c r="T24" s="107" t="str">
        <f t="shared" ref="T24:T27" si="28">IF(OR(U24="Preventivo",U24="Detectivo"),"Probabilidad",IF(U24="Correctivo","Impacto",""))</f>
        <v/>
      </c>
      <c r="U24" s="114"/>
      <c r="V24" s="114"/>
      <c r="W24" s="115" t="str">
        <f t="shared" si="24"/>
        <v/>
      </c>
      <c r="X24" s="114"/>
      <c r="Y24" s="114"/>
      <c r="Z24" s="114"/>
      <c r="AA24" s="108" t="str">
        <f>IFERROR(IF(AND(T23="Probabilidad",T24="Probabilidad"),(AC23-(+AC23*W24)),IF(AND(T23="Impacto",T24="Probabilidad"),(AC22-(+AC22*W24)),IF(T24="Impacto",AC23,""))),"")</f>
        <v/>
      </c>
      <c r="AB24" s="118" t="str">
        <f t="shared" si="25"/>
        <v/>
      </c>
      <c r="AC24" s="119" t="str">
        <f t="shared" ref="AC24:AC27" si="29">+AA24</f>
        <v/>
      </c>
      <c r="AD24" s="118" t="str">
        <f t="shared" si="26"/>
        <v/>
      </c>
      <c r="AE24" s="119" t="str">
        <f t="shared" ref="AE24:AE27" si="30">IFERROR(IF(AND(T23="Impacto",T24="Impacto"),(AE23-(+AE23*W24)),IF(AND(T23="Probabilidad",T24="Impacto"),(AE22-(+AE22*W24)),IF(T24="Probabilidad",AE23,""))),"")</f>
        <v/>
      </c>
      <c r="AF24" s="120" t="str">
        <f t="shared" si="27"/>
        <v/>
      </c>
      <c r="AG24" s="121"/>
      <c r="AH24" s="109"/>
      <c r="AI24" s="110"/>
      <c r="AJ24" s="111"/>
      <c r="AK24" s="111"/>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c r="A25" s="382"/>
      <c r="B25" s="385"/>
      <c r="C25" s="385"/>
      <c r="D25" s="400"/>
      <c r="E25" s="141"/>
      <c r="F25" s="402"/>
      <c r="G25" s="448"/>
      <c r="H25" s="142"/>
      <c r="I25" s="404"/>
      <c r="J25" s="391"/>
      <c r="K25" s="394"/>
      <c r="L25" s="376"/>
      <c r="M25" s="397"/>
      <c r="N25" s="376">
        <f ca="1">IF(NOT(ISERROR(MATCH(M25,_xlfn.ANCHORARRAY(F36),0))),L38&amp;"Por favor no seleccionar los criterios de impacto",M25)</f>
        <v>0</v>
      </c>
      <c r="O25" s="394"/>
      <c r="P25" s="376"/>
      <c r="Q25" s="379"/>
      <c r="R25" s="105">
        <v>4</v>
      </c>
      <c r="S25" s="106"/>
      <c r="T25" s="107" t="str">
        <f t="shared" si="28"/>
        <v/>
      </c>
      <c r="U25" s="114"/>
      <c r="V25" s="114"/>
      <c r="W25" s="115" t="str">
        <f t="shared" si="24"/>
        <v/>
      </c>
      <c r="X25" s="114"/>
      <c r="Y25" s="114"/>
      <c r="Z25" s="114"/>
      <c r="AA25" s="108" t="str">
        <f t="shared" ref="AA25:AA27" si="31">IFERROR(IF(AND(T24="Probabilidad",T25="Probabilidad"),(AC24-(+AC24*W25)),IF(AND(T24="Impacto",T25="Probabilidad"),(AC23-(+AC23*W25)),IF(T25="Impacto",AC24,""))),"")</f>
        <v/>
      </c>
      <c r="AB25" s="118" t="str">
        <f t="shared" si="25"/>
        <v/>
      </c>
      <c r="AC25" s="119" t="str">
        <f t="shared" si="29"/>
        <v/>
      </c>
      <c r="AD25" s="118" t="str">
        <f t="shared" si="26"/>
        <v/>
      </c>
      <c r="AE25" s="119" t="str">
        <f t="shared" si="30"/>
        <v/>
      </c>
      <c r="AF25" s="120" t="str">
        <f t="shared" si="27"/>
        <v/>
      </c>
      <c r="AG25" s="121"/>
      <c r="AH25" s="109"/>
      <c r="AI25" s="110"/>
      <c r="AJ25" s="111"/>
      <c r="AK25" s="111"/>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c r="A26" s="382"/>
      <c r="B26" s="385"/>
      <c r="C26" s="385"/>
      <c r="D26" s="400"/>
      <c r="E26" s="141"/>
      <c r="F26" s="402"/>
      <c r="G26" s="448"/>
      <c r="H26" s="142"/>
      <c r="I26" s="404"/>
      <c r="J26" s="391"/>
      <c r="K26" s="394"/>
      <c r="L26" s="376"/>
      <c r="M26" s="397"/>
      <c r="N26" s="376">
        <f ca="1">IF(NOT(ISERROR(MATCH(M26,_xlfn.ANCHORARRAY(F37),0))),L39&amp;"Por favor no seleccionar los criterios de impacto",M26)</f>
        <v>0</v>
      </c>
      <c r="O26" s="394"/>
      <c r="P26" s="376"/>
      <c r="Q26" s="379"/>
      <c r="R26" s="105">
        <v>5</v>
      </c>
      <c r="S26" s="106"/>
      <c r="T26" s="107" t="str">
        <f t="shared" si="28"/>
        <v/>
      </c>
      <c r="U26" s="114"/>
      <c r="V26" s="114"/>
      <c r="W26" s="115" t="str">
        <f t="shared" si="24"/>
        <v/>
      </c>
      <c r="X26" s="114"/>
      <c r="Y26" s="114"/>
      <c r="Z26" s="114"/>
      <c r="AA26" s="108" t="str">
        <f t="shared" si="31"/>
        <v/>
      </c>
      <c r="AB26" s="118" t="str">
        <f t="shared" si="25"/>
        <v/>
      </c>
      <c r="AC26" s="119" t="str">
        <f t="shared" si="29"/>
        <v/>
      </c>
      <c r="AD26" s="118" t="str">
        <f t="shared" si="26"/>
        <v/>
      </c>
      <c r="AE26" s="119" t="str">
        <f t="shared" si="30"/>
        <v/>
      </c>
      <c r="AF26" s="120" t="str">
        <f t="shared" si="27"/>
        <v/>
      </c>
      <c r="AG26" s="121"/>
      <c r="AH26" s="109"/>
      <c r="AI26" s="110"/>
      <c r="AJ26" s="111"/>
      <c r="AK26" s="111"/>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c r="A27" s="383"/>
      <c r="B27" s="386"/>
      <c r="C27" s="386"/>
      <c r="D27" s="401"/>
      <c r="E27" s="141"/>
      <c r="F27" s="402"/>
      <c r="G27" s="449"/>
      <c r="H27" s="142"/>
      <c r="I27" s="405"/>
      <c r="J27" s="392"/>
      <c r="K27" s="395"/>
      <c r="L27" s="377"/>
      <c r="M27" s="398"/>
      <c r="N27" s="377">
        <f ca="1">IF(NOT(ISERROR(MATCH(M27,_xlfn.ANCHORARRAY(F38),0))),L40&amp;"Por favor no seleccionar los criterios de impacto",M27)</f>
        <v>0</v>
      </c>
      <c r="O27" s="395"/>
      <c r="P27" s="377"/>
      <c r="Q27" s="380"/>
      <c r="R27" s="105">
        <v>6</v>
      </c>
      <c r="S27" s="106"/>
      <c r="T27" s="107" t="str">
        <f t="shared" si="28"/>
        <v/>
      </c>
      <c r="U27" s="114"/>
      <c r="V27" s="114"/>
      <c r="W27" s="115" t="str">
        <f t="shared" si="24"/>
        <v/>
      </c>
      <c r="X27" s="114"/>
      <c r="Y27" s="114"/>
      <c r="Z27" s="114"/>
      <c r="AA27" s="108" t="str">
        <f t="shared" si="31"/>
        <v/>
      </c>
      <c r="AB27" s="118" t="str">
        <f t="shared" si="25"/>
        <v/>
      </c>
      <c r="AC27" s="119" t="str">
        <f t="shared" si="29"/>
        <v/>
      </c>
      <c r="AD27" s="118" t="str">
        <f t="shared" si="26"/>
        <v/>
      </c>
      <c r="AE27" s="119" t="str">
        <f t="shared" si="30"/>
        <v/>
      </c>
      <c r="AF27" s="120" t="str">
        <f t="shared" si="27"/>
        <v/>
      </c>
      <c r="AG27" s="121"/>
      <c r="AH27" s="109"/>
      <c r="AI27" s="110"/>
      <c r="AJ27" s="111"/>
      <c r="AK27" s="111"/>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c r="A28" s="381">
        <v>4</v>
      </c>
      <c r="B28" s="384"/>
      <c r="C28" s="384"/>
      <c r="D28" s="399"/>
      <c r="E28" s="141"/>
      <c r="F28" s="402"/>
      <c r="G28" s="447"/>
      <c r="H28" s="142"/>
      <c r="I28" s="403"/>
      <c r="J28" s="390"/>
      <c r="K28" s="393" t="str">
        <f t="shared" ref="K28" si="32">IF(J28&lt;=0,"",IF(J28&lt;=2,"Muy Baja",IF(J28&lt;=24,"Baja",IF(J28&lt;=500,"Media",IF(J28&lt;=5000,"Alta","Muy Alta")))))</f>
        <v/>
      </c>
      <c r="L28" s="375" t="str">
        <f t="shared" ref="L28" si="33">IF(K28="","",IF(K28="Muy Baja",0.2,IF(K28="Baja",0.4,IF(K28="Media",0.6,IF(K28="Alta",0.8,IF(K28="Muy Alta",1,))))))</f>
        <v/>
      </c>
      <c r="M28" s="396"/>
      <c r="N28" s="375">
        <f ca="1">IF(NOT(ISERROR(MATCH(M28,'Tabla Impacto'!$B$221:$B$223,0))),'Tabla Impacto'!$F$223&amp;"Por favor no seleccionar los criterios de impacto(Afectación Económica o presupuestal y Pérdida Reputacional)",M28)</f>
        <v>0</v>
      </c>
      <c r="O28" s="393" t="str">
        <f ca="1">IF(OR(N28='Tabla Impacto'!$C$11,N28='Tabla Impacto'!$D$11),"Leve",IF(OR(N28='Tabla Impacto'!$C$12,N28='Tabla Impacto'!$D$12),"Menor",IF(OR(N28='Tabla Impacto'!$C$13,N28='Tabla Impacto'!$D$13),"Moderado",IF(OR(N28='Tabla Impacto'!$C$14,N28='Tabla Impacto'!$D$14),"Mayor",IF(OR(N28='Tabla Impacto'!$C$15,N28='Tabla Impacto'!$D$15),"Catastrófico","")))))</f>
        <v/>
      </c>
      <c r="P28" s="375" t="str">
        <f t="shared" ref="P28" ca="1" si="34">IF(O28="","",IF(O28="Leve",0.2,IF(O28="Menor",0.4,IF(O28="Moderado",0.6,IF(O28="Mayor",0.8,IF(O28="Catastrófico",1,))))))</f>
        <v/>
      </c>
      <c r="Q28" s="378" t="str">
        <f t="shared" ref="Q28" ca="1" si="35">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14"/>
      <c r="V28" s="114"/>
      <c r="W28" s="115" t="str">
        <f>IF(AND(U28="Preventivo",V28="Automático"),"50%",IF(AND(U28="Preventivo",V28="Manual"),"40%",IF(AND(U28="Detectivo",V28="Automático"),"40%",IF(AND(U28="Detectivo",V28="Manual"),"30%",IF(AND(U28="Correctivo",V28="Automático"),"35%",IF(AND(U28="Correctivo",V28="Manual"),"25%",""))))))</f>
        <v/>
      </c>
      <c r="X28" s="114"/>
      <c r="Y28" s="114"/>
      <c r="Z28" s="114"/>
      <c r="AA28" s="108" t="str">
        <f>IFERROR(IF(T28="Probabilidad",(L28-(+L28*W28)),IF(T28="Impacto",L28,"")),"")</f>
        <v/>
      </c>
      <c r="AB28" s="118" t="str">
        <f>IFERROR(IF(AA28="","",IF(AA28&lt;=0.2,"Muy Baja",IF(AA28&lt;=0.4,"Baja",IF(AA28&lt;=0.6,"Media",IF(AA28&lt;=0.8,"Alta","Muy Alta"))))),"")</f>
        <v/>
      </c>
      <c r="AC28" s="119" t="str">
        <f>+AA28</f>
        <v/>
      </c>
      <c r="AD28" s="118" t="str">
        <f>IFERROR(IF(AE28="","",IF(AE28&lt;=0.2,"Leve",IF(AE28&lt;=0.4,"Menor",IF(AE28&lt;=0.6,"Moderado",IF(AE28&lt;=0.8,"Mayor","Catastrófico"))))),"")</f>
        <v/>
      </c>
      <c r="AE28" s="119" t="str">
        <f>IFERROR(IF(T28="Impacto",(P28-(+P28*W28)),IF(T28="Probabilidad",P28,"")),"")</f>
        <v/>
      </c>
      <c r="AF28" s="120"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21"/>
      <c r="AH28" s="109"/>
      <c r="AI28" s="110"/>
      <c r="AJ28" s="111"/>
      <c r="AK28" s="111"/>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c r="A29" s="382"/>
      <c r="B29" s="385"/>
      <c r="C29" s="385"/>
      <c r="D29" s="400"/>
      <c r="E29" s="141"/>
      <c r="F29" s="402"/>
      <c r="G29" s="448"/>
      <c r="H29" s="142"/>
      <c r="I29" s="404"/>
      <c r="J29" s="391"/>
      <c r="K29" s="394"/>
      <c r="L29" s="376"/>
      <c r="M29" s="397"/>
      <c r="N29" s="376">
        <f ca="1">IF(NOT(ISERROR(MATCH(M29,_xlfn.ANCHORARRAY(F40),0))),L42&amp;"Por favor no seleccionar los criterios de impacto",M29)</f>
        <v>0</v>
      </c>
      <c r="O29" s="394"/>
      <c r="P29" s="376"/>
      <c r="Q29" s="379"/>
      <c r="R29" s="105">
        <v>2</v>
      </c>
      <c r="S29" s="106"/>
      <c r="T29" s="107" t="str">
        <f>IF(OR(U29="Preventivo",U29="Detectivo"),"Probabilidad",IF(U29="Correctivo","Impacto",""))</f>
        <v/>
      </c>
      <c r="U29" s="114"/>
      <c r="V29" s="114"/>
      <c r="W29" s="115" t="str">
        <f t="shared" ref="W29:W33" si="36">IF(AND(U29="Preventivo",V29="Automático"),"50%",IF(AND(U29="Preventivo",V29="Manual"),"40%",IF(AND(U29="Detectivo",V29="Automático"),"40%",IF(AND(U29="Detectivo",V29="Manual"),"30%",IF(AND(U29="Correctivo",V29="Automático"),"35%",IF(AND(U29="Correctivo",V29="Manual"),"25%",""))))))</f>
        <v/>
      </c>
      <c r="X29" s="114"/>
      <c r="Y29" s="114"/>
      <c r="Z29" s="114"/>
      <c r="AA29" s="108" t="str">
        <f>IFERROR(IF(AND(T28="Probabilidad",T29="Probabilidad"),(AC28-(+AC28*W29)),IF(AND(T28="Impacto",T29="Probabilidad"),(L28-(+L28*W29)),IF(T29="Impacto",AC28,""))),"")</f>
        <v/>
      </c>
      <c r="AB29" s="118" t="str">
        <f t="shared" ref="AB29:AB33" si="37">IFERROR(IF(AA29="","",IF(AA29&lt;=0.2,"Muy Baja",IF(AA29&lt;=0.4,"Baja",IF(AA29&lt;=0.6,"Media",IF(AA29&lt;=0.8,"Alta","Muy Alta"))))),"")</f>
        <v/>
      </c>
      <c r="AC29" s="119" t="str">
        <f>+AA29</f>
        <v/>
      </c>
      <c r="AD29" s="118" t="str">
        <f t="shared" ref="AD29:AD33" si="38">IFERROR(IF(AE29="","",IF(AE29&lt;=0.2,"Leve",IF(AE29&lt;=0.4,"Menor",IF(AE29&lt;=0.6,"Moderado",IF(AE29&lt;=0.8,"Mayor","Catastrófico"))))),"")</f>
        <v/>
      </c>
      <c r="AE29" s="119" t="str">
        <f>IFERROR(IF(AND(T28="Impacto",T29="Impacto"),(AE28-(+AE28*W29)),IF(AND(T28="Probabilidad",T29="Impacto"),(P28-(+P28*W29)),IF(T29="Probabilidad",AE28,""))),"")</f>
        <v/>
      </c>
      <c r="AF29" s="120" t="str">
        <f t="shared" ref="AF29:AF33" si="39">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21"/>
      <c r="AH29" s="109"/>
      <c r="AI29" s="110"/>
      <c r="AJ29" s="111"/>
      <c r="AK29" s="111"/>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c r="A30" s="382"/>
      <c r="B30" s="385"/>
      <c r="C30" s="385"/>
      <c r="D30" s="400"/>
      <c r="E30" s="141"/>
      <c r="F30" s="402"/>
      <c r="G30" s="448"/>
      <c r="H30" s="142"/>
      <c r="I30" s="404"/>
      <c r="J30" s="391"/>
      <c r="K30" s="394"/>
      <c r="L30" s="376"/>
      <c r="M30" s="397"/>
      <c r="N30" s="376">
        <f ca="1">IF(NOT(ISERROR(MATCH(M30,_xlfn.ANCHORARRAY(F41),0))),L43&amp;"Por favor no seleccionar los criterios de impacto",M30)</f>
        <v>0</v>
      </c>
      <c r="O30" s="394"/>
      <c r="P30" s="376"/>
      <c r="Q30" s="379"/>
      <c r="R30" s="105">
        <v>3</v>
      </c>
      <c r="S30" s="112"/>
      <c r="T30" s="107" t="str">
        <f t="shared" ref="T30:T33" si="40">IF(OR(U30="Preventivo",U30="Detectivo"),"Probabilidad",IF(U30="Correctivo","Impacto",""))</f>
        <v/>
      </c>
      <c r="U30" s="114"/>
      <c r="V30" s="114"/>
      <c r="W30" s="115" t="str">
        <f t="shared" si="36"/>
        <v/>
      </c>
      <c r="X30" s="114"/>
      <c r="Y30" s="114"/>
      <c r="Z30" s="114"/>
      <c r="AA30" s="108" t="str">
        <f>IFERROR(IF(AND(T29="Probabilidad",T30="Probabilidad"),(AC29-(+AC29*W30)),IF(AND(T29="Impacto",T30="Probabilidad"),(AC28-(+AC28*W30)),IF(T30="Impacto",AC29,""))),"")</f>
        <v/>
      </c>
      <c r="AB30" s="118" t="str">
        <f t="shared" si="37"/>
        <v/>
      </c>
      <c r="AC30" s="119" t="str">
        <f t="shared" ref="AC30:AC33" si="41">+AA30</f>
        <v/>
      </c>
      <c r="AD30" s="118" t="str">
        <f t="shared" si="38"/>
        <v/>
      </c>
      <c r="AE30" s="119" t="str">
        <f t="shared" ref="AE30:AE33" si="42">IFERROR(IF(AND(T29="Impacto",T30="Impacto"),(AE29-(+AE29*W30)),IF(AND(T29="Probabilidad",T30="Impacto"),(AE28-(+AE28*W30)),IF(T30="Probabilidad",AE29,""))),"")</f>
        <v/>
      </c>
      <c r="AF30" s="120" t="str">
        <f t="shared" si="39"/>
        <v/>
      </c>
      <c r="AG30" s="121"/>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c r="A31" s="382"/>
      <c r="B31" s="385"/>
      <c r="C31" s="385"/>
      <c r="D31" s="400"/>
      <c r="E31" s="141"/>
      <c r="F31" s="402"/>
      <c r="G31" s="448"/>
      <c r="H31" s="142"/>
      <c r="I31" s="404"/>
      <c r="J31" s="391"/>
      <c r="K31" s="394"/>
      <c r="L31" s="376"/>
      <c r="M31" s="397"/>
      <c r="N31" s="376">
        <f ca="1">IF(NOT(ISERROR(MATCH(M31,_xlfn.ANCHORARRAY(F42),0))),L44&amp;"Por favor no seleccionar los criterios de impacto",M31)</f>
        <v>0</v>
      </c>
      <c r="O31" s="394"/>
      <c r="P31" s="376"/>
      <c r="Q31" s="379"/>
      <c r="R31" s="105">
        <v>4</v>
      </c>
      <c r="S31" s="106"/>
      <c r="T31" s="107" t="str">
        <f t="shared" si="40"/>
        <v/>
      </c>
      <c r="U31" s="114"/>
      <c r="V31" s="114"/>
      <c r="W31" s="115" t="str">
        <f t="shared" si="36"/>
        <v/>
      </c>
      <c r="X31" s="114"/>
      <c r="Y31" s="114"/>
      <c r="Z31" s="114"/>
      <c r="AA31" s="108" t="str">
        <f t="shared" ref="AA31:AA33" si="43">IFERROR(IF(AND(T30="Probabilidad",T31="Probabilidad"),(AC30-(+AC30*W31)),IF(AND(T30="Impacto",T31="Probabilidad"),(AC29-(+AC29*W31)),IF(T31="Impacto",AC30,""))),"")</f>
        <v/>
      </c>
      <c r="AB31" s="118" t="str">
        <f t="shared" si="37"/>
        <v/>
      </c>
      <c r="AC31" s="119" t="str">
        <f t="shared" si="41"/>
        <v/>
      </c>
      <c r="AD31" s="118" t="str">
        <f t="shared" si="38"/>
        <v/>
      </c>
      <c r="AE31" s="119" t="str">
        <f t="shared" si="42"/>
        <v/>
      </c>
      <c r="AF31" s="120" t="str">
        <f t="shared" si="39"/>
        <v/>
      </c>
      <c r="AG31" s="121"/>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c r="A32" s="382"/>
      <c r="B32" s="385"/>
      <c r="C32" s="385"/>
      <c r="D32" s="400"/>
      <c r="E32" s="141"/>
      <c r="F32" s="402"/>
      <c r="G32" s="448"/>
      <c r="H32" s="142"/>
      <c r="I32" s="404"/>
      <c r="J32" s="391"/>
      <c r="K32" s="394"/>
      <c r="L32" s="376"/>
      <c r="M32" s="397"/>
      <c r="N32" s="376">
        <f ca="1">IF(NOT(ISERROR(MATCH(M32,_xlfn.ANCHORARRAY(F43),0))),L45&amp;"Por favor no seleccionar los criterios de impacto",M32)</f>
        <v>0</v>
      </c>
      <c r="O32" s="394"/>
      <c r="P32" s="376"/>
      <c r="Q32" s="379"/>
      <c r="R32" s="105">
        <v>5</v>
      </c>
      <c r="S32" s="106"/>
      <c r="T32" s="107" t="str">
        <f t="shared" si="40"/>
        <v/>
      </c>
      <c r="U32" s="114"/>
      <c r="V32" s="114"/>
      <c r="W32" s="115" t="str">
        <f t="shared" si="36"/>
        <v/>
      </c>
      <c r="X32" s="114"/>
      <c r="Y32" s="114"/>
      <c r="Z32" s="114"/>
      <c r="AA32" s="108" t="str">
        <f t="shared" si="43"/>
        <v/>
      </c>
      <c r="AB32" s="118" t="str">
        <f t="shared" si="37"/>
        <v/>
      </c>
      <c r="AC32" s="119" t="str">
        <f t="shared" si="41"/>
        <v/>
      </c>
      <c r="AD32" s="118" t="str">
        <f t="shared" si="38"/>
        <v/>
      </c>
      <c r="AE32" s="119" t="str">
        <f t="shared" si="42"/>
        <v/>
      </c>
      <c r="AF32" s="120" t="str">
        <f t="shared" si="39"/>
        <v/>
      </c>
      <c r="AG32" s="121"/>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c r="A33" s="383"/>
      <c r="B33" s="386"/>
      <c r="C33" s="386"/>
      <c r="D33" s="401"/>
      <c r="E33" s="141"/>
      <c r="F33" s="402"/>
      <c r="G33" s="449"/>
      <c r="H33" s="142"/>
      <c r="I33" s="405"/>
      <c r="J33" s="392"/>
      <c r="K33" s="395"/>
      <c r="L33" s="377"/>
      <c r="M33" s="398"/>
      <c r="N33" s="377">
        <f ca="1">IF(NOT(ISERROR(MATCH(M33,_xlfn.ANCHORARRAY(F44),0))),L46&amp;"Por favor no seleccionar los criterios de impacto",M33)</f>
        <v>0</v>
      </c>
      <c r="O33" s="395"/>
      <c r="P33" s="377"/>
      <c r="Q33" s="380"/>
      <c r="R33" s="105">
        <v>6</v>
      </c>
      <c r="S33" s="106"/>
      <c r="T33" s="107" t="str">
        <f t="shared" si="40"/>
        <v/>
      </c>
      <c r="U33" s="114"/>
      <c r="V33" s="114"/>
      <c r="W33" s="115" t="str">
        <f t="shared" si="36"/>
        <v/>
      </c>
      <c r="X33" s="114"/>
      <c r="Y33" s="114"/>
      <c r="Z33" s="114"/>
      <c r="AA33" s="108" t="str">
        <f t="shared" si="43"/>
        <v/>
      </c>
      <c r="AB33" s="118" t="str">
        <f t="shared" si="37"/>
        <v/>
      </c>
      <c r="AC33" s="119" t="str">
        <f t="shared" si="41"/>
        <v/>
      </c>
      <c r="AD33" s="118" t="str">
        <f t="shared" si="38"/>
        <v/>
      </c>
      <c r="AE33" s="119" t="str">
        <f t="shared" si="42"/>
        <v/>
      </c>
      <c r="AF33" s="120" t="str">
        <f t="shared" si="39"/>
        <v/>
      </c>
      <c r="AG33" s="121"/>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c r="A34" s="381">
        <v>5</v>
      </c>
      <c r="B34" s="384"/>
      <c r="C34" s="384"/>
      <c r="D34" s="399"/>
      <c r="E34" s="141"/>
      <c r="F34" s="402"/>
      <c r="G34" s="447"/>
      <c r="H34" s="142"/>
      <c r="I34" s="403"/>
      <c r="J34" s="390"/>
      <c r="K34" s="393" t="str">
        <f t="shared" ref="K34" si="44">IF(J34&lt;=0,"",IF(J34&lt;=2,"Muy Baja",IF(J34&lt;=24,"Baja",IF(J34&lt;=500,"Media",IF(J34&lt;=5000,"Alta","Muy Alta")))))</f>
        <v/>
      </c>
      <c r="L34" s="375" t="str">
        <f t="shared" ref="L34" si="45">IF(K34="","",IF(K34="Muy Baja",0.2,IF(K34="Baja",0.4,IF(K34="Media",0.6,IF(K34="Alta",0.8,IF(K34="Muy Alta",1,))))))</f>
        <v/>
      </c>
      <c r="M34" s="396"/>
      <c r="N34" s="375">
        <f ca="1">IF(NOT(ISERROR(MATCH(M34,'Tabla Impacto'!$B$221:$B$223,0))),'Tabla Impacto'!$F$223&amp;"Por favor no seleccionar los criterios de impacto(Afectación Económica o presupuestal y Pérdida Reputacional)",M34)</f>
        <v>0</v>
      </c>
      <c r="O34" s="393" t="str">
        <f ca="1">IF(OR(N34='Tabla Impacto'!$C$11,N34='Tabla Impacto'!$D$11),"Leve",IF(OR(N34='Tabla Impacto'!$C$12,N34='Tabla Impacto'!$D$12),"Menor",IF(OR(N34='Tabla Impacto'!$C$13,N34='Tabla Impacto'!$D$13),"Moderado",IF(OR(N34='Tabla Impacto'!$C$14,N34='Tabla Impacto'!$D$14),"Mayor",IF(OR(N34='Tabla Impacto'!$C$15,N34='Tabla Impacto'!$D$15),"Catastrófico","")))))</f>
        <v/>
      </c>
      <c r="P34" s="375" t="str">
        <f t="shared" ref="P34" ca="1" si="46">IF(O34="","",IF(O34="Leve",0.2,IF(O34="Menor",0.4,IF(O34="Moderado",0.6,IF(O34="Mayor",0.8,IF(O34="Catastrófico",1,))))))</f>
        <v/>
      </c>
      <c r="Q34" s="378" t="str">
        <f t="shared" ref="Q34" ca="1" si="47">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tr">
        <f>IF(OR(U34="Preventivo",U34="Detectivo"),"Probabilidad",IF(U34="Correctivo","Impacto",""))</f>
        <v/>
      </c>
      <c r="U34" s="114"/>
      <c r="V34" s="114"/>
      <c r="W34" s="115" t="str">
        <f>IF(AND(U34="Preventivo",V34="Automático"),"50%",IF(AND(U34="Preventivo",V34="Manual"),"40%",IF(AND(U34="Detectivo",V34="Automático"),"40%",IF(AND(U34="Detectivo",V34="Manual"),"30%",IF(AND(U34="Correctivo",V34="Automático"),"35%",IF(AND(U34="Correctivo",V34="Manual"),"25%",""))))))</f>
        <v/>
      </c>
      <c r="X34" s="114"/>
      <c r="Y34" s="114"/>
      <c r="Z34" s="114"/>
      <c r="AA34" s="108" t="str">
        <f>IFERROR(IF(T34="Probabilidad",(L34-(+L34*W34)),IF(T34="Impacto",L34,"")),"")</f>
        <v/>
      </c>
      <c r="AB34" s="118" t="str">
        <f>IFERROR(IF(AA34="","",IF(AA34&lt;=0.2,"Muy Baja",IF(AA34&lt;=0.4,"Baja",IF(AA34&lt;=0.6,"Media",IF(AA34&lt;=0.8,"Alta","Muy Alta"))))),"")</f>
        <v/>
      </c>
      <c r="AC34" s="119" t="str">
        <f>+AA34</f>
        <v/>
      </c>
      <c r="AD34" s="118" t="str">
        <f>IFERROR(IF(AE34="","",IF(AE34&lt;=0.2,"Leve",IF(AE34&lt;=0.4,"Menor",IF(AE34&lt;=0.6,"Moderado",IF(AE34&lt;=0.8,"Mayor","Catastrófico"))))),"")</f>
        <v/>
      </c>
      <c r="AE34" s="119" t="str">
        <f>IFERROR(IF(T34="Impacto",(P34-(+P34*W34)),IF(T34="Probabilidad",P34,"")),"")</f>
        <v/>
      </c>
      <c r="AF34" s="120"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21"/>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c r="A35" s="382"/>
      <c r="B35" s="385"/>
      <c r="C35" s="385"/>
      <c r="D35" s="400"/>
      <c r="E35" s="141"/>
      <c r="F35" s="402"/>
      <c r="G35" s="448"/>
      <c r="H35" s="142"/>
      <c r="I35" s="404"/>
      <c r="J35" s="391"/>
      <c r="K35" s="394"/>
      <c r="L35" s="376"/>
      <c r="M35" s="397"/>
      <c r="N35" s="376">
        <f ca="1">IF(NOT(ISERROR(MATCH(M35,_xlfn.ANCHORARRAY(F46),0))),L48&amp;"Por favor no seleccionar los criterios de impacto",M35)</f>
        <v>0</v>
      </c>
      <c r="O35" s="394"/>
      <c r="P35" s="376"/>
      <c r="Q35" s="379"/>
      <c r="R35" s="105">
        <v>2</v>
      </c>
      <c r="S35" s="106"/>
      <c r="T35" s="107" t="str">
        <f>IF(OR(U35="Preventivo",U35="Detectivo"),"Probabilidad",IF(U35="Correctivo","Impacto",""))</f>
        <v/>
      </c>
      <c r="U35" s="114"/>
      <c r="V35" s="114"/>
      <c r="W35" s="115" t="str">
        <f t="shared" ref="W35:W39" si="48">IF(AND(U35="Preventivo",V35="Automático"),"50%",IF(AND(U35="Preventivo",V35="Manual"),"40%",IF(AND(U35="Detectivo",V35="Automático"),"40%",IF(AND(U35="Detectivo",V35="Manual"),"30%",IF(AND(U35="Correctivo",V35="Automático"),"35%",IF(AND(U35="Correctivo",V35="Manual"),"25%",""))))))</f>
        <v/>
      </c>
      <c r="X35" s="114"/>
      <c r="Y35" s="114"/>
      <c r="Z35" s="114"/>
      <c r="AA35" s="108" t="str">
        <f>IFERROR(IF(AND(T34="Probabilidad",T35="Probabilidad"),(AC34-(+AC34*W35)),IF(AND(T34="Impacto",T35="Probabilidad"),(L34-(+L34*W35)),IF(T35="Impacto",AC34,""))),"")</f>
        <v/>
      </c>
      <c r="AB35" s="118" t="str">
        <f t="shared" ref="AB35:AB39" si="49">IFERROR(IF(AA35="","",IF(AA35&lt;=0.2,"Muy Baja",IF(AA35&lt;=0.4,"Baja",IF(AA35&lt;=0.6,"Media",IF(AA35&lt;=0.8,"Alta","Muy Alta"))))),"")</f>
        <v/>
      </c>
      <c r="AC35" s="119" t="str">
        <f>+AA35</f>
        <v/>
      </c>
      <c r="AD35" s="118" t="str">
        <f t="shared" ref="AD35:AD39" si="50">IFERROR(IF(AE35="","",IF(AE35&lt;=0.2,"Leve",IF(AE35&lt;=0.4,"Menor",IF(AE35&lt;=0.6,"Moderado",IF(AE35&lt;=0.8,"Mayor","Catastrófico"))))),"")</f>
        <v/>
      </c>
      <c r="AE35" s="119" t="str">
        <f>IFERROR(IF(AND(T34="Impacto",T35="Impacto"),(AE34-(+AE34*W35)),IF(AND(T34="Probabilidad",T35="Impacto"),(P34-(+P34*W35)),IF(T35="Probabilidad",AE34,""))),"")</f>
        <v/>
      </c>
      <c r="AF35" s="120" t="str">
        <f t="shared" ref="AF35:AF39" si="51">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21"/>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c r="A36" s="382"/>
      <c r="B36" s="385"/>
      <c r="C36" s="385"/>
      <c r="D36" s="400"/>
      <c r="E36" s="141"/>
      <c r="F36" s="402"/>
      <c r="G36" s="448"/>
      <c r="H36" s="142"/>
      <c r="I36" s="404"/>
      <c r="J36" s="391"/>
      <c r="K36" s="394"/>
      <c r="L36" s="376"/>
      <c r="M36" s="397"/>
      <c r="N36" s="376">
        <f ca="1">IF(NOT(ISERROR(MATCH(M36,_xlfn.ANCHORARRAY(F47),0))),L49&amp;"Por favor no seleccionar los criterios de impacto",M36)</f>
        <v>0</v>
      </c>
      <c r="O36" s="394"/>
      <c r="P36" s="376"/>
      <c r="Q36" s="379"/>
      <c r="R36" s="105">
        <v>3</v>
      </c>
      <c r="S36" s="112"/>
      <c r="T36" s="107" t="str">
        <f t="shared" ref="T36:T39" si="52">IF(OR(U36="Preventivo",U36="Detectivo"),"Probabilidad",IF(U36="Correctivo","Impacto",""))</f>
        <v/>
      </c>
      <c r="U36" s="114"/>
      <c r="V36" s="114"/>
      <c r="W36" s="115" t="str">
        <f t="shared" si="48"/>
        <v/>
      </c>
      <c r="X36" s="114"/>
      <c r="Y36" s="114"/>
      <c r="Z36" s="114"/>
      <c r="AA36" s="108" t="str">
        <f>IFERROR(IF(AND(T35="Probabilidad",T36="Probabilidad"),(AC35-(+AC35*W36)),IF(AND(T35="Impacto",T36="Probabilidad"),(AC34-(+AC34*W36)),IF(T36="Impacto",AC35,""))),"")</f>
        <v/>
      </c>
      <c r="AB36" s="118" t="str">
        <f t="shared" si="49"/>
        <v/>
      </c>
      <c r="AC36" s="119" t="str">
        <f t="shared" ref="AC36:AC39" si="53">+AA36</f>
        <v/>
      </c>
      <c r="AD36" s="118" t="str">
        <f t="shared" si="50"/>
        <v/>
      </c>
      <c r="AE36" s="119" t="str">
        <f t="shared" ref="AE36:AE39" si="54">IFERROR(IF(AND(T35="Impacto",T36="Impacto"),(AE35-(+AE35*W36)),IF(AND(T35="Probabilidad",T36="Impacto"),(AE34-(+AE34*W36)),IF(T36="Probabilidad",AE35,""))),"")</f>
        <v/>
      </c>
      <c r="AF36" s="120" t="str">
        <f t="shared" si="51"/>
        <v/>
      </c>
      <c r="AG36" s="121"/>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c r="A37" s="382"/>
      <c r="B37" s="385"/>
      <c r="C37" s="385"/>
      <c r="D37" s="400"/>
      <c r="E37" s="141"/>
      <c r="F37" s="402"/>
      <c r="G37" s="448"/>
      <c r="H37" s="142"/>
      <c r="I37" s="404"/>
      <c r="J37" s="391"/>
      <c r="K37" s="394"/>
      <c r="L37" s="376"/>
      <c r="M37" s="397"/>
      <c r="N37" s="376">
        <f ca="1">IF(NOT(ISERROR(MATCH(M37,_xlfn.ANCHORARRAY(F48),0))),L50&amp;"Por favor no seleccionar los criterios de impacto",M37)</f>
        <v>0</v>
      </c>
      <c r="O37" s="394"/>
      <c r="P37" s="376"/>
      <c r="Q37" s="379"/>
      <c r="R37" s="105">
        <v>4</v>
      </c>
      <c r="S37" s="106"/>
      <c r="T37" s="107" t="str">
        <f t="shared" si="52"/>
        <v/>
      </c>
      <c r="U37" s="114"/>
      <c r="V37" s="114"/>
      <c r="W37" s="115" t="str">
        <f t="shared" si="48"/>
        <v/>
      </c>
      <c r="X37" s="114"/>
      <c r="Y37" s="114"/>
      <c r="Z37" s="114"/>
      <c r="AA37" s="108" t="str">
        <f t="shared" ref="AA37:AA39" si="55">IFERROR(IF(AND(T36="Probabilidad",T37="Probabilidad"),(AC36-(+AC36*W37)),IF(AND(T36="Impacto",T37="Probabilidad"),(AC35-(+AC35*W37)),IF(T37="Impacto",AC36,""))),"")</f>
        <v/>
      </c>
      <c r="AB37" s="118" t="str">
        <f t="shared" si="49"/>
        <v/>
      </c>
      <c r="AC37" s="119" t="str">
        <f t="shared" si="53"/>
        <v/>
      </c>
      <c r="AD37" s="118" t="str">
        <f t="shared" si="50"/>
        <v/>
      </c>
      <c r="AE37" s="119" t="str">
        <f t="shared" si="54"/>
        <v/>
      </c>
      <c r="AF37" s="120" t="str">
        <f t="shared" si="51"/>
        <v/>
      </c>
      <c r="AG37" s="121"/>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c r="A38" s="382"/>
      <c r="B38" s="385"/>
      <c r="C38" s="385"/>
      <c r="D38" s="400"/>
      <c r="E38" s="141"/>
      <c r="F38" s="402"/>
      <c r="G38" s="448"/>
      <c r="H38" s="142"/>
      <c r="I38" s="404"/>
      <c r="J38" s="391"/>
      <c r="K38" s="394"/>
      <c r="L38" s="376"/>
      <c r="M38" s="397"/>
      <c r="N38" s="376">
        <f ca="1">IF(NOT(ISERROR(MATCH(M38,_xlfn.ANCHORARRAY(F49),0))),L51&amp;"Por favor no seleccionar los criterios de impacto",M38)</f>
        <v>0</v>
      </c>
      <c r="O38" s="394"/>
      <c r="P38" s="376"/>
      <c r="Q38" s="379"/>
      <c r="R38" s="105">
        <v>5</v>
      </c>
      <c r="S38" s="106"/>
      <c r="T38" s="107" t="str">
        <f t="shared" si="52"/>
        <v/>
      </c>
      <c r="U38" s="114"/>
      <c r="V38" s="114"/>
      <c r="W38" s="115" t="str">
        <f t="shared" si="48"/>
        <v/>
      </c>
      <c r="X38" s="114"/>
      <c r="Y38" s="114"/>
      <c r="Z38" s="114"/>
      <c r="AA38" s="108" t="str">
        <f t="shared" si="55"/>
        <v/>
      </c>
      <c r="AB38" s="118" t="str">
        <f t="shared" si="49"/>
        <v/>
      </c>
      <c r="AC38" s="119" t="str">
        <f t="shared" si="53"/>
        <v/>
      </c>
      <c r="AD38" s="118" t="str">
        <f t="shared" si="50"/>
        <v/>
      </c>
      <c r="AE38" s="119" t="str">
        <f t="shared" si="54"/>
        <v/>
      </c>
      <c r="AF38" s="120" t="str">
        <f t="shared" si="51"/>
        <v/>
      </c>
      <c r="AG38" s="121"/>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c r="A39" s="383"/>
      <c r="B39" s="386"/>
      <c r="C39" s="386"/>
      <c r="D39" s="401"/>
      <c r="E39" s="141"/>
      <c r="F39" s="402"/>
      <c r="G39" s="449"/>
      <c r="H39" s="142"/>
      <c r="I39" s="405"/>
      <c r="J39" s="392"/>
      <c r="K39" s="395"/>
      <c r="L39" s="377"/>
      <c r="M39" s="398"/>
      <c r="N39" s="377">
        <f ca="1">IF(NOT(ISERROR(MATCH(M39,_xlfn.ANCHORARRAY(F50),0))),L52&amp;"Por favor no seleccionar los criterios de impacto",M39)</f>
        <v>0</v>
      </c>
      <c r="O39" s="395"/>
      <c r="P39" s="377"/>
      <c r="Q39" s="380"/>
      <c r="R39" s="105">
        <v>6</v>
      </c>
      <c r="S39" s="106"/>
      <c r="T39" s="107" t="str">
        <f t="shared" si="52"/>
        <v/>
      </c>
      <c r="U39" s="114"/>
      <c r="V39" s="114"/>
      <c r="W39" s="115" t="str">
        <f t="shared" si="48"/>
        <v/>
      </c>
      <c r="X39" s="114"/>
      <c r="Y39" s="114"/>
      <c r="Z39" s="114"/>
      <c r="AA39" s="108" t="str">
        <f t="shared" si="55"/>
        <v/>
      </c>
      <c r="AB39" s="118" t="str">
        <f t="shared" si="49"/>
        <v/>
      </c>
      <c r="AC39" s="119" t="str">
        <f t="shared" si="53"/>
        <v/>
      </c>
      <c r="AD39" s="118" t="str">
        <f t="shared" si="50"/>
        <v/>
      </c>
      <c r="AE39" s="119" t="str">
        <f t="shared" si="54"/>
        <v/>
      </c>
      <c r="AF39" s="120" t="str">
        <f t="shared" si="51"/>
        <v/>
      </c>
      <c r="AG39" s="121"/>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c r="A40" s="381">
        <v>6</v>
      </c>
      <c r="B40" s="384"/>
      <c r="C40" s="384"/>
      <c r="D40" s="399"/>
      <c r="E40" s="141"/>
      <c r="F40" s="402"/>
      <c r="G40" s="447"/>
      <c r="H40" s="142"/>
      <c r="I40" s="403"/>
      <c r="J40" s="390"/>
      <c r="K40" s="393" t="str">
        <f t="shared" ref="K40" si="56">IF(J40&lt;=0,"",IF(J40&lt;=2,"Muy Baja",IF(J40&lt;=24,"Baja",IF(J40&lt;=500,"Media",IF(J40&lt;=5000,"Alta","Muy Alta")))))</f>
        <v/>
      </c>
      <c r="L40" s="375" t="str">
        <f t="shared" ref="L40" si="57">IF(K40="","",IF(K40="Muy Baja",0.2,IF(K40="Baja",0.4,IF(K40="Media",0.6,IF(K40="Alta",0.8,IF(K40="Muy Alta",1,))))))</f>
        <v/>
      </c>
      <c r="M40" s="396"/>
      <c r="N40" s="375">
        <f ca="1">IF(NOT(ISERROR(MATCH(M40,'Tabla Impacto'!$B$221:$B$223,0))),'Tabla Impacto'!$F$223&amp;"Por favor no seleccionar los criterios de impacto(Afectación Económica o presupuestal y Pérdida Reputacional)",M40)</f>
        <v>0</v>
      </c>
      <c r="O40" s="393" t="str">
        <f ca="1">IF(OR(N40='Tabla Impacto'!$C$11,N40='Tabla Impacto'!$D$11),"Leve",IF(OR(N40='Tabla Impacto'!$C$12,N40='Tabla Impacto'!$D$12),"Menor",IF(OR(N40='Tabla Impacto'!$C$13,N40='Tabla Impacto'!$D$13),"Moderado",IF(OR(N40='Tabla Impacto'!$C$14,N40='Tabla Impacto'!$D$14),"Mayor",IF(OR(N40='Tabla Impacto'!$C$15,N40='Tabla Impacto'!$D$15),"Catastrófico","")))))</f>
        <v/>
      </c>
      <c r="P40" s="375" t="str">
        <f t="shared" ref="P40" ca="1" si="58">IF(O40="","",IF(O40="Leve",0.2,IF(O40="Menor",0.4,IF(O40="Moderado",0.6,IF(O40="Mayor",0.8,IF(O40="Catastrófico",1,))))))</f>
        <v/>
      </c>
      <c r="Q40" s="378" t="str">
        <f t="shared" ref="Q40" ca="1" si="59">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tr">
        <f>IF(OR(U40="Preventivo",U40="Detectivo"),"Probabilidad",IF(U40="Correctivo","Impacto",""))</f>
        <v/>
      </c>
      <c r="U40" s="114"/>
      <c r="V40" s="114"/>
      <c r="W40" s="115" t="str">
        <f>IF(AND(U40="Preventivo",V40="Automático"),"50%",IF(AND(U40="Preventivo",V40="Manual"),"40%",IF(AND(U40="Detectivo",V40="Automático"),"40%",IF(AND(U40="Detectivo",V40="Manual"),"30%",IF(AND(U40="Correctivo",V40="Automático"),"35%",IF(AND(U40="Correctivo",V40="Manual"),"25%",""))))))</f>
        <v/>
      </c>
      <c r="X40" s="114"/>
      <c r="Y40" s="114"/>
      <c r="Z40" s="114"/>
      <c r="AA40" s="108" t="str">
        <f>IFERROR(IF(T40="Probabilidad",(L40-(+L40*W40)),IF(T40="Impacto",L40,"")),"")</f>
        <v/>
      </c>
      <c r="AB40" s="118" t="str">
        <f>IFERROR(IF(AA40="","",IF(AA40&lt;=0.2,"Muy Baja",IF(AA40&lt;=0.4,"Baja",IF(AA40&lt;=0.6,"Media",IF(AA40&lt;=0.8,"Alta","Muy Alta"))))),"")</f>
        <v/>
      </c>
      <c r="AC40" s="119" t="str">
        <f>+AA40</f>
        <v/>
      </c>
      <c r="AD40" s="118" t="str">
        <f>IFERROR(IF(AE40="","",IF(AE40&lt;=0.2,"Leve",IF(AE40&lt;=0.4,"Menor",IF(AE40&lt;=0.6,"Moderado",IF(AE40&lt;=0.8,"Mayor","Catastrófico"))))),"")</f>
        <v/>
      </c>
      <c r="AE40" s="119" t="str">
        <f>IFERROR(IF(T40="Impacto",(P40-(+P40*W40)),IF(T40="Probabilidad",P40,"")),"")</f>
        <v/>
      </c>
      <c r="AF40" s="120"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21"/>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c r="A41" s="382"/>
      <c r="B41" s="385"/>
      <c r="C41" s="385"/>
      <c r="D41" s="400"/>
      <c r="E41" s="141"/>
      <c r="F41" s="402"/>
      <c r="G41" s="448"/>
      <c r="H41" s="142"/>
      <c r="I41" s="404"/>
      <c r="J41" s="391"/>
      <c r="K41" s="394"/>
      <c r="L41" s="376"/>
      <c r="M41" s="397"/>
      <c r="N41" s="376">
        <f ca="1">IF(NOT(ISERROR(MATCH(M41,_xlfn.ANCHORARRAY(F52),0))),L54&amp;"Por favor no seleccionar los criterios de impacto",M41)</f>
        <v>0</v>
      </c>
      <c r="O41" s="394"/>
      <c r="P41" s="376"/>
      <c r="Q41" s="379"/>
      <c r="R41" s="105">
        <v>2</v>
      </c>
      <c r="S41" s="106"/>
      <c r="T41" s="107" t="str">
        <f>IF(OR(U41="Preventivo",U41="Detectivo"),"Probabilidad",IF(U41="Correctivo","Impacto",""))</f>
        <v/>
      </c>
      <c r="U41" s="114"/>
      <c r="V41" s="114"/>
      <c r="W41" s="115" t="str">
        <f t="shared" ref="W41:W45" si="60">IF(AND(U41="Preventivo",V41="Automático"),"50%",IF(AND(U41="Preventivo",V41="Manual"),"40%",IF(AND(U41="Detectivo",V41="Automático"),"40%",IF(AND(U41="Detectivo",V41="Manual"),"30%",IF(AND(U41="Correctivo",V41="Automático"),"35%",IF(AND(U41="Correctivo",V41="Manual"),"25%",""))))))</f>
        <v/>
      </c>
      <c r="X41" s="114"/>
      <c r="Y41" s="114"/>
      <c r="Z41" s="114"/>
      <c r="AA41" s="108" t="str">
        <f>IFERROR(IF(AND(T40="Probabilidad",T41="Probabilidad"),(AC40-(+AC40*W41)),IF(AND(T40="Impacto",T41="Probabilidad"),(L40-(+L40*W41)),IF(T41="Impacto",AC40,""))),"")</f>
        <v/>
      </c>
      <c r="AB41" s="118" t="str">
        <f t="shared" ref="AB41:AB45" si="61">IFERROR(IF(AA41="","",IF(AA41&lt;=0.2,"Muy Baja",IF(AA41&lt;=0.4,"Baja",IF(AA41&lt;=0.6,"Media",IF(AA41&lt;=0.8,"Alta","Muy Alta"))))),"")</f>
        <v/>
      </c>
      <c r="AC41" s="119" t="str">
        <f>+AA41</f>
        <v/>
      </c>
      <c r="AD41" s="118" t="str">
        <f t="shared" ref="AD41:AD45" si="62">IFERROR(IF(AE41="","",IF(AE41&lt;=0.2,"Leve",IF(AE41&lt;=0.4,"Menor",IF(AE41&lt;=0.6,"Moderado",IF(AE41&lt;=0.8,"Mayor","Catastrófico"))))),"")</f>
        <v/>
      </c>
      <c r="AE41" s="119" t="str">
        <f>IFERROR(IF(AND(T40="Impacto",T41="Impacto"),(AE40-(+AE40*W41)),IF(AND(T40="Probabilidad",T41="Impacto"),(P40-(+P40*W41)),IF(T41="Probabilidad",AE40,""))),"")</f>
        <v/>
      </c>
      <c r="AF41" s="120" t="str">
        <f t="shared" ref="AF41:AF45" si="63">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21"/>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c r="A42" s="382"/>
      <c r="B42" s="385"/>
      <c r="C42" s="385"/>
      <c r="D42" s="400"/>
      <c r="E42" s="141"/>
      <c r="F42" s="402"/>
      <c r="G42" s="448"/>
      <c r="H42" s="142"/>
      <c r="I42" s="404"/>
      <c r="J42" s="391"/>
      <c r="K42" s="394"/>
      <c r="L42" s="376"/>
      <c r="M42" s="397"/>
      <c r="N42" s="376">
        <f ca="1">IF(NOT(ISERROR(MATCH(M42,_xlfn.ANCHORARRAY(F53),0))),L55&amp;"Por favor no seleccionar los criterios de impacto",M42)</f>
        <v>0</v>
      </c>
      <c r="O42" s="394"/>
      <c r="P42" s="376"/>
      <c r="Q42" s="379"/>
      <c r="R42" s="105">
        <v>3</v>
      </c>
      <c r="S42" s="112"/>
      <c r="T42" s="107" t="str">
        <f t="shared" ref="T42:T45" si="64">IF(OR(U42="Preventivo",U42="Detectivo"),"Probabilidad",IF(U42="Correctivo","Impacto",""))</f>
        <v/>
      </c>
      <c r="U42" s="114"/>
      <c r="V42" s="114"/>
      <c r="W42" s="115" t="str">
        <f t="shared" si="60"/>
        <v/>
      </c>
      <c r="X42" s="114"/>
      <c r="Y42" s="114"/>
      <c r="Z42" s="114"/>
      <c r="AA42" s="108" t="str">
        <f>IFERROR(IF(AND(T41="Probabilidad",T42="Probabilidad"),(AC41-(+AC41*W42)),IF(AND(T41="Impacto",T42="Probabilidad"),(AC40-(+AC40*W42)),IF(T42="Impacto",AC41,""))),"")</f>
        <v/>
      </c>
      <c r="AB42" s="118" t="str">
        <f t="shared" si="61"/>
        <v/>
      </c>
      <c r="AC42" s="119" t="str">
        <f t="shared" ref="AC42:AC45" si="65">+AA42</f>
        <v/>
      </c>
      <c r="AD42" s="118" t="str">
        <f t="shared" si="62"/>
        <v/>
      </c>
      <c r="AE42" s="119" t="str">
        <f t="shared" ref="AE42:AE45" si="66">IFERROR(IF(AND(T41="Impacto",T42="Impacto"),(AE41-(+AE41*W42)),IF(AND(T41="Probabilidad",T42="Impacto"),(AE40-(+AE40*W42)),IF(T42="Probabilidad",AE41,""))),"")</f>
        <v/>
      </c>
      <c r="AF42" s="120" t="str">
        <f t="shared" si="63"/>
        <v/>
      </c>
      <c r="AG42" s="121"/>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c r="A43" s="382"/>
      <c r="B43" s="385"/>
      <c r="C43" s="385"/>
      <c r="D43" s="400"/>
      <c r="E43" s="141"/>
      <c r="F43" s="402"/>
      <c r="G43" s="448"/>
      <c r="H43" s="142"/>
      <c r="I43" s="404"/>
      <c r="J43" s="391"/>
      <c r="K43" s="394"/>
      <c r="L43" s="376"/>
      <c r="M43" s="397"/>
      <c r="N43" s="376">
        <f ca="1">IF(NOT(ISERROR(MATCH(M43,_xlfn.ANCHORARRAY(F54),0))),L56&amp;"Por favor no seleccionar los criterios de impacto",M43)</f>
        <v>0</v>
      </c>
      <c r="O43" s="394"/>
      <c r="P43" s="376"/>
      <c r="Q43" s="379"/>
      <c r="R43" s="105">
        <v>4</v>
      </c>
      <c r="S43" s="106"/>
      <c r="T43" s="107" t="str">
        <f t="shared" si="64"/>
        <v/>
      </c>
      <c r="U43" s="114"/>
      <c r="V43" s="114"/>
      <c r="W43" s="115" t="str">
        <f t="shared" si="60"/>
        <v/>
      </c>
      <c r="X43" s="114"/>
      <c r="Y43" s="114"/>
      <c r="Z43" s="114"/>
      <c r="AA43" s="108" t="str">
        <f t="shared" ref="AA43:AA45" si="67">IFERROR(IF(AND(T42="Probabilidad",T43="Probabilidad"),(AC42-(+AC42*W43)),IF(AND(T42="Impacto",T43="Probabilidad"),(AC41-(+AC41*W43)),IF(T43="Impacto",AC42,""))),"")</f>
        <v/>
      </c>
      <c r="AB43" s="118" t="str">
        <f t="shared" si="61"/>
        <v/>
      </c>
      <c r="AC43" s="119" t="str">
        <f t="shared" si="65"/>
        <v/>
      </c>
      <c r="AD43" s="118" t="str">
        <f t="shared" si="62"/>
        <v/>
      </c>
      <c r="AE43" s="119" t="str">
        <f t="shared" si="66"/>
        <v/>
      </c>
      <c r="AF43" s="120" t="str">
        <f t="shared" si="63"/>
        <v/>
      </c>
      <c r="AG43" s="121"/>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c r="A44" s="382"/>
      <c r="B44" s="385"/>
      <c r="C44" s="385"/>
      <c r="D44" s="400"/>
      <c r="E44" s="141"/>
      <c r="F44" s="402"/>
      <c r="G44" s="448"/>
      <c r="H44" s="142"/>
      <c r="I44" s="404"/>
      <c r="J44" s="391"/>
      <c r="K44" s="394"/>
      <c r="L44" s="376"/>
      <c r="M44" s="397"/>
      <c r="N44" s="376">
        <f ca="1">IF(NOT(ISERROR(MATCH(M44,_xlfn.ANCHORARRAY(F55),0))),L57&amp;"Por favor no seleccionar los criterios de impacto",M44)</f>
        <v>0</v>
      </c>
      <c r="O44" s="394"/>
      <c r="P44" s="376"/>
      <c r="Q44" s="379"/>
      <c r="R44" s="105">
        <v>5</v>
      </c>
      <c r="S44" s="106"/>
      <c r="T44" s="107" t="str">
        <f t="shared" si="64"/>
        <v/>
      </c>
      <c r="U44" s="114"/>
      <c r="V44" s="114"/>
      <c r="W44" s="115" t="str">
        <f t="shared" si="60"/>
        <v/>
      </c>
      <c r="X44" s="114"/>
      <c r="Y44" s="114"/>
      <c r="Z44" s="114"/>
      <c r="AA44" s="108" t="str">
        <f t="shared" si="67"/>
        <v/>
      </c>
      <c r="AB44" s="118" t="str">
        <f t="shared" si="61"/>
        <v/>
      </c>
      <c r="AC44" s="119" t="str">
        <f t="shared" si="65"/>
        <v/>
      </c>
      <c r="AD44" s="118" t="str">
        <f t="shared" si="62"/>
        <v/>
      </c>
      <c r="AE44" s="119" t="str">
        <f t="shared" si="66"/>
        <v/>
      </c>
      <c r="AF44" s="120" t="str">
        <f t="shared" si="63"/>
        <v/>
      </c>
      <c r="AG44" s="121"/>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c r="A45" s="383"/>
      <c r="B45" s="386"/>
      <c r="C45" s="386"/>
      <c r="D45" s="401"/>
      <c r="E45" s="141"/>
      <c r="F45" s="402"/>
      <c r="G45" s="449"/>
      <c r="H45" s="142"/>
      <c r="I45" s="405"/>
      <c r="J45" s="392"/>
      <c r="K45" s="395"/>
      <c r="L45" s="377"/>
      <c r="M45" s="398"/>
      <c r="N45" s="377">
        <f ca="1">IF(NOT(ISERROR(MATCH(M45,_xlfn.ANCHORARRAY(F56),0))),L58&amp;"Por favor no seleccionar los criterios de impacto",M45)</f>
        <v>0</v>
      </c>
      <c r="O45" s="395"/>
      <c r="P45" s="377"/>
      <c r="Q45" s="380"/>
      <c r="R45" s="105">
        <v>6</v>
      </c>
      <c r="S45" s="106"/>
      <c r="T45" s="107" t="str">
        <f t="shared" si="64"/>
        <v/>
      </c>
      <c r="U45" s="114"/>
      <c r="V45" s="114"/>
      <c r="W45" s="115" t="str">
        <f t="shared" si="60"/>
        <v/>
      </c>
      <c r="X45" s="114"/>
      <c r="Y45" s="114"/>
      <c r="Z45" s="114"/>
      <c r="AA45" s="108" t="str">
        <f t="shared" si="67"/>
        <v/>
      </c>
      <c r="AB45" s="118" t="str">
        <f t="shared" si="61"/>
        <v/>
      </c>
      <c r="AC45" s="119" t="str">
        <f t="shared" si="65"/>
        <v/>
      </c>
      <c r="AD45" s="118" t="str">
        <f t="shared" si="62"/>
        <v/>
      </c>
      <c r="AE45" s="119" t="str">
        <f t="shared" si="66"/>
        <v/>
      </c>
      <c r="AF45" s="120" t="str">
        <f t="shared" si="63"/>
        <v/>
      </c>
      <c r="AG45" s="121"/>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c r="A46" s="381">
        <v>7</v>
      </c>
      <c r="B46" s="384"/>
      <c r="C46" s="384"/>
      <c r="D46" s="384"/>
      <c r="E46" s="123"/>
      <c r="F46" s="388"/>
      <c r="G46" s="447"/>
      <c r="H46" s="126"/>
      <c r="I46" s="384"/>
      <c r="J46" s="390"/>
      <c r="K46" s="393" t="str">
        <f t="shared" ref="K46" si="68">IF(J46&lt;=0,"",IF(J46&lt;=2,"Muy Baja",IF(J46&lt;=24,"Baja",IF(J46&lt;=500,"Media",IF(J46&lt;=5000,"Alta","Muy Alta")))))</f>
        <v/>
      </c>
      <c r="L46" s="375" t="str">
        <f t="shared" ref="L46" si="69">IF(K46="","",IF(K46="Muy Baja",0.2,IF(K46="Baja",0.4,IF(K46="Media",0.6,IF(K46="Alta",0.8,IF(K46="Muy Alta",1,))))))</f>
        <v/>
      </c>
      <c r="M46" s="396"/>
      <c r="N46" s="375">
        <f ca="1">IF(NOT(ISERROR(MATCH(M46,'Tabla Impacto'!$B$221:$B$223,0))),'Tabla Impacto'!$F$223&amp;"Por favor no seleccionar los criterios de impacto(Afectación Económica o presupuestal y Pérdida Reputacional)",M46)</f>
        <v>0</v>
      </c>
      <c r="O46" s="393" t="str">
        <f ca="1">IF(OR(N46='Tabla Impacto'!$C$11,N46='Tabla Impacto'!$D$11),"Leve",IF(OR(N46='Tabla Impacto'!$C$12,N46='Tabla Impacto'!$D$12),"Menor",IF(OR(N46='Tabla Impacto'!$C$13,N46='Tabla Impacto'!$D$13),"Moderado",IF(OR(N46='Tabla Impacto'!$C$14,N46='Tabla Impacto'!$D$14),"Mayor",IF(OR(N46='Tabla Impacto'!$C$15,N46='Tabla Impacto'!$D$15),"Catastrófico","")))))</f>
        <v/>
      </c>
      <c r="P46" s="375" t="str">
        <f t="shared" ref="P46" ca="1" si="70">IF(O46="","",IF(O46="Leve",0.2,IF(O46="Menor",0.4,IF(O46="Moderado",0.6,IF(O46="Mayor",0.8,IF(O46="Catastrófico",1,))))))</f>
        <v/>
      </c>
      <c r="Q46" s="378" t="str">
        <f t="shared" ref="Q46" ca="1" si="71">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tr">
        <f>IF(OR(U46="Preventivo",U46="Detectivo"),"Probabilidad",IF(U46="Correctivo","Impacto",""))</f>
        <v/>
      </c>
      <c r="U46" s="114"/>
      <c r="V46" s="114"/>
      <c r="W46" s="115" t="str">
        <f>IF(AND(U46="Preventivo",V46="Automático"),"50%",IF(AND(U46="Preventivo",V46="Manual"),"40%",IF(AND(U46="Detectivo",V46="Automático"),"40%",IF(AND(U46="Detectivo",V46="Manual"),"30%",IF(AND(U46="Correctivo",V46="Automático"),"35%",IF(AND(U46="Correctivo",V46="Manual"),"25%",""))))))</f>
        <v/>
      </c>
      <c r="X46" s="114"/>
      <c r="Y46" s="114"/>
      <c r="Z46" s="114"/>
      <c r="AA46" s="108" t="str">
        <f>IFERROR(IF(T46="Probabilidad",(L46-(+L46*W46)),IF(T46="Impacto",L46,"")),"")</f>
        <v/>
      </c>
      <c r="AB46" s="118" t="str">
        <f>IFERROR(IF(AA46="","",IF(AA46&lt;=0.2,"Muy Baja",IF(AA46&lt;=0.4,"Baja",IF(AA46&lt;=0.6,"Media",IF(AA46&lt;=0.8,"Alta","Muy Alta"))))),"")</f>
        <v/>
      </c>
      <c r="AC46" s="119" t="str">
        <f>+AA46</f>
        <v/>
      </c>
      <c r="AD46" s="118" t="str">
        <f>IFERROR(IF(AE46="","",IF(AE46&lt;=0.2,"Leve",IF(AE46&lt;=0.4,"Menor",IF(AE46&lt;=0.6,"Moderado",IF(AE46&lt;=0.8,"Mayor","Catastrófico"))))),"")</f>
        <v/>
      </c>
      <c r="AE46" s="119" t="str">
        <f>IFERROR(IF(T46="Impacto",(P46-(+P46*W46)),IF(T46="Probabilidad",P46,"")),"")</f>
        <v/>
      </c>
      <c r="AF46" s="120"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21"/>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c r="A47" s="382"/>
      <c r="B47" s="385"/>
      <c r="C47" s="385"/>
      <c r="D47" s="385"/>
      <c r="E47" s="123"/>
      <c r="F47" s="388"/>
      <c r="G47" s="448"/>
      <c r="H47" s="126"/>
      <c r="I47" s="385"/>
      <c r="J47" s="391"/>
      <c r="K47" s="394"/>
      <c r="L47" s="376"/>
      <c r="M47" s="397"/>
      <c r="N47" s="376">
        <f ca="1">IF(NOT(ISERROR(MATCH(M47,_xlfn.ANCHORARRAY(F58),0))),L60&amp;"Por favor no seleccionar los criterios de impacto",M47)</f>
        <v>0</v>
      </c>
      <c r="O47" s="394"/>
      <c r="P47" s="376"/>
      <c r="Q47" s="379"/>
      <c r="R47" s="105">
        <v>2</v>
      </c>
      <c r="S47" s="106"/>
      <c r="T47" s="107" t="str">
        <f>IF(OR(U47="Preventivo",U47="Detectivo"),"Probabilidad",IF(U47="Correctivo","Impacto",""))</f>
        <v/>
      </c>
      <c r="U47" s="114"/>
      <c r="V47" s="114"/>
      <c r="W47" s="115" t="str">
        <f t="shared" ref="W47:W51" si="72">IF(AND(U47="Preventivo",V47="Automático"),"50%",IF(AND(U47="Preventivo",V47="Manual"),"40%",IF(AND(U47="Detectivo",V47="Automático"),"40%",IF(AND(U47="Detectivo",V47="Manual"),"30%",IF(AND(U47="Correctivo",V47="Automático"),"35%",IF(AND(U47="Correctivo",V47="Manual"),"25%",""))))))</f>
        <v/>
      </c>
      <c r="X47" s="114"/>
      <c r="Y47" s="114"/>
      <c r="Z47" s="114"/>
      <c r="AA47" s="108" t="str">
        <f>IFERROR(IF(AND(T46="Probabilidad",T47="Probabilidad"),(AC46-(+AC46*W47)),IF(AND(T46="Impacto",T47="Probabilidad"),(L46-(+L46*W47)),IF(T47="Impacto",AC46,""))),"")</f>
        <v/>
      </c>
      <c r="AB47" s="118" t="str">
        <f t="shared" ref="AB47:AB51" si="73">IFERROR(IF(AA47="","",IF(AA47&lt;=0.2,"Muy Baja",IF(AA47&lt;=0.4,"Baja",IF(AA47&lt;=0.6,"Media",IF(AA47&lt;=0.8,"Alta","Muy Alta"))))),"")</f>
        <v/>
      </c>
      <c r="AC47" s="119" t="str">
        <f>+AA47</f>
        <v/>
      </c>
      <c r="AD47" s="118" t="str">
        <f t="shared" ref="AD47:AD51" si="74">IFERROR(IF(AE47="","",IF(AE47&lt;=0.2,"Leve",IF(AE47&lt;=0.4,"Menor",IF(AE47&lt;=0.6,"Moderado",IF(AE47&lt;=0.8,"Mayor","Catastrófico"))))),"")</f>
        <v/>
      </c>
      <c r="AE47" s="119" t="str">
        <f>IFERROR(IF(AND(T46="Impacto",T47="Impacto"),(AE46-(+AE46*W47)),IF(AND(T46="Probabilidad",T47="Impacto"),(P46-(+P46*W47)),IF(T47="Probabilidad",AE46,""))),"")</f>
        <v/>
      </c>
      <c r="AF47" s="120" t="str">
        <f t="shared" ref="AF47:AF51" si="75">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21"/>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c r="A48" s="382"/>
      <c r="B48" s="385"/>
      <c r="C48" s="385"/>
      <c r="D48" s="385"/>
      <c r="E48" s="123"/>
      <c r="F48" s="388"/>
      <c r="G48" s="448"/>
      <c r="H48" s="126"/>
      <c r="I48" s="385"/>
      <c r="J48" s="391"/>
      <c r="K48" s="394"/>
      <c r="L48" s="376"/>
      <c r="M48" s="397"/>
      <c r="N48" s="376">
        <f ca="1">IF(NOT(ISERROR(MATCH(M48,_xlfn.ANCHORARRAY(F59),0))),L61&amp;"Por favor no seleccionar los criterios de impacto",M48)</f>
        <v>0</v>
      </c>
      <c r="O48" s="394"/>
      <c r="P48" s="376"/>
      <c r="Q48" s="379"/>
      <c r="R48" s="105">
        <v>3</v>
      </c>
      <c r="S48" s="112"/>
      <c r="T48" s="107" t="str">
        <f t="shared" ref="T48:T51" si="76">IF(OR(U48="Preventivo",U48="Detectivo"),"Probabilidad",IF(U48="Correctivo","Impacto",""))</f>
        <v/>
      </c>
      <c r="U48" s="114"/>
      <c r="V48" s="114"/>
      <c r="W48" s="115" t="str">
        <f t="shared" si="72"/>
        <v/>
      </c>
      <c r="X48" s="114"/>
      <c r="Y48" s="114"/>
      <c r="Z48" s="114"/>
      <c r="AA48" s="108" t="str">
        <f>IFERROR(IF(AND(T47="Probabilidad",T48="Probabilidad"),(AC47-(+AC47*W48)),IF(AND(T47="Impacto",T48="Probabilidad"),(AC46-(+AC46*W48)),IF(T48="Impacto",AC47,""))),"")</f>
        <v/>
      </c>
      <c r="AB48" s="118" t="str">
        <f t="shared" si="73"/>
        <v/>
      </c>
      <c r="AC48" s="119" t="str">
        <f t="shared" ref="AC48:AC51" si="77">+AA48</f>
        <v/>
      </c>
      <c r="AD48" s="118" t="str">
        <f t="shared" si="74"/>
        <v/>
      </c>
      <c r="AE48" s="119" t="str">
        <f t="shared" ref="AE48:AE51" si="78">IFERROR(IF(AND(T47="Impacto",T48="Impacto"),(AE47-(+AE47*W48)),IF(AND(T47="Probabilidad",T48="Impacto"),(AE46-(+AE46*W48)),IF(T48="Probabilidad",AE47,""))),"")</f>
        <v/>
      </c>
      <c r="AF48" s="120" t="str">
        <f t="shared" si="75"/>
        <v/>
      </c>
      <c r="AG48" s="121"/>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c r="A49" s="382"/>
      <c r="B49" s="385"/>
      <c r="C49" s="385"/>
      <c r="D49" s="385"/>
      <c r="E49" s="123"/>
      <c r="F49" s="388"/>
      <c r="G49" s="448"/>
      <c r="H49" s="126"/>
      <c r="I49" s="385"/>
      <c r="J49" s="391"/>
      <c r="K49" s="394"/>
      <c r="L49" s="376"/>
      <c r="M49" s="397"/>
      <c r="N49" s="376">
        <f ca="1">IF(NOT(ISERROR(MATCH(M49,_xlfn.ANCHORARRAY(F60),0))),L62&amp;"Por favor no seleccionar los criterios de impacto",M49)</f>
        <v>0</v>
      </c>
      <c r="O49" s="394"/>
      <c r="P49" s="376"/>
      <c r="Q49" s="379"/>
      <c r="R49" s="105">
        <v>4</v>
      </c>
      <c r="S49" s="106"/>
      <c r="T49" s="107" t="str">
        <f t="shared" si="76"/>
        <v/>
      </c>
      <c r="U49" s="114"/>
      <c r="V49" s="114"/>
      <c r="W49" s="115" t="str">
        <f t="shared" si="72"/>
        <v/>
      </c>
      <c r="X49" s="114"/>
      <c r="Y49" s="114"/>
      <c r="Z49" s="114"/>
      <c r="AA49" s="108" t="str">
        <f t="shared" ref="AA49:AA51" si="79">IFERROR(IF(AND(T48="Probabilidad",T49="Probabilidad"),(AC48-(+AC48*W49)),IF(AND(T48="Impacto",T49="Probabilidad"),(AC47-(+AC47*W49)),IF(T49="Impacto",AC48,""))),"")</f>
        <v/>
      </c>
      <c r="AB49" s="118" t="str">
        <f t="shared" si="73"/>
        <v/>
      </c>
      <c r="AC49" s="119" t="str">
        <f t="shared" si="77"/>
        <v/>
      </c>
      <c r="AD49" s="118" t="str">
        <f t="shared" si="74"/>
        <v/>
      </c>
      <c r="AE49" s="119" t="str">
        <f t="shared" si="78"/>
        <v/>
      </c>
      <c r="AF49" s="120" t="str">
        <f t="shared" si="75"/>
        <v/>
      </c>
      <c r="AG49" s="121"/>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c r="A50" s="382"/>
      <c r="B50" s="385"/>
      <c r="C50" s="385"/>
      <c r="D50" s="385"/>
      <c r="E50" s="123"/>
      <c r="F50" s="388"/>
      <c r="G50" s="448"/>
      <c r="H50" s="126"/>
      <c r="I50" s="385"/>
      <c r="J50" s="391"/>
      <c r="K50" s="394"/>
      <c r="L50" s="376"/>
      <c r="M50" s="397"/>
      <c r="N50" s="376">
        <f ca="1">IF(NOT(ISERROR(MATCH(M50,_xlfn.ANCHORARRAY(F61),0))),L63&amp;"Por favor no seleccionar los criterios de impacto",M50)</f>
        <v>0</v>
      </c>
      <c r="O50" s="394"/>
      <c r="P50" s="376"/>
      <c r="Q50" s="379"/>
      <c r="R50" s="105">
        <v>5</v>
      </c>
      <c r="S50" s="106"/>
      <c r="T50" s="107" t="str">
        <f t="shared" si="76"/>
        <v/>
      </c>
      <c r="U50" s="114"/>
      <c r="V50" s="114"/>
      <c r="W50" s="115" t="str">
        <f t="shared" si="72"/>
        <v/>
      </c>
      <c r="X50" s="114"/>
      <c r="Y50" s="114"/>
      <c r="Z50" s="114"/>
      <c r="AA50" s="108" t="str">
        <f t="shared" si="79"/>
        <v/>
      </c>
      <c r="AB50" s="118" t="str">
        <f t="shared" si="73"/>
        <v/>
      </c>
      <c r="AC50" s="119" t="str">
        <f t="shared" si="77"/>
        <v/>
      </c>
      <c r="AD50" s="118" t="str">
        <f t="shared" si="74"/>
        <v/>
      </c>
      <c r="AE50" s="119" t="str">
        <f t="shared" si="78"/>
        <v/>
      </c>
      <c r="AF50" s="120" t="str">
        <f t="shared" si="75"/>
        <v/>
      </c>
      <c r="AG50" s="121"/>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c r="A51" s="383"/>
      <c r="B51" s="386"/>
      <c r="C51" s="386"/>
      <c r="D51" s="386"/>
      <c r="E51" s="124"/>
      <c r="F51" s="389"/>
      <c r="G51" s="449"/>
      <c r="H51" s="127"/>
      <c r="I51" s="386"/>
      <c r="J51" s="392"/>
      <c r="K51" s="395"/>
      <c r="L51" s="377"/>
      <c r="M51" s="398"/>
      <c r="N51" s="377">
        <f ca="1">IF(NOT(ISERROR(MATCH(M51,_xlfn.ANCHORARRAY(F62),0))),L64&amp;"Por favor no seleccionar los criterios de impacto",M51)</f>
        <v>0</v>
      </c>
      <c r="O51" s="395"/>
      <c r="P51" s="377"/>
      <c r="Q51" s="380"/>
      <c r="R51" s="105">
        <v>6</v>
      </c>
      <c r="S51" s="106"/>
      <c r="T51" s="107" t="str">
        <f t="shared" si="76"/>
        <v/>
      </c>
      <c r="U51" s="114"/>
      <c r="V51" s="114"/>
      <c r="W51" s="115" t="str">
        <f t="shared" si="72"/>
        <v/>
      </c>
      <c r="X51" s="114"/>
      <c r="Y51" s="114"/>
      <c r="Z51" s="114"/>
      <c r="AA51" s="108" t="str">
        <f t="shared" si="79"/>
        <v/>
      </c>
      <c r="AB51" s="118" t="str">
        <f t="shared" si="73"/>
        <v/>
      </c>
      <c r="AC51" s="119" t="str">
        <f t="shared" si="77"/>
        <v/>
      </c>
      <c r="AD51" s="118" t="str">
        <f t="shared" si="74"/>
        <v/>
      </c>
      <c r="AE51" s="119" t="str">
        <f t="shared" si="78"/>
        <v/>
      </c>
      <c r="AF51" s="120" t="str">
        <f t="shared" si="75"/>
        <v/>
      </c>
      <c r="AG51" s="121"/>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c r="A52" s="381">
        <v>8</v>
      </c>
      <c r="B52" s="384"/>
      <c r="C52" s="384"/>
      <c r="D52" s="384"/>
      <c r="E52" s="122"/>
      <c r="F52" s="387"/>
      <c r="G52" s="447"/>
      <c r="H52" s="125"/>
      <c r="I52" s="384"/>
      <c r="J52" s="390"/>
      <c r="K52" s="393" t="str">
        <f t="shared" ref="K52" si="80">IF(J52&lt;=0,"",IF(J52&lt;=2,"Muy Baja",IF(J52&lt;=24,"Baja",IF(J52&lt;=500,"Media",IF(J52&lt;=5000,"Alta","Muy Alta")))))</f>
        <v/>
      </c>
      <c r="L52" s="375" t="str">
        <f t="shared" ref="L52" si="81">IF(K52="","",IF(K52="Muy Baja",0.2,IF(K52="Baja",0.4,IF(K52="Media",0.6,IF(K52="Alta",0.8,IF(K52="Muy Alta",1,))))))</f>
        <v/>
      </c>
      <c r="M52" s="396"/>
      <c r="N52" s="375">
        <f ca="1">IF(NOT(ISERROR(MATCH(M52,'Tabla Impacto'!$B$221:$B$223,0))),'Tabla Impacto'!$F$223&amp;"Por favor no seleccionar los criterios de impacto(Afectación Económica o presupuestal y Pérdida Reputacional)",M52)</f>
        <v>0</v>
      </c>
      <c r="O52" s="393" t="str">
        <f ca="1">IF(OR(N52='Tabla Impacto'!$C$11,N52='Tabla Impacto'!$D$11),"Leve",IF(OR(N52='Tabla Impacto'!$C$12,N52='Tabla Impacto'!$D$12),"Menor",IF(OR(N52='Tabla Impacto'!$C$13,N52='Tabla Impacto'!$D$13),"Moderado",IF(OR(N52='Tabla Impacto'!$C$14,N52='Tabla Impacto'!$D$14),"Mayor",IF(OR(N52='Tabla Impacto'!$C$15,N52='Tabla Impacto'!$D$15),"Catastrófico","")))))</f>
        <v/>
      </c>
      <c r="P52" s="375" t="str">
        <f t="shared" ref="P52" ca="1" si="82">IF(O52="","",IF(O52="Leve",0.2,IF(O52="Menor",0.4,IF(O52="Moderado",0.6,IF(O52="Mayor",0.8,IF(O52="Catastrófico",1,))))))</f>
        <v/>
      </c>
      <c r="Q52" s="378" t="str">
        <f t="shared" ref="Q52" ca="1" si="83">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14"/>
      <c r="V52" s="114"/>
      <c r="W52" s="115" t="str">
        <f>IF(AND(U52="Preventivo",V52="Automático"),"50%",IF(AND(U52="Preventivo",V52="Manual"),"40%",IF(AND(U52="Detectivo",V52="Automático"),"40%",IF(AND(U52="Detectivo",V52="Manual"),"30%",IF(AND(U52="Correctivo",V52="Automático"),"35%",IF(AND(U52="Correctivo",V52="Manual"),"25%",""))))))</f>
        <v/>
      </c>
      <c r="X52" s="114"/>
      <c r="Y52" s="114"/>
      <c r="Z52" s="114"/>
      <c r="AA52" s="108" t="str">
        <f>IFERROR(IF(T52="Probabilidad",(L52-(+L52*W52)),IF(T52="Impacto",L52,"")),"")</f>
        <v/>
      </c>
      <c r="AB52" s="118" t="str">
        <f>IFERROR(IF(AA52="","",IF(AA52&lt;=0.2,"Muy Baja",IF(AA52&lt;=0.4,"Baja",IF(AA52&lt;=0.6,"Media",IF(AA52&lt;=0.8,"Alta","Muy Alta"))))),"")</f>
        <v/>
      </c>
      <c r="AC52" s="119" t="str">
        <f>+AA52</f>
        <v/>
      </c>
      <c r="AD52" s="118" t="str">
        <f>IFERROR(IF(AE52="","",IF(AE52&lt;=0.2,"Leve",IF(AE52&lt;=0.4,"Menor",IF(AE52&lt;=0.6,"Moderado",IF(AE52&lt;=0.8,"Mayor","Catastrófico"))))),"")</f>
        <v/>
      </c>
      <c r="AE52" s="119" t="str">
        <f>IFERROR(IF(T52="Impacto",(P52-(+P52*W52)),IF(T52="Probabilidad",P52,"")),"")</f>
        <v/>
      </c>
      <c r="AF52" s="120"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21"/>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c r="A53" s="382"/>
      <c r="B53" s="385"/>
      <c r="C53" s="385"/>
      <c r="D53" s="385"/>
      <c r="E53" s="123"/>
      <c r="F53" s="388"/>
      <c r="G53" s="448"/>
      <c r="H53" s="126"/>
      <c r="I53" s="385"/>
      <c r="J53" s="391"/>
      <c r="K53" s="394"/>
      <c r="L53" s="376"/>
      <c r="M53" s="397"/>
      <c r="N53" s="376">
        <f ca="1">IF(NOT(ISERROR(MATCH(M53,_xlfn.ANCHORARRAY(F64),0))),L66&amp;"Por favor no seleccionar los criterios de impacto",M53)</f>
        <v>0</v>
      </c>
      <c r="O53" s="394"/>
      <c r="P53" s="376"/>
      <c r="Q53" s="379"/>
      <c r="R53" s="105">
        <v>2</v>
      </c>
      <c r="S53" s="106"/>
      <c r="T53" s="107" t="str">
        <f>IF(OR(U53="Preventivo",U53="Detectivo"),"Probabilidad",IF(U53="Correctivo","Impacto",""))</f>
        <v/>
      </c>
      <c r="U53" s="114"/>
      <c r="V53" s="114"/>
      <c r="W53" s="115" t="str">
        <f t="shared" ref="W53:W57" si="84">IF(AND(U53="Preventivo",V53="Automático"),"50%",IF(AND(U53="Preventivo",V53="Manual"),"40%",IF(AND(U53="Detectivo",V53="Automático"),"40%",IF(AND(U53="Detectivo",V53="Manual"),"30%",IF(AND(U53="Correctivo",V53="Automático"),"35%",IF(AND(U53="Correctivo",V53="Manual"),"25%",""))))))</f>
        <v/>
      </c>
      <c r="X53" s="114"/>
      <c r="Y53" s="114"/>
      <c r="Z53" s="114"/>
      <c r="AA53" s="108" t="str">
        <f>IFERROR(IF(AND(T52="Probabilidad",T53="Probabilidad"),(AC52-(+AC52*W53)),IF(AND(T52="Impacto",T53="Probabilidad"),(L52-(+L52*W53)),IF(T53="Impacto",AC52,""))),"")</f>
        <v/>
      </c>
      <c r="AB53" s="118" t="str">
        <f t="shared" ref="AB53:AB57" si="85">IFERROR(IF(AA53="","",IF(AA53&lt;=0.2,"Muy Baja",IF(AA53&lt;=0.4,"Baja",IF(AA53&lt;=0.6,"Media",IF(AA53&lt;=0.8,"Alta","Muy Alta"))))),"")</f>
        <v/>
      </c>
      <c r="AC53" s="119" t="str">
        <f>+AA53</f>
        <v/>
      </c>
      <c r="AD53" s="118" t="str">
        <f t="shared" ref="AD53:AD57" si="86">IFERROR(IF(AE53="","",IF(AE53&lt;=0.2,"Leve",IF(AE53&lt;=0.4,"Menor",IF(AE53&lt;=0.6,"Moderado",IF(AE53&lt;=0.8,"Mayor","Catastrófico"))))),"")</f>
        <v/>
      </c>
      <c r="AE53" s="119" t="str">
        <f>IFERROR(IF(AND(T52="Impacto",T53="Impacto"),(AE52-(+AE52*W53)),IF(AND(T52="Probabilidad",T53="Impacto"),(P52-(+P52*W53)),IF(T53="Probabilidad",AE52,""))),"")</f>
        <v/>
      </c>
      <c r="AF53" s="120" t="str">
        <f t="shared" ref="AF53:AF57" si="87">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21"/>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c r="A54" s="382"/>
      <c r="B54" s="385"/>
      <c r="C54" s="385"/>
      <c r="D54" s="385"/>
      <c r="E54" s="123"/>
      <c r="F54" s="388"/>
      <c r="G54" s="448"/>
      <c r="H54" s="126"/>
      <c r="I54" s="385"/>
      <c r="J54" s="391"/>
      <c r="K54" s="394"/>
      <c r="L54" s="376"/>
      <c r="M54" s="397"/>
      <c r="N54" s="376">
        <f ca="1">IF(NOT(ISERROR(MATCH(M54,_xlfn.ANCHORARRAY(F65),0))),L67&amp;"Por favor no seleccionar los criterios de impacto",M54)</f>
        <v>0</v>
      </c>
      <c r="O54" s="394"/>
      <c r="P54" s="376"/>
      <c r="Q54" s="379"/>
      <c r="R54" s="105">
        <v>3</v>
      </c>
      <c r="S54" s="112"/>
      <c r="T54" s="107" t="str">
        <f t="shared" ref="T54:T57" si="88">IF(OR(U54="Preventivo",U54="Detectivo"),"Probabilidad",IF(U54="Correctivo","Impacto",""))</f>
        <v/>
      </c>
      <c r="U54" s="114"/>
      <c r="V54" s="114"/>
      <c r="W54" s="115" t="str">
        <f t="shared" si="84"/>
        <v/>
      </c>
      <c r="X54" s="114"/>
      <c r="Y54" s="114"/>
      <c r="Z54" s="114"/>
      <c r="AA54" s="108" t="str">
        <f>IFERROR(IF(AND(T53="Probabilidad",T54="Probabilidad"),(AC53-(+AC53*W54)),IF(AND(T53="Impacto",T54="Probabilidad"),(AC52-(+AC52*W54)),IF(T54="Impacto",AC53,""))),"")</f>
        <v/>
      </c>
      <c r="AB54" s="118" t="str">
        <f t="shared" si="85"/>
        <v/>
      </c>
      <c r="AC54" s="119" t="str">
        <f t="shared" ref="AC54:AC57" si="89">+AA54</f>
        <v/>
      </c>
      <c r="AD54" s="118" t="str">
        <f t="shared" si="86"/>
        <v/>
      </c>
      <c r="AE54" s="119" t="str">
        <f t="shared" ref="AE54:AE57" si="90">IFERROR(IF(AND(T53="Impacto",T54="Impacto"),(AE53-(+AE53*W54)),IF(AND(T53="Probabilidad",T54="Impacto"),(AE52-(+AE52*W54)),IF(T54="Probabilidad",AE53,""))),"")</f>
        <v/>
      </c>
      <c r="AF54" s="120" t="str">
        <f t="shared" si="87"/>
        <v/>
      </c>
      <c r="AG54" s="121"/>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c r="A55" s="382"/>
      <c r="B55" s="385"/>
      <c r="C55" s="385"/>
      <c r="D55" s="385"/>
      <c r="E55" s="123"/>
      <c r="F55" s="388"/>
      <c r="G55" s="448"/>
      <c r="H55" s="126"/>
      <c r="I55" s="385"/>
      <c r="J55" s="391"/>
      <c r="K55" s="394"/>
      <c r="L55" s="376"/>
      <c r="M55" s="397"/>
      <c r="N55" s="376">
        <f ca="1">IF(NOT(ISERROR(MATCH(M55,_xlfn.ANCHORARRAY(F66),0))),L68&amp;"Por favor no seleccionar los criterios de impacto",M55)</f>
        <v>0</v>
      </c>
      <c r="O55" s="394"/>
      <c r="P55" s="376"/>
      <c r="Q55" s="379"/>
      <c r="R55" s="105">
        <v>4</v>
      </c>
      <c r="S55" s="106"/>
      <c r="T55" s="107" t="str">
        <f t="shared" si="88"/>
        <v/>
      </c>
      <c r="U55" s="114"/>
      <c r="V55" s="114"/>
      <c r="W55" s="115" t="str">
        <f t="shared" si="84"/>
        <v/>
      </c>
      <c r="X55" s="114"/>
      <c r="Y55" s="114"/>
      <c r="Z55" s="114"/>
      <c r="AA55" s="108" t="str">
        <f t="shared" ref="AA55:AA57" si="91">IFERROR(IF(AND(T54="Probabilidad",T55="Probabilidad"),(AC54-(+AC54*W55)),IF(AND(T54="Impacto",T55="Probabilidad"),(AC53-(+AC53*W55)),IF(T55="Impacto",AC54,""))),"")</f>
        <v/>
      </c>
      <c r="AB55" s="118" t="str">
        <f t="shared" si="85"/>
        <v/>
      </c>
      <c r="AC55" s="119" t="str">
        <f t="shared" si="89"/>
        <v/>
      </c>
      <c r="AD55" s="118" t="str">
        <f t="shared" si="86"/>
        <v/>
      </c>
      <c r="AE55" s="119" t="str">
        <f t="shared" si="90"/>
        <v/>
      </c>
      <c r="AF55" s="120" t="str">
        <f t="shared" si="87"/>
        <v/>
      </c>
      <c r="AG55" s="121"/>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c r="A56" s="382"/>
      <c r="B56" s="385"/>
      <c r="C56" s="385"/>
      <c r="D56" s="385"/>
      <c r="E56" s="123"/>
      <c r="F56" s="388"/>
      <c r="G56" s="448"/>
      <c r="H56" s="126"/>
      <c r="I56" s="385"/>
      <c r="J56" s="391"/>
      <c r="K56" s="394"/>
      <c r="L56" s="376"/>
      <c r="M56" s="397"/>
      <c r="N56" s="376">
        <f ca="1">IF(NOT(ISERROR(MATCH(M56,_xlfn.ANCHORARRAY(F67),0))),L69&amp;"Por favor no seleccionar los criterios de impacto",M56)</f>
        <v>0</v>
      </c>
      <c r="O56" s="394"/>
      <c r="P56" s="376"/>
      <c r="Q56" s="379"/>
      <c r="R56" s="105">
        <v>5</v>
      </c>
      <c r="S56" s="106"/>
      <c r="T56" s="107" t="str">
        <f t="shared" si="88"/>
        <v/>
      </c>
      <c r="U56" s="114"/>
      <c r="V56" s="114"/>
      <c r="W56" s="115" t="str">
        <f t="shared" si="84"/>
        <v/>
      </c>
      <c r="X56" s="114"/>
      <c r="Y56" s="114"/>
      <c r="Z56" s="114"/>
      <c r="AA56" s="108" t="str">
        <f t="shared" si="91"/>
        <v/>
      </c>
      <c r="AB56" s="118" t="str">
        <f t="shared" si="85"/>
        <v/>
      </c>
      <c r="AC56" s="119" t="str">
        <f t="shared" si="89"/>
        <v/>
      </c>
      <c r="AD56" s="118" t="str">
        <f t="shared" si="86"/>
        <v/>
      </c>
      <c r="AE56" s="119" t="str">
        <f t="shared" si="90"/>
        <v/>
      </c>
      <c r="AF56" s="120" t="str">
        <f t="shared" si="87"/>
        <v/>
      </c>
      <c r="AG56" s="121"/>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c r="A57" s="383"/>
      <c r="B57" s="386"/>
      <c r="C57" s="386"/>
      <c r="D57" s="386"/>
      <c r="E57" s="124"/>
      <c r="F57" s="389"/>
      <c r="G57" s="449"/>
      <c r="H57" s="127"/>
      <c r="I57" s="386"/>
      <c r="J57" s="392"/>
      <c r="K57" s="395"/>
      <c r="L57" s="377"/>
      <c r="M57" s="398"/>
      <c r="N57" s="377">
        <f ca="1">IF(NOT(ISERROR(MATCH(M57,_xlfn.ANCHORARRAY(F68),0))),L70&amp;"Por favor no seleccionar los criterios de impacto",M57)</f>
        <v>0</v>
      </c>
      <c r="O57" s="395"/>
      <c r="P57" s="377"/>
      <c r="Q57" s="380"/>
      <c r="R57" s="105">
        <v>6</v>
      </c>
      <c r="S57" s="106"/>
      <c r="T57" s="107" t="str">
        <f t="shared" si="88"/>
        <v/>
      </c>
      <c r="U57" s="114"/>
      <c r="V57" s="114"/>
      <c r="W57" s="115" t="str">
        <f t="shared" si="84"/>
        <v/>
      </c>
      <c r="X57" s="114"/>
      <c r="Y57" s="114"/>
      <c r="Z57" s="114"/>
      <c r="AA57" s="108" t="str">
        <f t="shared" si="91"/>
        <v/>
      </c>
      <c r="AB57" s="118" t="str">
        <f t="shared" si="85"/>
        <v/>
      </c>
      <c r="AC57" s="119" t="str">
        <f t="shared" si="89"/>
        <v/>
      </c>
      <c r="AD57" s="118" t="str">
        <f t="shared" si="86"/>
        <v/>
      </c>
      <c r="AE57" s="119" t="str">
        <f t="shared" si="90"/>
        <v/>
      </c>
      <c r="AF57" s="120" t="str">
        <f t="shared" si="87"/>
        <v/>
      </c>
      <c r="AG57" s="121"/>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c r="A58" s="381">
        <v>9</v>
      </c>
      <c r="B58" s="384"/>
      <c r="C58" s="384"/>
      <c r="D58" s="384"/>
      <c r="E58" s="122"/>
      <c r="F58" s="387"/>
      <c r="G58" s="447"/>
      <c r="H58" s="125"/>
      <c r="I58" s="384"/>
      <c r="J58" s="390"/>
      <c r="K58" s="393" t="str">
        <f t="shared" ref="K58" si="92">IF(J58&lt;=0,"",IF(J58&lt;=2,"Muy Baja",IF(J58&lt;=24,"Baja",IF(J58&lt;=500,"Media",IF(J58&lt;=5000,"Alta","Muy Alta")))))</f>
        <v/>
      </c>
      <c r="L58" s="375" t="str">
        <f t="shared" ref="L58" si="93">IF(K58="","",IF(K58="Muy Baja",0.2,IF(K58="Baja",0.4,IF(K58="Media",0.6,IF(K58="Alta",0.8,IF(K58="Muy Alta",1,))))))</f>
        <v/>
      </c>
      <c r="M58" s="396"/>
      <c r="N58" s="375">
        <f ca="1">IF(NOT(ISERROR(MATCH(M58,'Tabla Impacto'!$B$221:$B$223,0))),'Tabla Impacto'!$F$223&amp;"Por favor no seleccionar los criterios de impacto(Afectación Económica o presupuestal y Pérdida Reputacional)",M58)</f>
        <v>0</v>
      </c>
      <c r="O58" s="393" t="str">
        <f ca="1">IF(OR(N58='Tabla Impacto'!$C$11,N58='Tabla Impacto'!$D$11),"Leve",IF(OR(N58='Tabla Impacto'!$C$12,N58='Tabla Impacto'!$D$12),"Menor",IF(OR(N58='Tabla Impacto'!$C$13,N58='Tabla Impacto'!$D$13),"Moderado",IF(OR(N58='Tabla Impacto'!$C$14,N58='Tabla Impacto'!$D$14),"Mayor",IF(OR(N58='Tabla Impacto'!$C$15,N58='Tabla Impacto'!$D$15),"Catastrófico","")))))</f>
        <v/>
      </c>
      <c r="P58" s="375" t="str">
        <f t="shared" ref="P58" ca="1" si="94">IF(O58="","",IF(O58="Leve",0.2,IF(O58="Menor",0.4,IF(O58="Moderado",0.6,IF(O58="Mayor",0.8,IF(O58="Catastrófico",1,))))))</f>
        <v/>
      </c>
      <c r="Q58" s="378" t="str">
        <f t="shared" ref="Q58" ca="1" si="95">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14"/>
      <c r="V58" s="114"/>
      <c r="W58" s="115" t="str">
        <f>IF(AND(U58="Preventivo",V58="Automático"),"50%",IF(AND(U58="Preventivo",V58="Manual"),"40%",IF(AND(U58="Detectivo",V58="Automático"),"40%",IF(AND(U58="Detectivo",V58="Manual"),"30%",IF(AND(U58="Correctivo",V58="Automático"),"35%",IF(AND(U58="Correctivo",V58="Manual"),"25%",""))))))</f>
        <v/>
      </c>
      <c r="X58" s="114"/>
      <c r="Y58" s="114"/>
      <c r="Z58" s="114"/>
      <c r="AA58" s="108" t="str">
        <f>IFERROR(IF(T58="Probabilidad",(L58-(+L58*W58)),IF(T58="Impacto",L58,"")),"")</f>
        <v/>
      </c>
      <c r="AB58" s="118" t="str">
        <f>IFERROR(IF(AA58="","",IF(AA58&lt;=0.2,"Muy Baja",IF(AA58&lt;=0.4,"Baja",IF(AA58&lt;=0.6,"Media",IF(AA58&lt;=0.8,"Alta","Muy Alta"))))),"")</f>
        <v/>
      </c>
      <c r="AC58" s="119" t="str">
        <f>+AA58</f>
        <v/>
      </c>
      <c r="AD58" s="118" t="str">
        <f>IFERROR(IF(AE58="","",IF(AE58&lt;=0.2,"Leve",IF(AE58&lt;=0.4,"Menor",IF(AE58&lt;=0.6,"Moderado",IF(AE58&lt;=0.8,"Mayor","Catastrófico"))))),"")</f>
        <v/>
      </c>
      <c r="AE58" s="119" t="str">
        <f>IFERROR(IF(T58="Impacto",(P58-(+P58*W58)),IF(T58="Probabilidad",P58,"")),"")</f>
        <v/>
      </c>
      <c r="AF58" s="120"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21"/>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customHeight="1">
      <c r="A59" s="382"/>
      <c r="B59" s="385"/>
      <c r="C59" s="385"/>
      <c r="D59" s="385"/>
      <c r="E59" s="123"/>
      <c r="F59" s="388"/>
      <c r="G59" s="448"/>
      <c r="H59" s="126"/>
      <c r="I59" s="385"/>
      <c r="J59" s="391"/>
      <c r="K59" s="394"/>
      <c r="L59" s="376"/>
      <c r="M59" s="397"/>
      <c r="N59" s="376">
        <f ca="1">IF(NOT(ISERROR(MATCH(M59,_xlfn.ANCHORARRAY(F70),0))),L72&amp;"Por favor no seleccionar los criterios de impacto",M59)</f>
        <v>0</v>
      </c>
      <c r="O59" s="394"/>
      <c r="P59" s="376"/>
      <c r="Q59" s="379"/>
      <c r="R59" s="105">
        <v>2</v>
      </c>
      <c r="S59" s="106"/>
      <c r="T59" s="107" t="str">
        <f>IF(OR(U59="Preventivo",U59="Detectivo"),"Probabilidad",IF(U59="Correctivo","Impacto",""))</f>
        <v/>
      </c>
      <c r="U59" s="114"/>
      <c r="V59" s="114"/>
      <c r="W59" s="115" t="str">
        <f t="shared" ref="W59:W63" si="96">IF(AND(U59="Preventivo",V59="Automático"),"50%",IF(AND(U59="Preventivo",V59="Manual"),"40%",IF(AND(U59="Detectivo",V59="Automático"),"40%",IF(AND(U59="Detectivo",V59="Manual"),"30%",IF(AND(U59="Correctivo",V59="Automático"),"35%",IF(AND(U59="Correctivo",V59="Manual"),"25%",""))))))</f>
        <v/>
      </c>
      <c r="X59" s="114"/>
      <c r="Y59" s="114"/>
      <c r="Z59" s="114"/>
      <c r="AA59" s="108" t="str">
        <f>IFERROR(IF(AND(T58="Probabilidad",T59="Probabilidad"),(AC58-(+AC58*W59)),IF(AND(T58="Impacto",T59="Probabilidad"),(L58-(+L58*W59)),IF(T59="Impacto",AC58,""))),"")</f>
        <v/>
      </c>
      <c r="AB59" s="118" t="str">
        <f t="shared" ref="AB59:AB63" si="97">IFERROR(IF(AA59="","",IF(AA59&lt;=0.2,"Muy Baja",IF(AA59&lt;=0.4,"Baja",IF(AA59&lt;=0.6,"Media",IF(AA59&lt;=0.8,"Alta","Muy Alta"))))),"")</f>
        <v/>
      </c>
      <c r="AC59" s="119" t="str">
        <f>+AA59</f>
        <v/>
      </c>
      <c r="AD59" s="118" t="str">
        <f t="shared" ref="AD59:AD63" si="98">IFERROR(IF(AE59="","",IF(AE59&lt;=0.2,"Leve",IF(AE59&lt;=0.4,"Menor",IF(AE59&lt;=0.6,"Moderado",IF(AE59&lt;=0.8,"Mayor","Catastrófico"))))),"")</f>
        <v/>
      </c>
      <c r="AE59" s="119" t="str">
        <f>IFERROR(IF(AND(T58="Impacto",T59="Impacto"),(AE58-(+AE58*W59)),IF(AND(T58="Probabilidad",T59="Impacto"),(P58-(+P58*W59)),IF(T59="Probabilidad",AE58,""))),"")</f>
        <v/>
      </c>
      <c r="AF59" s="120" t="str">
        <f t="shared" ref="AF59:AF63" si="99">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21"/>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26.25" customHeight="1">
      <c r="A60" s="382"/>
      <c r="B60" s="385"/>
      <c r="C60" s="385"/>
      <c r="D60" s="385"/>
      <c r="E60" s="123"/>
      <c r="F60" s="388"/>
      <c r="G60" s="448"/>
      <c r="H60" s="126"/>
      <c r="I60" s="385"/>
      <c r="J60" s="391"/>
      <c r="K60" s="394"/>
      <c r="L60" s="376"/>
      <c r="M60" s="397"/>
      <c r="N60" s="376">
        <f ca="1">IF(NOT(ISERROR(MATCH(M60,_xlfn.ANCHORARRAY(F71),0))),L73&amp;"Por favor no seleccionar los criterios de impacto",M60)</f>
        <v>0</v>
      </c>
      <c r="O60" s="394"/>
      <c r="P60" s="376"/>
      <c r="Q60" s="379"/>
      <c r="R60" s="105">
        <v>3</v>
      </c>
      <c r="S60" s="112"/>
      <c r="T60" s="107" t="str">
        <f t="shared" ref="T60:T63" si="100">IF(OR(U60="Preventivo",U60="Detectivo"),"Probabilidad",IF(U60="Correctivo","Impacto",""))</f>
        <v/>
      </c>
      <c r="U60" s="114"/>
      <c r="V60" s="114"/>
      <c r="W60" s="115" t="str">
        <f t="shared" si="96"/>
        <v/>
      </c>
      <c r="X60" s="114"/>
      <c r="Y60" s="114"/>
      <c r="Z60" s="114"/>
      <c r="AA60" s="108" t="str">
        <f>IFERROR(IF(AND(T59="Probabilidad",T60="Probabilidad"),(AC59-(+AC59*W60)),IF(AND(T59="Impacto",T60="Probabilidad"),(AC58-(+AC58*W60)),IF(T60="Impacto",AC59,""))),"")</f>
        <v/>
      </c>
      <c r="AB60" s="118" t="str">
        <f t="shared" si="97"/>
        <v/>
      </c>
      <c r="AC60" s="119" t="str">
        <f t="shared" ref="AC60:AC63" si="101">+AA60</f>
        <v/>
      </c>
      <c r="AD60" s="118" t="str">
        <f t="shared" si="98"/>
        <v/>
      </c>
      <c r="AE60" s="119" t="str">
        <f t="shared" ref="AE60:AE63" si="102">IFERROR(IF(AND(T59="Impacto",T60="Impacto"),(AE59-(+AE59*W60)),IF(AND(T59="Probabilidad",T60="Impacto"),(AE58-(+AE58*W60)),IF(T60="Probabilidad",AE59,""))),"")</f>
        <v/>
      </c>
      <c r="AF60" s="120" t="str">
        <f t="shared" si="99"/>
        <v/>
      </c>
      <c r="AG60" s="121"/>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26.25" customHeight="1">
      <c r="A61" s="382"/>
      <c r="B61" s="385"/>
      <c r="C61" s="385"/>
      <c r="D61" s="385"/>
      <c r="E61" s="123"/>
      <c r="F61" s="388"/>
      <c r="G61" s="448"/>
      <c r="H61" s="126"/>
      <c r="I61" s="385"/>
      <c r="J61" s="391"/>
      <c r="K61" s="394"/>
      <c r="L61" s="376"/>
      <c r="M61" s="397"/>
      <c r="N61" s="376">
        <f ca="1">IF(NOT(ISERROR(MATCH(M61,_xlfn.ANCHORARRAY(F72),0))),L74&amp;"Por favor no seleccionar los criterios de impacto",M61)</f>
        <v>0</v>
      </c>
      <c r="O61" s="394"/>
      <c r="P61" s="376"/>
      <c r="Q61" s="379"/>
      <c r="R61" s="105">
        <v>4</v>
      </c>
      <c r="S61" s="106"/>
      <c r="T61" s="107" t="str">
        <f t="shared" si="100"/>
        <v/>
      </c>
      <c r="U61" s="114"/>
      <c r="V61" s="114"/>
      <c r="W61" s="115" t="str">
        <f t="shared" si="96"/>
        <v/>
      </c>
      <c r="X61" s="114"/>
      <c r="Y61" s="114"/>
      <c r="Z61" s="114"/>
      <c r="AA61" s="108" t="str">
        <f t="shared" ref="AA61:AA63" si="103">IFERROR(IF(AND(T60="Probabilidad",T61="Probabilidad"),(AC60-(+AC60*W61)),IF(AND(T60="Impacto",T61="Probabilidad"),(AC59-(+AC59*W61)),IF(T61="Impacto",AC60,""))),"")</f>
        <v/>
      </c>
      <c r="AB61" s="118" t="str">
        <f t="shared" si="97"/>
        <v/>
      </c>
      <c r="AC61" s="119" t="str">
        <f t="shared" si="101"/>
        <v/>
      </c>
      <c r="AD61" s="118" t="str">
        <f t="shared" si="98"/>
        <v/>
      </c>
      <c r="AE61" s="119" t="str">
        <f t="shared" si="102"/>
        <v/>
      </c>
      <c r="AF61" s="120" t="str">
        <f t="shared" si="99"/>
        <v/>
      </c>
      <c r="AG61" s="121"/>
      <c r="AH61" s="109"/>
      <c r="AI61" s="110"/>
      <c r="AJ61" s="111"/>
      <c r="AK61" s="111"/>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26.25" customHeight="1">
      <c r="A62" s="382"/>
      <c r="B62" s="385"/>
      <c r="C62" s="385"/>
      <c r="D62" s="385"/>
      <c r="E62" s="123"/>
      <c r="F62" s="388"/>
      <c r="G62" s="448"/>
      <c r="H62" s="126"/>
      <c r="I62" s="385"/>
      <c r="J62" s="391"/>
      <c r="K62" s="394"/>
      <c r="L62" s="376"/>
      <c r="M62" s="397"/>
      <c r="N62" s="376">
        <f ca="1">IF(NOT(ISERROR(MATCH(M62,_xlfn.ANCHORARRAY(F73),0))),L75&amp;"Por favor no seleccionar los criterios de impacto",M62)</f>
        <v>0</v>
      </c>
      <c r="O62" s="394"/>
      <c r="P62" s="376"/>
      <c r="Q62" s="379"/>
      <c r="R62" s="105">
        <v>5</v>
      </c>
      <c r="S62" s="106"/>
      <c r="T62" s="107" t="str">
        <f t="shared" si="100"/>
        <v/>
      </c>
      <c r="U62" s="114"/>
      <c r="V62" s="114"/>
      <c r="W62" s="115" t="str">
        <f t="shared" si="96"/>
        <v/>
      </c>
      <c r="X62" s="114"/>
      <c r="Y62" s="114"/>
      <c r="Z62" s="114"/>
      <c r="AA62" s="108" t="str">
        <f t="shared" si="103"/>
        <v/>
      </c>
      <c r="AB62" s="118" t="str">
        <f t="shared" si="97"/>
        <v/>
      </c>
      <c r="AC62" s="119" t="str">
        <f t="shared" si="101"/>
        <v/>
      </c>
      <c r="AD62" s="118" t="str">
        <f t="shared" si="98"/>
        <v/>
      </c>
      <c r="AE62" s="119" t="str">
        <f t="shared" si="102"/>
        <v/>
      </c>
      <c r="AF62" s="120" t="str">
        <f t="shared" si="99"/>
        <v/>
      </c>
      <c r="AG62" s="121"/>
      <c r="AH62" s="109"/>
      <c r="AI62" s="110"/>
      <c r="AJ62" s="111"/>
      <c r="AK62" s="111"/>
      <c r="AL62" s="109"/>
      <c r="AM62" s="110"/>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ht="26.25" customHeight="1">
      <c r="A63" s="383"/>
      <c r="B63" s="386"/>
      <c r="C63" s="386"/>
      <c r="D63" s="386"/>
      <c r="E63" s="124"/>
      <c r="F63" s="389"/>
      <c r="G63" s="449"/>
      <c r="H63" s="127"/>
      <c r="I63" s="386"/>
      <c r="J63" s="392"/>
      <c r="K63" s="395"/>
      <c r="L63" s="377"/>
      <c r="M63" s="398"/>
      <c r="N63" s="377">
        <f ca="1">IF(NOT(ISERROR(MATCH(M63,_xlfn.ANCHORARRAY(F74),0))),L76&amp;"Por favor no seleccionar los criterios de impacto",M63)</f>
        <v>0</v>
      </c>
      <c r="O63" s="395"/>
      <c r="P63" s="377"/>
      <c r="Q63" s="380"/>
      <c r="R63" s="105">
        <v>6</v>
      </c>
      <c r="S63" s="106"/>
      <c r="T63" s="107" t="str">
        <f t="shared" si="100"/>
        <v/>
      </c>
      <c r="U63" s="114"/>
      <c r="V63" s="114"/>
      <c r="W63" s="115" t="str">
        <f t="shared" si="96"/>
        <v/>
      </c>
      <c r="X63" s="114"/>
      <c r="Y63" s="114"/>
      <c r="Z63" s="114"/>
      <c r="AA63" s="108" t="str">
        <f t="shared" si="103"/>
        <v/>
      </c>
      <c r="AB63" s="118" t="str">
        <f t="shared" si="97"/>
        <v/>
      </c>
      <c r="AC63" s="119" t="str">
        <f t="shared" si="101"/>
        <v/>
      </c>
      <c r="AD63" s="118" t="str">
        <f t="shared" si="98"/>
        <v/>
      </c>
      <c r="AE63" s="119" t="str">
        <f t="shared" si="102"/>
        <v/>
      </c>
      <c r="AF63" s="120" t="str">
        <f t="shared" si="99"/>
        <v/>
      </c>
      <c r="AG63" s="121"/>
      <c r="AH63" s="109"/>
      <c r="AI63" s="110"/>
      <c r="AJ63" s="111"/>
      <c r="AK63" s="111"/>
      <c r="AL63" s="109"/>
      <c r="AM63" s="110"/>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row>
    <row r="64" spans="1:71" ht="19.5" customHeight="1">
      <c r="A64" s="381">
        <v>10</v>
      </c>
      <c r="B64" s="384"/>
      <c r="C64" s="384"/>
      <c r="D64" s="384"/>
      <c r="E64" s="122"/>
      <c r="F64" s="387"/>
      <c r="G64" s="447"/>
      <c r="H64" s="125"/>
      <c r="I64" s="384"/>
      <c r="J64" s="390"/>
      <c r="K64" s="393" t="str">
        <f t="shared" ref="K64" si="104">IF(J64&lt;=0,"",IF(J64&lt;=2,"Muy Baja",IF(J64&lt;=24,"Baja",IF(J64&lt;=500,"Media",IF(J64&lt;=5000,"Alta","Muy Alta")))))</f>
        <v/>
      </c>
      <c r="L64" s="375" t="str">
        <f t="shared" ref="L64" si="105">IF(K64="","",IF(K64="Muy Baja",0.2,IF(K64="Baja",0.4,IF(K64="Media",0.6,IF(K64="Alta",0.8,IF(K64="Muy Alta",1,))))))</f>
        <v/>
      </c>
      <c r="M64" s="396"/>
      <c r="N64" s="375">
        <f ca="1">IF(NOT(ISERROR(MATCH(M64,'Tabla Impacto'!$B$221:$B$223,0))),'Tabla Impacto'!$F$223&amp;"Por favor no seleccionar los criterios de impacto(Afectación Económica o presupuestal y Pérdida Reputacional)",M64)</f>
        <v>0</v>
      </c>
      <c r="O64" s="393" t="str">
        <f ca="1">IF(OR(N64='Tabla Impacto'!$C$11,N64='Tabla Impacto'!$D$11),"Leve",IF(OR(N64='Tabla Impacto'!$C$12,N64='Tabla Impacto'!$D$12),"Menor",IF(OR(N64='Tabla Impacto'!$C$13,N64='Tabla Impacto'!$D$13),"Moderado",IF(OR(N64='Tabla Impacto'!$C$14,N64='Tabla Impacto'!$D$14),"Mayor",IF(OR(N64='Tabla Impacto'!$C$15,N64='Tabla Impacto'!$D$15),"Catastrófico","")))))</f>
        <v/>
      </c>
      <c r="P64" s="375" t="str">
        <f t="shared" ref="P64" ca="1" si="106">IF(O64="","",IF(O64="Leve",0.2,IF(O64="Menor",0.4,IF(O64="Moderado",0.6,IF(O64="Mayor",0.8,IF(O64="Catastrófico",1,))))))</f>
        <v/>
      </c>
      <c r="Q64" s="378" t="str">
        <f t="shared" ref="Q64" ca="1" si="107">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14"/>
      <c r="V64" s="114"/>
      <c r="W64" s="115" t="str">
        <f>IF(AND(U64="Preventivo",V64="Automático"),"50%",IF(AND(U64="Preventivo",V64="Manual"),"40%",IF(AND(U64="Detectivo",V64="Automático"),"40%",IF(AND(U64="Detectivo",V64="Manual"),"30%",IF(AND(U64="Correctivo",V64="Automático"),"35%",IF(AND(U64="Correctivo",V64="Manual"),"25%",""))))))</f>
        <v/>
      </c>
      <c r="X64" s="114"/>
      <c r="Y64" s="114"/>
      <c r="Z64" s="114"/>
      <c r="AA64" s="108" t="str">
        <f>IFERROR(IF(T64="Probabilidad",(L64-(+L64*W64)),IF(T64="Impacto",L64,"")),"")</f>
        <v/>
      </c>
      <c r="AB64" s="118" t="str">
        <f>IFERROR(IF(AA64="","",IF(AA64&lt;=0.2,"Muy Baja",IF(AA64&lt;=0.4,"Baja",IF(AA64&lt;=0.6,"Media",IF(AA64&lt;=0.8,"Alta","Muy Alta"))))),"")</f>
        <v/>
      </c>
      <c r="AC64" s="119" t="str">
        <f>+AA64</f>
        <v/>
      </c>
      <c r="AD64" s="118" t="str">
        <f>IFERROR(IF(AE64="","",IF(AE64&lt;=0.2,"Leve",IF(AE64&lt;=0.4,"Menor",IF(AE64&lt;=0.6,"Moderado",IF(AE64&lt;=0.8,"Mayor","Catastrófico"))))),"")</f>
        <v/>
      </c>
      <c r="AE64" s="119" t="str">
        <f>IFERROR(IF(T64="Impacto",(P64-(+P64*W64)),IF(T64="Probabilidad",P64,"")),"")</f>
        <v/>
      </c>
      <c r="AF64" s="120"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21"/>
      <c r="AH64" s="109"/>
      <c r="AI64" s="110"/>
      <c r="AJ64" s="111"/>
      <c r="AK64" s="111"/>
      <c r="AL64" s="109"/>
      <c r="AM64" s="110"/>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row>
    <row r="65" spans="1:39" ht="19.5" customHeight="1">
      <c r="A65" s="382"/>
      <c r="B65" s="385"/>
      <c r="C65" s="385"/>
      <c r="D65" s="385"/>
      <c r="E65" s="123"/>
      <c r="F65" s="388"/>
      <c r="G65" s="448"/>
      <c r="H65" s="126"/>
      <c r="I65" s="385"/>
      <c r="J65" s="391"/>
      <c r="K65" s="394"/>
      <c r="L65" s="376"/>
      <c r="M65" s="397"/>
      <c r="N65" s="376">
        <f ca="1">IF(NOT(ISERROR(MATCH(M65,_xlfn.ANCHORARRAY(F76),0))),L78&amp;"Por favor no seleccionar los criterios de impacto",M65)</f>
        <v>0</v>
      </c>
      <c r="O65" s="394"/>
      <c r="P65" s="376"/>
      <c r="Q65" s="379"/>
      <c r="R65" s="105">
        <v>2</v>
      </c>
      <c r="S65" s="106"/>
      <c r="T65" s="107" t="str">
        <f>IF(OR(U65="Preventivo",U65="Detectivo"),"Probabilidad",IF(U65="Correctivo","Impacto",""))</f>
        <v/>
      </c>
      <c r="U65" s="114"/>
      <c r="V65" s="114"/>
      <c r="W65" s="115" t="str">
        <f t="shared" ref="W65:W69" si="108">IF(AND(U65="Preventivo",V65="Automático"),"50%",IF(AND(U65="Preventivo",V65="Manual"),"40%",IF(AND(U65="Detectivo",V65="Automático"),"40%",IF(AND(U65="Detectivo",V65="Manual"),"30%",IF(AND(U65="Correctivo",V65="Automático"),"35%",IF(AND(U65="Correctivo",V65="Manual"),"25%",""))))))</f>
        <v/>
      </c>
      <c r="X65" s="114"/>
      <c r="Y65" s="114"/>
      <c r="Z65" s="114"/>
      <c r="AA65" s="108" t="str">
        <f>IFERROR(IF(AND(T64="Probabilidad",T65="Probabilidad"),(AC64-(+AC64*W65)),IF(AND(T64="Impacto",T65="Probabilidad"),(L64-(+L64*W65)),IF(T65="Impacto",AC64,""))),"")</f>
        <v/>
      </c>
      <c r="AB65" s="118" t="str">
        <f t="shared" ref="AB65:AB69" si="109">IFERROR(IF(AA65="","",IF(AA65&lt;=0.2,"Muy Baja",IF(AA65&lt;=0.4,"Baja",IF(AA65&lt;=0.6,"Media",IF(AA65&lt;=0.8,"Alta","Muy Alta"))))),"")</f>
        <v/>
      </c>
      <c r="AC65" s="119" t="str">
        <f>+AA65</f>
        <v/>
      </c>
      <c r="AD65" s="118" t="str">
        <f t="shared" ref="AD65:AD69" si="110">IFERROR(IF(AE65="","",IF(AE65&lt;=0.2,"Leve",IF(AE65&lt;=0.4,"Menor",IF(AE65&lt;=0.6,"Moderado",IF(AE65&lt;=0.8,"Mayor","Catastrófico"))))),"")</f>
        <v/>
      </c>
      <c r="AE65" s="119" t="str">
        <f>IFERROR(IF(AND(T64="Impacto",T65="Impacto"),(AE64-(+AE64*W65)),IF(AND(T64="Probabilidad",T65="Impacto"),(P64-(+P64*W65)),IF(T65="Probabilidad",AE64,""))),"")</f>
        <v/>
      </c>
      <c r="AF65" s="120" t="str">
        <f t="shared" ref="AF65:AF69" si="111">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21"/>
      <c r="AH65" s="109"/>
      <c r="AI65" s="110"/>
      <c r="AJ65" s="111"/>
      <c r="AK65" s="111"/>
      <c r="AL65" s="109"/>
      <c r="AM65" s="110"/>
    </row>
    <row r="66" spans="1:39" ht="19.5" customHeight="1">
      <c r="A66" s="382"/>
      <c r="B66" s="385"/>
      <c r="C66" s="385"/>
      <c r="D66" s="385"/>
      <c r="E66" s="123"/>
      <c r="F66" s="388"/>
      <c r="G66" s="448"/>
      <c r="H66" s="126"/>
      <c r="I66" s="385"/>
      <c r="J66" s="391"/>
      <c r="K66" s="394"/>
      <c r="L66" s="376"/>
      <c r="M66" s="397"/>
      <c r="N66" s="376">
        <f ca="1">IF(NOT(ISERROR(MATCH(M66,_xlfn.ANCHORARRAY(F77),0))),L79&amp;"Por favor no seleccionar los criterios de impacto",M66)</f>
        <v>0</v>
      </c>
      <c r="O66" s="394"/>
      <c r="P66" s="376"/>
      <c r="Q66" s="379"/>
      <c r="R66" s="105">
        <v>3</v>
      </c>
      <c r="S66" s="112"/>
      <c r="T66" s="107" t="str">
        <f t="shared" ref="T66:T69" si="112">IF(OR(U66="Preventivo",U66="Detectivo"),"Probabilidad",IF(U66="Correctivo","Impacto",""))</f>
        <v/>
      </c>
      <c r="U66" s="114"/>
      <c r="V66" s="114"/>
      <c r="W66" s="115" t="str">
        <f t="shared" si="108"/>
        <v/>
      </c>
      <c r="X66" s="114"/>
      <c r="Y66" s="114"/>
      <c r="Z66" s="114"/>
      <c r="AA66" s="108" t="str">
        <f>IFERROR(IF(AND(T65="Probabilidad",T66="Probabilidad"),(AC65-(+AC65*W66)),IF(AND(T65="Impacto",T66="Probabilidad"),(AC64-(+AC64*W66)),IF(T66="Impacto",AC65,""))),"")</f>
        <v/>
      </c>
      <c r="AB66" s="118" t="str">
        <f t="shared" si="109"/>
        <v/>
      </c>
      <c r="AC66" s="119" t="str">
        <f t="shared" ref="AC66:AC69" si="113">+AA66</f>
        <v/>
      </c>
      <c r="AD66" s="118" t="str">
        <f t="shared" si="110"/>
        <v/>
      </c>
      <c r="AE66" s="119" t="str">
        <f t="shared" ref="AE66:AE69" si="114">IFERROR(IF(AND(T65="Impacto",T66="Impacto"),(AE65-(+AE65*W66)),IF(AND(T65="Probabilidad",T66="Impacto"),(AE64-(+AE64*W66)),IF(T66="Probabilidad",AE65,""))),"")</f>
        <v/>
      </c>
      <c r="AF66" s="120" t="str">
        <f t="shared" si="111"/>
        <v/>
      </c>
      <c r="AG66" s="121"/>
      <c r="AH66" s="109"/>
      <c r="AI66" s="110"/>
      <c r="AJ66" s="111"/>
      <c r="AK66" s="111"/>
      <c r="AL66" s="109"/>
      <c r="AM66" s="110"/>
    </row>
    <row r="67" spans="1:39" ht="19.5" customHeight="1">
      <c r="A67" s="382"/>
      <c r="B67" s="385"/>
      <c r="C67" s="385"/>
      <c r="D67" s="385"/>
      <c r="E67" s="123"/>
      <c r="F67" s="388"/>
      <c r="G67" s="448"/>
      <c r="H67" s="126"/>
      <c r="I67" s="385"/>
      <c r="J67" s="391"/>
      <c r="K67" s="394"/>
      <c r="L67" s="376"/>
      <c r="M67" s="397"/>
      <c r="N67" s="376">
        <f ca="1">IF(NOT(ISERROR(MATCH(M67,_xlfn.ANCHORARRAY(F78),0))),L80&amp;"Por favor no seleccionar los criterios de impacto",M67)</f>
        <v>0</v>
      </c>
      <c r="O67" s="394"/>
      <c r="P67" s="376"/>
      <c r="Q67" s="379"/>
      <c r="R67" s="105">
        <v>4</v>
      </c>
      <c r="S67" s="106"/>
      <c r="T67" s="107" t="str">
        <f t="shared" si="112"/>
        <v/>
      </c>
      <c r="U67" s="114"/>
      <c r="V67" s="114"/>
      <c r="W67" s="115" t="str">
        <f t="shared" si="108"/>
        <v/>
      </c>
      <c r="X67" s="114"/>
      <c r="Y67" s="114"/>
      <c r="Z67" s="114"/>
      <c r="AA67" s="108" t="str">
        <f t="shared" ref="AA67:AA69" si="115">IFERROR(IF(AND(T66="Probabilidad",T67="Probabilidad"),(AC66-(+AC66*W67)),IF(AND(T66="Impacto",T67="Probabilidad"),(AC65-(+AC65*W67)),IF(T67="Impacto",AC66,""))),"")</f>
        <v/>
      </c>
      <c r="AB67" s="118" t="str">
        <f t="shared" si="109"/>
        <v/>
      </c>
      <c r="AC67" s="119" t="str">
        <f t="shared" si="113"/>
        <v/>
      </c>
      <c r="AD67" s="118" t="str">
        <f t="shared" si="110"/>
        <v/>
      </c>
      <c r="AE67" s="119" t="str">
        <f t="shared" si="114"/>
        <v/>
      </c>
      <c r="AF67" s="120" t="str">
        <f t="shared" si="111"/>
        <v/>
      </c>
      <c r="AG67" s="121"/>
      <c r="AH67" s="109"/>
      <c r="AI67" s="110"/>
      <c r="AJ67" s="111"/>
      <c r="AK67" s="111"/>
      <c r="AL67" s="109"/>
      <c r="AM67" s="110"/>
    </row>
    <row r="68" spans="1:39" ht="19.5" customHeight="1">
      <c r="A68" s="382"/>
      <c r="B68" s="385"/>
      <c r="C68" s="385"/>
      <c r="D68" s="385"/>
      <c r="E68" s="123"/>
      <c r="F68" s="388"/>
      <c r="G68" s="448"/>
      <c r="H68" s="126"/>
      <c r="I68" s="385"/>
      <c r="J68" s="391"/>
      <c r="K68" s="394"/>
      <c r="L68" s="376"/>
      <c r="M68" s="397"/>
      <c r="N68" s="376">
        <f ca="1">IF(NOT(ISERROR(MATCH(M68,_xlfn.ANCHORARRAY(F79),0))),L81&amp;"Por favor no seleccionar los criterios de impacto",M68)</f>
        <v>0</v>
      </c>
      <c r="O68" s="394"/>
      <c r="P68" s="376"/>
      <c r="Q68" s="379"/>
      <c r="R68" s="105">
        <v>5</v>
      </c>
      <c r="S68" s="106"/>
      <c r="T68" s="107" t="str">
        <f t="shared" si="112"/>
        <v/>
      </c>
      <c r="U68" s="114"/>
      <c r="V68" s="114"/>
      <c r="W68" s="115" t="str">
        <f t="shared" si="108"/>
        <v/>
      </c>
      <c r="X68" s="114"/>
      <c r="Y68" s="114"/>
      <c r="Z68" s="114"/>
      <c r="AA68" s="108" t="str">
        <f t="shared" si="115"/>
        <v/>
      </c>
      <c r="AB68" s="118" t="str">
        <f t="shared" si="109"/>
        <v/>
      </c>
      <c r="AC68" s="119" t="str">
        <f t="shared" si="113"/>
        <v/>
      </c>
      <c r="AD68" s="118" t="str">
        <f t="shared" si="110"/>
        <v/>
      </c>
      <c r="AE68" s="119" t="str">
        <f t="shared" si="114"/>
        <v/>
      </c>
      <c r="AF68" s="120" t="str">
        <f t="shared" si="111"/>
        <v/>
      </c>
      <c r="AG68" s="121"/>
      <c r="AH68" s="109"/>
      <c r="AI68" s="110"/>
      <c r="AJ68" s="111"/>
      <c r="AK68" s="111"/>
      <c r="AL68" s="109"/>
      <c r="AM68" s="110"/>
    </row>
    <row r="69" spans="1:39" ht="19.5" customHeight="1">
      <c r="A69" s="383"/>
      <c r="B69" s="386"/>
      <c r="C69" s="386"/>
      <c r="D69" s="386"/>
      <c r="E69" s="124"/>
      <c r="F69" s="389"/>
      <c r="G69" s="449"/>
      <c r="H69" s="127"/>
      <c r="I69" s="386"/>
      <c r="J69" s="392"/>
      <c r="K69" s="395"/>
      <c r="L69" s="377"/>
      <c r="M69" s="398"/>
      <c r="N69" s="377">
        <f ca="1">IF(NOT(ISERROR(MATCH(M69,_xlfn.ANCHORARRAY(F80),0))),L82&amp;"Por favor no seleccionar los criterios de impacto",M69)</f>
        <v>0</v>
      </c>
      <c r="O69" s="395"/>
      <c r="P69" s="377"/>
      <c r="Q69" s="380"/>
      <c r="R69" s="105">
        <v>6</v>
      </c>
      <c r="S69" s="106"/>
      <c r="T69" s="107" t="str">
        <f t="shared" si="112"/>
        <v/>
      </c>
      <c r="U69" s="114"/>
      <c r="V69" s="114"/>
      <c r="W69" s="115" t="str">
        <f t="shared" si="108"/>
        <v/>
      </c>
      <c r="X69" s="114"/>
      <c r="Y69" s="114"/>
      <c r="Z69" s="114"/>
      <c r="AA69" s="108" t="str">
        <f t="shared" si="115"/>
        <v/>
      </c>
      <c r="AB69" s="118" t="str">
        <f t="shared" si="109"/>
        <v/>
      </c>
      <c r="AC69" s="119" t="str">
        <f t="shared" si="113"/>
        <v/>
      </c>
      <c r="AD69" s="118" t="str">
        <f t="shared" si="110"/>
        <v/>
      </c>
      <c r="AE69" s="119" t="str">
        <f t="shared" si="114"/>
        <v/>
      </c>
      <c r="AF69" s="120" t="str">
        <f t="shared" si="111"/>
        <v/>
      </c>
      <c r="AG69" s="121"/>
      <c r="AH69" s="109"/>
      <c r="AI69" s="110"/>
      <c r="AJ69" s="111"/>
      <c r="AK69" s="111"/>
      <c r="AL69" s="109"/>
      <c r="AM69" s="110"/>
    </row>
    <row r="70" spans="1:39" ht="49.5" customHeight="1">
      <c r="A70" s="6"/>
      <c r="B70" s="372" t="s">
        <v>126</v>
      </c>
      <c r="C70" s="373"/>
      <c r="D70" s="373"/>
      <c r="E70" s="373"/>
      <c r="F70" s="373"/>
      <c r="G70" s="373"/>
      <c r="H70" s="373"/>
      <c r="I70" s="373"/>
      <c r="J70" s="373"/>
      <c r="K70" s="373"/>
      <c r="L70" s="373"/>
      <c r="M70" s="373"/>
      <c r="N70" s="373"/>
      <c r="O70" s="373"/>
      <c r="P70" s="373"/>
      <c r="Q70" s="373"/>
      <c r="R70" s="373"/>
      <c r="S70" s="373"/>
      <c r="T70" s="373"/>
      <c r="U70" s="373"/>
      <c r="V70" s="373"/>
      <c r="W70" s="373"/>
      <c r="X70" s="373"/>
      <c r="Y70" s="373"/>
      <c r="Z70" s="373"/>
      <c r="AA70" s="373"/>
      <c r="AB70" s="373"/>
      <c r="AC70" s="373"/>
      <c r="AD70" s="373"/>
      <c r="AE70" s="373"/>
      <c r="AF70" s="373"/>
      <c r="AG70" s="373"/>
      <c r="AH70" s="373"/>
      <c r="AI70" s="373"/>
      <c r="AJ70" s="373"/>
      <c r="AK70" s="373"/>
      <c r="AL70" s="373"/>
      <c r="AM70" s="374"/>
    </row>
    <row r="72" spans="1:39">
      <c r="A72" s="1"/>
      <c r="B72" s="24" t="s">
        <v>138</v>
      </c>
      <c r="C72" s="1"/>
      <c r="D72" s="1"/>
      <c r="E72" s="1"/>
      <c r="I72" s="1"/>
    </row>
  </sheetData>
  <dataConsolidate/>
  <mergeCells count="196">
    <mergeCell ref="G16:G21"/>
    <mergeCell ref="G22:G27"/>
    <mergeCell ref="G28:G33"/>
    <mergeCell ref="G34:G39"/>
    <mergeCell ref="G40:G45"/>
    <mergeCell ref="G46:G51"/>
    <mergeCell ref="G52:G57"/>
    <mergeCell ref="G58:G63"/>
    <mergeCell ref="G64:G69"/>
    <mergeCell ref="I10:I15"/>
    <mergeCell ref="J10:J15"/>
    <mergeCell ref="K10:K15"/>
    <mergeCell ref="A10:A15"/>
    <mergeCell ref="B10:B15"/>
    <mergeCell ref="C10:C15"/>
    <mergeCell ref="D10:D15"/>
    <mergeCell ref="F10:F15"/>
    <mergeCell ref="Q10:Q15"/>
    <mergeCell ref="L10:L15"/>
    <mergeCell ref="M10:M15"/>
    <mergeCell ref="N10:N15"/>
    <mergeCell ref="O10:O15"/>
    <mergeCell ref="P10:P15"/>
    <mergeCell ref="H10:H15"/>
    <mergeCell ref="G10:G15"/>
    <mergeCell ref="AC8:AC9"/>
    <mergeCell ref="J8:J9"/>
    <mergeCell ref="K8:K9"/>
    <mergeCell ref="L8:L9"/>
    <mergeCell ref="O8:O9"/>
    <mergeCell ref="P8:P9"/>
    <mergeCell ref="B8:B9"/>
    <mergeCell ref="Q8:Q9"/>
    <mergeCell ref="M8:M9"/>
    <mergeCell ref="N8:N9"/>
    <mergeCell ref="T8:T9"/>
    <mergeCell ref="U8:Z8"/>
    <mergeCell ref="E8:E9"/>
    <mergeCell ref="D16:D21"/>
    <mergeCell ref="F16:F21"/>
    <mergeCell ref="AH8:AH9"/>
    <mergeCell ref="AM8:AM9"/>
    <mergeCell ref="AL8:AL9"/>
    <mergeCell ref="AK8:AK9"/>
    <mergeCell ref="AJ8:AJ9"/>
    <mergeCell ref="AI8:AI9"/>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N16:N21"/>
    <mergeCell ref="O16:O21"/>
    <mergeCell ref="P16:P21"/>
    <mergeCell ref="Q16:Q21"/>
    <mergeCell ref="A22:A27"/>
    <mergeCell ref="B22:B27"/>
    <mergeCell ref="C22:C27"/>
    <mergeCell ref="D22:D27"/>
    <mergeCell ref="F22:F27"/>
    <mergeCell ref="I22:I27"/>
    <mergeCell ref="J22:J27"/>
    <mergeCell ref="K22:K27"/>
    <mergeCell ref="L22:L27"/>
    <mergeCell ref="M22:M27"/>
    <mergeCell ref="N22:N27"/>
    <mergeCell ref="O22:O27"/>
    <mergeCell ref="I16:I21"/>
    <mergeCell ref="J16:J21"/>
    <mergeCell ref="K16:K21"/>
    <mergeCell ref="L16:L21"/>
    <mergeCell ref="M16:M21"/>
    <mergeCell ref="A16:A21"/>
    <mergeCell ref="B16:B21"/>
    <mergeCell ref="C16:C21"/>
    <mergeCell ref="P22:P27"/>
    <mergeCell ref="Q22:Q27"/>
    <mergeCell ref="A28:A33"/>
    <mergeCell ref="B28:B33"/>
    <mergeCell ref="C28:C33"/>
    <mergeCell ref="D28:D33"/>
    <mergeCell ref="F28:F33"/>
    <mergeCell ref="I28:I33"/>
    <mergeCell ref="J28:J33"/>
    <mergeCell ref="K28:K33"/>
    <mergeCell ref="L28:L33"/>
    <mergeCell ref="M28:M33"/>
    <mergeCell ref="N28:N33"/>
    <mergeCell ref="O28:O33"/>
    <mergeCell ref="P28:P33"/>
    <mergeCell ref="Q28:Q33"/>
    <mergeCell ref="P34:P39"/>
    <mergeCell ref="Q34:Q39"/>
    <mergeCell ref="P40:P45"/>
    <mergeCell ref="Q40:Q45"/>
    <mergeCell ref="M46:M51"/>
    <mergeCell ref="N46:N51"/>
    <mergeCell ref="O46:O51"/>
    <mergeCell ref="A34:A39"/>
    <mergeCell ref="B34:B39"/>
    <mergeCell ref="C34:C39"/>
    <mergeCell ref="A40:A45"/>
    <mergeCell ref="B40:B45"/>
    <mergeCell ref="C40:C45"/>
    <mergeCell ref="D40:D45"/>
    <mergeCell ref="F40:F45"/>
    <mergeCell ref="I40:I45"/>
    <mergeCell ref="D34:D39"/>
    <mergeCell ref="F34:F39"/>
    <mergeCell ref="M40:M45"/>
    <mergeCell ref="N40:N45"/>
    <mergeCell ref="O40:O45"/>
    <mergeCell ref="I34:I39"/>
    <mergeCell ref="J34:J39"/>
    <mergeCell ref="K34:K39"/>
    <mergeCell ref="L34:L39"/>
    <mergeCell ref="M34:M39"/>
    <mergeCell ref="J40:J45"/>
    <mergeCell ref="K40:K45"/>
    <mergeCell ref="L40:L45"/>
    <mergeCell ref="N34:N39"/>
    <mergeCell ref="O34:O39"/>
    <mergeCell ref="A52:A57"/>
    <mergeCell ref="B52:B57"/>
    <mergeCell ref="C52:C57"/>
    <mergeCell ref="D52:D57"/>
    <mergeCell ref="F52:F57"/>
    <mergeCell ref="A46:A51"/>
    <mergeCell ref="B46:B51"/>
    <mergeCell ref="C46:C51"/>
    <mergeCell ref="D46:D51"/>
    <mergeCell ref="F46:F51"/>
    <mergeCell ref="F58:F63"/>
    <mergeCell ref="I58:I63"/>
    <mergeCell ref="J58:J63"/>
    <mergeCell ref="K58:K63"/>
    <mergeCell ref="L58:L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B70:AM70"/>
    <mergeCell ref="P58:P63"/>
    <mergeCell ref="Q58:Q63"/>
    <mergeCell ref="A64:A69"/>
    <mergeCell ref="B64:B69"/>
    <mergeCell ref="C64:C69"/>
    <mergeCell ref="D64:D69"/>
    <mergeCell ref="F64:F69"/>
    <mergeCell ref="I64:I69"/>
    <mergeCell ref="J64:J69"/>
    <mergeCell ref="K64:K69"/>
    <mergeCell ref="L64:L69"/>
    <mergeCell ref="M64:M69"/>
    <mergeCell ref="N64:N69"/>
    <mergeCell ref="O64:O69"/>
    <mergeCell ref="P64:P69"/>
    <mergeCell ref="Q64:Q69"/>
    <mergeCell ref="M58:M63"/>
    <mergeCell ref="N58:N63"/>
    <mergeCell ref="O58:O63"/>
    <mergeCell ref="A58:A63"/>
    <mergeCell ref="B58:B63"/>
    <mergeCell ref="C58:C63"/>
    <mergeCell ref="D58:D63"/>
    <mergeCell ref="C4:AM4"/>
    <mergeCell ref="C5:AM5"/>
    <mergeCell ref="C6:AM6"/>
    <mergeCell ref="A1:AM2"/>
    <mergeCell ref="A7:J7"/>
    <mergeCell ref="K7:Q7"/>
    <mergeCell ref="R7:Z7"/>
    <mergeCell ref="AA7:AG7"/>
    <mergeCell ref="AH7:AM7"/>
  </mergeCells>
  <conditionalFormatting sqref="K10 K16 K22 K28 K34 K40 K46 K52 K58 K64">
    <cfRule type="cellIs" dxfId="32" priority="645" operator="equal">
      <formula>"Muy Baja"</formula>
    </cfRule>
    <cfRule type="cellIs" dxfId="31" priority="644" operator="equal">
      <formula>"Baja"</formula>
    </cfRule>
    <cfRule type="cellIs" dxfId="30" priority="643" operator="equal">
      <formula>"Media"</formula>
    </cfRule>
    <cfRule type="cellIs" dxfId="29" priority="642" operator="equal">
      <formula>"Alta"</formula>
    </cfRule>
    <cfRule type="cellIs" dxfId="28" priority="641" operator="equal">
      <formula>"Muy Alta"</formula>
    </cfRule>
  </conditionalFormatting>
  <conditionalFormatting sqref="N10:N69">
    <cfRule type="containsText" dxfId="27" priority="323" operator="containsText" text="❌">
      <formula>NOT(ISERROR(SEARCH("❌",N10)))</formula>
    </cfRule>
  </conditionalFormatting>
  <conditionalFormatting sqref="O10 O16 O22 O28 O34 O40 O46 O52 O58 O64">
    <cfRule type="cellIs" dxfId="26" priority="639" operator="equal">
      <formula>"Menor"</formula>
    </cfRule>
    <cfRule type="cellIs" dxfId="25" priority="640" operator="equal">
      <formula>"Leve"</formula>
    </cfRule>
    <cfRule type="cellIs" dxfId="24" priority="637" operator="equal">
      <formula>"Mayor"</formula>
    </cfRule>
    <cfRule type="cellIs" dxfId="23" priority="636" operator="equal">
      <formula>"Catastrófico"</formula>
    </cfRule>
    <cfRule type="cellIs" dxfId="22" priority="638" operator="equal">
      <formula>"Moderado"</formula>
    </cfRule>
  </conditionalFormatting>
  <conditionalFormatting sqref="Q10">
    <cfRule type="cellIs" dxfId="21" priority="634" operator="equal">
      <formula>"Moderado"</formula>
    </cfRule>
    <cfRule type="cellIs" dxfId="20" priority="633" operator="equal">
      <formula>"Alto"</formula>
    </cfRule>
    <cfRule type="cellIs" dxfId="19" priority="632" operator="equal">
      <formula>"Extremo"</formula>
    </cfRule>
    <cfRule type="cellIs" dxfId="18" priority="635" operator="equal">
      <formula>"Bajo"</formula>
    </cfRule>
  </conditionalFormatting>
  <conditionalFormatting sqref="Q16 Q22 Q28 Q34 Q40 Q46 Q52 Q58 Q64">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B10:AB69">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D10:AD69">
    <cfRule type="cellIs" dxfId="8" priority="9" operator="equal">
      <formula>"Leve"</formula>
    </cfRule>
    <cfRule type="cellIs" dxfId="7" priority="8" operator="equal">
      <formula>"Menor"</formula>
    </cfRule>
    <cfRule type="cellIs" dxfId="6" priority="7" operator="equal">
      <formula>"Moderado"</formula>
    </cfRule>
    <cfRule type="cellIs" dxfId="5" priority="6" operator="equal">
      <formula>"Mayor"</formula>
    </cfRule>
    <cfRule type="cellIs" dxfId="4" priority="5" operator="equal">
      <formula>"Catastrófico"</formula>
    </cfRule>
  </conditionalFormatting>
  <conditionalFormatting sqref="AF10:AF69">
    <cfRule type="cellIs" dxfId="3" priority="4" operator="equal">
      <formula>"Bajo"</formula>
    </cfRule>
    <cfRule type="cellIs" dxfId="2" priority="3" operator="equal">
      <formula>"Moderado"</formula>
    </cfRule>
    <cfRule type="cellIs" dxfId="1" priority="2" operator="equal">
      <formula>"Alto"</formula>
    </cfRule>
    <cfRule type="cellIs" dxfId="0" priority="1" operator="equal">
      <formula>"Extremo"</formula>
    </cfRule>
  </conditionalFormatting>
  <dataValidations count="1">
    <dataValidation type="list" allowBlank="1" showInputMessage="1" showErrorMessage="1" sqref="G10:G69" xr:uid="{00000000-0002-0000-0400-000000000000}">
      <formula1>"Gestión, FISCAL,"</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1000000}">
          <x14:formula1>
            <xm:f>'Tabla Valoración controles'!$D$4:$D$6</xm:f>
          </x14:formula1>
          <xm:sqref>U10:U69</xm:sqref>
        </x14:dataValidation>
        <x14:dataValidation type="list" allowBlank="1" showInputMessage="1" showErrorMessage="1" xr:uid="{00000000-0002-0000-0400-000002000000}">
          <x14:formula1>
            <xm:f>'Tabla Valoración controles'!$D$7:$D$8</xm:f>
          </x14:formula1>
          <xm:sqref>V10:V69</xm:sqref>
        </x14:dataValidation>
        <x14:dataValidation type="list" allowBlank="1" showInputMessage="1" showErrorMessage="1" xr:uid="{00000000-0002-0000-0400-000003000000}">
          <x14:formula1>
            <xm:f>'Tabla Valoración controles'!$D$9:$D$10</xm:f>
          </x14:formula1>
          <xm:sqref>X10:X69</xm:sqref>
        </x14:dataValidation>
        <x14:dataValidation type="list" allowBlank="1" showInputMessage="1" showErrorMessage="1" xr:uid="{00000000-0002-0000-0400-000004000000}">
          <x14:formula1>
            <xm:f>'Tabla Valoración controles'!$D$11:$D$12</xm:f>
          </x14:formula1>
          <xm:sqref>Y10:Y69</xm:sqref>
        </x14:dataValidation>
        <x14:dataValidation type="list" allowBlank="1" showInputMessage="1" showErrorMessage="1" xr:uid="{00000000-0002-0000-0400-000005000000}">
          <x14:formula1>
            <xm:f>'Opciones Tratamiento'!$B$9:$B$10</xm:f>
          </x14:formula1>
          <xm:sqref>AM10:AM11 AM13:AM14 AM16:AM17 AM19:AM20 AM22:AM23 AM25:AM26 AM28:AM29 AM31:AM32 AM34:AM35 AM37:AM38 AM40:AM41 AM43:AM44 AM46:AM47 AM49:AM50 AM52:AM53 AM55:AM56 AM58:AM59 AM61:AM62 AM64:AM65 AM67:AM68</xm:sqref>
        </x14:dataValidation>
        <x14:dataValidation type="list" allowBlank="1" showInputMessage="1" showErrorMessage="1" xr:uid="{00000000-0002-0000-0400-000006000000}">
          <x14:formula1>
            <xm:f>'Tabla Valoración controles'!$D$13:$D$14</xm:f>
          </x14:formula1>
          <xm:sqref>Z10:Z69</xm:sqref>
        </x14:dataValidation>
        <x14:dataValidation type="list" allowBlank="1" showInputMessage="1" showErrorMessage="1" xr:uid="{00000000-0002-0000-0400-000007000000}">
          <x14:formula1>
            <xm:f>'Opciones Tratamiento'!$B$13:$B$19</xm:f>
          </x14:formula1>
          <xm:sqref>I10:I69</xm:sqref>
        </x14:dataValidation>
        <x14:dataValidation type="list" allowBlank="1" showInputMessage="1" showErrorMessage="1" xr:uid="{00000000-0002-0000-0400-000008000000}">
          <x14:formula1>
            <xm:f>'Opciones Tratamiento'!$E$2:$E$4</xm:f>
          </x14:formula1>
          <xm:sqref>B10:B69</xm:sqref>
        </x14:dataValidation>
        <x14:dataValidation type="list" allowBlank="1" showInputMessage="1" showErrorMessage="1" xr:uid="{00000000-0002-0000-0400-000009000000}">
          <x14:formula1>
            <xm:f>'Opciones Tratamiento'!$B$2:$B$5</xm:f>
          </x14:formula1>
          <xm:sqref>AG10 AG12:AG16 AG18:AG22 AG24:AG28 AG30:AG34 AG36:AG40 AG42:AG46 AG48:AG52 AG54:AG58 AG60:AG64 AG66:AG69</xm:sqref>
        </x14:dataValidation>
        <x14:dataValidation type="list" allowBlank="1" showInputMessage="1" showErrorMessage="1" xr:uid="{00000000-0002-0000-0400-00000A000000}">
          <x14:formula1>
            <xm:f>'Tabla Impacto'!$F$210:$F$221</xm:f>
          </x14:formula1>
          <xm:sqref>M10:M69</xm:sqref>
        </x14:dataValidation>
        <x14:dataValidation type="custom" allowBlank="1" showInputMessage="1" showErrorMessage="1" error="Recuerde que las acciones se generan bajo la medida de mitigar el riesgo" xr:uid="{00000000-0002-0000-0400-00000B000000}">
          <x14:formula1>
            <xm:f>IF(OR(AG14='Opciones Tratamiento'!$B$2,AG14='Opciones Tratamiento'!$B$3,AG14='Opciones Tratamiento'!$B$4),ISBLANK(AG14),ISTEXT(AG14))</xm:f>
          </x14:formula1>
          <xm:sqref>AH14:AH69</xm:sqref>
        </x14:dataValidation>
        <x14:dataValidation type="custom" allowBlank="1" showInputMessage="1" showErrorMessage="1" error="Recuerde que las acciones se generan bajo la medida de mitigar el riesgo" xr:uid="{00000000-0002-0000-0400-00000C000000}">
          <x14:formula1>
            <xm:f>IF(OR(AG14='Opciones Tratamiento'!$B$2,AG14='Opciones Tratamiento'!$B$3,AG14='Opciones Tratamiento'!$B$4),ISBLANK(AG14),ISTEXT(AG14))</xm:f>
          </x14:formula1>
          <xm:sqref>AI14:AI69</xm:sqref>
        </x14:dataValidation>
        <x14:dataValidation type="custom" allowBlank="1" showInputMessage="1" showErrorMessage="1" error="Recuerde que las acciones se generan bajo la medida de mitigar el riesgo" xr:uid="{00000000-0002-0000-0400-00000D000000}">
          <x14:formula1>
            <xm:f>IF(OR(AG14='Opciones Tratamiento'!$B$2,AG14='Opciones Tratamiento'!$B$3,AG14='Opciones Tratamiento'!$B$4),ISBLANK(AG14),ISTEXT(AG14))</xm:f>
          </x14:formula1>
          <xm:sqref>AJ14:AJ69</xm:sqref>
        </x14:dataValidation>
        <x14:dataValidation type="custom" allowBlank="1" showInputMessage="1" showErrorMessage="1" error="Recuerde que las acciones se generan bajo la medida de mitigar el riesgo" xr:uid="{00000000-0002-0000-0400-00000E000000}">
          <x14:formula1>
            <xm:f>IF(OR(AG14='Opciones Tratamiento'!$B$2,AG14='Opciones Tratamiento'!$B$3,AG14='Opciones Tratamiento'!$B$4),ISBLANK(AG14),ISTEXT(AG14))</xm:f>
          </x14:formula1>
          <xm:sqref>AK14:AK69</xm:sqref>
        </x14:dataValidation>
        <x14:dataValidation type="custom" allowBlank="1" showInputMessage="1" showErrorMessage="1" error="Recuerde que las acciones se generan bajo la medida de mitigar el riesgo" xr:uid="{00000000-0002-0000-0400-00000F000000}">
          <x14:formula1>
            <xm:f>IF(OR(AG14='Opciones Tratamiento'!$B$2,AG14='Opciones Tratamiento'!$B$3,AG14='Opciones Tratamiento'!$B$4),ISBLANK(AG14),ISTEXT(AG14))</xm:f>
          </x14:formula1>
          <xm:sqref>AL14:AL69</xm:sqref>
        </x14:dataValidation>
        <x14:dataValidation type="list" allowBlank="1" showInputMessage="1" showErrorMessage="1" xr:uid="{00000000-0002-0000-0400-000010000000}">
          <x14:formula1>
            <xm:f>'/Users/nataliabulla/Documents/ALCALDIA DE IBAGUE /2024/MAPA DE RIESGOS/NUEVO FORMATO MAPA RIESGOS/C:\Users\HOME\Downloads\[Formato Matriz de Riesgos 2021 (1).xlsx]Opciones Tratamiento'!#REF!</xm:f>
          </x14:formula1>
          <xm:sqref>AG11 AG17 AG23 AG29 AG35 AG41 AG47 AG53 AG59 AG65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70" zoomScaleNormal="70" workbookViewId="0"/>
  </sheetViews>
  <sheetFormatPr baseColWidth="10" defaultRowHeight="15"/>
  <cols>
    <col min="2" max="39" width="5.6640625" customWidth="1"/>
    <col min="41" max="46" width="5.6640625" customWidth="1"/>
  </cols>
  <sheetData>
    <row r="1" spans="1:99">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c r="A2" s="67"/>
      <c r="B2" s="535" t="s">
        <v>150</v>
      </c>
      <c r="C2" s="535"/>
      <c r="D2" s="535"/>
      <c r="E2" s="535"/>
      <c r="F2" s="535"/>
      <c r="G2" s="535"/>
      <c r="H2" s="535"/>
      <c r="I2" s="535"/>
      <c r="J2" s="503" t="s">
        <v>2</v>
      </c>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c r="A3" s="67"/>
      <c r="B3" s="535"/>
      <c r="C3" s="535"/>
      <c r="D3" s="535"/>
      <c r="E3" s="535"/>
      <c r="F3" s="535"/>
      <c r="G3" s="535"/>
      <c r="H3" s="535"/>
      <c r="I3" s="535"/>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c r="A4" s="67"/>
      <c r="B4" s="535"/>
      <c r="C4" s="535"/>
      <c r="D4" s="535"/>
      <c r="E4" s="535"/>
      <c r="F4" s="535"/>
      <c r="G4" s="535"/>
      <c r="H4" s="535"/>
      <c r="I4" s="535"/>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c r="AM4" s="50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6" thickBo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c r="A6" s="67"/>
      <c r="B6" s="450" t="s">
        <v>4</v>
      </c>
      <c r="C6" s="450"/>
      <c r="D6" s="451"/>
      <c r="E6" s="488" t="s">
        <v>111</v>
      </c>
      <c r="F6" s="489"/>
      <c r="G6" s="489"/>
      <c r="H6" s="489"/>
      <c r="I6" s="490"/>
      <c r="J6" s="499" t="str">
        <f ca="1">IF(AND('Mapa final'!$K$10="Muy Alta",'Mapa final'!$O$10="Leve"),CONCATENATE("R",'Mapa final'!$A$10),"")</f>
        <v/>
      </c>
      <c r="K6" s="500"/>
      <c r="L6" s="500" t="str">
        <f ca="1">IF(AND('Mapa final'!$K$16="Muy Alta",'Mapa final'!$O$16="Leve"),CONCATENATE("R",'Mapa final'!$A$16),"")</f>
        <v/>
      </c>
      <c r="M6" s="500"/>
      <c r="N6" s="500" t="str">
        <f ca="1">IF(AND('Mapa final'!$K$22="Muy Alta",'Mapa final'!$O$22="Leve"),CONCATENATE("R",'Mapa final'!$A$22),"")</f>
        <v/>
      </c>
      <c r="O6" s="502"/>
      <c r="P6" s="499" t="str">
        <f ca="1">IF(AND('Mapa final'!$K$10="Muy Alta",'Mapa final'!$O$10="Menor"),CONCATENATE("R",'Mapa final'!$A$10),"")</f>
        <v/>
      </c>
      <c r="Q6" s="500"/>
      <c r="R6" s="500" t="str">
        <f ca="1">IF(AND('Mapa final'!$K$16="Muy Alta",'Mapa final'!$O$16="Menor"),CONCATENATE("R",'Mapa final'!$A$16),"")</f>
        <v/>
      </c>
      <c r="S6" s="500"/>
      <c r="T6" s="500" t="str">
        <f ca="1">IF(AND('Mapa final'!$K$22="Muy Alta",'Mapa final'!$O$22="Menor"),CONCATENATE("R",'Mapa final'!$A$22),"")</f>
        <v/>
      </c>
      <c r="U6" s="502"/>
      <c r="V6" s="499" t="str">
        <f ca="1">IF(AND('Mapa final'!$K$10="Muy Alta",'Mapa final'!$O$10="Moderado"),CONCATENATE("R",'Mapa final'!$A$10),"")</f>
        <v/>
      </c>
      <c r="W6" s="500"/>
      <c r="X6" s="500" t="str">
        <f ca="1">IF(AND('Mapa final'!$K$16="Muy Alta",'Mapa final'!$O$16="Moderado"),CONCATENATE("R",'Mapa final'!$A$16),"")</f>
        <v/>
      </c>
      <c r="Y6" s="500"/>
      <c r="Z6" s="500" t="str">
        <f ca="1">IF(AND('Mapa final'!$K$22="Muy Alta",'Mapa final'!$O$22="Moderado"),CONCATENATE("R",'Mapa final'!$A$22),"")</f>
        <v/>
      </c>
      <c r="AA6" s="502"/>
      <c r="AB6" s="499" t="str">
        <f ca="1">IF(AND('Mapa final'!$K$10="Muy Alta",'Mapa final'!$O$10="Mayor"),CONCATENATE("R",'Mapa final'!$A$10),"")</f>
        <v>R1</v>
      </c>
      <c r="AC6" s="500"/>
      <c r="AD6" s="500" t="str">
        <f ca="1">IF(AND('Mapa final'!$K$16="Muy Alta",'Mapa final'!$O$16="Mayor"),CONCATENATE("R",'Mapa final'!$A$16),"")</f>
        <v/>
      </c>
      <c r="AE6" s="500"/>
      <c r="AF6" s="500" t="str">
        <f ca="1">IF(AND('Mapa final'!$K$22="Muy Alta",'Mapa final'!$O$22="Mayor"),CONCATENATE("R",'Mapa final'!$A$22),"")</f>
        <v/>
      </c>
      <c r="AG6" s="502"/>
      <c r="AH6" s="514" t="str">
        <f ca="1">IF(AND('Mapa final'!$K$10="Muy Alta",'Mapa final'!$O$10="Catastrófico"),CONCATENATE("R",'Mapa final'!$A$10),"")</f>
        <v/>
      </c>
      <c r="AI6" s="515"/>
      <c r="AJ6" s="515" t="str">
        <f ca="1">IF(AND('Mapa final'!$K$16="Muy Alta",'Mapa final'!$O$16="Catastrófico"),CONCATENATE("R",'Mapa final'!$A$16),"")</f>
        <v/>
      </c>
      <c r="AK6" s="515"/>
      <c r="AL6" s="515" t="str">
        <f ca="1">IF(AND('Mapa final'!$K$22="Muy Alta",'Mapa final'!$O$22="Catastrófico"),CONCATENATE("R",'Mapa final'!$A$22),"")</f>
        <v/>
      </c>
      <c r="AM6" s="516"/>
      <c r="AO6" s="452" t="s">
        <v>78</v>
      </c>
      <c r="AP6" s="453"/>
      <c r="AQ6" s="453"/>
      <c r="AR6" s="453"/>
      <c r="AS6" s="453"/>
      <c r="AT6" s="45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c r="A7" s="67"/>
      <c r="B7" s="450"/>
      <c r="C7" s="450"/>
      <c r="D7" s="451"/>
      <c r="E7" s="491"/>
      <c r="F7" s="492"/>
      <c r="G7" s="492"/>
      <c r="H7" s="492"/>
      <c r="I7" s="493"/>
      <c r="J7" s="501"/>
      <c r="K7" s="497"/>
      <c r="L7" s="497"/>
      <c r="M7" s="497"/>
      <c r="N7" s="497"/>
      <c r="O7" s="498"/>
      <c r="P7" s="501"/>
      <c r="Q7" s="497"/>
      <c r="R7" s="497"/>
      <c r="S7" s="497"/>
      <c r="T7" s="497"/>
      <c r="U7" s="498"/>
      <c r="V7" s="501"/>
      <c r="W7" s="497"/>
      <c r="X7" s="497"/>
      <c r="Y7" s="497"/>
      <c r="Z7" s="497"/>
      <c r="AA7" s="498"/>
      <c r="AB7" s="501"/>
      <c r="AC7" s="497"/>
      <c r="AD7" s="497"/>
      <c r="AE7" s="497"/>
      <c r="AF7" s="497"/>
      <c r="AG7" s="498"/>
      <c r="AH7" s="508"/>
      <c r="AI7" s="509"/>
      <c r="AJ7" s="509"/>
      <c r="AK7" s="509"/>
      <c r="AL7" s="509"/>
      <c r="AM7" s="510"/>
      <c r="AN7" s="67"/>
      <c r="AO7" s="455"/>
      <c r="AP7" s="456"/>
      <c r="AQ7" s="456"/>
      <c r="AR7" s="456"/>
      <c r="AS7" s="456"/>
      <c r="AT7" s="45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c r="A8" s="67"/>
      <c r="B8" s="450"/>
      <c r="C8" s="450"/>
      <c r="D8" s="451"/>
      <c r="E8" s="491"/>
      <c r="F8" s="492"/>
      <c r="G8" s="492"/>
      <c r="H8" s="492"/>
      <c r="I8" s="493"/>
      <c r="J8" s="501" t="str">
        <f ca="1">IF(AND('Mapa final'!$K$28="Muy Alta",'Mapa final'!$O$28="Leve"),CONCATENATE("R",'Mapa final'!$A$28),"")</f>
        <v/>
      </c>
      <c r="K8" s="497"/>
      <c r="L8" s="497" t="str">
        <f ca="1">IF(AND('Mapa final'!$K$34="Muy Alta",'Mapa final'!$O$34="Leve"),CONCATENATE("R",'Mapa final'!$A$34),"")</f>
        <v/>
      </c>
      <c r="M8" s="497"/>
      <c r="N8" s="497" t="str">
        <f ca="1">IF(AND('Mapa final'!$K$40="Muy Alta",'Mapa final'!$O$40="Leve"),CONCATENATE("R",'Mapa final'!$A$40),"")</f>
        <v/>
      </c>
      <c r="O8" s="498"/>
      <c r="P8" s="501" t="str">
        <f ca="1">IF(AND('Mapa final'!$K$28="Muy Alta",'Mapa final'!$O$28="Menor"),CONCATENATE("R",'Mapa final'!$A$28),"")</f>
        <v/>
      </c>
      <c r="Q8" s="497"/>
      <c r="R8" s="497" t="str">
        <f ca="1">IF(AND('Mapa final'!$K$34="Muy Alta",'Mapa final'!$O$34="Menor"),CONCATENATE("R",'Mapa final'!$A$34),"")</f>
        <v/>
      </c>
      <c r="S8" s="497"/>
      <c r="T8" s="497" t="str">
        <f ca="1">IF(AND('Mapa final'!$K$40="Muy Alta",'Mapa final'!$O$40="Menor"),CONCATENATE("R",'Mapa final'!$A$40),"")</f>
        <v/>
      </c>
      <c r="U8" s="498"/>
      <c r="V8" s="501" t="str">
        <f ca="1">IF(AND('Mapa final'!$K$28="Muy Alta",'Mapa final'!$O$28="Moderado"),CONCATENATE("R",'Mapa final'!$A$28),"")</f>
        <v/>
      </c>
      <c r="W8" s="497"/>
      <c r="X8" s="497" t="str">
        <f ca="1">IF(AND('Mapa final'!$K$34="Muy Alta",'Mapa final'!$O$34="Moderado"),CONCATENATE("R",'Mapa final'!$A$34),"")</f>
        <v/>
      </c>
      <c r="Y8" s="497"/>
      <c r="Z8" s="497" t="str">
        <f ca="1">IF(AND('Mapa final'!$K$40="Muy Alta",'Mapa final'!$O$40="Moderado"),CONCATENATE("R",'Mapa final'!$A$40),"")</f>
        <v/>
      </c>
      <c r="AA8" s="498"/>
      <c r="AB8" s="501" t="str">
        <f ca="1">IF(AND('Mapa final'!$K$28="Muy Alta",'Mapa final'!$O$28="Mayor"),CONCATENATE("R",'Mapa final'!$A$28),"")</f>
        <v/>
      </c>
      <c r="AC8" s="497"/>
      <c r="AD8" s="497" t="str">
        <f ca="1">IF(AND('Mapa final'!$K$34="Muy Alta",'Mapa final'!$O$34="Mayor"),CONCATENATE("R",'Mapa final'!$A$34),"")</f>
        <v/>
      </c>
      <c r="AE8" s="497"/>
      <c r="AF8" s="497" t="str">
        <f ca="1">IF(AND('Mapa final'!$K$40="Muy Alta",'Mapa final'!$O$40="Mayor"),CONCATENATE("R",'Mapa final'!$A$40),"")</f>
        <v/>
      </c>
      <c r="AG8" s="498"/>
      <c r="AH8" s="508" t="str">
        <f ca="1">IF(AND('Mapa final'!$K$28="Muy Alta",'Mapa final'!$O$28="Catastrófico"),CONCATENATE("R",'Mapa final'!$A$28),"")</f>
        <v/>
      </c>
      <c r="AI8" s="509"/>
      <c r="AJ8" s="509" t="str">
        <f ca="1">IF(AND('Mapa final'!$K$34="Muy Alta",'Mapa final'!$O$34="Catastrófico"),CONCATENATE("R",'Mapa final'!$A$34),"")</f>
        <v/>
      </c>
      <c r="AK8" s="509"/>
      <c r="AL8" s="509" t="str">
        <f ca="1">IF(AND('Mapa final'!$K$40="Muy Alta",'Mapa final'!$O$40="Catastrófico"),CONCATENATE("R",'Mapa final'!$A$40),"")</f>
        <v/>
      </c>
      <c r="AM8" s="510"/>
      <c r="AN8" s="67"/>
      <c r="AO8" s="455"/>
      <c r="AP8" s="456"/>
      <c r="AQ8" s="456"/>
      <c r="AR8" s="456"/>
      <c r="AS8" s="456"/>
      <c r="AT8" s="45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c r="A9" s="67"/>
      <c r="B9" s="450"/>
      <c r="C9" s="450"/>
      <c r="D9" s="451"/>
      <c r="E9" s="491"/>
      <c r="F9" s="492"/>
      <c r="G9" s="492"/>
      <c r="H9" s="492"/>
      <c r="I9" s="493"/>
      <c r="J9" s="501"/>
      <c r="K9" s="497"/>
      <c r="L9" s="497"/>
      <c r="M9" s="497"/>
      <c r="N9" s="497"/>
      <c r="O9" s="498"/>
      <c r="P9" s="501"/>
      <c r="Q9" s="497"/>
      <c r="R9" s="497"/>
      <c r="S9" s="497"/>
      <c r="T9" s="497"/>
      <c r="U9" s="498"/>
      <c r="V9" s="501"/>
      <c r="W9" s="497"/>
      <c r="X9" s="497"/>
      <c r="Y9" s="497"/>
      <c r="Z9" s="497"/>
      <c r="AA9" s="498"/>
      <c r="AB9" s="501"/>
      <c r="AC9" s="497"/>
      <c r="AD9" s="497"/>
      <c r="AE9" s="497"/>
      <c r="AF9" s="497"/>
      <c r="AG9" s="498"/>
      <c r="AH9" s="508"/>
      <c r="AI9" s="509"/>
      <c r="AJ9" s="509"/>
      <c r="AK9" s="509"/>
      <c r="AL9" s="509"/>
      <c r="AM9" s="510"/>
      <c r="AN9" s="67"/>
      <c r="AO9" s="455"/>
      <c r="AP9" s="456"/>
      <c r="AQ9" s="456"/>
      <c r="AR9" s="456"/>
      <c r="AS9" s="456"/>
      <c r="AT9" s="45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c r="A10" s="67"/>
      <c r="B10" s="450"/>
      <c r="C10" s="450"/>
      <c r="D10" s="451"/>
      <c r="E10" s="491"/>
      <c r="F10" s="492"/>
      <c r="G10" s="492"/>
      <c r="H10" s="492"/>
      <c r="I10" s="493"/>
      <c r="J10" s="501" t="str">
        <f ca="1">IF(AND('Mapa final'!$K$46="Muy Alta",'Mapa final'!$O$46="Leve"),CONCATENATE("R",'Mapa final'!$A$46),"")</f>
        <v/>
      </c>
      <c r="K10" s="497"/>
      <c r="L10" s="497" t="str">
        <f ca="1">IF(AND('Mapa final'!$K$52="Muy Alta",'Mapa final'!$O$52="Leve"),CONCATENATE("R",'Mapa final'!$A$52),"")</f>
        <v/>
      </c>
      <c r="M10" s="497"/>
      <c r="N10" s="497" t="str">
        <f ca="1">IF(AND('Mapa final'!$K$58="Muy Alta",'Mapa final'!$O$58="Leve"),CONCATENATE("R",'Mapa final'!$A$58),"")</f>
        <v/>
      </c>
      <c r="O10" s="498"/>
      <c r="P10" s="501" t="str">
        <f ca="1">IF(AND('Mapa final'!$K$46="Muy Alta",'Mapa final'!$O$46="Menor"),CONCATENATE("R",'Mapa final'!$A$46),"")</f>
        <v/>
      </c>
      <c r="Q10" s="497"/>
      <c r="R10" s="497" t="str">
        <f ca="1">IF(AND('Mapa final'!$K$52="Muy Alta",'Mapa final'!$O$52="Menor"),CONCATENATE("R",'Mapa final'!$A$52),"")</f>
        <v/>
      </c>
      <c r="S10" s="497"/>
      <c r="T10" s="497" t="str">
        <f ca="1">IF(AND('Mapa final'!$K$58="Muy Alta",'Mapa final'!$O$58="Menor"),CONCATENATE("R",'Mapa final'!$A$58),"")</f>
        <v/>
      </c>
      <c r="U10" s="498"/>
      <c r="V10" s="501" t="str">
        <f ca="1">IF(AND('Mapa final'!$K$46="Muy Alta",'Mapa final'!$O$46="Moderado"),CONCATENATE("R",'Mapa final'!$A$46),"")</f>
        <v/>
      </c>
      <c r="W10" s="497"/>
      <c r="X10" s="497" t="str">
        <f ca="1">IF(AND('Mapa final'!$K$52="Muy Alta",'Mapa final'!$O$52="Moderado"),CONCATENATE("R",'Mapa final'!$A$52),"")</f>
        <v/>
      </c>
      <c r="Y10" s="497"/>
      <c r="Z10" s="497" t="str">
        <f ca="1">IF(AND('Mapa final'!$K$58="Muy Alta",'Mapa final'!$O$58="Moderado"),CONCATENATE("R",'Mapa final'!$A$58),"")</f>
        <v/>
      </c>
      <c r="AA10" s="498"/>
      <c r="AB10" s="501" t="str">
        <f ca="1">IF(AND('Mapa final'!$K$46="Muy Alta",'Mapa final'!$O$46="Mayor"),CONCATENATE("R",'Mapa final'!$A$46),"")</f>
        <v/>
      </c>
      <c r="AC10" s="497"/>
      <c r="AD10" s="497" t="str">
        <f ca="1">IF(AND('Mapa final'!$K$52="Muy Alta",'Mapa final'!$O$52="Mayor"),CONCATENATE("R",'Mapa final'!$A$52),"")</f>
        <v/>
      </c>
      <c r="AE10" s="497"/>
      <c r="AF10" s="497" t="str">
        <f ca="1">IF(AND('Mapa final'!$K$58="Muy Alta",'Mapa final'!$O$58="Mayor"),CONCATENATE("R",'Mapa final'!$A$58),"")</f>
        <v/>
      </c>
      <c r="AG10" s="498"/>
      <c r="AH10" s="508" t="str">
        <f ca="1">IF(AND('Mapa final'!$K$46="Muy Alta",'Mapa final'!$O$46="Catastrófico"),CONCATENATE("R",'Mapa final'!$A$46),"")</f>
        <v/>
      </c>
      <c r="AI10" s="509"/>
      <c r="AJ10" s="509" t="str">
        <f ca="1">IF(AND('Mapa final'!$K$52="Muy Alta",'Mapa final'!$O$52="Catastrófico"),CONCATENATE("R",'Mapa final'!$A$52),"")</f>
        <v/>
      </c>
      <c r="AK10" s="509"/>
      <c r="AL10" s="509" t="str">
        <f ca="1">IF(AND('Mapa final'!$K$58="Muy Alta",'Mapa final'!$O$58="Catastrófico"),CONCATENATE("R",'Mapa final'!$A$58),"")</f>
        <v/>
      </c>
      <c r="AM10" s="510"/>
      <c r="AN10" s="67"/>
      <c r="AO10" s="455"/>
      <c r="AP10" s="456"/>
      <c r="AQ10" s="456"/>
      <c r="AR10" s="456"/>
      <c r="AS10" s="456"/>
      <c r="AT10" s="45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c r="A11" s="67"/>
      <c r="B11" s="450"/>
      <c r="C11" s="450"/>
      <c r="D11" s="451"/>
      <c r="E11" s="491"/>
      <c r="F11" s="492"/>
      <c r="G11" s="492"/>
      <c r="H11" s="492"/>
      <c r="I11" s="493"/>
      <c r="J11" s="501"/>
      <c r="K11" s="497"/>
      <c r="L11" s="497"/>
      <c r="M11" s="497"/>
      <c r="N11" s="497"/>
      <c r="O11" s="498"/>
      <c r="P11" s="501"/>
      <c r="Q11" s="497"/>
      <c r="R11" s="497"/>
      <c r="S11" s="497"/>
      <c r="T11" s="497"/>
      <c r="U11" s="498"/>
      <c r="V11" s="501"/>
      <c r="W11" s="497"/>
      <c r="X11" s="497"/>
      <c r="Y11" s="497"/>
      <c r="Z11" s="497"/>
      <c r="AA11" s="498"/>
      <c r="AB11" s="501"/>
      <c r="AC11" s="497"/>
      <c r="AD11" s="497"/>
      <c r="AE11" s="497"/>
      <c r="AF11" s="497"/>
      <c r="AG11" s="498"/>
      <c r="AH11" s="508"/>
      <c r="AI11" s="509"/>
      <c r="AJ11" s="509"/>
      <c r="AK11" s="509"/>
      <c r="AL11" s="509"/>
      <c r="AM11" s="510"/>
      <c r="AN11" s="67"/>
      <c r="AO11" s="455"/>
      <c r="AP11" s="456"/>
      <c r="AQ11" s="456"/>
      <c r="AR11" s="456"/>
      <c r="AS11" s="456"/>
      <c r="AT11" s="45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c r="A12" s="67"/>
      <c r="B12" s="450"/>
      <c r="C12" s="450"/>
      <c r="D12" s="451"/>
      <c r="E12" s="491"/>
      <c r="F12" s="492"/>
      <c r="G12" s="492"/>
      <c r="H12" s="492"/>
      <c r="I12" s="493"/>
      <c r="J12" s="501" t="str">
        <f ca="1">IF(AND('Mapa final'!$K$64="Muy Alta",'Mapa final'!$O$64="Leve"),CONCATENATE("R",'Mapa final'!$A$64),"")</f>
        <v/>
      </c>
      <c r="K12" s="497"/>
      <c r="L12" s="497" t="str">
        <f>IF(AND('Mapa final'!$K$70="Muy Alta",'Mapa final'!$O$70="Leve"),CONCATENATE("R",'Mapa final'!$A$70),"")</f>
        <v/>
      </c>
      <c r="M12" s="497"/>
      <c r="N12" s="497" t="str">
        <f>IF(AND('Mapa final'!$K$76="Muy Alta",'Mapa final'!$O$76="Leve"),CONCATENATE("R",'Mapa final'!$A$76),"")</f>
        <v/>
      </c>
      <c r="O12" s="498"/>
      <c r="P12" s="501" t="str">
        <f ca="1">IF(AND('Mapa final'!$K$64="Muy Alta",'Mapa final'!$O$64="Menor"),CONCATENATE("R",'Mapa final'!$A$64),"")</f>
        <v/>
      </c>
      <c r="Q12" s="497"/>
      <c r="R12" s="497" t="str">
        <f>IF(AND('Mapa final'!$K$70="Muy Alta",'Mapa final'!$O$70="Menor"),CONCATENATE("R",'Mapa final'!$A$70),"")</f>
        <v/>
      </c>
      <c r="S12" s="497"/>
      <c r="T12" s="497" t="str">
        <f>IF(AND('Mapa final'!$K$76="Muy Alta",'Mapa final'!$O$76="Menor"),CONCATENATE("R",'Mapa final'!$A$76),"")</f>
        <v/>
      </c>
      <c r="U12" s="498"/>
      <c r="V12" s="501" t="str">
        <f ca="1">IF(AND('Mapa final'!$K$64="Muy Alta",'Mapa final'!$O$64="Moderado"),CONCATENATE("R",'Mapa final'!$A$64),"")</f>
        <v/>
      </c>
      <c r="W12" s="497"/>
      <c r="X12" s="497" t="str">
        <f>IF(AND('Mapa final'!$K$70="Muy Alta",'Mapa final'!$O$70="Moderado"),CONCATENATE("R",'Mapa final'!$A$70),"")</f>
        <v/>
      </c>
      <c r="Y12" s="497"/>
      <c r="Z12" s="497" t="str">
        <f>IF(AND('Mapa final'!$K$76="Muy Alta",'Mapa final'!$O$76="Moderado"),CONCATENATE("R",'Mapa final'!$A$76),"")</f>
        <v/>
      </c>
      <c r="AA12" s="498"/>
      <c r="AB12" s="501" t="str">
        <f ca="1">IF(AND('Mapa final'!$K$64="Muy Alta",'Mapa final'!$O$64="Mayor"),CONCATENATE("R",'Mapa final'!$A$64),"")</f>
        <v/>
      </c>
      <c r="AC12" s="497"/>
      <c r="AD12" s="497" t="str">
        <f>IF(AND('Mapa final'!$K$70="Muy Alta",'Mapa final'!$O$70="Mayor"),CONCATENATE("R",'Mapa final'!$A$70),"")</f>
        <v/>
      </c>
      <c r="AE12" s="497"/>
      <c r="AF12" s="497" t="str">
        <f>IF(AND('Mapa final'!$K$76="Muy Alta",'Mapa final'!$O$76="Mayor"),CONCATENATE("R",'Mapa final'!$A$76),"")</f>
        <v/>
      </c>
      <c r="AG12" s="498"/>
      <c r="AH12" s="508" t="str">
        <f ca="1">IF(AND('Mapa final'!$K$64="Muy Alta",'Mapa final'!$O$64="Catastrófico"),CONCATENATE("R",'Mapa final'!$A$64),"")</f>
        <v/>
      </c>
      <c r="AI12" s="509"/>
      <c r="AJ12" s="509" t="str">
        <f>IF(AND('Mapa final'!$K$70="Muy Alta",'Mapa final'!$O$70="Catastrófico"),CONCATENATE("R",'Mapa final'!$A$70),"")</f>
        <v/>
      </c>
      <c r="AK12" s="509"/>
      <c r="AL12" s="509" t="str">
        <f>IF(AND('Mapa final'!$K$76="Muy Alta",'Mapa final'!$O$76="Catastrófico"),CONCATENATE("R",'Mapa final'!$A$76),"")</f>
        <v/>
      </c>
      <c r="AM12" s="510"/>
      <c r="AN12" s="67"/>
      <c r="AO12" s="455"/>
      <c r="AP12" s="456"/>
      <c r="AQ12" s="456"/>
      <c r="AR12" s="456"/>
      <c r="AS12" s="456"/>
      <c r="AT12" s="45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c r="A13" s="67"/>
      <c r="B13" s="450"/>
      <c r="C13" s="450"/>
      <c r="D13" s="451"/>
      <c r="E13" s="494"/>
      <c r="F13" s="495"/>
      <c r="G13" s="495"/>
      <c r="H13" s="495"/>
      <c r="I13" s="496"/>
      <c r="J13" s="501"/>
      <c r="K13" s="497"/>
      <c r="L13" s="497"/>
      <c r="M13" s="497"/>
      <c r="N13" s="497"/>
      <c r="O13" s="498"/>
      <c r="P13" s="501"/>
      <c r="Q13" s="497"/>
      <c r="R13" s="497"/>
      <c r="S13" s="497"/>
      <c r="T13" s="497"/>
      <c r="U13" s="498"/>
      <c r="V13" s="501"/>
      <c r="W13" s="497"/>
      <c r="X13" s="497"/>
      <c r="Y13" s="497"/>
      <c r="Z13" s="497"/>
      <c r="AA13" s="498"/>
      <c r="AB13" s="501"/>
      <c r="AC13" s="497"/>
      <c r="AD13" s="497"/>
      <c r="AE13" s="497"/>
      <c r="AF13" s="497"/>
      <c r="AG13" s="498"/>
      <c r="AH13" s="511"/>
      <c r="AI13" s="512"/>
      <c r="AJ13" s="512"/>
      <c r="AK13" s="512"/>
      <c r="AL13" s="512"/>
      <c r="AM13" s="513"/>
      <c r="AN13" s="67"/>
      <c r="AO13" s="458"/>
      <c r="AP13" s="459"/>
      <c r="AQ13" s="459"/>
      <c r="AR13" s="459"/>
      <c r="AS13" s="459"/>
      <c r="AT13" s="46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c r="A14" s="67"/>
      <c r="B14" s="450"/>
      <c r="C14" s="450"/>
      <c r="D14" s="451"/>
      <c r="E14" s="488" t="s">
        <v>110</v>
      </c>
      <c r="F14" s="489"/>
      <c r="G14" s="489"/>
      <c r="H14" s="489"/>
      <c r="I14" s="489"/>
      <c r="J14" s="523" t="str">
        <f ca="1">IF(AND('Mapa final'!$K$10="Alta",'Mapa final'!$O$10="Leve"),CONCATENATE("R",'Mapa final'!$A$10),"")</f>
        <v/>
      </c>
      <c r="K14" s="524"/>
      <c r="L14" s="524" t="str">
        <f ca="1">IF(AND('Mapa final'!$K$16="Alta",'Mapa final'!$O$16="Leve"),CONCATENATE("R",'Mapa final'!$A$16),"")</f>
        <v/>
      </c>
      <c r="M14" s="524"/>
      <c r="N14" s="524" t="str">
        <f ca="1">IF(AND('Mapa final'!$K$22="Alta",'Mapa final'!$O$22="Leve"),CONCATENATE("R",'Mapa final'!$A$22),"")</f>
        <v/>
      </c>
      <c r="O14" s="525"/>
      <c r="P14" s="523" t="str">
        <f ca="1">IF(AND('Mapa final'!$K$10="Alta",'Mapa final'!$O$10="Menor"),CONCATENATE("R",'Mapa final'!$A$10),"")</f>
        <v/>
      </c>
      <c r="Q14" s="524"/>
      <c r="R14" s="524" t="str">
        <f ca="1">IF(AND('Mapa final'!$K$16="Alta",'Mapa final'!$O$16="Menor"),CONCATENATE("R",'Mapa final'!$A$16),"")</f>
        <v/>
      </c>
      <c r="S14" s="524"/>
      <c r="T14" s="524" t="str">
        <f ca="1">IF(AND('Mapa final'!$K$22="Alta",'Mapa final'!$O$22="Menor"),CONCATENATE("R",'Mapa final'!$A$22),"")</f>
        <v/>
      </c>
      <c r="U14" s="525"/>
      <c r="V14" s="499" t="str">
        <f ca="1">IF(AND('Mapa final'!$K$10="Alta",'Mapa final'!$O$10="Moderado"),CONCATENATE("R",'Mapa final'!$A$10),"")</f>
        <v/>
      </c>
      <c r="W14" s="500"/>
      <c r="X14" s="500" t="str">
        <f ca="1">IF(AND('Mapa final'!$K$16="Alta",'Mapa final'!$O$16="Moderado"),CONCATENATE("R",'Mapa final'!$A$16),"")</f>
        <v/>
      </c>
      <c r="Y14" s="500"/>
      <c r="Z14" s="500" t="str">
        <f ca="1">IF(AND('Mapa final'!$K$22="Alta",'Mapa final'!$O$22="Moderado"),CONCATENATE("R",'Mapa final'!$A$22),"")</f>
        <v/>
      </c>
      <c r="AA14" s="502"/>
      <c r="AB14" s="499" t="str">
        <f ca="1">IF(AND('Mapa final'!$K$10="Alta",'Mapa final'!$O$10="Mayor"),CONCATENATE("R",'Mapa final'!$A$10),"")</f>
        <v/>
      </c>
      <c r="AC14" s="500"/>
      <c r="AD14" s="500" t="str">
        <f ca="1">IF(AND('Mapa final'!$K$16="Alta",'Mapa final'!$O$16="Mayor"),CONCATENATE("R",'Mapa final'!$A$16),"")</f>
        <v/>
      </c>
      <c r="AE14" s="500"/>
      <c r="AF14" s="500" t="str">
        <f ca="1">IF(AND('Mapa final'!$K$22="Alta",'Mapa final'!$O$22="Mayor"),CONCATENATE("R",'Mapa final'!$A$22),"")</f>
        <v/>
      </c>
      <c r="AG14" s="502"/>
      <c r="AH14" s="514" t="str">
        <f ca="1">IF(AND('Mapa final'!$K$10="Alta",'Mapa final'!$O$10="Catastrófico"),CONCATENATE("R",'Mapa final'!$A$10),"")</f>
        <v/>
      </c>
      <c r="AI14" s="515"/>
      <c r="AJ14" s="515" t="str">
        <f ca="1">IF(AND('Mapa final'!$K$16="Alta",'Mapa final'!$O$16="Catastrófico"),CONCATENATE("R",'Mapa final'!$A$16),"")</f>
        <v/>
      </c>
      <c r="AK14" s="515"/>
      <c r="AL14" s="515" t="str">
        <f ca="1">IF(AND('Mapa final'!$K$22="Alta",'Mapa final'!$O$22="Catastrófico"),CONCATENATE("R",'Mapa final'!$A$22),"")</f>
        <v/>
      </c>
      <c r="AM14" s="516"/>
      <c r="AN14" s="67"/>
      <c r="AO14" s="461" t="s">
        <v>79</v>
      </c>
      <c r="AP14" s="462"/>
      <c r="AQ14" s="462"/>
      <c r="AR14" s="462"/>
      <c r="AS14" s="462"/>
      <c r="AT14" s="463"/>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c r="A15" s="67"/>
      <c r="B15" s="450"/>
      <c r="C15" s="450"/>
      <c r="D15" s="451"/>
      <c r="E15" s="491"/>
      <c r="F15" s="492"/>
      <c r="G15" s="492"/>
      <c r="H15" s="492"/>
      <c r="I15" s="492"/>
      <c r="J15" s="517"/>
      <c r="K15" s="518"/>
      <c r="L15" s="518"/>
      <c r="M15" s="518"/>
      <c r="N15" s="518"/>
      <c r="O15" s="519"/>
      <c r="P15" s="517"/>
      <c r="Q15" s="518"/>
      <c r="R15" s="518"/>
      <c r="S15" s="518"/>
      <c r="T15" s="518"/>
      <c r="U15" s="519"/>
      <c r="V15" s="501"/>
      <c r="W15" s="497"/>
      <c r="X15" s="497"/>
      <c r="Y15" s="497"/>
      <c r="Z15" s="497"/>
      <c r="AA15" s="498"/>
      <c r="AB15" s="501"/>
      <c r="AC15" s="497"/>
      <c r="AD15" s="497"/>
      <c r="AE15" s="497"/>
      <c r="AF15" s="497"/>
      <c r="AG15" s="498"/>
      <c r="AH15" s="508"/>
      <c r="AI15" s="509"/>
      <c r="AJ15" s="509"/>
      <c r="AK15" s="509"/>
      <c r="AL15" s="509"/>
      <c r="AM15" s="510"/>
      <c r="AN15" s="67"/>
      <c r="AO15" s="464"/>
      <c r="AP15" s="465"/>
      <c r="AQ15" s="465"/>
      <c r="AR15" s="465"/>
      <c r="AS15" s="465"/>
      <c r="AT15" s="466"/>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c r="A16" s="67"/>
      <c r="B16" s="450"/>
      <c r="C16" s="450"/>
      <c r="D16" s="451"/>
      <c r="E16" s="491"/>
      <c r="F16" s="492"/>
      <c r="G16" s="492"/>
      <c r="H16" s="492"/>
      <c r="I16" s="492"/>
      <c r="J16" s="517" t="str">
        <f ca="1">IF(AND('Mapa final'!$K$28="Alta",'Mapa final'!$O$28="Leve"),CONCATENATE("R",'Mapa final'!$A$28),"")</f>
        <v/>
      </c>
      <c r="K16" s="518"/>
      <c r="L16" s="518" t="str">
        <f ca="1">IF(AND('Mapa final'!$K$34="Alta",'Mapa final'!$O$34="Leve"),CONCATENATE("R",'Mapa final'!$A$34),"")</f>
        <v/>
      </c>
      <c r="M16" s="518"/>
      <c r="N16" s="518" t="str">
        <f ca="1">IF(AND('Mapa final'!$K$40="Alta",'Mapa final'!$O$40="Leve"),CONCATENATE("R",'Mapa final'!$A$40),"")</f>
        <v/>
      </c>
      <c r="O16" s="519"/>
      <c r="P16" s="517" t="str">
        <f ca="1">IF(AND('Mapa final'!$K$28="Alta",'Mapa final'!$O$28="Menor"),CONCATENATE("R",'Mapa final'!$A$28),"")</f>
        <v/>
      </c>
      <c r="Q16" s="518"/>
      <c r="R16" s="518" t="str">
        <f ca="1">IF(AND('Mapa final'!$K$34="Alta",'Mapa final'!$O$34="Menor"),CONCATENATE("R",'Mapa final'!$A$34),"")</f>
        <v/>
      </c>
      <c r="S16" s="518"/>
      <c r="T16" s="518" t="str">
        <f ca="1">IF(AND('Mapa final'!$K$40="Alta",'Mapa final'!$O$40="Menor"),CONCATENATE("R",'Mapa final'!$A$40),"")</f>
        <v/>
      </c>
      <c r="U16" s="519"/>
      <c r="V16" s="501" t="str">
        <f ca="1">IF(AND('Mapa final'!$K$28="Alta",'Mapa final'!$O$28="Moderado"),CONCATENATE("R",'Mapa final'!$A$28),"")</f>
        <v/>
      </c>
      <c r="W16" s="497"/>
      <c r="X16" s="497" t="str">
        <f ca="1">IF(AND('Mapa final'!$K$34="Alta",'Mapa final'!$O$34="Moderado"),CONCATENATE("R",'Mapa final'!$A$34),"")</f>
        <v/>
      </c>
      <c r="Y16" s="497"/>
      <c r="Z16" s="497" t="str">
        <f ca="1">IF(AND('Mapa final'!$K$40="Alta",'Mapa final'!$O$40="Moderado"),CONCATENATE("R",'Mapa final'!$A$40),"")</f>
        <v/>
      </c>
      <c r="AA16" s="498"/>
      <c r="AB16" s="501" t="str">
        <f ca="1">IF(AND('Mapa final'!$K$28="Alta",'Mapa final'!$O$28="Mayor"),CONCATENATE("R",'Mapa final'!$A$28),"")</f>
        <v/>
      </c>
      <c r="AC16" s="497"/>
      <c r="AD16" s="497" t="str">
        <f ca="1">IF(AND('Mapa final'!$K$34="Alta",'Mapa final'!$O$34="Mayor"),CONCATENATE("R",'Mapa final'!$A$34),"")</f>
        <v/>
      </c>
      <c r="AE16" s="497"/>
      <c r="AF16" s="497" t="str">
        <f ca="1">IF(AND('Mapa final'!$K$40="Alta",'Mapa final'!$O$40="Mayor"),CONCATENATE("R",'Mapa final'!$A$40),"")</f>
        <v/>
      </c>
      <c r="AG16" s="498"/>
      <c r="AH16" s="508" t="str">
        <f ca="1">IF(AND('Mapa final'!$K$28="Alta",'Mapa final'!$O$28="Catastrófico"),CONCATENATE("R",'Mapa final'!$A$28),"")</f>
        <v/>
      </c>
      <c r="AI16" s="509"/>
      <c r="AJ16" s="509" t="str">
        <f ca="1">IF(AND('Mapa final'!$K$34="Alta",'Mapa final'!$O$34="Catastrófico"),CONCATENATE("R",'Mapa final'!$A$34),"")</f>
        <v/>
      </c>
      <c r="AK16" s="509"/>
      <c r="AL16" s="509" t="str">
        <f ca="1">IF(AND('Mapa final'!$K$40="Alta",'Mapa final'!$O$40="Catastrófico"),CONCATENATE("R",'Mapa final'!$A$40),"")</f>
        <v/>
      </c>
      <c r="AM16" s="510"/>
      <c r="AN16" s="67"/>
      <c r="AO16" s="464"/>
      <c r="AP16" s="465"/>
      <c r="AQ16" s="465"/>
      <c r="AR16" s="465"/>
      <c r="AS16" s="465"/>
      <c r="AT16" s="46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c r="A17" s="67"/>
      <c r="B17" s="450"/>
      <c r="C17" s="450"/>
      <c r="D17" s="451"/>
      <c r="E17" s="491"/>
      <c r="F17" s="492"/>
      <c r="G17" s="492"/>
      <c r="H17" s="492"/>
      <c r="I17" s="492"/>
      <c r="J17" s="517"/>
      <c r="K17" s="518"/>
      <c r="L17" s="518"/>
      <c r="M17" s="518"/>
      <c r="N17" s="518"/>
      <c r="O17" s="519"/>
      <c r="P17" s="517"/>
      <c r="Q17" s="518"/>
      <c r="R17" s="518"/>
      <c r="S17" s="518"/>
      <c r="T17" s="518"/>
      <c r="U17" s="519"/>
      <c r="V17" s="501"/>
      <c r="W17" s="497"/>
      <c r="X17" s="497"/>
      <c r="Y17" s="497"/>
      <c r="Z17" s="497"/>
      <c r="AA17" s="498"/>
      <c r="AB17" s="501"/>
      <c r="AC17" s="497"/>
      <c r="AD17" s="497"/>
      <c r="AE17" s="497"/>
      <c r="AF17" s="497"/>
      <c r="AG17" s="498"/>
      <c r="AH17" s="508"/>
      <c r="AI17" s="509"/>
      <c r="AJ17" s="509"/>
      <c r="AK17" s="509"/>
      <c r="AL17" s="509"/>
      <c r="AM17" s="510"/>
      <c r="AN17" s="67"/>
      <c r="AO17" s="464"/>
      <c r="AP17" s="465"/>
      <c r="AQ17" s="465"/>
      <c r="AR17" s="465"/>
      <c r="AS17" s="465"/>
      <c r="AT17" s="466"/>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c r="A18" s="67"/>
      <c r="B18" s="450"/>
      <c r="C18" s="450"/>
      <c r="D18" s="451"/>
      <c r="E18" s="491"/>
      <c r="F18" s="492"/>
      <c r="G18" s="492"/>
      <c r="H18" s="492"/>
      <c r="I18" s="492"/>
      <c r="J18" s="517" t="str">
        <f ca="1">IF(AND('Mapa final'!$K$46="Alta",'Mapa final'!$O$46="Leve"),CONCATENATE("R",'Mapa final'!$A$46),"")</f>
        <v/>
      </c>
      <c r="K18" s="518"/>
      <c r="L18" s="518" t="str">
        <f ca="1">IF(AND('Mapa final'!$K$52="Alta",'Mapa final'!$O$52="Leve"),CONCATENATE("R",'Mapa final'!$A$52),"")</f>
        <v/>
      </c>
      <c r="M18" s="518"/>
      <c r="N18" s="518" t="str">
        <f ca="1">IF(AND('Mapa final'!$K$58="Alta",'Mapa final'!$O$58="Leve"),CONCATENATE("R",'Mapa final'!$A$58),"")</f>
        <v/>
      </c>
      <c r="O18" s="519"/>
      <c r="P18" s="517" t="str">
        <f ca="1">IF(AND('Mapa final'!$K$46="Alta",'Mapa final'!$O$46="Menor"),CONCATENATE("R",'Mapa final'!$A$46),"")</f>
        <v/>
      </c>
      <c r="Q18" s="518"/>
      <c r="R18" s="518" t="str">
        <f ca="1">IF(AND('Mapa final'!$K$52="Alta",'Mapa final'!$O$52="Menor"),CONCATENATE("R",'Mapa final'!$A$52),"")</f>
        <v/>
      </c>
      <c r="S18" s="518"/>
      <c r="T18" s="518" t="str">
        <f ca="1">IF(AND('Mapa final'!$K$58="Alta",'Mapa final'!$O$58="Menor"),CONCATENATE("R",'Mapa final'!$A$58),"")</f>
        <v/>
      </c>
      <c r="U18" s="519"/>
      <c r="V18" s="501" t="str">
        <f ca="1">IF(AND('Mapa final'!$K$46="Alta",'Mapa final'!$O$46="Moderado"),CONCATENATE("R",'Mapa final'!$A$46),"")</f>
        <v/>
      </c>
      <c r="W18" s="497"/>
      <c r="X18" s="497" t="str">
        <f ca="1">IF(AND('Mapa final'!$K$52="Alta",'Mapa final'!$O$52="Moderado"),CONCATENATE("R",'Mapa final'!$A$52),"")</f>
        <v/>
      </c>
      <c r="Y18" s="497"/>
      <c r="Z18" s="497" t="str">
        <f ca="1">IF(AND('Mapa final'!$K$58="Alta",'Mapa final'!$O$58="Moderado"),CONCATENATE("R",'Mapa final'!$A$58),"")</f>
        <v/>
      </c>
      <c r="AA18" s="498"/>
      <c r="AB18" s="501" t="str">
        <f ca="1">IF(AND('Mapa final'!$K$46="Alta",'Mapa final'!$O$46="Mayor"),CONCATENATE("R",'Mapa final'!$A$46),"")</f>
        <v/>
      </c>
      <c r="AC18" s="497"/>
      <c r="AD18" s="497" t="str">
        <f ca="1">IF(AND('Mapa final'!$K$52="Alta",'Mapa final'!$O$52="Mayor"),CONCATENATE("R",'Mapa final'!$A$52),"")</f>
        <v/>
      </c>
      <c r="AE18" s="497"/>
      <c r="AF18" s="497" t="str">
        <f ca="1">IF(AND('Mapa final'!$K$58="Alta",'Mapa final'!$O$58="Mayor"),CONCATENATE("R",'Mapa final'!$A$58),"")</f>
        <v/>
      </c>
      <c r="AG18" s="498"/>
      <c r="AH18" s="508" t="str">
        <f ca="1">IF(AND('Mapa final'!$K$46="Alta",'Mapa final'!$O$46="Catastrófico"),CONCATENATE("R",'Mapa final'!$A$46),"")</f>
        <v/>
      </c>
      <c r="AI18" s="509"/>
      <c r="AJ18" s="509" t="str">
        <f ca="1">IF(AND('Mapa final'!$K$52="Alta",'Mapa final'!$O$52="Catastrófico"),CONCATENATE("R",'Mapa final'!$A$52),"")</f>
        <v/>
      </c>
      <c r="AK18" s="509"/>
      <c r="AL18" s="509" t="str">
        <f ca="1">IF(AND('Mapa final'!$K$58="Alta",'Mapa final'!$O$58="Catastrófico"),CONCATENATE("R",'Mapa final'!$A$58),"")</f>
        <v/>
      </c>
      <c r="AM18" s="510"/>
      <c r="AN18" s="67"/>
      <c r="AO18" s="464"/>
      <c r="AP18" s="465"/>
      <c r="AQ18" s="465"/>
      <c r="AR18" s="465"/>
      <c r="AS18" s="465"/>
      <c r="AT18" s="466"/>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c r="A19" s="67"/>
      <c r="B19" s="450"/>
      <c r="C19" s="450"/>
      <c r="D19" s="451"/>
      <c r="E19" s="491"/>
      <c r="F19" s="492"/>
      <c r="G19" s="492"/>
      <c r="H19" s="492"/>
      <c r="I19" s="492"/>
      <c r="J19" s="517"/>
      <c r="K19" s="518"/>
      <c r="L19" s="518"/>
      <c r="M19" s="518"/>
      <c r="N19" s="518"/>
      <c r="O19" s="519"/>
      <c r="P19" s="517"/>
      <c r="Q19" s="518"/>
      <c r="R19" s="518"/>
      <c r="S19" s="518"/>
      <c r="T19" s="518"/>
      <c r="U19" s="519"/>
      <c r="V19" s="501"/>
      <c r="W19" s="497"/>
      <c r="X19" s="497"/>
      <c r="Y19" s="497"/>
      <c r="Z19" s="497"/>
      <c r="AA19" s="498"/>
      <c r="AB19" s="501"/>
      <c r="AC19" s="497"/>
      <c r="AD19" s="497"/>
      <c r="AE19" s="497"/>
      <c r="AF19" s="497"/>
      <c r="AG19" s="498"/>
      <c r="AH19" s="508"/>
      <c r="AI19" s="509"/>
      <c r="AJ19" s="509"/>
      <c r="AK19" s="509"/>
      <c r="AL19" s="509"/>
      <c r="AM19" s="510"/>
      <c r="AN19" s="67"/>
      <c r="AO19" s="464"/>
      <c r="AP19" s="465"/>
      <c r="AQ19" s="465"/>
      <c r="AR19" s="465"/>
      <c r="AS19" s="465"/>
      <c r="AT19" s="466"/>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c r="A20" s="67"/>
      <c r="B20" s="450"/>
      <c r="C20" s="450"/>
      <c r="D20" s="451"/>
      <c r="E20" s="491"/>
      <c r="F20" s="492"/>
      <c r="G20" s="492"/>
      <c r="H20" s="492"/>
      <c r="I20" s="492"/>
      <c r="J20" s="517" t="str">
        <f ca="1">IF(AND('Mapa final'!$K$64="Alta",'Mapa final'!$O$64="Leve"),CONCATENATE("R",'Mapa final'!$A$64),"")</f>
        <v/>
      </c>
      <c r="K20" s="518"/>
      <c r="L20" s="518" t="str">
        <f>IF(AND('Mapa final'!$K$70="Alta",'Mapa final'!$O$70="Leve"),CONCATENATE("R",'Mapa final'!$A$70),"")</f>
        <v/>
      </c>
      <c r="M20" s="518"/>
      <c r="N20" s="518" t="str">
        <f>IF(AND('Mapa final'!$K$76="Alta",'Mapa final'!$O$76="Leve"),CONCATENATE("R",'Mapa final'!$A$76),"")</f>
        <v/>
      </c>
      <c r="O20" s="519"/>
      <c r="P20" s="517" t="str">
        <f ca="1">IF(AND('Mapa final'!$K$64="Alta",'Mapa final'!$O$64="Menor"),CONCATENATE("R",'Mapa final'!$A$64),"")</f>
        <v/>
      </c>
      <c r="Q20" s="518"/>
      <c r="R20" s="518" t="str">
        <f>IF(AND('Mapa final'!$K$70="Alta",'Mapa final'!$O$70="Menor"),CONCATENATE("R",'Mapa final'!$A$70),"")</f>
        <v/>
      </c>
      <c r="S20" s="518"/>
      <c r="T20" s="518" t="str">
        <f>IF(AND('Mapa final'!$K$76="Alta",'Mapa final'!$O$76="Menor"),CONCATENATE("R",'Mapa final'!$A$76),"")</f>
        <v/>
      </c>
      <c r="U20" s="519"/>
      <c r="V20" s="501" t="str">
        <f ca="1">IF(AND('Mapa final'!$K$64="Alta",'Mapa final'!$O$64="Moderado"),CONCATENATE("R",'Mapa final'!$A$64),"")</f>
        <v/>
      </c>
      <c r="W20" s="497"/>
      <c r="X20" s="497" t="str">
        <f>IF(AND('Mapa final'!$K$70="Alta",'Mapa final'!$O$70="Moderado"),CONCATENATE("R",'Mapa final'!$A$70),"")</f>
        <v/>
      </c>
      <c r="Y20" s="497"/>
      <c r="Z20" s="497" t="str">
        <f>IF(AND('Mapa final'!$K$76="Alta",'Mapa final'!$O$76="Moderado"),CONCATENATE("R",'Mapa final'!$A$76),"")</f>
        <v/>
      </c>
      <c r="AA20" s="498"/>
      <c r="AB20" s="501" t="str">
        <f ca="1">IF(AND('Mapa final'!$K$64="Alta",'Mapa final'!$O$64="Mayor"),CONCATENATE("R",'Mapa final'!$A$64),"")</f>
        <v/>
      </c>
      <c r="AC20" s="497"/>
      <c r="AD20" s="497" t="str">
        <f>IF(AND('Mapa final'!$K$70="Alta",'Mapa final'!$O$70="Mayor"),CONCATENATE("R",'Mapa final'!$A$70),"")</f>
        <v/>
      </c>
      <c r="AE20" s="497"/>
      <c r="AF20" s="497" t="str">
        <f>IF(AND('Mapa final'!$K$76="Alta",'Mapa final'!$O$76="Mayor"),CONCATENATE("R",'Mapa final'!$A$76),"")</f>
        <v/>
      </c>
      <c r="AG20" s="498"/>
      <c r="AH20" s="508" t="str">
        <f ca="1">IF(AND('Mapa final'!$K$64="Alta",'Mapa final'!$O$64="Catastrófico"),CONCATENATE("R",'Mapa final'!$A$64),"")</f>
        <v/>
      </c>
      <c r="AI20" s="509"/>
      <c r="AJ20" s="509" t="str">
        <f>IF(AND('Mapa final'!$K$70="Alta",'Mapa final'!$O$70="Catastrófico"),CONCATENATE("R",'Mapa final'!$A$70),"")</f>
        <v/>
      </c>
      <c r="AK20" s="509"/>
      <c r="AL20" s="509" t="str">
        <f>IF(AND('Mapa final'!$K$76="Alta",'Mapa final'!$O$76="Catastrófico"),CONCATENATE("R",'Mapa final'!$A$76),"")</f>
        <v/>
      </c>
      <c r="AM20" s="510"/>
      <c r="AN20" s="67"/>
      <c r="AO20" s="464"/>
      <c r="AP20" s="465"/>
      <c r="AQ20" s="465"/>
      <c r="AR20" s="465"/>
      <c r="AS20" s="465"/>
      <c r="AT20" s="466"/>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c r="A21" s="67"/>
      <c r="B21" s="450"/>
      <c r="C21" s="450"/>
      <c r="D21" s="451"/>
      <c r="E21" s="494"/>
      <c r="F21" s="495"/>
      <c r="G21" s="495"/>
      <c r="H21" s="495"/>
      <c r="I21" s="495"/>
      <c r="J21" s="520"/>
      <c r="K21" s="521"/>
      <c r="L21" s="521"/>
      <c r="M21" s="521"/>
      <c r="N21" s="521"/>
      <c r="O21" s="522"/>
      <c r="P21" s="520"/>
      <c r="Q21" s="521"/>
      <c r="R21" s="521"/>
      <c r="S21" s="521"/>
      <c r="T21" s="521"/>
      <c r="U21" s="522"/>
      <c r="V21" s="505"/>
      <c r="W21" s="506"/>
      <c r="X21" s="506"/>
      <c r="Y21" s="506"/>
      <c r="Z21" s="506"/>
      <c r="AA21" s="507"/>
      <c r="AB21" s="505"/>
      <c r="AC21" s="506"/>
      <c r="AD21" s="506"/>
      <c r="AE21" s="506"/>
      <c r="AF21" s="506"/>
      <c r="AG21" s="507"/>
      <c r="AH21" s="511"/>
      <c r="AI21" s="512"/>
      <c r="AJ21" s="512"/>
      <c r="AK21" s="512"/>
      <c r="AL21" s="512"/>
      <c r="AM21" s="513"/>
      <c r="AN21" s="67"/>
      <c r="AO21" s="467"/>
      <c r="AP21" s="468"/>
      <c r="AQ21" s="468"/>
      <c r="AR21" s="468"/>
      <c r="AS21" s="468"/>
      <c r="AT21" s="46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c r="A22" s="67"/>
      <c r="B22" s="450"/>
      <c r="C22" s="450"/>
      <c r="D22" s="451"/>
      <c r="E22" s="488" t="s">
        <v>112</v>
      </c>
      <c r="F22" s="489"/>
      <c r="G22" s="489"/>
      <c r="H22" s="489"/>
      <c r="I22" s="490"/>
      <c r="J22" s="523" t="str">
        <f ca="1">IF(AND('Mapa final'!$K$10="Media",'Mapa final'!$O$10="Leve"),CONCATENATE("R",'Mapa final'!$A$10),"")</f>
        <v/>
      </c>
      <c r="K22" s="524"/>
      <c r="L22" s="524" t="str">
        <f ca="1">IF(AND('Mapa final'!$K$16="Media",'Mapa final'!$O$16="Leve"),CONCATENATE("R",'Mapa final'!$A$16),"")</f>
        <v/>
      </c>
      <c r="M22" s="524"/>
      <c r="N22" s="524" t="str">
        <f ca="1">IF(AND('Mapa final'!$K$22="Media",'Mapa final'!$O$22="Leve"),CONCATENATE("R",'Mapa final'!$A$22),"")</f>
        <v/>
      </c>
      <c r="O22" s="525"/>
      <c r="P22" s="523" t="str">
        <f ca="1">IF(AND('Mapa final'!$K$10="Media",'Mapa final'!$O$10="Menor"),CONCATENATE("R",'Mapa final'!$A$10),"")</f>
        <v/>
      </c>
      <c r="Q22" s="524"/>
      <c r="R22" s="524" t="str">
        <f ca="1">IF(AND('Mapa final'!$K$16="Media",'Mapa final'!$O$16="Menor"),CONCATENATE("R",'Mapa final'!$A$16),"")</f>
        <v/>
      </c>
      <c r="S22" s="524"/>
      <c r="T22" s="524" t="str">
        <f ca="1">IF(AND('Mapa final'!$K$22="Media",'Mapa final'!$O$22="Menor"),CONCATENATE("R",'Mapa final'!$A$22),"")</f>
        <v/>
      </c>
      <c r="U22" s="525"/>
      <c r="V22" s="523" t="str">
        <f ca="1">IF(AND('Mapa final'!$K$10="Media",'Mapa final'!$O$10="Moderado"),CONCATENATE("R",'Mapa final'!$A$10),"")</f>
        <v/>
      </c>
      <c r="W22" s="524"/>
      <c r="X22" s="524" t="str">
        <f ca="1">IF(AND('Mapa final'!$K$16="Media",'Mapa final'!$O$16="Moderado"),CONCATENATE("R",'Mapa final'!$A$16),"")</f>
        <v/>
      </c>
      <c r="Y22" s="524"/>
      <c r="Z22" s="524" t="str">
        <f ca="1">IF(AND('Mapa final'!$K$22="Media",'Mapa final'!$O$22="Moderado"),CONCATENATE("R",'Mapa final'!$A$22),"")</f>
        <v/>
      </c>
      <c r="AA22" s="525"/>
      <c r="AB22" s="499" t="str">
        <f ca="1">IF(AND('Mapa final'!$K$10="Media",'Mapa final'!$O$10="Mayor"),CONCATENATE("R",'Mapa final'!$A$10),"")</f>
        <v/>
      </c>
      <c r="AC22" s="500"/>
      <c r="AD22" s="500" t="str">
        <f ca="1">IF(AND('Mapa final'!$K$16="Media",'Mapa final'!$O$16="Mayor"),CONCATENATE("R",'Mapa final'!$A$16),"")</f>
        <v/>
      </c>
      <c r="AE22" s="500"/>
      <c r="AF22" s="500" t="str">
        <f ca="1">IF(AND('Mapa final'!$K$22="Media",'Mapa final'!$O$22="Mayor"),CONCATENATE("R",'Mapa final'!$A$22),"")</f>
        <v/>
      </c>
      <c r="AG22" s="502"/>
      <c r="AH22" s="514" t="str">
        <f ca="1">IF(AND('Mapa final'!$K$10="Media",'Mapa final'!$O$10="Catastrófico"),CONCATENATE("R",'Mapa final'!$A$10),"")</f>
        <v/>
      </c>
      <c r="AI22" s="515"/>
      <c r="AJ22" s="515" t="str">
        <f ca="1">IF(AND('Mapa final'!$K$16="Media",'Mapa final'!$O$16="Catastrófico"),CONCATENATE("R",'Mapa final'!$A$16),"")</f>
        <v/>
      </c>
      <c r="AK22" s="515"/>
      <c r="AL22" s="515" t="str">
        <f ca="1">IF(AND('Mapa final'!$K$22="Media",'Mapa final'!$O$22="Catastrófico"),CONCATENATE("R",'Mapa final'!$A$22),"")</f>
        <v/>
      </c>
      <c r="AM22" s="516"/>
      <c r="AN22" s="67"/>
      <c r="AO22" s="470" t="s">
        <v>80</v>
      </c>
      <c r="AP22" s="471"/>
      <c r="AQ22" s="471"/>
      <c r="AR22" s="471"/>
      <c r="AS22" s="471"/>
      <c r="AT22" s="47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c r="A23" s="67"/>
      <c r="B23" s="450"/>
      <c r="C23" s="450"/>
      <c r="D23" s="451"/>
      <c r="E23" s="491"/>
      <c r="F23" s="492"/>
      <c r="G23" s="492"/>
      <c r="H23" s="492"/>
      <c r="I23" s="493"/>
      <c r="J23" s="517"/>
      <c r="K23" s="518"/>
      <c r="L23" s="518"/>
      <c r="M23" s="518"/>
      <c r="N23" s="518"/>
      <c r="O23" s="519"/>
      <c r="P23" s="517"/>
      <c r="Q23" s="518"/>
      <c r="R23" s="518"/>
      <c r="S23" s="518"/>
      <c r="T23" s="518"/>
      <c r="U23" s="519"/>
      <c r="V23" s="517"/>
      <c r="W23" s="518"/>
      <c r="X23" s="518"/>
      <c r="Y23" s="518"/>
      <c r="Z23" s="518"/>
      <c r="AA23" s="519"/>
      <c r="AB23" s="501"/>
      <c r="AC23" s="497"/>
      <c r="AD23" s="497"/>
      <c r="AE23" s="497"/>
      <c r="AF23" s="497"/>
      <c r="AG23" s="498"/>
      <c r="AH23" s="508"/>
      <c r="AI23" s="509"/>
      <c r="AJ23" s="509"/>
      <c r="AK23" s="509"/>
      <c r="AL23" s="509"/>
      <c r="AM23" s="510"/>
      <c r="AN23" s="67"/>
      <c r="AO23" s="473"/>
      <c r="AP23" s="474"/>
      <c r="AQ23" s="474"/>
      <c r="AR23" s="474"/>
      <c r="AS23" s="474"/>
      <c r="AT23" s="47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c r="A24" s="67"/>
      <c r="B24" s="450"/>
      <c r="C24" s="450"/>
      <c r="D24" s="451"/>
      <c r="E24" s="491"/>
      <c r="F24" s="492"/>
      <c r="G24" s="492"/>
      <c r="H24" s="492"/>
      <c r="I24" s="493"/>
      <c r="J24" s="517" t="str">
        <f ca="1">IF(AND('Mapa final'!$K$28="Media",'Mapa final'!$O$28="Leve"),CONCATENATE("R",'Mapa final'!$A$28),"")</f>
        <v/>
      </c>
      <c r="K24" s="518"/>
      <c r="L24" s="518" t="str">
        <f ca="1">IF(AND('Mapa final'!$K$34="Media",'Mapa final'!$O$34="Leve"),CONCATENATE("R",'Mapa final'!$A$34),"")</f>
        <v/>
      </c>
      <c r="M24" s="518"/>
      <c r="N24" s="518" t="str">
        <f ca="1">IF(AND('Mapa final'!$K$40="Media",'Mapa final'!$O$40="Leve"),CONCATENATE("R",'Mapa final'!$A$40),"")</f>
        <v/>
      </c>
      <c r="O24" s="519"/>
      <c r="P24" s="517" t="str">
        <f ca="1">IF(AND('Mapa final'!$K$28="Media",'Mapa final'!$O$28="Menor"),CONCATENATE("R",'Mapa final'!$A$28),"")</f>
        <v/>
      </c>
      <c r="Q24" s="518"/>
      <c r="R24" s="518" t="str">
        <f ca="1">IF(AND('Mapa final'!$K$34="Media",'Mapa final'!$O$34="Menor"),CONCATENATE("R",'Mapa final'!$A$34),"")</f>
        <v/>
      </c>
      <c r="S24" s="518"/>
      <c r="T24" s="518" t="str">
        <f ca="1">IF(AND('Mapa final'!$K$40="Media",'Mapa final'!$O$40="Menor"),CONCATENATE("R",'Mapa final'!$A$40),"")</f>
        <v/>
      </c>
      <c r="U24" s="519"/>
      <c r="V24" s="517" t="str">
        <f ca="1">IF(AND('Mapa final'!$K$28="Media",'Mapa final'!$O$28="Moderado"),CONCATENATE("R",'Mapa final'!$A$28),"")</f>
        <v/>
      </c>
      <c r="W24" s="518"/>
      <c r="X24" s="518" t="str">
        <f ca="1">IF(AND('Mapa final'!$K$34="Media",'Mapa final'!$O$34="Moderado"),CONCATENATE("R",'Mapa final'!$A$34),"")</f>
        <v/>
      </c>
      <c r="Y24" s="518"/>
      <c r="Z24" s="518" t="str">
        <f ca="1">IF(AND('Mapa final'!$K$40="Media",'Mapa final'!$O$40="Moderado"),CONCATENATE("R",'Mapa final'!$A$40),"")</f>
        <v/>
      </c>
      <c r="AA24" s="519"/>
      <c r="AB24" s="501" t="str">
        <f ca="1">IF(AND('Mapa final'!$K$28="Media",'Mapa final'!$O$28="Mayor"),CONCATENATE("R",'Mapa final'!$A$28),"")</f>
        <v/>
      </c>
      <c r="AC24" s="497"/>
      <c r="AD24" s="497" t="str">
        <f ca="1">IF(AND('Mapa final'!$K$34="Media",'Mapa final'!$O$34="Mayor"),CONCATENATE("R",'Mapa final'!$A$34),"")</f>
        <v/>
      </c>
      <c r="AE24" s="497"/>
      <c r="AF24" s="497" t="str">
        <f ca="1">IF(AND('Mapa final'!$K$40="Media",'Mapa final'!$O$40="Mayor"),CONCATENATE("R",'Mapa final'!$A$40),"")</f>
        <v/>
      </c>
      <c r="AG24" s="498"/>
      <c r="AH24" s="508" t="str">
        <f ca="1">IF(AND('Mapa final'!$K$28="Media",'Mapa final'!$O$28="Catastrófico"),CONCATENATE("R",'Mapa final'!$A$28),"")</f>
        <v/>
      </c>
      <c r="AI24" s="509"/>
      <c r="AJ24" s="509" t="str">
        <f ca="1">IF(AND('Mapa final'!$K$34="Media",'Mapa final'!$O$34="Catastrófico"),CONCATENATE("R",'Mapa final'!$A$34),"")</f>
        <v/>
      </c>
      <c r="AK24" s="509"/>
      <c r="AL24" s="509" t="str">
        <f ca="1">IF(AND('Mapa final'!$K$40="Media",'Mapa final'!$O$40="Catastrófico"),CONCATENATE("R",'Mapa final'!$A$40),"")</f>
        <v/>
      </c>
      <c r="AM24" s="510"/>
      <c r="AN24" s="67"/>
      <c r="AO24" s="473"/>
      <c r="AP24" s="474"/>
      <c r="AQ24" s="474"/>
      <c r="AR24" s="474"/>
      <c r="AS24" s="474"/>
      <c r="AT24" s="47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c r="A25" s="67"/>
      <c r="B25" s="450"/>
      <c r="C25" s="450"/>
      <c r="D25" s="451"/>
      <c r="E25" s="491"/>
      <c r="F25" s="492"/>
      <c r="G25" s="492"/>
      <c r="H25" s="492"/>
      <c r="I25" s="493"/>
      <c r="J25" s="517"/>
      <c r="K25" s="518"/>
      <c r="L25" s="518"/>
      <c r="M25" s="518"/>
      <c r="N25" s="518"/>
      <c r="O25" s="519"/>
      <c r="P25" s="517"/>
      <c r="Q25" s="518"/>
      <c r="R25" s="518"/>
      <c r="S25" s="518"/>
      <c r="T25" s="518"/>
      <c r="U25" s="519"/>
      <c r="V25" s="517"/>
      <c r="W25" s="518"/>
      <c r="X25" s="518"/>
      <c r="Y25" s="518"/>
      <c r="Z25" s="518"/>
      <c r="AA25" s="519"/>
      <c r="AB25" s="501"/>
      <c r="AC25" s="497"/>
      <c r="AD25" s="497"/>
      <c r="AE25" s="497"/>
      <c r="AF25" s="497"/>
      <c r="AG25" s="498"/>
      <c r="AH25" s="508"/>
      <c r="AI25" s="509"/>
      <c r="AJ25" s="509"/>
      <c r="AK25" s="509"/>
      <c r="AL25" s="509"/>
      <c r="AM25" s="510"/>
      <c r="AN25" s="67"/>
      <c r="AO25" s="473"/>
      <c r="AP25" s="474"/>
      <c r="AQ25" s="474"/>
      <c r="AR25" s="474"/>
      <c r="AS25" s="474"/>
      <c r="AT25" s="47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c r="A26" s="67"/>
      <c r="B26" s="450"/>
      <c r="C26" s="450"/>
      <c r="D26" s="451"/>
      <c r="E26" s="491"/>
      <c r="F26" s="492"/>
      <c r="G26" s="492"/>
      <c r="H26" s="492"/>
      <c r="I26" s="493"/>
      <c r="J26" s="517" t="str">
        <f ca="1">IF(AND('Mapa final'!$K$46="Media",'Mapa final'!$O$46="Leve"),CONCATENATE("R",'Mapa final'!$A$46),"")</f>
        <v/>
      </c>
      <c r="K26" s="518"/>
      <c r="L26" s="518" t="str">
        <f ca="1">IF(AND('Mapa final'!$K$52="Media",'Mapa final'!$O$52="Leve"),CONCATENATE("R",'Mapa final'!$A$52),"")</f>
        <v/>
      </c>
      <c r="M26" s="518"/>
      <c r="N26" s="518" t="str">
        <f ca="1">IF(AND('Mapa final'!$K$58="Media",'Mapa final'!$O$58="Leve"),CONCATENATE("R",'Mapa final'!$A$58),"")</f>
        <v/>
      </c>
      <c r="O26" s="519"/>
      <c r="P26" s="517" t="str">
        <f ca="1">IF(AND('Mapa final'!$K$46="Media",'Mapa final'!$O$46="Menor"),CONCATENATE("R",'Mapa final'!$A$46),"")</f>
        <v/>
      </c>
      <c r="Q26" s="518"/>
      <c r="R26" s="518" t="str">
        <f ca="1">IF(AND('Mapa final'!$K$52="Media",'Mapa final'!$O$52="Menor"),CONCATENATE("R",'Mapa final'!$A$52),"")</f>
        <v/>
      </c>
      <c r="S26" s="518"/>
      <c r="T26" s="518" t="str">
        <f ca="1">IF(AND('Mapa final'!$K$58="Media",'Mapa final'!$O$58="Menor"),CONCATENATE("R",'Mapa final'!$A$58),"")</f>
        <v/>
      </c>
      <c r="U26" s="519"/>
      <c r="V26" s="517" t="str">
        <f ca="1">IF(AND('Mapa final'!$K$46="Media",'Mapa final'!$O$46="Moderado"),CONCATENATE("R",'Mapa final'!$A$46),"")</f>
        <v/>
      </c>
      <c r="W26" s="518"/>
      <c r="X26" s="518" t="str">
        <f ca="1">IF(AND('Mapa final'!$K$52="Media",'Mapa final'!$O$52="Moderado"),CONCATENATE("R",'Mapa final'!$A$52),"")</f>
        <v/>
      </c>
      <c r="Y26" s="518"/>
      <c r="Z26" s="518" t="str">
        <f ca="1">IF(AND('Mapa final'!$K$58="Media",'Mapa final'!$O$58="Moderado"),CONCATENATE("R",'Mapa final'!$A$58),"")</f>
        <v/>
      </c>
      <c r="AA26" s="519"/>
      <c r="AB26" s="501" t="str">
        <f ca="1">IF(AND('Mapa final'!$K$46="Media",'Mapa final'!$O$46="Mayor"),CONCATENATE("R",'Mapa final'!$A$46),"")</f>
        <v/>
      </c>
      <c r="AC26" s="497"/>
      <c r="AD26" s="497" t="str">
        <f ca="1">IF(AND('Mapa final'!$K$52="Media",'Mapa final'!$O$52="Mayor"),CONCATENATE("R",'Mapa final'!$A$52),"")</f>
        <v/>
      </c>
      <c r="AE26" s="497"/>
      <c r="AF26" s="497" t="str">
        <f ca="1">IF(AND('Mapa final'!$K$58="Media",'Mapa final'!$O$58="Mayor"),CONCATENATE("R",'Mapa final'!$A$58),"")</f>
        <v/>
      </c>
      <c r="AG26" s="498"/>
      <c r="AH26" s="508" t="str">
        <f ca="1">IF(AND('Mapa final'!$K$46="Media",'Mapa final'!$O$46="Catastrófico"),CONCATENATE("R",'Mapa final'!$A$46),"")</f>
        <v/>
      </c>
      <c r="AI26" s="509"/>
      <c r="AJ26" s="509" t="str">
        <f ca="1">IF(AND('Mapa final'!$K$52="Media",'Mapa final'!$O$52="Catastrófico"),CONCATENATE("R",'Mapa final'!$A$52),"")</f>
        <v/>
      </c>
      <c r="AK26" s="509"/>
      <c r="AL26" s="509" t="str">
        <f ca="1">IF(AND('Mapa final'!$K$58="Media",'Mapa final'!$O$58="Catastrófico"),CONCATENATE("R",'Mapa final'!$A$58),"")</f>
        <v/>
      </c>
      <c r="AM26" s="510"/>
      <c r="AN26" s="67"/>
      <c r="AO26" s="473"/>
      <c r="AP26" s="474"/>
      <c r="AQ26" s="474"/>
      <c r="AR26" s="474"/>
      <c r="AS26" s="474"/>
      <c r="AT26" s="47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c r="A27" s="67"/>
      <c r="B27" s="450"/>
      <c r="C27" s="450"/>
      <c r="D27" s="451"/>
      <c r="E27" s="491"/>
      <c r="F27" s="492"/>
      <c r="G27" s="492"/>
      <c r="H27" s="492"/>
      <c r="I27" s="493"/>
      <c r="J27" s="517"/>
      <c r="K27" s="518"/>
      <c r="L27" s="518"/>
      <c r="M27" s="518"/>
      <c r="N27" s="518"/>
      <c r="O27" s="519"/>
      <c r="P27" s="517"/>
      <c r="Q27" s="518"/>
      <c r="R27" s="518"/>
      <c r="S27" s="518"/>
      <c r="T27" s="518"/>
      <c r="U27" s="519"/>
      <c r="V27" s="517"/>
      <c r="W27" s="518"/>
      <c r="X27" s="518"/>
      <c r="Y27" s="518"/>
      <c r="Z27" s="518"/>
      <c r="AA27" s="519"/>
      <c r="AB27" s="501"/>
      <c r="AC27" s="497"/>
      <c r="AD27" s="497"/>
      <c r="AE27" s="497"/>
      <c r="AF27" s="497"/>
      <c r="AG27" s="498"/>
      <c r="AH27" s="508"/>
      <c r="AI27" s="509"/>
      <c r="AJ27" s="509"/>
      <c r="AK27" s="509"/>
      <c r="AL27" s="509"/>
      <c r="AM27" s="510"/>
      <c r="AN27" s="67"/>
      <c r="AO27" s="473"/>
      <c r="AP27" s="474"/>
      <c r="AQ27" s="474"/>
      <c r="AR27" s="474"/>
      <c r="AS27" s="474"/>
      <c r="AT27" s="47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c r="A28" s="67"/>
      <c r="B28" s="450"/>
      <c r="C28" s="450"/>
      <c r="D28" s="451"/>
      <c r="E28" s="491"/>
      <c r="F28" s="492"/>
      <c r="G28" s="492"/>
      <c r="H28" s="492"/>
      <c r="I28" s="493"/>
      <c r="J28" s="517" t="str">
        <f ca="1">IF(AND('Mapa final'!$K$64="Media",'Mapa final'!$O$64="Leve"),CONCATENATE("R",'Mapa final'!$A$64),"")</f>
        <v/>
      </c>
      <c r="K28" s="518"/>
      <c r="L28" s="518" t="str">
        <f>IF(AND('Mapa final'!$K$70="Media",'Mapa final'!$O$70="Leve"),CONCATENATE("R",'Mapa final'!$A$70),"")</f>
        <v/>
      </c>
      <c r="M28" s="518"/>
      <c r="N28" s="518" t="str">
        <f>IF(AND('Mapa final'!$K$76="Media",'Mapa final'!$O$76="Leve"),CONCATENATE("R",'Mapa final'!$A$76),"")</f>
        <v/>
      </c>
      <c r="O28" s="519"/>
      <c r="P28" s="517" t="str">
        <f ca="1">IF(AND('Mapa final'!$K$64="Media",'Mapa final'!$O$64="Menor"),CONCATENATE("R",'Mapa final'!$A$64),"")</f>
        <v/>
      </c>
      <c r="Q28" s="518"/>
      <c r="R28" s="518" t="str">
        <f>IF(AND('Mapa final'!$K$70="Media",'Mapa final'!$O$70="Menor"),CONCATENATE("R",'Mapa final'!$A$70),"")</f>
        <v/>
      </c>
      <c r="S28" s="518"/>
      <c r="T28" s="518" t="str">
        <f>IF(AND('Mapa final'!$K$76="Media",'Mapa final'!$O$76="Menor"),CONCATENATE("R",'Mapa final'!$A$76),"")</f>
        <v/>
      </c>
      <c r="U28" s="519"/>
      <c r="V28" s="517" t="str">
        <f ca="1">IF(AND('Mapa final'!$K$64="Media",'Mapa final'!$O$64="Moderado"),CONCATENATE("R",'Mapa final'!$A$64),"")</f>
        <v/>
      </c>
      <c r="W28" s="518"/>
      <c r="X28" s="518" t="str">
        <f>IF(AND('Mapa final'!$K$70="Media",'Mapa final'!$O$70="Moderado"),CONCATENATE("R",'Mapa final'!$A$70),"")</f>
        <v/>
      </c>
      <c r="Y28" s="518"/>
      <c r="Z28" s="518" t="str">
        <f>IF(AND('Mapa final'!$K$76="Media",'Mapa final'!$O$76="Moderado"),CONCATENATE("R",'Mapa final'!$A$76),"")</f>
        <v/>
      </c>
      <c r="AA28" s="519"/>
      <c r="AB28" s="501" t="str">
        <f ca="1">IF(AND('Mapa final'!$K$64="Media",'Mapa final'!$O$64="Mayor"),CONCATENATE("R",'Mapa final'!$A$64),"")</f>
        <v/>
      </c>
      <c r="AC28" s="497"/>
      <c r="AD28" s="497" t="str">
        <f>IF(AND('Mapa final'!$K$70="Media",'Mapa final'!$O$70="Mayor"),CONCATENATE("R",'Mapa final'!$A$70),"")</f>
        <v/>
      </c>
      <c r="AE28" s="497"/>
      <c r="AF28" s="497" t="str">
        <f>IF(AND('Mapa final'!$K$76="Media",'Mapa final'!$O$76="Mayor"),CONCATENATE("R",'Mapa final'!$A$76),"")</f>
        <v/>
      </c>
      <c r="AG28" s="498"/>
      <c r="AH28" s="508" t="str">
        <f ca="1">IF(AND('Mapa final'!$K$64="Media",'Mapa final'!$O$64="Catastrófico"),CONCATENATE("R",'Mapa final'!$A$64),"")</f>
        <v/>
      </c>
      <c r="AI28" s="509"/>
      <c r="AJ28" s="509" t="str">
        <f>IF(AND('Mapa final'!$K$70="Media",'Mapa final'!$O$70="Catastrófico"),CONCATENATE("R",'Mapa final'!$A$70),"")</f>
        <v/>
      </c>
      <c r="AK28" s="509"/>
      <c r="AL28" s="509" t="str">
        <f>IF(AND('Mapa final'!$K$76="Media",'Mapa final'!$O$76="Catastrófico"),CONCATENATE("R",'Mapa final'!$A$76),"")</f>
        <v/>
      </c>
      <c r="AM28" s="510"/>
      <c r="AN28" s="67"/>
      <c r="AO28" s="473"/>
      <c r="AP28" s="474"/>
      <c r="AQ28" s="474"/>
      <c r="AR28" s="474"/>
      <c r="AS28" s="474"/>
      <c r="AT28" s="47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6" thickBot="1">
      <c r="A29" s="67"/>
      <c r="B29" s="450"/>
      <c r="C29" s="450"/>
      <c r="D29" s="451"/>
      <c r="E29" s="494"/>
      <c r="F29" s="495"/>
      <c r="G29" s="495"/>
      <c r="H29" s="495"/>
      <c r="I29" s="496"/>
      <c r="J29" s="517"/>
      <c r="K29" s="518"/>
      <c r="L29" s="518"/>
      <c r="M29" s="518"/>
      <c r="N29" s="518"/>
      <c r="O29" s="519"/>
      <c r="P29" s="520"/>
      <c r="Q29" s="521"/>
      <c r="R29" s="521"/>
      <c r="S29" s="521"/>
      <c r="T29" s="521"/>
      <c r="U29" s="522"/>
      <c r="V29" s="520"/>
      <c r="W29" s="521"/>
      <c r="X29" s="521"/>
      <c r="Y29" s="521"/>
      <c r="Z29" s="521"/>
      <c r="AA29" s="522"/>
      <c r="AB29" s="505"/>
      <c r="AC29" s="506"/>
      <c r="AD29" s="506"/>
      <c r="AE29" s="506"/>
      <c r="AF29" s="506"/>
      <c r="AG29" s="507"/>
      <c r="AH29" s="511"/>
      <c r="AI29" s="512"/>
      <c r="AJ29" s="512"/>
      <c r="AK29" s="512"/>
      <c r="AL29" s="512"/>
      <c r="AM29" s="513"/>
      <c r="AN29" s="67"/>
      <c r="AO29" s="476"/>
      <c r="AP29" s="477"/>
      <c r="AQ29" s="477"/>
      <c r="AR29" s="477"/>
      <c r="AS29" s="477"/>
      <c r="AT29" s="47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c r="A30" s="67"/>
      <c r="B30" s="450"/>
      <c r="C30" s="450"/>
      <c r="D30" s="451"/>
      <c r="E30" s="488" t="s">
        <v>109</v>
      </c>
      <c r="F30" s="489"/>
      <c r="G30" s="489"/>
      <c r="H30" s="489"/>
      <c r="I30" s="489"/>
      <c r="J30" s="532" t="str">
        <f ca="1">IF(AND('Mapa final'!$K$10="Baja",'Mapa final'!$O$10="Leve"),CONCATENATE("R",'Mapa final'!$A$10),"")</f>
        <v/>
      </c>
      <c r="K30" s="533"/>
      <c r="L30" s="533" t="str">
        <f ca="1">IF(AND('Mapa final'!$K$16="Baja",'Mapa final'!$O$16="Leve"),CONCATENATE("R",'Mapa final'!$A$16),"")</f>
        <v/>
      </c>
      <c r="M30" s="533"/>
      <c r="N30" s="533" t="str">
        <f ca="1">IF(AND('Mapa final'!$K$22="Baja",'Mapa final'!$O$22="Leve"),CONCATENATE("R",'Mapa final'!$A$22),"")</f>
        <v/>
      </c>
      <c r="O30" s="534"/>
      <c r="P30" s="524" t="str">
        <f ca="1">IF(AND('Mapa final'!$K$10="Baja",'Mapa final'!$O$10="Menor"),CONCATENATE("R",'Mapa final'!$A$10),"")</f>
        <v/>
      </c>
      <c r="Q30" s="524"/>
      <c r="R30" s="524" t="str">
        <f ca="1">IF(AND('Mapa final'!$K$16="Baja",'Mapa final'!$O$16="Menor"),CONCATENATE("R",'Mapa final'!$A$16),"")</f>
        <v/>
      </c>
      <c r="S30" s="524"/>
      <c r="T30" s="524" t="str">
        <f ca="1">IF(AND('Mapa final'!$K$22="Baja",'Mapa final'!$O$22="Menor"),CONCATENATE("R",'Mapa final'!$A$22),"")</f>
        <v/>
      </c>
      <c r="U30" s="525"/>
      <c r="V30" s="523" t="str">
        <f ca="1">IF(AND('Mapa final'!$K$10="Baja",'Mapa final'!$O$10="Moderado"),CONCATENATE("R",'Mapa final'!$A$10),"")</f>
        <v/>
      </c>
      <c r="W30" s="524"/>
      <c r="X30" s="524" t="str">
        <f ca="1">IF(AND('Mapa final'!$K$16="Baja",'Mapa final'!$O$16="Moderado"),CONCATENATE("R",'Mapa final'!$A$16),"")</f>
        <v/>
      </c>
      <c r="Y30" s="524"/>
      <c r="Z30" s="524" t="str">
        <f ca="1">IF(AND('Mapa final'!$K$22="Baja",'Mapa final'!$O$22="Moderado"),CONCATENATE("R",'Mapa final'!$A$22),"")</f>
        <v/>
      </c>
      <c r="AA30" s="525"/>
      <c r="AB30" s="499" t="str">
        <f ca="1">IF(AND('Mapa final'!$K$10="Baja",'Mapa final'!$O$10="Mayor"),CONCATENATE("R",'Mapa final'!$A$10),"")</f>
        <v/>
      </c>
      <c r="AC30" s="500"/>
      <c r="AD30" s="500" t="str">
        <f ca="1">IF(AND('Mapa final'!$K$16="Baja",'Mapa final'!$O$16="Mayor"),CONCATENATE("R",'Mapa final'!$A$16),"")</f>
        <v/>
      </c>
      <c r="AE30" s="500"/>
      <c r="AF30" s="500" t="str">
        <f ca="1">IF(AND('Mapa final'!$K$22="Baja",'Mapa final'!$O$22="Mayor"),CONCATENATE("R",'Mapa final'!$A$22),"")</f>
        <v/>
      </c>
      <c r="AG30" s="502"/>
      <c r="AH30" s="514" t="str">
        <f ca="1">IF(AND('Mapa final'!$K$10="Baja",'Mapa final'!$O$10="Catastrófico"),CONCATENATE("R",'Mapa final'!$A$10),"")</f>
        <v/>
      </c>
      <c r="AI30" s="515"/>
      <c r="AJ30" s="515" t="str">
        <f ca="1">IF(AND('Mapa final'!$K$16="Baja",'Mapa final'!$O$16="Catastrófico"),CONCATENATE("R",'Mapa final'!$A$16),"")</f>
        <v/>
      </c>
      <c r="AK30" s="515"/>
      <c r="AL30" s="515" t="str">
        <f ca="1">IF(AND('Mapa final'!$K$22="Baja",'Mapa final'!$O$22="Catastrófico"),CONCATENATE("R",'Mapa final'!$A$22),"")</f>
        <v/>
      </c>
      <c r="AM30" s="516"/>
      <c r="AN30" s="67"/>
      <c r="AO30" s="479" t="s">
        <v>81</v>
      </c>
      <c r="AP30" s="480"/>
      <c r="AQ30" s="480"/>
      <c r="AR30" s="480"/>
      <c r="AS30" s="480"/>
      <c r="AT30" s="48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c r="A31" s="67"/>
      <c r="B31" s="450"/>
      <c r="C31" s="450"/>
      <c r="D31" s="451"/>
      <c r="E31" s="491"/>
      <c r="F31" s="492"/>
      <c r="G31" s="492"/>
      <c r="H31" s="492"/>
      <c r="I31" s="492"/>
      <c r="J31" s="528"/>
      <c r="K31" s="526"/>
      <c r="L31" s="526"/>
      <c r="M31" s="526"/>
      <c r="N31" s="526"/>
      <c r="O31" s="527"/>
      <c r="P31" s="518"/>
      <c r="Q31" s="518"/>
      <c r="R31" s="518"/>
      <c r="S31" s="518"/>
      <c r="T31" s="518"/>
      <c r="U31" s="519"/>
      <c r="V31" s="517"/>
      <c r="W31" s="518"/>
      <c r="X31" s="518"/>
      <c r="Y31" s="518"/>
      <c r="Z31" s="518"/>
      <c r="AA31" s="519"/>
      <c r="AB31" s="501"/>
      <c r="AC31" s="497"/>
      <c r="AD31" s="497"/>
      <c r="AE31" s="497"/>
      <c r="AF31" s="497"/>
      <c r="AG31" s="498"/>
      <c r="AH31" s="508"/>
      <c r="AI31" s="509"/>
      <c r="AJ31" s="509"/>
      <c r="AK31" s="509"/>
      <c r="AL31" s="509"/>
      <c r="AM31" s="510"/>
      <c r="AN31" s="67"/>
      <c r="AO31" s="482"/>
      <c r="AP31" s="483"/>
      <c r="AQ31" s="483"/>
      <c r="AR31" s="483"/>
      <c r="AS31" s="483"/>
      <c r="AT31" s="484"/>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c r="A32" s="67"/>
      <c r="B32" s="450"/>
      <c r="C32" s="450"/>
      <c r="D32" s="451"/>
      <c r="E32" s="491"/>
      <c r="F32" s="492"/>
      <c r="G32" s="492"/>
      <c r="H32" s="492"/>
      <c r="I32" s="492"/>
      <c r="J32" s="528" t="str">
        <f ca="1">IF(AND('Mapa final'!$K$28="Baja",'Mapa final'!$O$28="Leve"),CONCATENATE("R",'Mapa final'!$A$28),"")</f>
        <v/>
      </c>
      <c r="K32" s="526"/>
      <c r="L32" s="526" t="str">
        <f ca="1">IF(AND('Mapa final'!$K$34="Baja",'Mapa final'!$O$34="Leve"),CONCATENATE("R",'Mapa final'!$A$34),"")</f>
        <v/>
      </c>
      <c r="M32" s="526"/>
      <c r="N32" s="526" t="str">
        <f ca="1">IF(AND('Mapa final'!$K$40="Baja",'Mapa final'!$O$40="Leve"),CONCATENATE("R",'Mapa final'!$A$40),"")</f>
        <v/>
      </c>
      <c r="O32" s="527"/>
      <c r="P32" s="518" t="str">
        <f ca="1">IF(AND('Mapa final'!$K$28="Baja",'Mapa final'!$O$28="Menor"),CONCATENATE("R",'Mapa final'!$A$28),"")</f>
        <v/>
      </c>
      <c r="Q32" s="518"/>
      <c r="R32" s="518" t="str">
        <f ca="1">IF(AND('Mapa final'!$K$34="Baja",'Mapa final'!$O$34="Menor"),CONCATENATE("R",'Mapa final'!$A$34),"")</f>
        <v/>
      </c>
      <c r="S32" s="518"/>
      <c r="T32" s="518" t="str">
        <f ca="1">IF(AND('Mapa final'!$K$40="Baja",'Mapa final'!$O$40="Menor"),CONCATENATE("R",'Mapa final'!$A$40),"")</f>
        <v/>
      </c>
      <c r="U32" s="519"/>
      <c r="V32" s="517" t="str">
        <f ca="1">IF(AND('Mapa final'!$K$28="Baja",'Mapa final'!$O$28="Moderado"),CONCATENATE("R",'Mapa final'!$A$28),"")</f>
        <v/>
      </c>
      <c r="W32" s="518"/>
      <c r="X32" s="518" t="str">
        <f ca="1">IF(AND('Mapa final'!$K$34="Baja",'Mapa final'!$O$34="Moderado"),CONCATENATE("R",'Mapa final'!$A$34),"")</f>
        <v/>
      </c>
      <c r="Y32" s="518"/>
      <c r="Z32" s="518" t="str">
        <f ca="1">IF(AND('Mapa final'!$K$40="Baja",'Mapa final'!$O$40="Moderado"),CONCATENATE("R",'Mapa final'!$A$40),"")</f>
        <v/>
      </c>
      <c r="AA32" s="519"/>
      <c r="AB32" s="501" t="str">
        <f ca="1">IF(AND('Mapa final'!$K$28="Baja",'Mapa final'!$O$28="Mayor"),CONCATENATE("R",'Mapa final'!$A$28),"")</f>
        <v/>
      </c>
      <c r="AC32" s="497"/>
      <c r="AD32" s="497" t="str">
        <f ca="1">IF(AND('Mapa final'!$K$34="Baja",'Mapa final'!$O$34="Mayor"),CONCATENATE("R",'Mapa final'!$A$34),"")</f>
        <v/>
      </c>
      <c r="AE32" s="497"/>
      <c r="AF32" s="497" t="str">
        <f ca="1">IF(AND('Mapa final'!$K$40="Baja",'Mapa final'!$O$40="Mayor"),CONCATENATE("R",'Mapa final'!$A$40),"")</f>
        <v/>
      </c>
      <c r="AG32" s="498"/>
      <c r="AH32" s="508" t="str">
        <f ca="1">IF(AND('Mapa final'!$K$28="Baja",'Mapa final'!$O$28="Catastrófico"),CONCATENATE("R",'Mapa final'!$A$28),"")</f>
        <v/>
      </c>
      <c r="AI32" s="509"/>
      <c r="AJ32" s="509" t="str">
        <f ca="1">IF(AND('Mapa final'!$K$34="Baja",'Mapa final'!$O$34="Catastrófico"),CONCATENATE("R",'Mapa final'!$A$34),"")</f>
        <v/>
      </c>
      <c r="AK32" s="509"/>
      <c r="AL32" s="509" t="str">
        <f ca="1">IF(AND('Mapa final'!$K$40="Baja",'Mapa final'!$O$40="Catastrófico"),CONCATENATE("R",'Mapa final'!$A$40),"")</f>
        <v/>
      </c>
      <c r="AM32" s="510"/>
      <c r="AN32" s="67"/>
      <c r="AO32" s="482"/>
      <c r="AP32" s="483"/>
      <c r="AQ32" s="483"/>
      <c r="AR32" s="483"/>
      <c r="AS32" s="483"/>
      <c r="AT32" s="484"/>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c r="A33" s="67"/>
      <c r="B33" s="450"/>
      <c r="C33" s="450"/>
      <c r="D33" s="451"/>
      <c r="E33" s="491"/>
      <c r="F33" s="492"/>
      <c r="G33" s="492"/>
      <c r="H33" s="492"/>
      <c r="I33" s="492"/>
      <c r="J33" s="528"/>
      <c r="K33" s="526"/>
      <c r="L33" s="526"/>
      <c r="M33" s="526"/>
      <c r="N33" s="526"/>
      <c r="O33" s="527"/>
      <c r="P33" s="518"/>
      <c r="Q33" s="518"/>
      <c r="R33" s="518"/>
      <c r="S33" s="518"/>
      <c r="T33" s="518"/>
      <c r="U33" s="519"/>
      <c r="V33" s="517"/>
      <c r="W33" s="518"/>
      <c r="X33" s="518"/>
      <c r="Y33" s="518"/>
      <c r="Z33" s="518"/>
      <c r="AA33" s="519"/>
      <c r="AB33" s="501"/>
      <c r="AC33" s="497"/>
      <c r="AD33" s="497"/>
      <c r="AE33" s="497"/>
      <c r="AF33" s="497"/>
      <c r="AG33" s="498"/>
      <c r="AH33" s="508"/>
      <c r="AI33" s="509"/>
      <c r="AJ33" s="509"/>
      <c r="AK33" s="509"/>
      <c r="AL33" s="509"/>
      <c r="AM33" s="510"/>
      <c r="AN33" s="67"/>
      <c r="AO33" s="482"/>
      <c r="AP33" s="483"/>
      <c r="AQ33" s="483"/>
      <c r="AR33" s="483"/>
      <c r="AS33" s="483"/>
      <c r="AT33" s="484"/>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c r="A34" s="67"/>
      <c r="B34" s="450"/>
      <c r="C34" s="450"/>
      <c r="D34" s="451"/>
      <c r="E34" s="491"/>
      <c r="F34" s="492"/>
      <c r="G34" s="492"/>
      <c r="H34" s="492"/>
      <c r="I34" s="492"/>
      <c r="J34" s="528" t="str">
        <f ca="1">IF(AND('Mapa final'!$K$46="Baja",'Mapa final'!$O$46="Leve"),CONCATENATE("R",'Mapa final'!$A$46),"")</f>
        <v/>
      </c>
      <c r="K34" s="526"/>
      <c r="L34" s="526" t="str">
        <f ca="1">IF(AND('Mapa final'!$K$52="Baja",'Mapa final'!$O$52="Leve"),CONCATENATE("R",'Mapa final'!$A$52),"")</f>
        <v/>
      </c>
      <c r="M34" s="526"/>
      <c r="N34" s="526" t="str">
        <f ca="1">IF(AND('Mapa final'!$K$58="Baja",'Mapa final'!$O$58="Leve"),CONCATENATE("R",'Mapa final'!$A$58),"")</f>
        <v/>
      </c>
      <c r="O34" s="527"/>
      <c r="P34" s="518" t="str">
        <f ca="1">IF(AND('Mapa final'!$K$46="Baja",'Mapa final'!$O$46="Menor"),CONCATENATE("R",'Mapa final'!$A$46),"")</f>
        <v/>
      </c>
      <c r="Q34" s="518"/>
      <c r="R34" s="518" t="str">
        <f ca="1">IF(AND('Mapa final'!$K$52="Baja",'Mapa final'!$O$52="Menor"),CONCATENATE("R",'Mapa final'!$A$52),"")</f>
        <v/>
      </c>
      <c r="S34" s="518"/>
      <c r="T34" s="518" t="str">
        <f ca="1">IF(AND('Mapa final'!$K$58="Baja",'Mapa final'!$O$58="Menor"),CONCATENATE("R",'Mapa final'!$A$58),"")</f>
        <v/>
      </c>
      <c r="U34" s="519"/>
      <c r="V34" s="517" t="str">
        <f ca="1">IF(AND('Mapa final'!$K$46="Baja",'Mapa final'!$O$46="Moderado"),CONCATENATE("R",'Mapa final'!$A$46),"")</f>
        <v/>
      </c>
      <c r="W34" s="518"/>
      <c r="X34" s="518" t="str">
        <f ca="1">IF(AND('Mapa final'!$K$52="Baja",'Mapa final'!$O$52="Moderado"),CONCATENATE("R",'Mapa final'!$A$52),"")</f>
        <v/>
      </c>
      <c r="Y34" s="518"/>
      <c r="Z34" s="518" t="str">
        <f ca="1">IF(AND('Mapa final'!$K$58="Baja",'Mapa final'!$O$58="Moderado"),CONCATENATE("R",'Mapa final'!$A$58),"")</f>
        <v/>
      </c>
      <c r="AA34" s="519"/>
      <c r="AB34" s="501" t="str">
        <f ca="1">IF(AND('Mapa final'!$K$46="Baja",'Mapa final'!$O$46="Mayor"),CONCATENATE("R",'Mapa final'!$A$46),"")</f>
        <v/>
      </c>
      <c r="AC34" s="497"/>
      <c r="AD34" s="497" t="str">
        <f ca="1">IF(AND('Mapa final'!$K$52="Baja",'Mapa final'!$O$52="Mayor"),CONCATENATE("R",'Mapa final'!$A$52),"")</f>
        <v/>
      </c>
      <c r="AE34" s="497"/>
      <c r="AF34" s="497" t="str">
        <f ca="1">IF(AND('Mapa final'!$K$58="Baja",'Mapa final'!$O$58="Mayor"),CONCATENATE("R",'Mapa final'!$A$58),"")</f>
        <v/>
      </c>
      <c r="AG34" s="498"/>
      <c r="AH34" s="508" t="str">
        <f ca="1">IF(AND('Mapa final'!$K$46="Baja",'Mapa final'!$O$46="Catastrófico"),CONCATENATE("R",'Mapa final'!$A$46),"")</f>
        <v/>
      </c>
      <c r="AI34" s="509"/>
      <c r="AJ34" s="509" t="str">
        <f ca="1">IF(AND('Mapa final'!$K$52="Baja",'Mapa final'!$O$52="Catastrófico"),CONCATENATE("R",'Mapa final'!$A$52),"")</f>
        <v/>
      </c>
      <c r="AK34" s="509"/>
      <c r="AL34" s="509" t="str">
        <f ca="1">IF(AND('Mapa final'!$K$58="Baja",'Mapa final'!$O$58="Catastrófico"),CONCATENATE("R",'Mapa final'!$A$58),"")</f>
        <v/>
      </c>
      <c r="AM34" s="510"/>
      <c r="AN34" s="67"/>
      <c r="AO34" s="482"/>
      <c r="AP34" s="483"/>
      <c r="AQ34" s="483"/>
      <c r="AR34" s="483"/>
      <c r="AS34" s="483"/>
      <c r="AT34" s="484"/>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c r="A35" s="67"/>
      <c r="B35" s="450"/>
      <c r="C35" s="450"/>
      <c r="D35" s="451"/>
      <c r="E35" s="491"/>
      <c r="F35" s="492"/>
      <c r="G35" s="492"/>
      <c r="H35" s="492"/>
      <c r="I35" s="492"/>
      <c r="J35" s="528"/>
      <c r="K35" s="526"/>
      <c r="L35" s="526"/>
      <c r="M35" s="526"/>
      <c r="N35" s="526"/>
      <c r="O35" s="527"/>
      <c r="P35" s="518"/>
      <c r="Q35" s="518"/>
      <c r="R35" s="518"/>
      <c r="S35" s="518"/>
      <c r="T35" s="518"/>
      <c r="U35" s="519"/>
      <c r="V35" s="517"/>
      <c r="W35" s="518"/>
      <c r="X35" s="518"/>
      <c r="Y35" s="518"/>
      <c r="Z35" s="518"/>
      <c r="AA35" s="519"/>
      <c r="AB35" s="501"/>
      <c r="AC35" s="497"/>
      <c r="AD35" s="497"/>
      <c r="AE35" s="497"/>
      <c r="AF35" s="497"/>
      <c r="AG35" s="498"/>
      <c r="AH35" s="508"/>
      <c r="AI35" s="509"/>
      <c r="AJ35" s="509"/>
      <c r="AK35" s="509"/>
      <c r="AL35" s="509"/>
      <c r="AM35" s="510"/>
      <c r="AN35" s="67"/>
      <c r="AO35" s="482"/>
      <c r="AP35" s="483"/>
      <c r="AQ35" s="483"/>
      <c r="AR35" s="483"/>
      <c r="AS35" s="483"/>
      <c r="AT35" s="48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c r="A36" s="67"/>
      <c r="B36" s="450"/>
      <c r="C36" s="450"/>
      <c r="D36" s="451"/>
      <c r="E36" s="491"/>
      <c r="F36" s="492"/>
      <c r="G36" s="492"/>
      <c r="H36" s="492"/>
      <c r="I36" s="492"/>
      <c r="J36" s="528" t="str">
        <f ca="1">IF(AND('Mapa final'!$K$64="Baja",'Mapa final'!$O$64="Leve"),CONCATENATE("R",'Mapa final'!$A$64),"")</f>
        <v/>
      </c>
      <c r="K36" s="526"/>
      <c r="L36" s="526" t="str">
        <f>IF(AND('Mapa final'!$K$70="Baja",'Mapa final'!$O$70="Leve"),CONCATENATE("R",'Mapa final'!$A$70),"")</f>
        <v/>
      </c>
      <c r="M36" s="526"/>
      <c r="N36" s="526" t="str">
        <f>IF(AND('Mapa final'!$K$76="Baja",'Mapa final'!$O$76="Leve"),CONCATENATE("R",'Mapa final'!$A$76),"")</f>
        <v/>
      </c>
      <c r="O36" s="527"/>
      <c r="P36" s="518" t="str">
        <f ca="1">IF(AND('Mapa final'!$K$64="Baja",'Mapa final'!$O$64="Menor"),CONCATENATE("R",'Mapa final'!$A$64),"")</f>
        <v/>
      </c>
      <c r="Q36" s="518"/>
      <c r="R36" s="518" t="str">
        <f>IF(AND('Mapa final'!$K$70="Baja",'Mapa final'!$O$70="Menor"),CONCATENATE("R",'Mapa final'!$A$70),"")</f>
        <v/>
      </c>
      <c r="S36" s="518"/>
      <c r="T36" s="518" t="str">
        <f>IF(AND('Mapa final'!$K$76="Baja",'Mapa final'!$O$76="Menor"),CONCATENATE("R",'Mapa final'!$A$76),"")</f>
        <v/>
      </c>
      <c r="U36" s="519"/>
      <c r="V36" s="517" t="str">
        <f ca="1">IF(AND('Mapa final'!$K$64="Baja",'Mapa final'!$O$64="Moderado"),CONCATENATE("R",'Mapa final'!$A$64),"")</f>
        <v/>
      </c>
      <c r="W36" s="518"/>
      <c r="X36" s="518" t="str">
        <f>IF(AND('Mapa final'!$K$70="Baja",'Mapa final'!$O$70="Moderado"),CONCATENATE("R",'Mapa final'!$A$70),"")</f>
        <v/>
      </c>
      <c r="Y36" s="518"/>
      <c r="Z36" s="518" t="str">
        <f>IF(AND('Mapa final'!$K$76="Baja",'Mapa final'!$O$76="Moderado"),CONCATENATE("R",'Mapa final'!$A$76),"")</f>
        <v/>
      </c>
      <c r="AA36" s="519"/>
      <c r="AB36" s="501" t="str">
        <f ca="1">IF(AND('Mapa final'!$K$64="Baja",'Mapa final'!$O$64="Mayor"),CONCATENATE("R",'Mapa final'!$A$64),"")</f>
        <v/>
      </c>
      <c r="AC36" s="497"/>
      <c r="AD36" s="497" t="str">
        <f>IF(AND('Mapa final'!$K$70="Baja",'Mapa final'!$O$70="Mayor"),CONCATENATE("R",'Mapa final'!$A$70),"")</f>
        <v/>
      </c>
      <c r="AE36" s="497"/>
      <c r="AF36" s="497" t="str">
        <f>IF(AND('Mapa final'!$K$76="Baja",'Mapa final'!$O$76="Mayor"),CONCATENATE("R",'Mapa final'!$A$76),"")</f>
        <v/>
      </c>
      <c r="AG36" s="498"/>
      <c r="AH36" s="508" t="str">
        <f ca="1">IF(AND('Mapa final'!$K$64="Baja",'Mapa final'!$O$64="Catastrófico"),CONCATENATE("R",'Mapa final'!$A$64),"")</f>
        <v/>
      </c>
      <c r="AI36" s="509"/>
      <c r="AJ36" s="509" t="str">
        <f>IF(AND('Mapa final'!$K$70="Baja",'Mapa final'!$O$70="Catastrófico"),CONCATENATE("R",'Mapa final'!$A$70),"")</f>
        <v/>
      </c>
      <c r="AK36" s="509"/>
      <c r="AL36" s="509" t="str">
        <f>IF(AND('Mapa final'!$K$76="Baja",'Mapa final'!$O$76="Catastrófico"),CONCATENATE("R",'Mapa final'!$A$76),"")</f>
        <v/>
      </c>
      <c r="AM36" s="510"/>
      <c r="AN36" s="67"/>
      <c r="AO36" s="482"/>
      <c r="AP36" s="483"/>
      <c r="AQ36" s="483"/>
      <c r="AR36" s="483"/>
      <c r="AS36" s="483"/>
      <c r="AT36" s="484"/>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6" thickBot="1">
      <c r="A37" s="67"/>
      <c r="B37" s="450"/>
      <c r="C37" s="450"/>
      <c r="D37" s="451"/>
      <c r="E37" s="494"/>
      <c r="F37" s="495"/>
      <c r="G37" s="495"/>
      <c r="H37" s="495"/>
      <c r="I37" s="495"/>
      <c r="J37" s="529"/>
      <c r="K37" s="530"/>
      <c r="L37" s="530"/>
      <c r="M37" s="530"/>
      <c r="N37" s="530"/>
      <c r="O37" s="531"/>
      <c r="P37" s="521"/>
      <c r="Q37" s="521"/>
      <c r="R37" s="521"/>
      <c r="S37" s="521"/>
      <c r="T37" s="521"/>
      <c r="U37" s="522"/>
      <c r="V37" s="520"/>
      <c r="W37" s="521"/>
      <c r="X37" s="521"/>
      <c r="Y37" s="521"/>
      <c r="Z37" s="521"/>
      <c r="AA37" s="522"/>
      <c r="AB37" s="505"/>
      <c r="AC37" s="506"/>
      <c r="AD37" s="506"/>
      <c r="AE37" s="506"/>
      <c r="AF37" s="506"/>
      <c r="AG37" s="507"/>
      <c r="AH37" s="511"/>
      <c r="AI37" s="512"/>
      <c r="AJ37" s="512"/>
      <c r="AK37" s="512"/>
      <c r="AL37" s="512"/>
      <c r="AM37" s="513"/>
      <c r="AN37" s="67"/>
      <c r="AO37" s="485"/>
      <c r="AP37" s="486"/>
      <c r="AQ37" s="486"/>
      <c r="AR37" s="486"/>
      <c r="AS37" s="486"/>
      <c r="AT37" s="48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c r="A38" s="67"/>
      <c r="B38" s="450"/>
      <c r="C38" s="450"/>
      <c r="D38" s="451"/>
      <c r="E38" s="488" t="s">
        <v>108</v>
      </c>
      <c r="F38" s="489"/>
      <c r="G38" s="489"/>
      <c r="H38" s="489"/>
      <c r="I38" s="490"/>
      <c r="J38" s="532" t="str">
        <f ca="1">IF(AND('Mapa final'!$K$10="Muy Baja",'Mapa final'!$O$10="Leve"),CONCATENATE("R",'Mapa final'!$A$10),"")</f>
        <v/>
      </c>
      <c r="K38" s="533"/>
      <c r="L38" s="533" t="str">
        <f ca="1">IF(AND('Mapa final'!$K$16="Muy Baja",'Mapa final'!$O$16="Leve"),CONCATENATE("R",'Mapa final'!$A$16),"")</f>
        <v/>
      </c>
      <c r="M38" s="533"/>
      <c r="N38" s="533" t="str">
        <f ca="1">IF(AND('Mapa final'!$K$22="Muy Baja",'Mapa final'!$O$22="Leve"),CONCATENATE("R",'Mapa final'!$A$22),"")</f>
        <v/>
      </c>
      <c r="O38" s="534"/>
      <c r="P38" s="532" t="str">
        <f ca="1">IF(AND('Mapa final'!$K$10="Muy Baja",'Mapa final'!$O$10="Menor"),CONCATENATE("R",'Mapa final'!$A$10),"")</f>
        <v/>
      </c>
      <c r="Q38" s="533"/>
      <c r="R38" s="533" t="str">
        <f ca="1">IF(AND('Mapa final'!$K$16="Muy Baja",'Mapa final'!$O$16="Menor"),CONCATENATE("R",'Mapa final'!$A$16),"")</f>
        <v/>
      </c>
      <c r="S38" s="533"/>
      <c r="T38" s="533" t="str">
        <f ca="1">IF(AND('Mapa final'!$K$22="Muy Baja",'Mapa final'!$O$22="Menor"),CONCATENATE("R",'Mapa final'!$A$22),"")</f>
        <v/>
      </c>
      <c r="U38" s="534"/>
      <c r="V38" s="523" t="str">
        <f ca="1">IF(AND('Mapa final'!$K$10="Muy Baja",'Mapa final'!$O$10="Moderado"),CONCATENATE("R",'Mapa final'!$A$10),"")</f>
        <v/>
      </c>
      <c r="W38" s="524"/>
      <c r="X38" s="524" t="str">
        <f ca="1">IF(AND('Mapa final'!$K$16="Muy Baja",'Mapa final'!$O$16="Moderado"),CONCATENATE("R",'Mapa final'!$A$16),"")</f>
        <v/>
      </c>
      <c r="Y38" s="524"/>
      <c r="Z38" s="524" t="str">
        <f ca="1">IF(AND('Mapa final'!$K$22="Muy Baja",'Mapa final'!$O$22="Moderado"),CONCATENATE("R",'Mapa final'!$A$22),"")</f>
        <v/>
      </c>
      <c r="AA38" s="525"/>
      <c r="AB38" s="499" t="str">
        <f ca="1">IF(AND('Mapa final'!$K$10="Muy Baja",'Mapa final'!$O$10="Mayor"),CONCATENATE("R",'Mapa final'!$A$10),"")</f>
        <v/>
      </c>
      <c r="AC38" s="500"/>
      <c r="AD38" s="500" t="str">
        <f ca="1">IF(AND('Mapa final'!$K$16="Muy Baja",'Mapa final'!$O$16="Mayor"),CONCATENATE("R",'Mapa final'!$A$16),"")</f>
        <v/>
      </c>
      <c r="AE38" s="500"/>
      <c r="AF38" s="500" t="str">
        <f ca="1">IF(AND('Mapa final'!$K$22="Muy Baja",'Mapa final'!$O$22="Mayor"),CONCATENATE("R",'Mapa final'!$A$22),"")</f>
        <v/>
      </c>
      <c r="AG38" s="502"/>
      <c r="AH38" s="514" t="str">
        <f ca="1">IF(AND('Mapa final'!$K$10="Muy Baja",'Mapa final'!$O$10="Catastrófico"),CONCATENATE("R",'Mapa final'!$A$10),"")</f>
        <v/>
      </c>
      <c r="AI38" s="515"/>
      <c r="AJ38" s="515" t="str">
        <f ca="1">IF(AND('Mapa final'!$K$16="Muy Baja",'Mapa final'!$O$16="Catastrófico"),CONCATENATE("R",'Mapa final'!$A$16),"")</f>
        <v/>
      </c>
      <c r="AK38" s="515"/>
      <c r="AL38" s="515" t="str">
        <f ca="1">IF(AND('Mapa final'!$K$22="Muy Baja",'Mapa final'!$O$22="Catastrófico"),CONCATENATE("R",'Mapa final'!$A$22),"")</f>
        <v/>
      </c>
      <c r="AM38" s="516"/>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c r="A39" s="67"/>
      <c r="B39" s="450"/>
      <c r="C39" s="450"/>
      <c r="D39" s="451"/>
      <c r="E39" s="491"/>
      <c r="F39" s="492"/>
      <c r="G39" s="492"/>
      <c r="H39" s="492"/>
      <c r="I39" s="493"/>
      <c r="J39" s="528"/>
      <c r="K39" s="526"/>
      <c r="L39" s="526"/>
      <c r="M39" s="526"/>
      <c r="N39" s="526"/>
      <c r="O39" s="527"/>
      <c r="P39" s="528"/>
      <c r="Q39" s="526"/>
      <c r="R39" s="526"/>
      <c r="S39" s="526"/>
      <c r="T39" s="526"/>
      <c r="U39" s="527"/>
      <c r="V39" s="517"/>
      <c r="W39" s="518"/>
      <c r="X39" s="518"/>
      <c r="Y39" s="518"/>
      <c r="Z39" s="518"/>
      <c r="AA39" s="519"/>
      <c r="AB39" s="501"/>
      <c r="AC39" s="497"/>
      <c r="AD39" s="497"/>
      <c r="AE39" s="497"/>
      <c r="AF39" s="497"/>
      <c r="AG39" s="498"/>
      <c r="AH39" s="508"/>
      <c r="AI39" s="509"/>
      <c r="AJ39" s="509"/>
      <c r="AK39" s="509"/>
      <c r="AL39" s="509"/>
      <c r="AM39" s="510"/>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c r="A40" s="67"/>
      <c r="B40" s="450"/>
      <c r="C40" s="450"/>
      <c r="D40" s="451"/>
      <c r="E40" s="491"/>
      <c r="F40" s="492"/>
      <c r="G40" s="492"/>
      <c r="H40" s="492"/>
      <c r="I40" s="493"/>
      <c r="J40" s="528" t="str">
        <f ca="1">IF(AND('Mapa final'!$K$28="Muy Baja",'Mapa final'!$O$28="Leve"),CONCATENATE("R",'Mapa final'!$A$28),"")</f>
        <v/>
      </c>
      <c r="K40" s="526"/>
      <c r="L40" s="526" t="str">
        <f ca="1">IF(AND('Mapa final'!$K$34="Muy Baja",'Mapa final'!$O$34="Leve"),CONCATENATE("R",'Mapa final'!$A$34),"")</f>
        <v/>
      </c>
      <c r="M40" s="526"/>
      <c r="N40" s="526" t="str">
        <f ca="1">IF(AND('Mapa final'!$K$40="Muy Baja",'Mapa final'!$O$40="Leve"),CONCATENATE("R",'Mapa final'!$A$40),"")</f>
        <v/>
      </c>
      <c r="O40" s="527"/>
      <c r="P40" s="528" t="str">
        <f ca="1">IF(AND('Mapa final'!$K$28="Muy Baja",'Mapa final'!$O$28="Menor"),CONCATENATE("R",'Mapa final'!$A$28),"")</f>
        <v/>
      </c>
      <c r="Q40" s="526"/>
      <c r="R40" s="526" t="str">
        <f ca="1">IF(AND('Mapa final'!$K$34="Muy Baja",'Mapa final'!$O$34="Menor"),CONCATENATE("R",'Mapa final'!$A$34),"")</f>
        <v/>
      </c>
      <c r="S40" s="526"/>
      <c r="T40" s="526" t="str">
        <f ca="1">IF(AND('Mapa final'!$K$40="Muy Baja",'Mapa final'!$O$40="Menor"),CONCATENATE("R",'Mapa final'!$A$40),"")</f>
        <v/>
      </c>
      <c r="U40" s="527"/>
      <c r="V40" s="517" t="str">
        <f ca="1">IF(AND('Mapa final'!$K$28="Muy Baja",'Mapa final'!$O$28="Moderado"),CONCATENATE("R",'Mapa final'!$A$28),"")</f>
        <v/>
      </c>
      <c r="W40" s="518"/>
      <c r="X40" s="518" t="str">
        <f ca="1">IF(AND('Mapa final'!$K$34="Muy Baja",'Mapa final'!$O$34="Moderado"),CONCATENATE("R",'Mapa final'!$A$34),"")</f>
        <v/>
      </c>
      <c r="Y40" s="518"/>
      <c r="Z40" s="518" t="str">
        <f ca="1">IF(AND('Mapa final'!$K$40="Muy Baja",'Mapa final'!$O$40="Moderado"),CONCATENATE("R",'Mapa final'!$A$40),"")</f>
        <v/>
      </c>
      <c r="AA40" s="519"/>
      <c r="AB40" s="501" t="str">
        <f ca="1">IF(AND('Mapa final'!$K$28="Muy Baja",'Mapa final'!$O$28="Mayor"),CONCATENATE("R",'Mapa final'!$A$28),"")</f>
        <v/>
      </c>
      <c r="AC40" s="497"/>
      <c r="AD40" s="497" t="str">
        <f ca="1">IF(AND('Mapa final'!$K$34="Muy Baja",'Mapa final'!$O$34="Mayor"),CONCATENATE("R",'Mapa final'!$A$34),"")</f>
        <v/>
      </c>
      <c r="AE40" s="497"/>
      <c r="AF40" s="497" t="str">
        <f ca="1">IF(AND('Mapa final'!$K$40="Muy Baja",'Mapa final'!$O$40="Mayor"),CONCATENATE("R",'Mapa final'!$A$40),"")</f>
        <v/>
      </c>
      <c r="AG40" s="498"/>
      <c r="AH40" s="508" t="str">
        <f ca="1">IF(AND('Mapa final'!$K$28="Muy Baja",'Mapa final'!$O$28="Catastrófico"),CONCATENATE("R",'Mapa final'!$A$28),"")</f>
        <v/>
      </c>
      <c r="AI40" s="509"/>
      <c r="AJ40" s="509" t="str">
        <f ca="1">IF(AND('Mapa final'!$K$34="Muy Baja",'Mapa final'!$O$34="Catastrófico"),CONCATENATE("R",'Mapa final'!$A$34),"")</f>
        <v/>
      </c>
      <c r="AK40" s="509"/>
      <c r="AL40" s="509" t="str">
        <f ca="1">IF(AND('Mapa final'!$K$40="Muy Baja",'Mapa final'!$O$40="Catastrófico"),CONCATENATE("R",'Mapa final'!$A$40),"")</f>
        <v/>
      </c>
      <c r="AM40" s="510"/>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c r="A41" s="67"/>
      <c r="B41" s="450"/>
      <c r="C41" s="450"/>
      <c r="D41" s="451"/>
      <c r="E41" s="491"/>
      <c r="F41" s="492"/>
      <c r="G41" s="492"/>
      <c r="H41" s="492"/>
      <c r="I41" s="493"/>
      <c r="J41" s="528"/>
      <c r="K41" s="526"/>
      <c r="L41" s="526"/>
      <c r="M41" s="526"/>
      <c r="N41" s="526"/>
      <c r="O41" s="527"/>
      <c r="P41" s="528"/>
      <c r="Q41" s="526"/>
      <c r="R41" s="526"/>
      <c r="S41" s="526"/>
      <c r="T41" s="526"/>
      <c r="U41" s="527"/>
      <c r="V41" s="517"/>
      <c r="W41" s="518"/>
      <c r="X41" s="518"/>
      <c r="Y41" s="518"/>
      <c r="Z41" s="518"/>
      <c r="AA41" s="519"/>
      <c r="AB41" s="501"/>
      <c r="AC41" s="497"/>
      <c r="AD41" s="497"/>
      <c r="AE41" s="497"/>
      <c r="AF41" s="497"/>
      <c r="AG41" s="498"/>
      <c r="AH41" s="508"/>
      <c r="AI41" s="509"/>
      <c r="AJ41" s="509"/>
      <c r="AK41" s="509"/>
      <c r="AL41" s="509"/>
      <c r="AM41" s="510"/>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c r="A42" s="67"/>
      <c r="B42" s="450"/>
      <c r="C42" s="450"/>
      <c r="D42" s="451"/>
      <c r="E42" s="491"/>
      <c r="F42" s="492"/>
      <c r="G42" s="492"/>
      <c r="H42" s="492"/>
      <c r="I42" s="493"/>
      <c r="J42" s="528" t="str">
        <f ca="1">IF(AND('Mapa final'!$K$46="Muy Baja",'Mapa final'!$O$46="Leve"),CONCATENATE("R",'Mapa final'!$A$46),"")</f>
        <v/>
      </c>
      <c r="K42" s="526"/>
      <c r="L42" s="526" t="str">
        <f ca="1">IF(AND('Mapa final'!$K$52="Muy Baja",'Mapa final'!$O$52="Leve"),CONCATENATE("R",'Mapa final'!$A$52),"")</f>
        <v/>
      </c>
      <c r="M42" s="526"/>
      <c r="N42" s="526" t="str">
        <f ca="1">IF(AND('Mapa final'!$K$58="Muy Baja",'Mapa final'!$O$58="Leve"),CONCATENATE("R",'Mapa final'!$A$58),"")</f>
        <v/>
      </c>
      <c r="O42" s="527"/>
      <c r="P42" s="528" t="str">
        <f ca="1">IF(AND('Mapa final'!$K$46="Muy Baja",'Mapa final'!$O$46="Menor"),CONCATENATE("R",'Mapa final'!$A$46),"")</f>
        <v/>
      </c>
      <c r="Q42" s="526"/>
      <c r="R42" s="526" t="str">
        <f ca="1">IF(AND('Mapa final'!$K$52="Muy Baja",'Mapa final'!$O$52="Menor"),CONCATENATE("R",'Mapa final'!$A$52),"")</f>
        <v/>
      </c>
      <c r="S42" s="526"/>
      <c r="T42" s="526" t="str">
        <f ca="1">IF(AND('Mapa final'!$K$58="Muy Baja",'Mapa final'!$O$58="Menor"),CONCATENATE("R",'Mapa final'!$A$58),"")</f>
        <v/>
      </c>
      <c r="U42" s="527"/>
      <c r="V42" s="517" t="str">
        <f ca="1">IF(AND('Mapa final'!$K$46="Muy Baja",'Mapa final'!$O$46="Moderado"),CONCATENATE("R",'Mapa final'!$A$46),"")</f>
        <v/>
      </c>
      <c r="W42" s="518"/>
      <c r="X42" s="518" t="str">
        <f ca="1">IF(AND('Mapa final'!$K$52="Muy Baja",'Mapa final'!$O$52="Moderado"),CONCATENATE("R",'Mapa final'!$A$52),"")</f>
        <v/>
      </c>
      <c r="Y42" s="518"/>
      <c r="Z42" s="518" t="str">
        <f ca="1">IF(AND('Mapa final'!$K$58="Muy Baja",'Mapa final'!$O$58="Moderado"),CONCATENATE("R",'Mapa final'!$A$58),"")</f>
        <v/>
      </c>
      <c r="AA42" s="519"/>
      <c r="AB42" s="501" t="str">
        <f ca="1">IF(AND('Mapa final'!$K$46="Muy Baja",'Mapa final'!$O$46="Mayor"),CONCATENATE("R",'Mapa final'!$A$46),"")</f>
        <v/>
      </c>
      <c r="AC42" s="497"/>
      <c r="AD42" s="497" t="str">
        <f ca="1">IF(AND('Mapa final'!$K$52="Muy Baja",'Mapa final'!$O$52="Mayor"),CONCATENATE("R",'Mapa final'!$A$52),"")</f>
        <v/>
      </c>
      <c r="AE42" s="497"/>
      <c r="AF42" s="497" t="str">
        <f ca="1">IF(AND('Mapa final'!$K$58="Muy Baja",'Mapa final'!$O$58="Mayor"),CONCATENATE("R",'Mapa final'!$A$58),"")</f>
        <v/>
      </c>
      <c r="AG42" s="498"/>
      <c r="AH42" s="508" t="str">
        <f ca="1">IF(AND('Mapa final'!$K$46="Muy Baja",'Mapa final'!$O$46="Catastrófico"),CONCATENATE("R",'Mapa final'!$A$46),"")</f>
        <v/>
      </c>
      <c r="AI42" s="509"/>
      <c r="AJ42" s="509" t="str">
        <f ca="1">IF(AND('Mapa final'!$K$52="Muy Baja",'Mapa final'!$O$52="Catastrófico"),CONCATENATE("R",'Mapa final'!$A$52),"")</f>
        <v/>
      </c>
      <c r="AK42" s="509"/>
      <c r="AL42" s="509" t="str">
        <f ca="1">IF(AND('Mapa final'!$K$58="Muy Baja",'Mapa final'!$O$58="Catastrófico"),CONCATENATE("R",'Mapa final'!$A$58),"")</f>
        <v/>
      </c>
      <c r="AM42" s="510"/>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c r="A43" s="67"/>
      <c r="B43" s="450"/>
      <c r="C43" s="450"/>
      <c r="D43" s="451"/>
      <c r="E43" s="491"/>
      <c r="F43" s="492"/>
      <c r="G43" s="492"/>
      <c r="H43" s="492"/>
      <c r="I43" s="493"/>
      <c r="J43" s="528"/>
      <c r="K43" s="526"/>
      <c r="L43" s="526"/>
      <c r="M43" s="526"/>
      <c r="N43" s="526"/>
      <c r="O43" s="527"/>
      <c r="P43" s="528"/>
      <c r="Q43" s="526"/>
      <c r="R43" s="526"/>
      <c r="S43" s="526"/>
      <c r="T43" s="526"/>
      <c r="U43" s="527"/>
      <c r="V43" s="517"/>
      <c r="W43" s="518"/>
      <c r="X43" s="518"/>
      <c r="Y43" s="518"/>
      <c r="Z43" s="518"/>
      <c r="AA43" s="519"/>
      <c r="AB43" s="501"/>
      <c r="AC43" s="497"/>
      <c r="AD43" s="497"/>
      <c r="AE43" s="497"/>
      <c r="AF43" s="497"/>
      <c r="AG43" s="498"/>
      <c r="AH43" s="508"/>
      <c r="AI43" s="509"/>
      <c r="AJ43" s="509"/>
      <c r="AK43" s="509"/>
      <c r="AL43" s="509"/>
      <c r="AM43" s="510"/>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c r="A44" s="67"/>
      <c r="B44" s="450"/>
      <c r="C44" s="450"/>
      <c r="D44" s="451"/>
      <c r="E44" s="491"/>
      <c r="F44" s="492"/>
      <c r="G44" s="492"/>
      <c r="H44" s="492"/>
      <c r="I44" s="493"/>
      <c r="J44" s="528" t="str">
        <f ca="1">IF(AND('Mapa final'!$K$64="Muy Baja",'Mapa final'!$O$64="Leve"),CONCATENATE("R",'Mapa final'!$A$64),"")</f>
        <v/>
      </c>
      <c r="K44" s="526"/>
      <c r="L44" s="526" t="str">
        <f>IF(AND('Mapa final'!$K$70="Muy Baja",'Mapa final'!$O$70="Leve"),CONCATENATE("R",'Mapa final'!$A$70),"")</f>
        <v/>
      </c>
      <c r="M44" s="526"/>
      <c r="N44" s="526" t="str">
        <f>IF(AND('Mapa final'!$K$76="Muy Baja",'Mapa final'!$O$76="Leve"),CONCATENATE("R",'Mapa final'!$A$76),"")</f>
        <v/>
      </c>
      <c r="O44" s="527"/>
      <c r="P44" s="528" t="str">
        <f ca="1">IF(AND('Mapa final'!$K$64="Muy Baja",'Mapa final'!$O$64="Menor"),CONCATENATE("R",'Mapa final'!$A$64),"")</f>
        <v/>
      </c>
      <c r="Q44" s="526"/>
      <c r="R44" s="526" t="str">
        <f>IF(AND('Mapa final'!$K$70="Muy Baja",'Mapa final'!$O$70="Menor"),CONCATENATE("R",'Mapa final'!$A$70),"")</f>
        <v/>
      </c>
      <c r="S44" s="526"/>
      <c r="T44" s="526" t="str">
        <f>IF(AND('Mapa final'!$K$76="Muy Baja",'Mapa final'!$O$76="Menor"),CONCATENATE("R",'Mapa final'!$A$76),"")</f>
        <v/>
      </c>
      <c r="U44" s="527"/>
      <c r="V44" s="517" t="str">
        <f ca="1">IF(AND('Mapa final'!$K$64="Muy Baja",'Mapa final'!$O$64="Moderado"),CONCATENATE("R",'Mapa final'!$A$64),"")</f>
        <v/>
      </c>
      <c r="W44" s="518"/>
      <c r="X44" s="518" t="str">
        <f>IF(AND('Mapa final'!$K$70="Muy Baja",'Mapa final'!$O$70="Moderado"),CONCATENATE("R",'Mapa final'!$A$70),"")</f>
        <v/>
      </c>
      <c r="Y44" s="518"/>
      <c r="Z44" s="518" t="str">
        <f>IF(AND('Mapa final'!$K$76="Muy Baja",'Mapa final'!$O$76="Moderado"),CONCATENATE("R",'Mapa final'!$A$76),"")</f>
        <v/>
      </c>
      <c r="AA44" s="519"/>
      <c r="AB44" s="501" t="str">
        <f ca="1">IF(AND('Mapa final'!$K$64="Muy Baja",'Mapa final'!$O$64="Mayor"),CONCATENATE("R",'Mapa final'!$A$64),"")</f>
        <v/>
      </c>
      <c r="AC44" s="497"/>
      <c r="AD44" s="497" t="str">
        <f>IF(AND('Mapa final'!$K$70="Muy Baja",'Mapa final'!$O$70="Mayor"),CONCATENATE("R",'Mapa final'!$A$70),"")</f>
        <v/>
      </c>
      <c r="AE44" s="497"/>
      <c r="AF44" s="497" t="str">
        <f>IF(AND('Mapa final'!$K$76="Muy Baja",'Mapa final'!$O$76="Mayor"),CONCATENATE("R",'Mapa final'!$A$76),"")</f>
        <v/>
      </c>
      <c r="AG44" s="498"/>
      <c r="AH44" s="508" t="str">
        <f ca="1">IF(AND('Mapa final'!$K$64="Muy Baja",'Mapa final'!$O$64="Catastrófico"),CONCATENATE("R",'Mapa final'!$A$64),"")</f>
        <v/>
      </c>
      <c r="AI44" s="509"/>
      <c r="AJ44" s="509" t="str">
        <f>IF(AND('Mapa final'!$K$70="Muy Baja",'Mapa final'!$O$70="Catastrófico"),CONCATENATE("R",'Mapa final'!$A$70),"")</f>
        <v/>
      </c>
      <c r="AK44" s="509"/>
      <c r="AL44" s="509" t="str">
        <f>IF(AND('Mapa final'!$K$76="Muy Baja",'Mapa final'!$O$76="Catastrófico"),CONCATENATE("R",'Mapa final'!$A$76),"")</f>
        <v/>
      </c>
      <c r="AM44" s="510"/>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6" thickBot="1">
      <c r="A45" s="67"/>
      <c r="B45" s="450"/>
      <c r="C45" s="450"/>
      <c r="D45" s="451"/>
      <c r="E45" s="494"/>
      <c r="F45" s="495"/>
      <c r="G45" s="495"/>
      <c r="H45" s="495"/>
      <c r="I45" s="496"/>
      <c r="J45" s="529"/>
      <c r="K45" s="530"/>
      <c r="L45" s="530"/>
      <c r="M45" s="530"/>
      <c r="N45" s="530"/>
      <c r="O45" s="531"/>
      <c r="P45" s="529"/>
      <c r="Q45" s="530"/>
      <c r="R45" s="530"/>
      <c r="S45" s="530"/>
      <c r="T45" s="530"/>
      <c r="U45" s="531"/>
      <c r="V45" s="520"/>
      <c r="W45" s="521"/>
      <c r="X45" s="521"/>
      <c r="Y45" s="521"/>
      <c r="Z45" s="521"/>
      <c r="AA45" s="522"/>
      <c r="AB45" s="505"/>
      <c r="AC45" s="506"/>
      <c r="AD45" s="506"/>
      <c r="AE45" s="506"/>
      <c r="AF45" s="506"/>
      <c r="AG45" s="507"/>
      <c r="AH45" s="511"/>
      <c r="AI45" s="512"/>
      <c r="AJ45" s="512"/>
      <c r="AK45" s="512"/>
      <c r="AL45" s="512"/>
      <c r="AM45" s="513"/>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c r="A46" s="67"/>
      <c r="B46" s="67"/>
      <c r="C46" s="67"/>
      <c r="D46" s="67"/>
      <c r="E46" s="67"/>
      <c r="F46" s="67"/>
      <c r="G46" s="67"/>
      <c r="H46" s="67"/>
      <c r="I46" s="67"/>
      <c r="J46" s="488" t="s">
        <v>107</v>
      </c>
      <c r="K46" s="489"/>
      <c r="L46" s="489"/>
      <c r="M46" s="489"/>
      <c r="N46" s="489"/>
      <c r="O46" s="490"/>
      <c r="P46" s="488" t="s">
        <v>106</v>
      </c>
      <c r="Q46" s="489"/>
      <c r="R46" s="489"/>
      <c r="S46" s="489"/>
      <c r="T46" s="489"/>
      <c r="U46" s="490"/>
      <c r="V46" s="488" t="s">
        <v>105</v>
      </c>
      <c r="W46" s="489"/>
      <c r="X46" s="489"/>
      <c r="Y46" s="489"/>
      <c r="Z46" s="489"/>
      <c r="AA46" s="490"/>
      <c r="AB46" s="488" t="s">
        <v>104</v>
      </c>
      <c r="AC46" s="504"/>
      <c r="AD46" s="489"/>
      <c r="AE46" s="489"/>
      <c r="AF46" s="489"/>
      <c r="AG46" s="490"/>
      <c r="AH46" s="488" t="s">
        <v>103</v>
      </c>
      <c r="AI46" s="489"/>
      <c r="AJ46" s="489"/>
      <c r="AK46" s="489"/>
      <c r="AL46" s="489"/>
      <c r="AM46" s="490"/>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c r="A47" s="67"/>
      <c r="B47" s="67"/>
      <c r="C47" s="67"/>
      <c r="D47" s="67"/>
      <c r="E47" s="67"/>
      <c r="F47" s="67"/>
      <c r="G47" s="67"/>
      <c r="H47" s="67"/>
      <c r="I47" s="67"/>
      <c r="J47" s="491"/>
      <c r="K47" s="492"/>
      <c r="L47" s="492"/>
      <c r="M47" s="492"/>
      <c r="N47" s="492"/>
      <c r="O47" s="493"/>
      <c r="P47" s="491"/>
      <c r="Q47" s="492"/>
      <c r="R47" s="492"/>
      <c r="S47" s="492"/>
      <c r="T47" s="492"/>
      <c r="U47" s="493"/>
      <c r="V47" s="491"/>
      <c r="W47" s="492"/>
      <c r="X47" s="492"/>
      <c r="Y47" s="492"/>
      <c r="Z47" s="492"/>
      <c r="AA47" s="493"/>
      <c r="AB47" s="491"/>
      <c r="AC47" s="492"/>
      <c r="AD47" s="492"/>
      <c r="AE47" s="492"/>
      <c r="AF47" s="492"/>
      <c r="AG47" s="493"/>
      <c r="AH47" s="491"/>
      <c r="AI47" s="492"/>
      <c r="AJ47" s="492"/>
      <c r="AK47" s="492"/>
      <c r="AL47" s="492"/>
      <c r="AM47" s="493"/>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c r="A48" s="67"/>
      <c r="B48" s="67"/>
      <c r="C48" s="67"/>
      <c r="D48" s="67"/>
      <c r="E48" s="67"/>
      <c r="F48" s="67"/>
      <c r="G48" s="67"/>
      <c r="H48" s="67"/>
      <c r="I48" s="67"/>
      <c r="J48" s="491"/>
      <c r="K48" s="492"/>
      <c r="L48" s="492"/>
      <c r="M48" s="492"/>
      <c r="N48" s="492"/>
      <c r="O48" s="493"/>
      <c r="P48" s="491"/>
      <c r="Q48" s="492"/>
      <c r="R48" s="492"/>
      <c r="S48" s="492"/>
      <c r="T48" s="492"/>
      <c r="U48" s="493"/>
      <c r="V48" s="491"/>
      <c r="W48" s="492"/>
      <c r="X48" s="492"/>
      <c r="Y48" s="492"/>
      <c r="Z48" s="492"/>
      <c r="AA48" s="493"/>
      <c r="AB48" s="491"/>
      <c r="AC48" s="492"/>
      <c r="AD48" s="492"/>
      <c r="AE48" s="492"/>
      <c r="AF48" s="492"/>
      <c r="AG48" s="493"/>
      <c r="AH48" s="491"/>
      <c r="AI48" s="492"/>
      <c r="AJ48" s="492"/>
      <c r="AK48" s="492"/>
      <c r="AL48" s="492"/>
      <c r="AM48" s="493"/>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c r="A49" s="67"/>
      <c r="B49" s="67"/>
      <c r="C49" s="67"/>
      <c r="D49" s="67"/>
      <c r="E49" s="67"/>
      <c r="F49" s="67"/>
      <c r="G49" s="67"/>
      <c r="H49" s="67"/>
      <c r="I49" s="67"/>
      <c r="J49" s="491"/>
      <c r="K49" s="492"/>
      <c r="L49" s="492"/>
      <c r="M49" s="492"/>
      <c r="N49" s="492"/>
      <c r="O49" s="493"/>
      <c r="P49" s="491"/>
      <c r="Q49" s="492"/>
      <c r="R49" s="492"/>
      <c r="S49" s="492"/>
      <c r="T49" s="492"/>
      <c r="U49" s="493"/>
      <c r="V49" s="491"/>
      <c r="W49" s="492"/>
      <c r="X49" s="492"/>
      <c r="Y49" s="492"/>
      <c r="Z49" s="492"/>
      <c r="AA49" s="493"/>
      <c r="AB49" s="491"/>
      <c r="AC49" s="492"/>
      <c r="AD49" s="492"/>
      <c r="AE49" s="492"/>
      <c r="AF49" s="492"/>
      <c r="AG49" s="493"/>
      <c r="AH49" s="491"/>
      <c r="AI49" s="492"/>
      <c r="AJ49" s="492"/>
      <c r="AK49" s="492"/>
      <c r="AL49" s="492"/>
      <c r="AM49" s="493"/>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c r="A50" s="67"/>
      <c r="B50" s="67"/>
      <c r="C50" s="67"/>
      <c r="D50" s="67"/>
      <c r="E50" s="67"/>
      <c r="F50" s="67"/>
      <c r="G50" s="67"/>
      <c r="H50" s="67"/>
      <c r="I50" s="67"/>
      <c r="J50" s="491"/>
      <c r="K50" s="492"/>
      <c r="L50" s="492"/>
      <c r="M50" s="492"/>
      <c r="N50" s="492"/>
      <c r="O50" s="493"/>
      <c r="P50" s="491"/>
      <c r="Q50" s="492"/>
      <c r="R50" s="492"/>
      <c r="S50" s="492"/>
      <c r="T50" s="492"/>
      <c r="U50" s="493"/>
      <c r="V50" s="491"/>
      <c r="W50" s="492"/>
      <c r="X50" s="492"/>
      <c r="Y50" s="492"/>
      <c r="Z50" s="492"/>
      <c r="AA50" s="493"/>
      <c r="AB50" s="491"/>
      <c r="AC50" s="492"/>
      <c r="AD50" s="492"/>
      <c r="AE50" s="492"/>
      <c r="AF50" s="492"/>
      <c r="AG50" s="493"/>
      <c r="AH50" s="491"/>
      <c r="AI50" s="492"/>
      <c r="AJ50" s="492"/>
      <c r="AK50" s="492"/>
      <c r="AL50" s="492"/>
      <c r="AM50" s="493"/>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6" thickBot="1">
      <c r="A51" s="67"/>
      <c r="B51" s="67"/>
      <c r="C51" s="67"/>
      <c r="D51" s="67"/>
      <c r="E51" s="67"/>
      <c r="F51" s="67"/>
      <c r="G51" s="67"/>
      <c r="H51" s="67"/>
      <c r="I51" s="67"/>
      <c r="J51" s="494"/>
      <c r="K51" s="495"/>
      <c r="L51" s="495"/>
      <c r="M51" s="495"/>
      <c r="N51" s="495"/>
      <c r="O51" s="496"/>
      <c r="P51" s="494"/>
      <c r="Q51" s="495"/>
      <c r="R51" s="495"/>
      <c r="S51" s="495"/>
      <c r="T51" s="495"/>
      <c r="U51" s="496"/>
      <c r="V51" s="494"/>
      <c r="W51" s="495"/>
      <c r="X51" s="495"/>
      <c r="Y51" s="495"/>
      <c r="Z51" s="495"/>
      <c r="AA51" s="496"/>
      <c r="AB51" s="494"/>
      <c r="AC51" s="495"/>
      <c r="AD51" s="495"/>
      <c r="AE51" s="495"/>
      <c r="AF51" s="495"/>
      <c r="AG51" s="496"/>
      <c r="AH51" s="494"/>
      <c r="AI51" s="495"/>
      <c r="AJ51" s="495"/>
      <c r="AK51" s="495"/>
      <c r="AL51" s="495"/>
      <c r="AM51" s="496"/>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c r="B137" s="67"/>
      <c r="C137" s="67"/>
      <c r="D137" s="67"/>
      <c r="E137" s="67"/>
      <c r="F137" s="67"/>
      <c r="G137" s="67"/>
      <c r="H137" s="67"/>
      <c r="I137" s="67"/>
    </row>
    <row r="138" spans="2:63">
      <c r="B138" s="67"/>
      <c r="C138" s="67"/>
      <c r="D138" s="67"/>
      <c r="E138" s="67"/>
      <c r="F138" s="67"/>
      <c r="G138" s="67"/>
      <c r="H138" s="67"/>
      <c r="I138" s="67"/>
    </row>
    <row r="139" spans="2:63">
      <c r="B139" s="67"/>
      <c r="C139" s="67"/>
      <c r="D139" s="67"/>
      <c r="E139" s="67"/>
      <c r="F139" s="67"/>
      <c r="G139" s="67"/>
      <c r="H139" s="67"/>
      <c r="I139" s="67"/>
    </row>
    <row r="140" spans="2:6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heetViews>
  <sheetFormatPr baseColWidth="10" defaultRowHeight="15"/>
  <cols>
    <col min="2" max="18" width="5.6640625" customWidth="1"/>
    <col min="19" max="19" width="8.5" customWidth="1"/>
    <col min="20" max="23" width="5.6640625" customWidth="1"/>
    <col min="24" max="24" width="8.5" customWidth="1"/>
    <col min="25" max="26" width="5.6640625" customWidth="1"/>
    <col min="27" max="27" width="10.6640625" customWidth="1"/>
    <col min="28" max="28" width="5.6640625" customWidth="1"/>
    <col min="29" max="29" width="7.5" customWidth="1"/>
    <col min="30" max="33" width="5.6640625" customWidth="1"/>
    <col min="34" max="34" width="8.5" customWidth="1"/>
    <col min="35" max="39" width="5.6640625" customWidth="1"/>
    <col min="41" max="46" width="5.6640625" customWidth="1"/>
  </cols>
  <sheetData>
    <row r="1" spans="1:9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c r="A2" s="67"/>
      <c r="B2" s="561" t="s">
        <v>149</v>
      </c>
      <c r="C2" s="562"/>
      <c r="D2" s="562"/>
      <c r="E2" s="562"/>
      <c r="F2" s="562"/>
      <c r="G2" s="562"/>
      <c r="H2" s="562"/>
      <c r="I2" s="562"/>
      <c r="J2" s="503" t="s">
        <v>2</v>
      </c>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c r="A3" s="67"/>
      <c r="B3" s="562"/>
      <c r="C3" s="562"/>
      <c r="D3" s="562"/>
      <c r="E3" s="562"/>
      <c r="F3" s="562"/>
      <c r="G3" s="562"/>
      <c r="H3" s="562"/>
      <c r="I3" s="562"/>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c r="A4" s="67"/>
      <c r="B4" s="562"/>
      <c r="C4" s="562"/>
      <c r="D4" s="562"/>
      <c r="E4" s="562"/>
      <c r="F4" s="562"/>
      <c r="G4" s="562"/>
      <c r="H4" s="562"/>
      <c r="I4" s="562"/>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c r="AM4" s="50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6" thickBo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c r="A6" s="67"/>
      <c r="B6" s="450" t="s">
        <v>4</v>
      </c>
      <c r="C6" s="450"/>
      <c r="D6" s="451"/>
      <c r="E6" s="545" t="s">
        <v>111</v>
      </c>
      <c r="F6" s="546"/>
      <c r="G6" s="546"/>
      <c r="H6" s="546"/>
      <c r="I6" s="563"/>
      <c r="J6" s="30" t="str">
        <f ca="1">IF(AND('Mapa final'!$AB$10="Muy Alta",'Mapa final'!$AD$10="Leve"),CONCATENATE("R1C",'Mapa final'!$R$10),"")</f>
        <v/>
      </c>
      <c r="K6" s="31" t="str">
        <f ca="1">IF(AND('Mapa final'!$AB$11="Muy Alta",'Mapa final'!$AD$11="Leve"),CONCATENATE("R1C",'Mapa final'!$R$11),"")</f>
        <v/>
      </c>
      <c r="L6" s="31" t="str">
        <f ca="1">IF(AND('Mapa final'!$AB$12="Muy Alta",'Mapa final'!$AD$12="Leve"),CONCATENATE("R1C",'Mapa final'!$R$12),"")</f>
        <v/>
      </c>
      <c r="M6" s="31" t="str">
        <f ca="1">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 ca="1">IF(AND('Mapa final'!$AB$10="Muy Alta",'Mapa final'!$AD$10="Menor"),CONCATENATE("R1C",'Mapa final'!$R$10),"")</f>
        <v/>
      </c>
      <c r="Q6" s="31" t="str">
        <f ca="1">IF(AND('Mapa final'!$AB$11="Muy Alta",'Mapa final'!$AD$11="Menor"),CONCATENATE("R1C",'Mapa final'!$R$11),"")</f>
        <v/>
      </c>
      <c r="R6" s="31" t="str">
        <f ca="1">IF(AND('Mapa final'!$AB$12="Muy Alta",'Mapa final'!$AD$12="Menor"),CONCATENATE("R1C",'Mapa final'!$R$12),"")</f>
        <v/>
      </c>
      <c r="S6" s="31" t="str">
        <f ca="1">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 ca="1">IF(AND('Mapa final'!$AB$10="Muy Alta",'Mapa final'!$AD$10="Moderado"),CONCATENATE("R1C",'Mapa final'!$R$10),"")</f>
        <v/>
      </c>
      <c r="W6" s="31" t="str">
        <f ca="1">IF(AND('Mapa final'!$AB$11="Muy Alta",'Mapa final'!$AD$11="Moderado"),CONCATENATE("R1C",'Mapa final'!$R$11),"")</f>
        <v/>
      </c>
      <c r="X6" s="31" t="str">
        <f ca="1">IF(AND('Mapa final'!$AB$12="Muy Alta",'Mapa final'!$AD$12="Moderado"),CONCATENATE("R1C",'Mapa final'!$R$12),"")</f>
        <v/>
      </c>
      <c r="Y6" s="31" t="str">
        <f ca="1">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 ca="1">IF(AND('Mapa final'!$AB$10="Muy Alta",'Mapa final'!$AD$10="Mayor"),CONCATENATE("R1C",'Mapa final'!$R$10),"")</f>
        <v/>
      </c>
      <c r="AC6" s="31" t="str">
        <f ca="1">IF(AND('Mapa final'!$AB$11="Muy Alta",'Mapa final'!$AD$11="Mayor"),CONCATENATE("R1C",'Mapa final'!$R$11),"")</f>
        <v/>
      </c>
      <c r="AD6" s="31" t="str">
        <f ca="1">IF(AND('Mapa final'!$AB$12="Muy Alta",'Mapa final'!$AD$12="Mayor"),CONCATENATE("R1C",'Mapa final'!$R$12),"")</f>
        <v/>
      </c>
      <c r="AE6" s="31" t="str">
        <f ca="1">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 ca="1">IF(AND('Mapa final'!$AB$10="Muy Alta",'Mapa final'!$AD$10="Catastrófico"),CONCATENATE("R1C",'Mapa final'!$R$10),"")</f>
        <v/>
      </c>
      <c r="AI6" s="34" t="str">
        <f ca="1">IF(AND('Mapa final'!$AB$11="Muy Alta",'Mapa final'!$AD$11="Catastrófico"),CONCATENATE("R1C",'Mapa final'!$R$11),"")</f>
        <v/>
      </c>
      <c r="AJ6" s="34" t="str">
        <f ca="1">IF(AND('Mapa final'!$AB$12="Muy Alta",'Mapa final'!$AD$12="Catastrófico"),CONCATENATE("R1C",'Mapa final'!$R$12),"")</f>
        <v/>
      </c>
      <c r="AK6" s="34" t="str">
        <f ca="1">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552" t="s">
        <v>78</v>
      </c>
      <c r="AP6" s="553"/>
      <c r="AQ6" s="553"/>
      <c r="AR6" s="553"/>
      <c r="AS6" s="553"/>
      <c r="AT6" s="55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c r="A7" s="67"/>
      <c r="B7" s="450"/>
      <c r="C7" s="450"/>
      <c r="D7" s="451"/>
      <c r="E7" s="549"/>
      <c r="F7" s="548"/>
      <c r="G7" s="548"/>
      <c r="H7" s="548"/>
      <c r="I7" s="564"/>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555"/>
      <c r="AP7" s="556"/>
      <c r="AQ7" s="556"/>
      <c r="AR7" s="556"/>
      <c r="AS7" s="556"/>
      <c r="AT7" s="55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c r="A8" s="67"/>
      <c r="B8" s="450"/>
      <c r="C8" s="450"/>
      <c r="D8" s="451"/>
      <c r="E8" s="549"/>
      <c r="F8" s="548"/>
      <c r="G8" s="548"/>
      <c r="H8" s="548"/>
      <c r="I8" s="564"/>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555"/>
      <c r="AP8" s="556"/>
      <c r="AQ8" s="556"/>
      <c r="AR8" s="556"/>
      <c r="AS8" s="556"/>
      <c r="AT8" s="55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c r="A9" s="67"/>
      <c r="B9" s="450"/>
      <c r="C9" s="450"/>
      <c r="D9" s="451"/>
      <c r="E9" s="549"/>
      <c r="F9" s="548"/>
      <c r="G9" s="548"/>
      <c r="H9" s="548"/>
      <c r="I9" s="564"/>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555"/>
      <c r="AP9" s="556"/>
      <c r="AQ9" s="556"/>
      <c r="AR9" s="556"/>
      <c r="AS9" s="556"/>
      <c r="AT9" s="55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c r="A10" s="67"/>
      <c r="B10" s="450"/>
      <c r="C10" s="450"/>
      <c r="D10" s="451"/>
      <c r="E10" s="549"/>
      <c r="F10" s="548"/>
      <c r="G10" s="548"/>
      <c r="H10" s="548"/>
      <c r="I10" s="564"/>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555"/>
      <c r="AP10" s="556"/>
      <c r="AQ10" s="556"/>
      <c r="AR10" s="556"/>
      <c r="AS10" s="556"/>
      <c r="AT10" s="55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c r="A11" s="67"/>
      <c r="B11" s="450"/>
      <c r="C11" s="450"/>
      <c r="D11" s="451"/>
      <c r="E11" s="549"/>
      <c r="F11" s="548"/>
      <c r="G11" s="548"/>
      <c r="H11" s="548"/>
      <c r="I11" s="564"/>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555"/>
      <c r="AP11" s="556"/>
      <c r="AQ11" s="556"/>
      <c r="AR11" s="556"/>
      <c r="AS11" s="556"/>
      <c r="AT11" s="55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c r="A12" s="67"/>
      <c r="B12" s="450"/>
      <c r="C12" s="450"/>
      <c r="D12" s="451"/>
      <c r="E12" s="549"/>
      <c r="F12" s="548"/>
      <c r="G12" s="548"/>
      <c r="H12" s="548"/>
      <c r="I12" s="564"/>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555"/>
      <c r="AP12" s="556"/>
      <c r="AQ12" s="556"/>
      <c r="AR12" s="556"/>
      <c r="AS12" s="556"/>
      <c r="AT12" s="55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c r="A13" s="67"/>
      <c r="B13" s="450"/>
      <c r="C13" s="450"/>
      <c r="D13" s="451"/>
      <c r="E13" s="549"/>
      <c r="F13" s="548"/>
      <c r="G13" s="548"/>
      <c r="H13" s="548"/>
      <c r="I13" s="564"/>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555"/>
      <c r="AP13" s="556"/>
      <c r="AQ13" s="556"/>
      <c r="AR13" s="556"/>
      <c r="AS13" s="556"/>
      <c r="AT13" s="55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c r="A14" s="67"/>
      <c r="B14" s="450"/>
      <c r="C14" s="450"/>
      <c r="D14" s="451"/>
      <c r="E14" s="549"/>
      <c r="F14" s="548"/>
      <c r="G14" s="548"/>
      <c r="H14" s="548"/>
      <c r="I14" s="564"/>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555"/>
      <c r="AP14" s="556"/>
      <c r="AQ14" s="556"/>
      <c r="AR14" s="556"/>
      <c r="AS14" s="556"/>
      <c r="AT14" s="55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c r="A15" s="67"/>
      <c r="B15" s="450"/>
      <c r="C15" s="450"/>
      <c r="D15" s="451"/>
      <c r="E15" s="550"/>
      <c r="F15" s="551"/>
      <c r="G15" s="551"/>
      <c r="H15" s="551"/>
      <c r="I15" s="565"/>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558"/>
      <c r="AP15" s="559"/>
      <c r="AQ15" s="559"/>
      <c r="AR15" s="559"/>
      <c r="AS15" s="559"/>
      <c r="AT15" s="560"/>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c r="A16" s="67"/>
      <c r="B16" s="450"/>
      <c r="C16" s="450"/>
      <c r="D16" s="451"/>
      <c r="E16" s="545" t="s">
        <v>110</v>
      </c>
      <c r="F16" s="546"/>
      <c r="G16" s="546"/>
      <c r="H16" s="546"/>
      <c r="I16" s="546"/>
      <c r="J16" s="48" t="str">
        <f ca="1">IF(AND('Mapa final'!$AB$10="Alta",'Mapa final'!$AD$10="Leve"),CONCATENATE("R1C",'Mapa final'!$R$10),"")</f>
        <v/>
      </c>
      <c r="K16" s="49" t="str">
        <f ca="1">IF(AND('Mapa final'!$AB$11="Alta",'Mapa final'!$AD$11="Leve"),CONCATENATE("R1C",'Mapa final'!$R$11),"")</f>
        <v/>
      </c>
      <c r="L16" s="49" t="str">
        <f ca="1">IF(AND('Mapa final'!$AB$12="Alta",'Mapa final'!$AD$12="Leve"),CONCATENATE("R1C",'Mapa final'!$R$12),"")</f>
        <v/>
      </c>
      <c r="M16" s="49" t="str">
        <f ca="1">IF(AND('Mapa final'!$AB$13="Alta",'Mapa final'!$AD$13="Leve"),CONCATENATE("R1C",'Mapa final'!$R$13),"")</f>
        <v/>
      </c>
      <c r="N16" s="49" t="str">
        <f>IF(AND('Mapa final'!$AB$14="Alta",'Mapa final'!$AD$14="Leve"),CONCATENATE("R1C",'Mapa final'!$R$14),"")</f>
        <v/>
      </c>
      <c r="O16" s="50" t="str">
        <f>IF(AND('Mapa final'!$AB$15="Alta",'Mapa final'!$AD$15="Leve"),CONCATENATE("R1C",'Mapa final'!$R$15),"")</f>
        <v/>
      </c>
      <c r="P16" s="48" t="str">
        <f ca="1">IF(AND('Mapa final'!$AB$10="Alta",'Mapa final'!$AD$10="Menor"),CONCATENATE("R1C",'Mapa final'!$R$10),"")</f>
        <v/>
      </c>
      <c r="Q16" s="49" t="str">
        <f ca="1">IF(AND('Mapa final'!$AB$11="Alta",'Mapa final'!$AD$11="Menor"),CONCATENATE("R1C",'Mapa final'!$R$11),"")</f>
        <v/>
      </c>
      <c r="R16" s="49" t="str">
        <f ca="1">IF(AND('Mapa final'!$AB$12="Alta",'Mapa final'!$AD$12="Menor"),CONCATENATE("R1C",'Mapa final'!$R$12),"")</f>
        <v/>
      </c>
      <c r="S16" s="49" t="str">
        <f ca="1">IF(AND('Mapa final'!$AB$13="Alta",'Mapa final'!$AD$13="Menor"),CONCATENATE("R1C",'Mapa final'!$R$13),"")</f>
        <v/>
      </c>
      <c r="T16" s="49" t="str">
        <f>IF(AND('Mapa final'!$AB$14="Alta",'Mapa final'!$AD$14="Menor"),CONCATENATE("R1C",'Mapa final'!$R$14),"")</f>
        <v/>
      </c>
      <c r="U16" s="50" t="str">
        <f>IF(AND('Mapa final'!$AB$15="Alta",'Mapa final'!$AD$15="Menor"),CONCATENATE("R1C",'Mapa final'!$R$15),"")</f>
        <v/>
      </c>
      <c r="V16" s="30" t="str">
        <f ca="1">IF(AND('Mapa final'!$AB$10="Alta",'Mapa final'!$AD$10="Moderado"),CONCATENATE("R1C",'Mapa final'!$R$10),"")</f>
        <v/>
      </c>
      <c r="W16" s="31" t="str">
        <f ca="1">IF(AND('Mapa final'!$AB$11="Alta",'Mapa final'!$AD$11="Moderado"),CONCATENATE("R1C",'Mapa final'!$R$11),"")</f>
        <v/>
      </c>
      <c r="X16" s="31" t="str">
        <f ca="1">IF(AND('Mapa final'!$AB$12="Alta",'Mapa final'!$AD$12="Moderado"),CONCATENATE("R1C",'Mapa final'!$R$12),"")</f>
        <v/>
      </c>
      <c r="Y16" s="31" t="str">
        <f ca="1">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 ca="1">IF(AND('Mapa final'!$AB$10="Alta",'Mapa final'!$AD$10="Mayor"),CONCATENATE("R1C",'Mapa final'!$R$10),"")</f>
        <v>R1C1</v>
      </c>
      <c r="AC16" s="31" t="str">
        <f ca="1">IF(AND('Mapa final'!$AB$11="Alta",'Mapa final'!$AD$11="Mayor"),CONCATENATE("R1C",'Mapa final'!$R$11),"")</f>
        <v/>
      </c>
      <c r="AD16" s="31" t="str">
        <f ca="1">IF(AND('Mapa final'!$AB$12="Alta",'Mapa final'!$AD$12="Mayor"),CONCATENATE("R1C",'Mapa final'!$R$12),"")</f>
        <v/>
      </c>
      <c r="AE16" s="31" t="str">
        <f ca="1">IF(AND('Mapa final'!$AB$13="Alta",'Mapa final'!$AD$13="Mayor"),CONCATENATE("R1C",'Mapa final'!$R$13),"")</f>
        <v/>
      </c>
      <c r="AF16" s="31" t="str">
        <f>IF(AND('Mapa final'!$AB$14="Alta",'Mapa final'!$AD$14="Mayor"),CONCATENATE("R1C",'Mapa final'!$R$14),"")</f>
        <v/>
      </c>
      <c r="AG16" s="32" t="str">
        <f>IF(AND('Mapa final'!$AB$15="Alta",'Mapa final'!$AD$15="Mayor"),CONCATENATE("R1C",'Mapa final'!$R$15),"")</f>
        <v/>
      </c>
      <c r="AH16" s="33" t="str">
        <f ca="1">IF(AND('Mapa final'!$AB$10="Alta",'Mapa final'!$AD$10="Catastrófico"),CONCATENATE("R1C",'Mapa final'!$R$10),"")</f>
        <v/>
      </c>
      <c r="AI16" s="34" t="str">
        <f ca="1">IF(AND('Mapa final'!$AB$11="Alta",'Mapa final'!$AD$11="Catastrófico"),CONCATENATE("R1C",'Mapa final'!$R$11),"")</f>
        <v/>
      </c>
      <c r="AJ16" s="34" t="str">
        <f ca="1">IF(AND('Mapa final'!$AB$12="Alta",'Mapa final'!$AD$12="Catastrófico"),CONCATENATE("R1C",'Mapa final'!$R$12),"")</f>
        <v/>
      </c>
      <c r="AK16" s="34" t="str">
        <f ca="1">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536" t="s">
        <v>79</v>
      </c>
      <c r="AP16" s="537"/>
      <c r="AQ16" s="537"/>
      <c r="AR16" s="537"/>
      <c r="AS16" s="537"/>
      <c r="AT16" s="538"/>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c r="A17" s="67"/>
      <c r="B17" s="450"/>
      <c r="C17" s="450"/>
      <c r="D17" s="451"/>
      <c r="E17" s="547"/>
      <c r="F17" s="548"/>
      <c r="G17" s="548"/>
      <c r="H17" s="548"/>
      <c r="I17" s="548"/>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539"/>
      <c r="AP17" s="540"/>
      <c r="AQ17" s="540"/>
      <c r="AR17" s="540"/>
      <c r="AS17" s="540"/>
      <c r="AT17" s="54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c r="A18" s="67"/>
      <c r="B18" s="450"/>
      <c r="C18" s="450"/>
      <c r="D18" s="451"/>
      <c r="E18" s="549"/>
      <c r="F18" s="548"/>
      <c r="G18" s="548"/>
      <c r="H18" s="548"/>
      <c r="I18" s="548"/>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539"/>
      <c r="AP18" s="540"/>
      <c r="AQ18" s="540"/>
      <c r="AR18" s="540"/>
      <c r="AS18" s="540"/>
      <c r="AT18" s="54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c r="A19" s="67"/>
      <c r="B19" s="450"/>
      <c r="C19" s="450"/>
      <c r="D19" s="451"/>
      <c r="E19" s="549"/>
      <c r="F19" s="548"/>
      <c r="G19" s="548"/>
      <c r="H19" s="548"/>
      <c r="I19" s="548"/>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539"/>
      <c r="AP19" s="540"/>
      <c r="AQ19" s="540"/>
      <c r="AR19" s="540"/>
      <c r="AS19" s="540"/>
      <c r="AT19" s="54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c r="A20" s="67"/>
      <c r="B20" s="450"/>
      <c r="C20" s="450"/>
      <c r="D20" s="451"/>
      <c r="E20" s="549"/>
      <c r="F20" s="548"/>
      <c r="G20" s="548"/>
      <c r="H20" s="548"/>
      <c r="I20" s="548"/>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539"/>
      <c r="AP20" s="540"/>
      <c r="AQ20" s="540"/>
      <c r="AR20" s="540"/>
      <c r="AS20" s="540"/>
      <c r="AT20" s="54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c r="A21" s="67"/>
      <c r="B21" s="450"/>
      <c r="C21" s="450"/>
      <c r="D21" s="451"/>
      <c r="E21" s="549"/>
      <c r="F21" s="548"/>
      <c r="G21" s="548"/>
      <c r="H21" s="548"/>
      <c r="I21" s="548"/>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539"/>
      <c r="AP21" s="540"/>
      <c r="AQ21" s="540"/>
      <c r="AR21" s="540"/>
      <c r="AS21" s="540"/>
      <c r="AT21" s="541"/>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c r="A22" s="67"/>
      <c r="B22" s="450"/>
      <c r="C22" s="450"/>
      <c r="D22" s="451"/>
      <c r="E22" s="549"/>
      <c r="F22" s="548"/>
      <c r="G22" s="548"/>
      <c r="H22" s="548"/>
      <c r="I22" s="548"/>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539"/>
      <c r="AP22" s="540"/>
      <c r="AQ22" s="540"/>
      <c r="AR22" s="540"/>
      <c r="AS22" s="540"/>
      <c r="AT22" s="54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c r="A23" s="67"/>
      <c r="B23" s="450"/>
      <c r="C23" s="450"/>
      <c r="D23" s="451"/>
      <c r="E23" s="549"/>
      <c r="F23" s="548"/>
      <c r="G23" s="548"/>
      <c r="H23" s="548"/>
      <c r="I23" s="548"/>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539"/>
      <c r="AP23" s="540"/>
      <c r="AQ23" s="540"/>
      <c r="AR23" s="540"/>
      <c r="AS23" s="540"/>
      <c r="AT23" s="541"/>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c r="A24" s="67"/>
      <c r="B24" s="450"/>
      <c r="C24" s="450"/>
      <c r="D24" s="451"/>
      <c r="E24" s="549"/>
      <c r="F24" s="548"/>
      <c r="G24" s="548"/>
      <c r="H24" s="548"/>
      <c r="I24" s="548"/>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539"/>
      <c r="AP24" s="540"/>
      <c r="AQ24" s="540"/>
      <c r="AR24" s="540"/>
      <c r="AS24" s="540"/>
      <c r="AT24" s="541"/>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c r="A25" s="67"/>
      <c r="B25" s="450"/>
      <c r="C25" s="450"/>
      <c r="D25" s="451"/>
      <c r="E25" s="550"/>
      <c r="F25" s="551"/>
      <c r="G25" s="551"/>
      <c r="H25" s="551"/>
      <c r="I25" s="551"/>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542"/>
      <c r="AP25" s="543"/>
      <c r="AQ25" s="543"/>
      <c r="AR25" s="543"/>
      <c r="AS25" s="543"/>
      <c r="AT25" s="54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c r="A26" s="67"/>
      <c r="B26" s="450"/>
      <c r="C26" s="450"/>
      <c r="D26" s="451"/>
      <c r="E26" s="545" t="s">
        <v>112</v>
      </c>
      <c r="F26" s="546"/>
      <c r="G26" s="546"/>
      <c r="H26" s="546"/>
      <c r="I26" s="563"/>
      <c r="J26" s="48" t="str">
        <f ca="1">IF(AND('Mapa final'!$AB$10="Media",'Mapa final'!$AD$10="Leve"),CONCATENATE("R1C",'Mapa final'!$R$10),"")</f>
        <v/>
      </c>
      <c r="K26" s="49" t="str">
        <f ca="1">IF(AND('Mapa final'!$AB$11="Media",'Mapa final'!$AD$11="Leve"),CONCATENATE("R1C",'Mapa final'!$R$11),"")</f>
        <v/>
      </c>
      <c r="L26" s="49" t="str">
        <f ca="1">IF(AND('Mapa final'!$AB$12="Media",'Mapa final'!$AD$12="Leve"),CONCATENATE("R1C",'Mapa final'!$R$12),"")</f>
        <v/>
      </c>
      <c r="M26" s="49" t="str">
        <f ca="1">IF(AND('Mapa final'!$AB$13="Media",'Mapa final'!$AD$13="Leve"),CONCATENATE("R1C",'Mapa final'!$R$13),"")</f>
        <v/>
      </c>
      <c r="N26" s="49" t="str">
        <f>IF(AND('Mapa final'!$AB$14="Media",'Mapa final'!$AD$14="Leve"),CONCATENATE("R1C",'Mapa final'!$R$14),"")</f>
        <v/>
      </c>
      <c r="O26" s="50" t="str">
        <f>IF(AND('Mapa final'!$AB$15="Media",'Mapa final'!$AD$15="Leve"),CONCATENATE("R1C",'Mapa final'!$R$15),"")</f>
        <v/>
      </c>
      <c r="P26" s="48" t="str">
        <f ca="1">IF(AND('Mapa final'!$AB$10="Media",'Mapa final'!$AD$10="Menor"),CONCATENATE("R1C",'Mapa final'!$R$10),"")</f>
        <v/>
      </c>
      <c r="Q26" s="49" t="str">
        <f ca="1">IF(AND('Mapa final'!$AB$11="Media",'Mapa final'!$AD$11="Menor"),CONCATENATE("R1C",'Mapa final'!$R$11),"")</f>
        <v/>
      </c>
      <c r="R26" s="49" t="str">
        <f ca="1">IF(AND('Mapa final'!$AB$12="Media",'Mapa final'!$AD$12="Menor"),CONCATENATE("R1C",'Mapa final'!$R$12),"")</f>
        <v/>
      </c>
      <c r="S26" s="49" t="str">
        <f ca="1">IF(AND('Mapa final'!$AB$13="Media",'Mapa final'!$AD$13="Menor"),CONCATENATE("R1C",'Mapa final'!$R$13),"")</f>
        <v/>
      </c>
      <c r="T26" s="49" t="str">
        <f>IF(AND('Mapa final'!$AB$14="Media",'Mapa final'!$AD$14="Menor"),CONCATENATE("R1C",'Mapa final'!$R$14),"")</f>
        <v/>
      </c>
      <c r="U26" s="50" t="str">
        <f>IF(AND('Mapa final'!$AB$15="Media",'Mapa final'!$AD$15="Menor"),CONCATENATE("R1C",'Mapa final'!$R$15),"")</f>
        <v/>
      </c>
      <c r="V26" s="48" t="str">
        <f ca="1">IF(AND('Mapa final'!$AB$10="Media",'Mapa final'!$AD$10="Moderado"),CONCATENATE("R1C",'Mapa final'!$R$10),"")</f>
        <v/>
      </c>
      <c r="W26" s="49" t="str">
        <f ca="1">IF(AND('Mapa final'!$AB$11="Media",'Mapa final'!$AD$11="Moderado"),CONCATENATE("R1C",'Mapa final'!$R$11),"")</f>
        <v/>
      </c>
      <c r="X26" s="49" t="str">
        <f ca="1">IF(AND('Mapa final'!$AB$12="Media",'Mapa final'!$AD$12="Moderado"),CONCATENATE("R1C",'Mapa final'!$R$12),"")</f>
        <v/>
      </c>
      <c r="Y26" s="49" t="str">
        <f ca="1">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 ca="1">IF(AND('Mapa final'!$AB$10="Media",'Mapa final'!$AD$10="Mayor"),CONCATENATE("R1C",'Mapa final'!$R$10),"")</f>
        <v/>
      </c>
      <c r="AC26" s="31" t="str">
        <f ca="1">IF(AND('Mapa final'!$AB$11="Media",'Mapa final'!$AD$11="Mayor"),CONCATENATE("R1C",'Mapa final'!$R$11),"")</f>
        <v>R1C2</v>
      </c>
      <c r="AD26" s="31" t="str">
        <f ca="1">IF(AND('Mapa final'!$AB$12="Media",'Mapa final'!$AD$12="Mayor"),CONCATENATE("R1C",'Mapa final'!$R$12),"")</f>
        <v/>
      </c>
      <c r="AE26" s="31" t="str">
        <f ca="1">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 ca="1">IF(AND('Mapa final'!$AB$10="Media",'Mapa final'!$AD$10="Catastrófico"),CONCATENATE("R1C",'Mapa final'!$R$10),"")</f>
        <v/>
      </c>
      <c r="AI26" s="34" t="str">
        <f ca="1">IF(AND('Mapa final'!$AB$11="Media",'Mapa final'!$AD$11="Catastrófico"),CONCATENATE("R1C",'Mapa final'!$R$11),"")</f>
        <v/>
      </c>
      <c r="AJ26" s="34" t="str">
        <f ca="1">IF(AND('Mapa final'!$AB$12="Media",'Mapa final'!$AD$12="Catastrófico"),CONCATENATE("R1C",'Mapa final'!$R$12),"")</f>
        <v/>
      </c>
      <c r="AK26" s="34" t="str">
        <f ca="1">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575" t="s">
        <v>80</v>
      </c>
      <c r="AP26" s="576"/>
      <c r="AQ26" s="576"/>
      <c r="AR26" s="576"/>
      <c r="AS26" s="576"/>
      <c r="AT26" s="57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c r="A27" s="67"/>
      <c r="B27" s="450"/>
      <c r="C27" s="450"/>
      <c r="D27" s="451"/>
      <c r="E27" s="547"/>
      <c r="F27" s="548"/>
      <c r="G27" s="548"/>
      <c r="H27" s="548"/>
      <c r="I27" s="564"/>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578"/>
      <c r="AP27" s="579"/>
      <c r="AQ27" s="579"/>
      <c r="AR27" s="579"/>
      <c r="AS27" s="579"/>
      <c r="AT27" s="58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c r="A28" s="67"/>
      <c r="B28" s="450"/>
      <c r="C28" s="450"/>
      <c r="D28" s="451"/>
      <c r="E28" s="549"/>
      <c r="F28" s="548"/>
      <c r="G28" s="548"/>
      <c r="H28" s="548"/>
      <c r="I28" s="564"/>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578"/>
      <c r="AP28" s="579"/>
      <c r="AQ28" s="579"/>
      <c r="AR28" s="579"/>
      <c r="AS28" s="579"/>
      <c r="AT28" s="58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c r="A29" s="67"/>
      <c r="B29" s="450"/>
      <c r="C29" s="450"/>
      <c r="D29" s="451"/>
      <c r="E29" s="549"/>
      <c r="F29" s="548"/>
      <c r="G29" s="548"/>
      <c r="H29" s="548"/>
      <c r="I29" s="564"/>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578"/>
      <c r="AP29" s="579"/>
      <c r="AQ29" s="579"/>
      <c r="AR29" s="579"/>
      <c r="AS29" s="579"/>
      <c r="AT29" s="58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c r="A30" s="67"/>
      <c r="B30" s="450"/>
      <c r="C30" s="450"/>
      <c r="D30" s="451"/>
      <c r="E30" s="549"/>
      <c r="F30" s="548"/>
      <c r="G30" s="548"/>
      <c r="H30" s="548"/>
      <c r="I30" s="564"/>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578"/>
      <c r="AP30" s="579"/>
      <c r="AQ30" s="579"/>
      <c r="AR30" s="579"/>
      <c r="AS30" s="579"/>
      <c r="AT30" s="58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c r="A31" s="67"/>
      <c r="B31" s="450"/>
      <c r="C31" s="450"/>
      <c r="D31" s="451"/>
      <c r="E31" s="549"/>
      <c r="F31" s="548"/>
      <c r="G31" s="548"/>
      <c r="H31" s="548"/>
      <c r="I31" s="564"/>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578"/>
      <c r="AP31" s="579"/>
      <c r="AQ31" s="579"/>
      <c r="AR31" s="579"/>
      <c r="AS31" s="579"/>
      <c r="AT31" s="58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c r="A32" s="67"/>
      <c r="B32" s="450"/>
      <c r="C32" s="450"/>
      <c r="D32" s="451"/>
      <c r="E32" s="549"/>
      <c r="F32" s="548"/>
      <c r="G32" s="548"/>
      <c r="H32" s="548"/>
      <c r="I32" s="564"/>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578"/>
      <c r="AP32" s="579"/>
      <c r="AQ32" s="579"/>
      <c r="AR32" s="579"/>
      <c r="AS32" s="579"/>
      <c r="AT32" s="58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c r="A33" s="67"/>
      <c r="B33" s="450"/>
      <c r="C33" s="450"/>
      <c r="D33" s="451"/>
      <c r="E33" s="549"/>
      <c r="F33" s="548"/>
      <c r="G33" s="548"/>
      <c r="H33" s="548"/>
      <c r="I33" s="564"/>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578"/>
      <c r="AP33" s="579"/>
      <c r="AQ33" s="579"/>
      <c r="AR33" s="579"/>
      <c r="AS33" s="579"/>
      <c r="AT33" s="58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c r="A34" s="67"/>
      <c r="B34" s="450"/>
      <c r="C34" s="450"/>
      <c r="D34" s="451"/>
      <c r="E34" s="549"/>
      <c r="F34" s="548"/>
      <c r="G34" s="548"/>
      <c r="H34" s="548"/>
      <c r="I34" s="564"/>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578"/>
      <c r="AP34" s="579"/>
      <c r="AQ34" s="579"/>
      <c r="AR34" s="579"/>
      <c r="AS34" s="579"/>
      <c r="AT34" s="58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c r="A35" s="67"/>
      <c r="B35" s="450"/>
      <c r="C35" s="450"/>
      <c r="D35" s="451"/>
      <c r="E35" s="550"/>
      <c r="F35" s="551"/>
      <c r="G35" s="551"/>
      <c r="H35" s="551"/>
      <c r="I35" s="565"/>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581"/>
      <c r="AP35" s="582"/>
      <c r="AQ35" s="582"/>
      <c r="AR35" s="582"/>
      <c r="AS35" s="582"/>
      <c r="AT35" s="58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c r="A36" s="67"/>
      <c r="B36" s="450"/>
      <c r="C36" s="450"/>
      <c r="D36" s="451"/>
      <c r="E36" s="545" t="s">
        <v>109</v>
      </c>
      <c r="F36" s="546"/>
      <c r="G36" s="546"/>
      <c r="H36" s="546"/>
      <c r="I36" s="546"/>
      <c r="J36" s="57" t="str">
        <f ca="1">IF(AND('Mapa final'!$AB$10="Baja",'Mapa final'!$AD$10="Leve"),CONCATENATE("R1C",'Mapa final'!$R$10),"")</f>
        <v/>
      </c>
      <c r="K36" s="58" t="str">
        <f ca="1">IF(AND('Mapa final'!$AB$11="Baja",'Mapa final'!$AD$11="Leve"),CONCATENATE("R1C",'Mapa final'!$R$11),"")</f>
        <v/>
      </c>
      <c r="L36" s="58" t="str">
        <f ca="1">IF(AND('Mapa final'!$AB$12="Baja",'Mapa final'!$AD$12="Leve"),CONCATENATE("R1C",'Mapa final'!$R$12),"")</f>
        <v/>
      </c>
      <c r="M36" s="58" t="str">
        <f ca="1">IF(AND('Mapa final'!$AB$13="Baja",'Mapa final'!$AD$13="Leve"),CONCATENATE("R1C",'Mapa final'!$R$13),"")</f>
        <v/>
      </c>
      <c r="N36" s="58" t="str">
        <f>IF(AND('Mapa final'!$AB$14="Baja",'Mapa final'!$AD$14="Leve"),CONCATENATE("R1C",'Mapa final'!$R$14),"")</f>
        <v/>
      </c>
      <c r="O36" s="59" t="str">
        <f>IF(AND('Mapa final'!$AB$15="Baja",'Mapa final'!$AD$15="Leve"),CONCATENATE("R1C",'Mapa final'!$R$15),"")</f>
        <v/>
      </c>
      <c r="P36" s="48" t="str">
        <f ca="1">IF(AND('Mapa final'!$AB$10="Baja",'Mapa final'!$AD$10="Menor"),CONCATENATE("R1C",'Mapa final'!$R$10),"")</f>
        <v/>
      </c>
      <c r="Q36" s="49" t="str">
        <f ca="1">IF(AND('Mapa final'!$AB$11="Baja",'Mapa final'!$AD$11="Menor"),CONCATENATE("R1C",'Mapa final'!$R$11),"")</f>
        <v/>
      </c>
      <c r="R36" s="49" t="str">
        <f ca="1">IF(AND('Mapa final'!$AB$12="Baja",'Mapa final'!$AD$12="Menor"),CONCATENATE("R1C",'Mapa final'!$R$12),"")</f>
        <v/>
      </c>
      <c r="S36" s="49" t="str">
        <f ca="1">IF(AND('Mapa final'!$AB$13="Baja",'Mapa final'!$AD$13="Menor"),CONCATENATE("R1C",'Mapa final'!$R$13),"")</f>
        <v/>
      </c>
      <c r="T36" s="49" t="str">
        <f>IF(AND('Mapa final'!$AB$14="Baja",'Mapa final'!$AD$14="Menor"),CONCATENATE("R1C",'Mapa final'!$R$14),"")</f>
        <v/>
      </c>
      <c r="U36" s="50" t="str">
        <f>IF(AND('Mapa final'!$AB$15="Baja",'Mapa final'!$AD$15="Menor"),CONCATENATE("R1C",'Mapa final'!$R$15),"")</f>
        <v/>
      </c>
      <c r="V36" s="48" t="str">
        <f ca="1">IF(AND('Mapa final'!$AB$10="Baja",'Mapa final'!$AD$10="Moderado"),CONCATENATE("R1C",'Mapa final'!$R$10),"")</f>
        <v/>
      </c>
      <c r="W36" s="49" t="str">
        <f ca="1">IF(AND('Mapa final'!$AB$11="Baja",'Mapa final'!$AD$11="Moderado"),CONCATENATE("R1C",'Mapa final'!$R$11),"")</f>
        <v/>
      </c>
      <c r="X36" s="49" t="str">
        <f ca="1">IF(AND('Mapa final'!$AB$12="Baja",'Mapa final'!$AD$12="Moderado"),CONCATENATE("R1C",'Mapa final'!$R$12),"")</f>
        <v/>
      </c>
      <c r="Y36" s="49" t="str">
        <f ca="1">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 ca="1">IF(AND('Mapa final'!$AB$10="Baja",'Mapa final'!$AD$10="Mayor"),CONCATENATE("R1C",'Mapa final'!$R$10),"")</f>
        <v/>
      </c>
      <c r="AC36" s="31" t="str">
        <f ca="1">IF(AND('Mapa final'!$AB$11="Baja",'Mapa final'!$AD$11="Mayor"),CONCATENATE("R1C",'Mapa final'!$R$11),"")</f>
        <v/>
      </c>
      <c r="AD36" s="31" t="str">
        <f ca="1">IF(AND('Mapa final'!$AB$12="Baja",'Mapa final'!$AD$12="Mayor"),CONCATENATE("R1C",'Mapa final'!$R$12),"")</f>
        <v>R1C3</v>
      </c>
      <c r="AE36" s="31" t="str">
        <f ca="1">IF(AND('Mapa final'!$AB$13="Baja",'Mapa final'!$AD$13="Mayor"),CONCATENATE("R1C",'Mapa final'!$R$13),"")</f>
        <v>R1C4</v>
      </c>
      <c r="AF36" s="31" t="str">
        <f>IF(AND('Mapa final'!$AB$14="Baja",'Mapa final'!$AD$14="Mayor"),CONCATENATE("R1C",'Mapa final'!$R$14),"")</f>
        <v/>
      </c>
      <c r="AG36" s="32" t="str">
        <f>IF(AND('Mapa final'!$AB$15="Baja",'Mapa final'!$AD$15="Mayor"),CONCATENATE("R1C",'Mapa final'!$R$15),"")</f>
        <v/>
      </c>
      <c r="AH36" s="33" t="str">
        <f ca="1">IF(AND('Mapa final'!$AB$10="Baja",'Mapa final'!$AD$10="Catastrófico"),CONCATENATE("R1C",'Mapa final'!$R$10),"")</f>
        <v/>
      </c>
      <c r="AI36" s="34" t="str">
        <f ca="1">IF(AND('Mapa final'!$AB$11="Baja",'Mapa final'!$AD$11="Catastrófico"),CONCATENATE("R1C",'Mapa final'!$R$11),"")</f>
        <v/>
      </c>
      <c r="AJ36" s="34" t="str">
        <f ca="1">IF(AND('Mapa final'!$AB$12="Baja",'Mapa final'!$AD$12="Catastrófico"),CONCATENATE("R1C",'Mapa final'!$R$12),"")</f>
        <v/>
      </c>
      <c r="AK36" s="34" t="str">
        <f ca="1">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566" t="s">
        <v>81</v>
      </c>
      <c r="AP36" s="567"/>
      <c r="AQ36" s="567"/>
      <c r="AR36" s="567"/>
      <c r="AS36" s="567"/>
      <c r="AT36" s="56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c r="A37" s="67"/>
      <c r="B37" s="450"/>
      <c r="C37" s="450"/>
      <c r="D37" s="451"/>
      <c r="E37" s="547"/>
      <c r="F37" s="548"/>
      <c r="G37" s="548"/>
      <c r="H37" s="548"/>
      <c r="I37" s="548"/>
      <c r="J37" s="60" t="str">
        <f>IF(AND('Mapa final'!$AB$16="Baja",'Mapa final'!$AD$16="Leve"),CONCATENATE("R2C",'Mapa final'!$R$16),"")</f>
        <v/>
      </c>
      <c r="K37" s="61" t="str">
        <f>IF(AND('Mapa final'!$AB$17="Baja",'Mapa final'!$AD$17="Leve"),CONCATENATE("R2C",'Mapa final'!$R$17),"")</f>
        <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
      </c>
      <c r="Q37" s="52" t="str">
        <f>IF(AND('Mapa final'!$AB$17="Baja",'Mapa final'!$AD$17="Menor"),CONCATENATE("R2C",'Mapa final'!$R$17),"")</f>
        <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
      </c>
      <c r="AI37" s="40" t="str">
        <f>IF(AND('Mapa final'!$AB$17="Baja",'Mapa final'!$AD$17="Catastrófico"),CONCATENATE("R2C",'Mapa final'!$R$17),"")</f>
        <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569"/>
      <c r="AP37" s="570"/>
      <c r="AQ37" s="570"/>
      <c r="AR37" s="570"/>
      <c r="AS37" s="570"/>
      <c r="AT37" s="57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c r="A38" s="67"/>
      <c r="B38" s="450"/>
      <c r="C38" s="450"/>
      <c r="D38" s="451"/>
      <c r="E38" s="549"/>
      <c r="F38" s="548"/>
      <c r="G38" s="548"/>
      <c r="H38" s="548"/>
      <c r="I38" s="548"/>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
      </c>
      <c r="Q38" s="52" t="str">
        <f>IF(AND('Mapa final'!$AB$23="Baja",'Mapa final'!$AD$23="Menor"),CONCATENATE("R3C",'Mapa final'!$R$23),"")</f>
        <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569"/>
      <c r="AP38" s="570"/>
      <c r="AQ38" s="570"/>
      <c r="AR38" s="570"/>
      <c r="AS38" s="570"/>
      <c r="AT38" s="571"/>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c r="A39" s="67"/>
      <c r="B39" s="450"/>
      <c r="C39" s="450"/>
      <c r="D39" s="451"/>
      <c r="E39" s="549"/>
      <c r="F39" s="548"/>
      <c r="G39" s="548"/>
      <c r="H39" s="548"/>
      <c r="I39" s="548"/>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569"/>
      <c r="AP39" s="570"/>
      <c r="AQ39" s="570"/>
      <c r="AR39" s="570"/>
      <c r="AS39" s="570"/>
      <c r="AT39" s="571"/>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c r="A40" s="67"/>
      <c r="B40" s="450"/>
      <c r="C40" s="450"/>
      <c r="D40" s="451"/>
      <c r="E40" s="549"/>
      <c r="F40" s="548"/>
      <c r="G40" s="548"/>
      <c r="H40" s="548"/>
      <c r="I40" s="548"/>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569"/>
      <c r="AP40" s="570"/>
      <c r="AQ40" s="570"/>
      <c r="AR40" s="570"/>
      <c r="AS40" s="570"/>
      <c r="AT40" s="571"/>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c r="A41" s="67"/>
      <c r="B41" s="450"/>
      <c r="C41" s="450"/>
      <c r="D41" s="451"/>
      <c r="E41" s="549"/>
      <c r="F41" s="548"/>
      <c r="G41" s="548"/>
      <c r="H41" s="548"/>
      <c r="I41" s="548"/>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569"/>
      <c r="AP41" s="570"/>
      <c r="AQ41" s="570"/>
      <c r="AR41" s="570"/>
      <c r="AS41" s="570"/>
      <c r="AT41" s="571"/>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c r="A42" s="67"/>
      <c r="B42" s="450"/>
      <c r="C42" s="450"/>
      <c r="D42" s="451"/>
      <c r="E42" s="549"/>
      <c r="F42" s="548"/>
      <c r="G42" s="548"/>
      <c r="H42" s="548"/>
      <c r="I42" s="548"/>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569"/>
      <c r="AP42" s="570"/>
      <c r="AQ42" s="570"/>
      <c r="AR42" s="570"/>
      <c r="AS42" s="570"/>
      <c r="AT42" s="571"/>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c r="A43" s="67"/>
      <c r="B43" s="450"/>
      <c r="C43" s="450"/>
      <c r="D43" s="451"/>
      <c r="E43" s="549"/>
      <c r="F43" s="548"/>
      <c r="G43" s="548"/>
      <c r="H43" s="548"/>
      <c r="I43" s="548"/>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569"/>
      <c r="AP43" s="570"/>
      <c r="AQ43" s="570"/>
      <c r="AR43" s="570"/>
      <c r="AS43" s="570"/>
      <c r="AT43" s="571"/>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c r="A44" s="67"/>
      <c r="B44" s="450"/>
      <c r="C44" s="450"/>
      <c r="D44" s="451"/>
      <c r="E44" s="549"/>
      <c r="F44" s="548"/>
      <c r="G44" s="548"/>
      <c r="H44" s="548"/>
      <c r="I44" s="548"/>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569"/>
      <c r="AP44" s="570"/>
      <c r="AQ44" s="570"/>
      <c r="AR44" s="570"/>
      <c r="AS44" s="570"/>
      <c r="AT44" s="571"/>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c r="A45" s="67"/>
      <c r="B45" s="450"/>
      <c r="C45" s="450"/>
      <c r="D45" s="451"/>
      <c r="E45" s="550"/>
      <c r="F45" s="551"/>
      <c r="G45" s="551"/>
      <c r="H45" s="551"/>
      <c r="I45" s="551"/>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572"/>
      <c r="AP45" s="573"/>
      <c r="AQ45" s="573"/>
      <c r="AR45" s="573"/>
      <c r="AS45" s="573"/>
      <c r="AT45" s="574"/>
    </row>
    <row r="46" spans="1:80" ht="46.5" customHeight="1">
      <c r="A46" s="67"/>
      <c r="B46" s="450"/>
      <c r="C46" s="450"/>
      <c r="D46" s="451"/>
      <c r="E46" s="545" t="s">
        <v>108</v>
      </c>
      <c r="F46" s="546"/>
      <c r="G46" s="546"/>
      <c r="H46" s="546"/>
      <c r="I46" s="563"/>
      <c r="J46" s="57" t="str">
        <f ca="1">IF(AND('Mapa final'!$AB$10="Muy Baja",'Mapa final'!$AD$10="Leve"),CONCATENATE("R1C",'Mapa final'!$R$10),"")</f>
        <v/>
      </c>
      <c r="K46" s="58" t="str">
        <f ca="1">IF(AND('Mapa final'!$AB$11="Muy Baja",'Mapa final'!$AD$11="Leve"),CONCATENATE("R1C",'Mapa final'!$R$11),"")</f>
        <v/>
      </c>
      <c r="L46" s="58" t="str">
        <f ca="1">IF(AND('Mapa final'!$AB$12="Muy Baja",'Mapa final'!$AD$12="Leve"),CONCATENATE("R1C",'Mapa final'!$R$12),"")</f>
        <v/>
      </c>
      <c r="M46" s="58" t="str">
        <f ca="1">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 ca="1">IF(AND('Mapa final'!$AB$10="Muy Baja",'Mapa final'!$AD$10="Menor"),CONCATENATE("R1C",'Mapa final'!$R$10),"")</f>
        <v/>
      </c>
      <c r="Q46" s="58" t="str">
        <f ca="1">IF(AND('Mapa final'!$AB$11="Muy Baja",'Mapa final'!$AD$11="Menor"),CONCATENATE("R1C",'Mapa final'!$R$11),"")</f>
        <v/>
      </c>
      <c r="R46" s="58" t="str">
        <f ca="1">IF(AND('Mapa final'!$AB$12="Muy Baja",'Mapa final'!$AD$12="Menor"),CONCATENATE("R1C",'Mapa final'!$R$12),"")</f>
        <v/>
      </c>
      <c r="S46" s="58" t="str">
        <f ca="1">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 ca="1">IF(AND('Mapa final'!$AB$10="Muy Baja",'Mapa final'!$AD$10="Moderado"),CONCATENATE("R1C",'Mapa final'!$R$10),"")</f>
        <v/>
      </c>
      <c r="W46" s="66" t="str">
        <f ca="1">IF(AND('Mapa final'!$AB$11="Muy Baja",'Mapa final'!$AD$11="Moderado"),CONCATENATE("R1C",'Mapa final'!$R$11),"")</f>
        <v/>
      </c>
      <c r="X46" s="49" t="str">
        <f ca="1">IF(AND('Mapa final'!$AB$12="Muy Baja",'Mapa final'!$AD$12="Moderado"),CONCATENATE("R1C",'Mapa final'!$R$12),"")</f>
        <v/>
      </c>
      <c r="Y46" s="49" t="str">
        <f ca="1">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 ca="1">IF(AND('Mapa final'!$AB$10="Muy Baja",'Mapa final'!$AD$10="Mayor"),CONCATENATE("R1C",'Mapa final'!$R$10),"")</f>
        <v/>
      </c>
      <c r="AC46" s="31" t="str">
        <f ca="1">IF(AND('Mapa final'!$AB$11="Muy Baja",'Mapa final'!$AD$11="Mayor"),CONCATENATE("R1C",'Mapa final'!$R$11),"")</f>
        <v/>
      </c>
      <c r="AD46" s="31" t="str">
        <f ca="1">IF(AND('Mapa final'!$AB$12="Muy Baja",'Mapa final'!$AD$12="Mayor"),CONCATENATE("R1C",'Mapa final'!$R$12),"")</f>
        <v/>
      </c>
      <c r="AE46" s="31" t="str">
        <f ca="1">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 ca="1">IF(AND('Mapa final'!$AB$10="Muy Baja",'Mapa final'!$AD$10="Catastrófico"),CONCATENATE("R1C",'Mapa final'!$R$10),"")</f>
        <v/>
      </c>
      <c r="AI46" s="34" t="str">
        <f ca="1">IF(AND('Mapa final'!$AB$11="Muy Baja",'Mapa final'!$AD$11="Catastrófico"),CONCATENATE("R1C",'Mapa final'!$R$11),"")</f>
        <v/>
      </c>
      <c r="AJ46" s="34" t="str">
        <f ca="1">IF(AND('Mapa final'!$AB$12="Muy Baja",'Mapa final'!$AD$12="Catastrófico"),CONCATENATE("R1C",'Mapa final'!$R$12),"")</f>
        <v/>
      </c>
      <c r="AK46" s="34" t="str">
        <f ca="1">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c r="A47" s="67"/>
      <c r="B47" s="450"/>
      <c r="C47" s="450"/>
      <c r="D47" s="451"/>
      <c r="E47" s="547"/>
      <c r="F47" s="548"/>
      <c r="G47" s="548"/>
      <c r="H47" s="548"/>
      <c r="I47" s="564"/>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c r="A48" s="67"/>
      <c r="B48" s="450"/>
      <c r="C48" s="450"/>
      <c r="D48" s="451"/>
      <c r="E48" s="547"/>
      <c r="F48" s="548"/>
      <c r="G48" s="548"/>
      <c r="H48" s="548"/>
      <c r="I48" s="564"/>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c r="A49" s="67"/>
      <c r="B49" s="450"/>
      <c r="C49" s="450"/>
      <c r="D49" s="451"/>
      <c r="E49" s="549"/>
      <c r="F49" s="548"/>
      <c r="G49" s="548"/>
      <c r="H49" s="548"/>
      <c r="I49" s="564"/>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c r="A50" s="67"/>
      <c r="B50" s="450"/>
      <c r="C50" s="450"/>
      <c r="D50" s="451"/>
      <c r="E50" s="549"/>
      <c r="F50" s="548"/>
      <c r="G50" s="548"/>
      <c r="H50" s="548"/>
      <c r="I50" s="564"/>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c r="A51" s="67"/>
      <c r="B51" s="450"/>
      <c r="C51" s="450"/>
      <c r="D51" s="451"/>
      <c r="E51" s="549"/>
      <c r="F51" s="548"/>
      <c r="G51" s="548"/>
      <c r="H51" s="548"/>
      <c r="I51" s="564"/>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c r="A52" s="67"/>
      <c r="B52" s="450"/>
      <c r="C52" s="450"/>
      <c r="D52" s="451"/>
      <c r="E52" s="549"/>
      <c r="F52" s="548"/>
      <c r="G52" s="548"/>
      <c r="H52" s="548"/>
      <c r="I52" s="564"/>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c r="A53" s="67"/>
      <c r="B53" s="450"/>
      <c r="C53" s="450"/>
      <c r="D53" s="451"/>
      <c r="E53" s="549"/>
      <c r="F53" s="548"/>
      <c r="G53" s="548"/>
      <c r="H53" s="548"/>
      <c r="I53" s="564"/>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c r="A54" s="67"/>
      <c r="B54" s="450"/>
      <c r="C54" s="450"/>
      <c r="D54" s="451"/>
      <c r="E54" s="549"/>
      <c r="F54" s="548"/>
      <c r="G54" s="548"/>
      <c r="H54" s="548"/>
      <c r="I54" s="564"/>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c r="A55" s="67"/>
      <c r="B55" s="450"/>
      <c r="C55" s="450"/>
      <c r="D55" s="451"/>
      <c r="E55" s="550"/>
      <c r="F55" s="551"/>
      <c r="G55" s="551"/>
      <c r="H55" s="551"/>
      <c r="I55" s="565"/>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c r="A56" s="67"/>
      <c r="B56" s="67"/>
      <c r="C56" s="67"/>
      <c r="D56" s="67"/>
      <c r="E56" s="67"/>
      <c r="F56" s="67"/>
      <c r="G56" s="67"/>
      <c r="H56" s="67"/>
      <c r="I56" s="67"/>
      <c r="J56" s="545" t="s">
        <v>107</v>
      </c>
      <c r="K56" s="546"/>
      <c r="L56" s="546"/>
      <c r="M56" s="546"/>
      <c r="N56" s="546"/>
      <c r="O56" s="563"/>
      <c r="P56" s="545" t="s">
        <v>106</v>
      </c>
      <c r="Q56" s="546"/>
      <c r="R56" s="546"/>
      <c r="S56" s="546"/>
      <c r="T56" s="546"/>
      <c r="U56" s="563"/>
      <c r="V56" s="545" t="s">
        <v>105</v>
      </c>
      <c r="W56" s="546"/>
      <c r="X56" s="546"/>
      <c r="Y56" s="546"/>
      <c r="Z56" s="546"/>
      <c r="AA56" s="563"/>
      <c r="AB56" s="545" t="s">
        <v>104</v>
      </c>
      <c r="AC56" s="584"/>
      <c r="AD56" s="546"/>
      <c r="AE56" s="546"/>
      <c r="AF56" s="546"/>
      <c r="AG56" s="563"/>
      <c r="AH56" s="545" t="s">
        <v>103</v>
      </c>
      <c r="AI56" s="546"/>
      <c r="AJ56" s="546"/>
      <c r="AK56" s="546"/>
      <c r="AL56" s="546"/>
      <c r="AM56" s="563"/>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c r="A57" s="67"/>
      <c r="B57" s="67"/>
      <c r="C57" s="67"/>
      <c r="D57" s="67"/>
      <c r="E57" s="67"/>
      <c r="F57" s="67"/>
      <c r="G57" s="67"/>
      <c r="H57" s="67"/>
      <c r="I57" s="67"/>
      <c r="J57" s="549"/>
      <c r="K57" s="548"/>
      <c r="L57" s="548"/>
      <c r="M57" s="548"/>
      <c r="N57" s="548"/>
      <c r="O57" s="564"/>
      <c r="P57" s="549"/>
      <c r="Q57" s="548"/>
      <c r="R57" s="548"/>
      <c r="S57" s="548"/>
      <c r="T57" s="548"/>
      <c r="U57" s="564"/>
      <c r="V57" s="549"/>
      <c r="W57" s="548"/>
      <c r="X57" s="548"/>
      <c r="Y57" s="548"/>
      <c r="Z57" s="548"/>
      <c r="AA57" s="564"/>
      <c r="AB57" s="549"/>
      <c r="AC57" s="548"/>
      <c r="AD57" s="548"/>
      <c r="AE57" s="548"/>
      <c r="AF57" s="548"/>
      <c r="AG57" s="564"/>
      <c r="AH57" s="549"/>
      <c r="AI57" s="548"/>
      <c r="AJ57" s="548"/>
      <c r="AK57" s="548"/>
      <c r="AL57" s="548"/>
      <c r="AM57" s="564"/>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c r="A58" s="67"/>
      <c r="B58" s="67"/>
      <c r="C58" s="67"/>
      <c r="D58" s="67"/>
      <c r="E58" s="67"/>
      <c r="F58" s="67"/>
      <c r="G58" s="67"/>
      <c r="H58" s="67"/>
      <c r="I58" s="67"/>
      <c r="J58" s="549"/>
      <c r="K58" s="548"/>
      <c r="L58" s="548"/>
      <c r="M58" s="548"/>
      <c r="N58" s="548"/>
      <c r="O58" s="564"/>
      <c r="P58" s="549"/>
      <c r="Q58" s="548"/>
      <c r="R58" s="548"/>
      <c r="S58" s="548"/>
      <c r="T58" s="548"/>
      <c r="U58" s="564"/>
      <c r="V58" s="549"/>
      <c r="W58" s="548"/>
      <c r="X58" s="548"/>
      <c r="Y58" s="548"/>
      <c r="Z58" s="548"/>
      <c r="AA58" s="564"/>
      <c r="AB58" s="549"/>
      <c r="AC58" s="548"/>
      <c r="AD58" s="548"/>
      <c r="AE58" s="548"/>
      <c r="AF58" s="548"/>
      <c r="AG58" s="564"/>
      <c r="AH58" s="549"/>
      <c r="AI58" s="548"/>
      <c r="AJ58" s="548"/>
      <c r="AK58" s="548"/>
      <c r="AL58" s="548"/>
      <c r="AM58" s="564"/>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c r="A59" s="67"/>
      <c r="B59" s="67"/>
      <c r="C59" s="67"/>
      <c r="D59" s="67"/>
      <c r="E59" s="67"/>
      <c r="F59" s="67"/>
      <c r="G59" s="67"/>
      <c r="H59" s="67"/>
      <c r="I59" s="67"/>
      <c r="J59" s="549"/>
      <c r="K59" s="548"/>
      <c r="L59" s="548"/>
      <c r="M59" s="548"/>
      <c r="N59" s="548"/>
      <c r="O59" s="564"/>
      <c r="P59" s="549"/>
      <c r="Q59" s="548"/>
      <c r="R59" s="548"/>
      <c r="S59" s="548"/>
      <c r="T59" s="548"/>
      <c r="U59" s="564"/>
      <c r="V59" s="549"/>
      <c r="W59" s="548"/>
      <c r="X59" s="548"/>
      <c r="Y59" s="548"/>
      <c r="Z59" s="548"/>
      <c r="AA59" s="564"/>
      <c r="AB59" s="549"/>
      <c r="AC59" s="548"/>
      <c r="AD59" s="548"/>
      <c r="AE59" s="548"/>
      <c r="AF59" s="548"/>
      <c r="AG59" s="564"/>
      <c r="AH59" s="549"/>
      <c r="AI59" s="548"/>
      <c r="AJ59" s="548"/>
      <c r="AK59" s="548"/>
      <c r="AL59" s="548"/>
      <c r="AM59" s="564"/>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c r="A60" s="67"/>
      <c r="B60" s="67"/>
      <c r="C60" s="67"/>
      <c r="D60" s="67"/>
      <c r="E60" s="67"/>
      <c r="F60" s="67"/>
      <c r="G60" s="67"/>
      <c r="H60" s="67"/>
      <c r="I60" s="67"/>
      <c r="J60" s="549"/>
      <c r="K60" s="548"/>
      <c r="L60" s="548"/>
      <c r="M60" s="548"/>
      <c r="N60" s="548"/>
      <c r="O60" s="564"/>
      <c r="P60" s="549"/>
      <c r="Q60" s="548"/>
      <c r="R60" s="548"/>
      <c r="S60" s="548"/>
      <c r="T60" s="548"/>
      <c r="U60" s="564"/>
      <c r="V60" s="549"/>
      <c r="W60" s="548"/>
      <c r="X60" s="548"/>
      <c r="Y60" s="548"/>
      <c r="Z60" s="548"/>
      <c r="AA60" s="564"/>
      <c r="AB60" s="549"/>
      <c r="AC60" s="548"/>
      <c r="AD60" s="548"/>
      <c r="AE60" s="548"/>
      <c r="AF60" s="548"/>
      <c r="AG60" s="564"/>
      <c r="AH60" s="549"/>
      <c r="AI60" s="548"/>
      <c r="AJ60" s="548"/>
      <c r="AK60" s="548"/>
      <c r="AL60" s="548"/>
      <c r="AM60" s="564"/>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6" thickBot="1">
      <c r="A61" s="67"/>
      <c r="B61" s="67"/>
      <c r="C61" s="67"/>
      <c r="D61" s="67"/>
      <c r="E61" s="67"/>
      <c r="F61" s="67"/>
      <c r="G61" s="67"/>
      <c r="H61" s="67"/>
      <c r="I61" s="67"/>
      <c r="J61" s="550"/>
      <c r="K61" s="551"/>
      <c r="L61" s="551"/>
      <c r="M61" s="551"/>
      <c r="N61" s="551"/>
      <c r="O61" s="565"/>
      <c r="P61" s="550"/>
      <c r="Q61" s="551"/>
      <c r="R61" s="551"/>
      <c r="S61" s="551"/>
      <c r="T61" s="551"/>
      <c r="U61" s="565"/>
      <c r="V61" s="550"/>
      <c r="W61" s="551"/>
      <c r="X61" s="551"/>
      <c r="Y61" s="551"/>
      <c r="Z61" s="551"/>
      <c r="AA61" s="565"/>
      <c r="AB61" s="550"/>
      <c r="AC61" s="551"/>
      <c r="AD61" s="551"/>
      <c r="AE61" s="551"/>
      <c r="AF61" s="551"/>
      <c r="AG61" s="565"/>
      <c r="AH61" s="550"/>
      <c r="AI61" s="551"/>
      <c r="AJ61" s="551"/>
      <c r="AK61" s="551"/>
      <c r="AL61" s="551"/>
      <c r="AM61" s="565"/>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c r="A245" s="67"/>
    </row>
    <row r="246" spans="1:60">
      <c r="A246" s="67"/>
    </row>
    <row r="247" spans="1:60">
      <c r="A247" s="67"/>
    </row>
    <row r="248" spans="1:60">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5"/>
  <cols>
    <col min="2" max="2" width="24.1640625" customWidth="1"/>
    <col min="3" max="3" width="70.1640625" customWidth="1"/>
    <col min="4" max="4" width="29.83203125" customWidth="1"/>
  </cols>
  <sheetData>
    <row r="1" spans="1:37" ht="23">
      <c r="A1" s="67"/>
      <c r="B1" s="585" t="s">
        <v>55</v>
      </c>
      <c r="C1" s="585"/>
      <c r="D1" s="585"/>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6">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2">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2">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2">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52">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2">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c r="A35" s="67"/>
    </row>
    <row r="36" spans="1:31">
      <c r="A36" s="67"/>
    </row>
    <row r="37" spans="1:31">
      <c r="A37" s="67"/>
    </row>
    <row r="38" spans="1:31">
      <c r="A38" s="67"/>
    </row>
    <row r="39" spans="1:31">
      <c r="A39" s="67"/>
    </row>
    <row r="40" spans="1:31">
      <c r="A40" s="67"/>
    </row>
    <row r="41" spans="1:31">
      <c r="A41" s="67"/>
    </row>
    <row r="42" spans="1:31">
      <c r="A42" s="67"/>
    </row>
    <row r="43" spans="1:31">
      <c r="A43" s="67"/>
    </row>
    <row r="44" spans="1:31">
      <c r="A44" s="67"/>
    </row>
    <row r="45" spans="1:31">
      <c r="A45" s="67"/>
    </row>
    <row r="46" spans="1:31">
      <c r="A46" s="67"/>
    </row>
    <row r="47" spans="1:31">
      <c r="A47" s="67"/>
    </row>
    <row r="48" spans="1:31">
      <c r="A48" s="67"/>
    </row>
    <row r="49" spans="1:1">
      <c r="A49" s="67"/>
    </row>
    <row r="50" spans="1:1">
      <c r="A50" s="67"/>
    </row>
    <row r="51" spans="1:1">
      <c r="A51" s="67"/>
    </row>
    <row r="52" spans="1:1">
      <c r="A52" s="67"/>
    </row>
    <row r="53" spans="1:1">
      <c r="A53" s="67"/>
    </row>
    <row r="54" spans="1:1">
      <c r="A54" s="67"/>
    </row>
    <row r="55" spans="1:1">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5" defaultRowHeight="15"/>
  <cols>
    <col min="1" max="1" width="11.5" style="22"/>
    <col min="2" max="2" width="40.5" style="22" customWidth="1"/>
    <col min="3" max="3" width="74.83203125" style="22" customWidth="1"/>
    <col min="4" max="4" width="135" style="22" bestFit="1" customWidth="1"/>
    <col min="5" max="5" width="137.83203125" style="22" customWidth="1"/>
    <col min="6" max="16384" width="11.5" style="22"/>
  </cols>
  <sheetData>
    <row r="1" spans="1:21" ht="33">
      <c r="A1" s="89"/>
      <c r="B1" s="586" t="s">
        <v>62</v>
      </c>
      <c r="C1" s="586"/>
      <c r="D1" s="586"/>
      <c r="E1" s="89"/>
      <c r="F1" s="89"/>
      <c r="G1" s="89"/>
      <c r="H1" s="89"/>
      <c r="I1" s="89"/>
      <c r="J1" s="89"/>
      <c r="K1" s="89"/>
      <c r="L1" s="89"/>
      <c r="M1" s="89"/>
      <c r="N1" s="89"/>
      <c r="O1" s="89"/>
      <c r="P1" s="89"/>
      <c r="Q1" s="89"/>
      <c r="R1" s="89"/>
      <c r="S1" s="89"/>
      <c r="T1" s="89"/>
      <c r="U1" s="89"/>
    </row>
    <row r="2" spans="1:21">
      <c r="A2" s="89"/>
      <c r="B2" s="89"/>
      <c r="C2" s="89"/>
      <c r="D2" s="89"/>
      <c r="E2" s="89"/>
      <c r="F2" s="89"/>
      <c r="G2" s="89"/>
      <c r="H2" s="89"/>
      <c r="I2" s="89"/>
      <c r="J2" s="89"/>
      <c r="K2" s="89"/>
      <c r="L2" s="89"/>
      <c r="M2" s="89"/>
      <c r="N2" s="89"/>
      <c r="O2" s="89"/>
      <c r="P2" s="89"/>
      <c r="Q2" s="89"/>
      <c r="R2" s="89"/>
      <c r="S2" s="89"/>
      <c r="T2" s="89"/>
      <c r="U2" s="89"/>
    </row>
    <row r="3" spans="1:21" ht="31">
      <c r="A3" s="89"/>
      <c r="B3" s="88"/>
      <c r="C3" s="128" t="s">
        <v>56</v>
      </c>
      <c r="D3" s="128" t="s">
        <v>57</v>
      </c>
      <c r="E3" s="89"/>
      <c r="F3" s="89"/>
      <c r="G3" s="89"/>
      <c r="H3" s="89"/>
      <c r="I3" s="89"/>
      <c r="J3" s="89"/>
      <c r="K3" s="89"/>
      <c r="L3" s="89"/>
      <c r="M3" s="89"/>
      <c r="N3" s="89"/>
      <c r="O3" s="89"/>
      <c r="P3" s="89"/>
      <c r="Q3" s="89"/>
      <c r="R3" s="89"/>
      <c r="S3" s="89"/>
      <c r="T3" s="89"/>
      <c r="U3" s="89"/>
    </row>
    <row r="4" spans="1:21" ht="34">
      <c r="A4" s="89" t="s">
        <v>82</v>
      </c>
      <c r="B4" s="129" t="s">
        <v>96</v>
      </c>
      <c r="C4" s="130" t="s">
        <v>205</v>
      </c>
      <c r="D4" s="131" t="s">
        <v>92</v>
      </c>
      <c r="E4" s="89"/>
      <c r="F4" s="89"/>
      <c r="G4" s="89"/>
      <c r="H4" s="89"/>
      <c r="I4" s="89"/>
      <c r="J4" s="89"/>
      <c r="K4" s="89"/>
      <c r="L4" s="89"/>
      <c r="M4" s="89"/>
      <c r="N4" s="89"/>
      <c r="O4" s="89"/>
      <c r="P4" s="89"/>
      <c r="Q4" s="89"/>
      <c r="R4" s="89"/>
      <c r="S4" s="89"/>
      <c r="T4" s="89"/>
      <c r="U4" s="89"/>
    </row>
    <row r="5" spans="1:21" ht="68">
      <c r="A5" s="89" t="s">
        <v>83</v>
      </c>
      <c r="B5" s="132" t="s">
        <v>58</v>
      </c>
      <c r="C5" s="133" t="s">
        <v>206</v>
      </c>
      <c r="D5" s="134" t="s">
        <v>93</v>
      </c>
      <c r="E5" s="89"/>
      <c r="F5" s="89"/>
      <c r="G5" s="89"/>
      <c r="H5" s="89"/>
      <c r="I5" s="89"/>
      <c r="J5" s="89"/>
      <c r="K5" s="89"/>
      <c r="L5" s="89"/>
      <c r="M5" s="89"/>
      <c r="N5" s="89"/>
      <c r="O5" s="89"/>
      <c r="P5" s="89"/>
      <c r="Q5" s="89"/>
      <c r="R5" s="89"/>
      <c r="S5" s="89"/>
      <c r="T5" s="89"/>
      <c r="U5" s="89"/>
    </row>
    <row r="6" spans="1:21" ht="68">
      <c r="A6" s="89" t="s">
        <v>80</v>
      </c>
      <c r="B6" s="135" t="s">
        <v>59</v>
      </c>
      <c r="C6" s="133" t="s">
        <v>210</v>
      </c>
      <c r="D6" s="134" t="s">
        <v>95</v>
      </c>
      <c r="E6" s="89"/>
      <c r="F6" s="89"/>
      <c r="G6" s="89"/>
      <c r="H6" s="89"/>
      <c r="I6" s="89"/>
      <c r="J6" s="89"/>
      <c r="K6" s="89"/>
      <c r="L6" s="89"/>
      <c r="M6" s="89"/>
      <c r="N6" s="89"/>
      <c r="O6" s="89"/>
      <c r="P6" s="89"/>
      <c r="Q6" s="89"/>
      <c r="R6" s="89"/>
      <c r="S6" s="89"/>
      <c r="T6" s="89"/>
      <c r="U6" s="89"/>
    </row>
    <row r="7" spans="1:21" ht="68">
      <c r="A7" s="89" t="s">
        <v>7</v>
      </c>
      <c r="B7" s="136" t="s">
        <v>60</v>
      </c>
      <c r="C7" s="133" t="s">
        <v>211</v>
      </c>
      <c r="D7" s="134" t="s">
        <v>94</v>
      </c>
      <c r="E7" s="89"/>
      <c r="F7" s="89"/>
      <c r="G7" s="89"/>
      <c r="H7" s="89"/>
      <c r="I7" s="89"/>
      <c r="J7" s="89"/>
      <c r="K7" s="89"/>
      <c r="L7" s="89"/>
      <c r="M7" s="89"/>
      <c r="N7" s="89"/>
      <c r="O7" s="89"/>
      <c r="P7" s="89"/>
      <c r="Q7" s="89"/>
      <c r="R7" s="89"/>
      <c r="S7" s="89"/>
      <c r="T7" s="89"/>
      <c r="U7" s="89"/>
    </row>
    <row r="8" spans="1:21" ht="68">
      <c r="A8" s="89" t="s">
        <v>84</v>
      </c>
      <c r="B8" s="137" t="s">
        <v>61</v>
      </c>
      <c r="C8" s="133" t="s">
        <v>207</v>
      </c>
      <c r="D8" s="134" t="s">
        <v>113</v>
      </c>
      <c r="E8" s="89"/>
      <c r="F8" s="89"/>
      <c r="G8" s="89"/>
      <c r="H8" s="89"/>
      <c r="I8" s="89"/>
      <c r="J8" s="89"/>
      <c r="K8" s="89"/>
      <c r="L8" s="89"/>
      <c r="M8" s="89"/>
      <c r="N8" s="89"/>
      <c r="O8" s="89"/>
      <c r="P8" s="89"/>
      <c r="Q8" s="89"/>
      <c r="R8" s="89"/>
      <c r="S8" s="89"/>
      <c r="T8" s="89"/>
      <c r="U8" s="89"/>
    </row>
    <row r="9" spans="1:21" s="23" customFormat="1" ht="20">
      <c r="A9" s="87"/>
      <c r="B9" s="87"/>
      <c r="C9" s="143"/>
      <c r="D9" s="143"/>
      <c r="E9" s="87"/>
      <c r="F9" s="87"/>
      <c r="G9" s="87"/>
      <c r="H9" s="87"/>
      <c r="I9" s="87"/>
      <c r="J9" s="87"/>
      <c r="K9" s="87"/>
      <c r="L9" s="87"/>
      <c r="M9" s="87"/>
      <c r="N9" s="87"/>
      <c r="O9" s="87"/>
      <c r="P9" s="87"/>
      <c r="Q9" s="87"/>
      <c r="R9" s="87"/>
      <c r="S9" s="87"/>
      <c r="T9" s="87"/>
      <c r="U9" s="87"/>
    </row>
    <row r="10" spans="1:21" s="23" customFormat="1">
      <c r="A10" s="87"/>
      <c r="B10" s="144"/>
      <c r="C10" s="144"/>
      <c r="D10" s="144"/>
      <c r="E10" s="87"/>
      <c r="F10" s="87"/>
      <c r="G10" s="87"/>
      <c r="H10" s="87"/>
      <c r="I10" s="87"/>
      <c r="J10" s="87"/>
      <c r="K10" s="87"/>
      <c r="L10" s="87"/>
      <c r="M10" s="87"/>
      <c r="N10" s="87"/>
      <c r="O10" s="87"/>
      <c r="P10" s="87"/>
      <c r="Q10" s="87"/>
      <c r="R10" s="87"/>
      <c r="S10" s="87"/>
      <c r="T10" s="87"/>
      <c r="U10" s="87"/>
    </row>
    <row r="11" spans="1:21" s="23" customFormat="1">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c r="A16" s="87"/>
      <c r="B16" s="87"/>
      <c r="C16" s="87"/>
      <c r="D16" s="87"/>
      <c r="E16" s="87"/>
      <c r="F16" s="87"/>
      <c r="G16" s="87"/>
      <c r="H16" s="87"/>
      <c r="I16" s="87"/>
      <c r="J16" s="87"/>
      <c r="K16" s="87"/>
      <c r="L16" s="87"/>
      <c r="M16" s="87"/>
      <c r="N16" s="87"/>
      <c r="O16" s="87"/>
    </row>
    <row r="17" spans="1:15" s="23" customFormat="1">
      <c r="A17" s="87"/>
      <c r="B17" s="87"/>
      <c r="C17" s="87"/>
      <c r="D17" s="87"/>
      <c r="E17" s="87"/>
      <c r="F17" s="87"/>
      <c r="G17" s="87"/>
      <c r="H17" s="87"/>
      <c r="I17" s="87"/>
      <c r="J17" s="87"/>
      <c r="K17" s="87"/>
      <c r="L17" s="87"/>
      <c r="M17" s="87"/>
      <c r="N17" s="87"/>
      <c r="O17" s="87"/>
    </row>
    <row r="18" spans="1:15" s="23" customFormat="1">
      <c r="A18" s="87"/>
      <c r="B18" s="87"/>
      <c r="C18" s="87"/>
      <c r="D18" s="87"/>
      <c r="E18" s="87"/>
      <c r="F18" s="87"/>
      <c r="G18" s="87"/>
      <c r="H18" s="87"/>
      <c r="I18" s="87"/>
      <c r="J18" s="87"/>
      <c r="K18" s="87"/>
      <c r="L18" s="87"/>
      <c r="M18" s="87"/>
      <c r="N18" s="87"/>
      <c r="O18" s="87"/>
    </row>
    <row r="19" spans="1:15" s="23" customFormat="1">
      <c r="A19" s="87"/>
      <c r="B19" s="87"/>
      <c r="C19" s="87"/>
      <c r="D19" s="87"/>
      <c r="E19" s="87"/>
      <c r="F19" s="87"/>
      <c r="G19" s="87"/>
      <c r="H19" s="87"/>
      <c r="I19" s="87"/>
      <c r="J19" s="87"/>
      <c r="K19" s="87"/>
      <c r="L19" s="87"/>
      <c r="M19" s="87"/>
      <c r="N19" s="87"/>
      <c r="O19" s="87"/>
    </row>
    <row r="20" spans="1:15" s="23" customFormat="1">
      <c r="A20" s="87"/>
      <c r="B20" s="87"/>
      <c r="C20" s="87"/>
      <c r="D20" s="87"/>
      <c r="E20" s="87"/>
      <c r="F20" s="87"/>
      <c r="G20" s="87"/>
      <c r="H20" s="87"/>
      <c r="I20" s="87"/>
      <c r="J20" s="87"/>
      <c r="K20" s="87"/>
      <c r="L20" s="87"/>
      <c r="M20" s="87"/>
      <c r="N20" s="87"/>
      <c r="O20" s="87"/>
    </row>
    <row r="21" spans="1:15" s="23" customFormat="1">
      <c r="A21" s="87"/>
      <c r="B21" s="87"/>
      <c r="C21" s="87"/>
      <c r="D21" s="87"/>
      <c r="E21" s="87"/>
      <c r="F21" s="87"/>
      <c r="G21" s="87"/>
      <c r="H21" s="87"/>
      <c r="I21" s="87"/>
      <c r="J21" s="87"/>
      <c r="K21" s="87"/>
      <c r="L21" s="87"/>
      <c r="M21" s="87"/>
      <c r="N21" s="87"/>
      <c r="O21" s="87"/>
    </row>
    <row r="22" spans="1:15" s="23" customFormat="1" ht="20">
      <c r="A22" s="87"/>
      <c r="B22" s="87"/>
      <c r="C22" s="143"/>
      <c r="D22" s="143"/>
      <c r="E22" s="87"/>
      <c r="F22" s="87"/>
      <c r="G22" s="87"/>
      <c r="H22" s="87"/>
      <c r="I22" s="87"/>
      <c r="J22" s="87"/>
      <c r="K22" s="87"/>
      <c r="L22" s="87"/>
      <c r="M22" s="87"/>
      <c r="N22" s="87"/>
      <c r="O22" s="87"/>
    </row>
    <row r="23" spans="1:15" s="23" customFormat="1" ht="20">
      <c r="A23" s="87"/>
      <c r="B23" s="87"/>
      <c r="C23" s="143"/>
      <c r="D23" s="143"/>
      <c r="E23" s="87"/>
      <c r="F23" s="87"/>
      <c r="G23" s="87"/>
      <c r="H23" s="87"/>
      <c r="I23" s="87"/>
      <c r="J23" s="87"/>
      <c r="K23" s="87"/>
      <c r="L23" s="87"/>
      <c r="M23" s="87"/>
      <c r="N23" s="87"/>
      <c r="O23" s="87"/>
    </row>
    <row r="24" spans="1:15" s="23" customFormat="1" ht="20">
      <c r="A24" s="87"/>
      <c r="B24" s="87"/>
      <c r="C24" s="143"/>
      <c r="D24" s="143"/>
      <c r="E24" s="87"/>
      <c r="F24" s="87"/>
      <c r="G24" s="87"/>
      <c r="H24" s="87"/>
      <c r="I24" s="87"/>
      <c r="J24" s="87"/>
      <c r="K24" s="87"/>
      <c r="L24" s="87"/>
      <c r="M24" s="87"/>
      <c r="N24" s="87"/>
      <c r="O24" s="87"/>
    </row>
    <row r="25" spans="1:15" s="23" customFormat="1" ht="20">
      <c r="A25" s="87"/>
      <c r="B25" s="87"/>
      <c r="C25" s="143"/>
      <c r="D25" s="143"/>
      <c r="E25" s="87"/>
      <c r="F25" s="87"/>
      <c r="G25" s="87"/>
      <c r="H25" s="87"/>
      <c r="I25" s="87"/>
      <c r="J25" s="87"/>
      <c r="K25" s="87"/>
      <c r="L25" s="87"/>
      <c r="M25" s="87"/>
      <c r="N25" s="87"/>
      <c r="O25" s="87"/>
    </row>
    <row r="26" spans="1:15" s="23" customFormat="1" ht="20">
      <c r="A26" s="87"/>
      <c r="B26" s="87"/>
      <c r="C26" s="143"/>
      <c r="D26" s="143"/>
      <c r="E26" s="87"/>
      <c r="F26" s="87"/>
      <c r="G26" s="87"/>
      <c r="H26" s="87"/>
      <c r="I26" s="87"/>
      <c r="J26" s="87"/>
      <c r="K26" s="87"/>
      <c r="L26" s="87"/>
      <c r="M26" s="87"/>
      <c r="N26" s="87"/>
      <c r="O26" s="87"/>
    </row>
    <row r="27" spans="1:15" s="23" customFormat="1" ht="20">
      <c r="A27" s="87"/>
      <c r="B27" s="87"/>
      <c r="C27" s="143"/>
      <c r="D27" s="143"/>
      <c r="E27" s="87"/>
      <c r="F27" s="87"/>
      <c r="G27" s="87"/>
      <c r="H27" s="87"/>
      <c r="I27" s="87"/>
      <c r="J27" s="87"/>
      <c r="K27" s="87"/>
      <c r="L27" s="87"/>
      <c r="M27" s="87"/>
      <c r="N27" s="87"/>
      <c r="O27" s="87"/>
    </row>
    <row r="28" spans="1:15" s="23" customFormat="1" ht="20">
      <c r="A28" s="87"/>
      <c r="B28" s="87"/>
      <c r="C28" s="143"/>
      <c r="D28" s="143"/>
      <c r="E28" s="87"/>
      <c r="F28" s="87"/>
      <c r="G28" s="87"/>
      <c r="H28" s="87"/>
      <c r="I28" s="87"/>
      <c r="J28" s="87"/>
      <c r="K28" s="87"/>
      <c r="L28" s="87"/>
      <c r="M28" s="87"/>
      <c r="N28" s="87"/>
      <c r="O28" s="87"/>
    </row>
    <row r="29" spans="1:15" s="23" customFormat="1" ht="20">
      <c r="A29" s="87"/>
      <c r="B29" s="87"/>
      <c r="C29" s="143"/>
      <c r="D29" s="143"/>
      <c r="E29" s="87"/>
      <c r="F29" s="87"/>
      <c r="G29" s="87"/>
      <c r="H29" s="87"/>
      <c r="I29" s="87"/>
      <c r="J29" s="87"/>
      <c r="K29" s="87"/>
      <c r="L29" s="87"/>
      <c r="M29" s="87"/>
      <c r="N29" s="87"/>
      <c r="O29" s="87"/>
    </row>
    <row r="30" spans="1:15" s="23" customFormat="1" ht="20">
      <c r="A30" s="87"/>
      <c r="B30" s="87"/>
      <c r="C30" s="143"/>
      <c r="D30" s="143"/>
      <c r="E30" s="87"/>
      <c r="F30" s="87"/>
      <c r="G30" s="87"/>
      <c r="H30" s="87"/>
      <c r="I30" s="87"/>
      <c r="J30" s="87"/>
      <c r="K30" s="87"/>
      <c r="L30" s="87"/>
      <c r="M30" s="87"/>
      <c r="N30" s="87"/>
      <c r="O30" s="87"/>
    </row>
    <row r="31" spans="1:15" s="23" customFormat="1" ht="20">
      <c r="A31" s="87"/>
      <c r="B31" s="87"/>
      <c r="C31" s="143"/>
      <c r="D31" s="143"/>
      <c r="E31" s="87"/>
      <c r="F31" s="87"/>
      <c r="G31" s="87"/>
      <c r="H31" s="87"/>
      <c r="I31" s="87"/>
      <c r="J31" s="87"/>
      <c r="K31" s="87"/>
      <c r="L31" s="87"/>
      <c r="M31" s="87"/>
      <c r="N31" s="87"/>
      <c r="O31" s="87"/>
    </row>
    <row r="32" spans="1:15" s="23" customFormat="1" ht="20">
      <c r="A32" s="87"/>
      <c r="B32" s="87"/>
      <c r="C32" s="143"/>
      <c r="D32" s="143"/>
      <c r="E32" s="87"/>
      <c r="F32" s="87"/>
      <c r="G32" s="87"/>
      <c r="H32" s="87"/>
      <c r="I32" s="87"/>
      <c r="J32" s="87"/>
      <c r="K32" s="87"/>
      <c r="L32" s="87"/>
      <c r="M32" s="87"/>
      <c r="N32" s="87"/>
      <c r="O32" s="87"/>
    </row>
    <row r="33" spans="1:15" s="23" customFormat="1" ht="20">
      <c r="A33" s="87"/>
      <c r="B33" s="87"/>
      <c r="C33" s="143"/>
      <c r="D33" s="143"/>
      <c r="E33" s="87"/>
      <c r="F33" s="87"/>
      <c r="G33" s="87"/>
      <c r="H33" s="87"/>
      <c r="I33" s="87"/>
      <c r="J33" s="87"/>
      <c r="K33" s="87"/>
      <c r="L33" s="87"/>
      <c r="M33" s="87"/>
      <c r="N33" s="87"/>
      <c r="O33" s="87"/>
    </row>
    <row r="34" spans="1:15" s="23" customFormat="1" ht="20">
      <c r="A34" s="87"/>
      <c r="B34" s="87"/>
      <c r="C34" s="143"/>
      <c r="D34" s="143"/>
      <c r="E34" s="87"/>
      <c r="F34" s="87"/>
      <c r="G34" s="87"/>
      <c r="H34" s="87"/>
      <c r="I34" s="87"/>
      <c r="J34" s="87"/>
      <c r="K34" s="87"/>
      <c r="L34" s="87"/>
      <c r="M34" s="87"/>
      <c r="N34" s="87"/>
      <c r="O34" s="87"/>
    </row>
    <row r="35" spans="1:15" s="23" customFormat="1" ht="20">
      <c r="A35" s="87"/>
      <c r="B35" s="87"/>
      <c r="C35" s="143"/>
      <c r="D35" s="143"/>
      <c r="E35" s="87"/>
      <c r="F35" s="87"/>
      <c r="G35" s="87"/>
      <c r="H35" s="87"/>
      <c r="I35" s="87"/>
      <c r="J35" s="87"/>
      <c r="K35" s="87"/>
      <c r="L35" s="87"/>
      <c r="M35" s="87"/>
      <c r="N35" s="87"/>
      <c r="O35" s="87"/>
    </row>
    <row r="36" spans="1:15" s="23" customFormat="1" ht="20">
      <c r="A36" s="87"/>
      <c r="B36" s="87"/>
      <c r="C36" s="143"/>
      <c r="D36" s="143"/>
      <c r="E36" s="87"/>
      <c r="F36" s="87"/>
      <c r="G36" s="87"/>
      <c r="H36" s="87"/>
      <c r="I36" s="87"/>
      <c r="J36" s="87"/>
      <c r="K36" s="87"/>
      <c r="L36" s="87"/>
      <c r="M36" s="87"/>
      <c r="N36" s="87"/>
      <c r="O36" s="87"/>
    </row>
    <row r="37" spans="1:15" s="23" customFormat="1" ht="20">
      <c r="A37" s="87"/>
      <c r="B37" s="87"/>
      <c r="C37" s="143"/>
      <c r="D37" s="143"/>
      <c r="E37" s="87"/>
      <c r="F37" s="87"/>
      <c r="G37" s="87"/>
      <c r="H37" s="87"/>
      <c r="I37" s="87"/>
      <c r="J37" s="87"/>
      <c r="K37" s="87"/>
      <c r="L37" s="87"/>
      <c r="M37" s="87"/>
      <c r="N37" s="87"/>
      <c r="O37" s="87"/>
    </row>
    <row r="38" spans="1:15" s="23" customFormat="1" ht="20">
      <c r="A38" s="87"/>
      <c r="B38" s="87"/>
      <c r="C38" s="143"/>
      <c r="D38" s="143"/>
      <c r="E38" s="87"/>
      <c r="F38" s="87"/>
      <c r="G38" s="87"/>
      <c r="H38" s="87"/>
      <c r="I38" s="87"/>
      <c r="J38" s="87"/>
      <c r="K38" s="87"/>
      <c r="L38" s="87"/>
      <c r="M38" s="87"/>
      <c r="N38" s="87"/>
      <c r="O38" s="87"/>
    </row>
    <row r="39" spans="1:15" s="23" customFormat="1" ht="20">
      <c r="A39" s="87"/>
      <c r="B39" s="87"/>
      <c r="C39" s="143"/>
      <c r="D39" s="143"/>
      <c r="E39" s="87"/>
      <c r="F39" s="87"/>
      <c r="G39" s="87"/>
      <c r="H39" s="87"/>
      <c r="I39" s="87"/>
      <c r="J39" s="87"/>
      <c r="K39" s="87"/>
      <c r="L39" s="87"/>
      <c r="M39" s="87"/>
      <c r="N39" s="87"/>
      <c r="O39" s="87"/>
    </row>
    <row r="40" spans="1:15" s="23" customFormat="1" ht="20">
      <c r="A40" s="87"/>
      <c r="B40" s="87"/>
      <c r="C40" s="143"/>
      <c r="D40" s="143"/>
      <c r="E40" s="87"/>
      <c r="F40" s="87"/>
      <c r="G40" s="87"/>
      <c r="H40" s="87"/>
      <c r="I40" s="87"/>
      <c r="J40" s="87"/>
      <c r="K40" s="87"/>
      <c r="L40" s="87"/>
      <c r="M40" s="87"/>
      <c r="N40" s="87"/>
      <c r="O40" s="87"/>
    </row>
    <row r="41" spans="1:15" s="23" customFormat="1" ht="20">
      <c r="A41" s="87"/>
      <c r="B41" s="87"/>
      <c r="C41" s="143"/>
      <c r="D41" s="143"/>
      <c r="E41" s="87"/>
      <c r="F41" s="87"/>
      <c r="G41" s="87"/>
      <c r="H41" s="87"/>
      <c r="I41" s="87"/>
      <c r="J41" s="87"/>
      <c r="K41" s="87"/>
      <c r="L41" s="87"/>
      <c r="M41" s="87"/>
      <c r="N41" s="87"/>
      <c r="O41" s="87"/>
    </row>
    <row r="42" spans="1:15" s="23" customFormat="1" ht="20">
      <c r="A42" s="87"/>
      <c r="B42" s="87"/>
      <c r="C42" s="143"/>
      <c r="D42" s="143"/>
      <c r="E42" s="87"/>
      <c r="F42" s="87"/>
      <c r="G42" s="87"/>
      <c r="H42" s="87"/>
      <c r="I42" s="87"/>
      <c r="J42" s="87"/>
      <c r="K42" s="87"/>
      <c r="L42" s="87"/>
      <c r="M42" s="87"/>
      <c r="N42" s="87"/>
      <c r="O42" s="87"/>
    </row>
    <row r="43" spans="1:15" s="23" customFormat="1" ht="20">
      <c r="A43" s="87"/>
      <c r="B43" s="87"/>
      <c r="C43" s="143"/>
      <c r="D43" s="143"/>
      <c r="E43" s="87"/>
      <c r="F43" s="87"/>
      <c r="G43" s="87"/>
      <c r="H43" s="87"/>
      <c r="I43" s="87"/>
      <c r="J43" s="87"/>
      <c r="K43" s="87"/>
      <c r="L43" s="87"/>
      <c r="M43" s="87"/>
      <c r="N43" s="87"/>
      <c r="O43" s="87"/>
    </row>
    <row r="44" spans="1:15" s="23" customFormat="1" ht="20">
      <c r="A44" s="87"/>
      <c r="B44" s="87"/>
      <c r="C44" s="143"/>
      <c r="D44" s="143"/>
      <c r="E44" s="87"/>
      <c r="F44" s="87"/>
      <c r="G44" s="87"/>
      <c r="H44" s="87"/>
      <c r="I44" s="87"/>
      <c r="J44" s="87"/>
      <c r="K44" s="87"/>
      <c r="L44" s="87"/>
      <c r="M44" s="87"/>
      <c r="N44" s="87"/>
      <c r="O44" s="87"/>
    </row>
    <row r="45" spans="1:15" s="23" customFormat="1" ht="20">
      <c r="A45" s="87"/>
      <c r="B45" s="87"/>
      <c r="C45" s="143"/>
      <c r="D45" s="143"/>
      <c r="E45" s="87"/>
      <c r="F45" s="87"/>
      <c r="G45" s="87"/>
      <c r="H45" s="87"/>
      <c r="I45" s="87"/>
      <c r="J45" s="87"/>
      <c r="K45" s="87"/>
      <c r="L45" s="87"/>
      <c r="M45" s="87"/>
      <c r="N45" s="87"/>
      <c r="O45" s="87"/>
    </row>
    <row r="46" spans="1:15" s="23" customFormat="1" ht="20">
      <c r="A46" s="87"/>
      <c r="B46" s="87"/>
      <c r="C46" s="143"/>
      <c r="D46" s="143"/>
      <c r="E46" s="87"/>
      <c r="F46" s="87"/>
      <c r="G46" s="87"/>
      <c r="H46" s="87"/>
      <c r="I46" s="87"/>
      <c r="J46" s="87"/>
      <c r="K46" s="87"/>
      <c r="L46" s="87"/>
      <c r="M46" s="87"/>
      <c r="N46" s="87"/>
      <c r="O46" s="87"/>
    </row>
    <row r="47" spans="1:15" s="23" customFormat="1" ht="20">
      <c r="A47" s="87"/>
      <c r="B47" s="87"/>
      <c r="C47" s="143"/>
      <c r="D47" s="143"/>
      <c r="E47" s="87"/>
      <c r="F47" s="87"/>
      <c r="G47" s="87"/>
      <c r="H47" s="87"/>
      <c r="I47" s="87"/>
      <c r="J47" s="87"/>
      <c r="K47" s="87"/>
      <c r="L47" s="87"/>
      <c r="M47" s="87"/>
      <c r="N47" s="87"/>
      <c r="O47" s="87"/>
    </row>
    <row r="48" spans="1:15" s="23" customFormat="1" ht="20">
      <c r="A48" s="87"/>
      <c r="B48" s="87"/>
      <c r="C48" s="143"/>
      <c r="D48" s="143"/>
      <c r="E48" s="87"/>
      <c r="F48" s="87"/>
      <c r="G48" s="87"/>
      <c r="H48" s="87"/>
      <c r="I48" s="87"/>
      <c r="J48" s="87"/>
      <c r="K48" s="87"/>
      <c r="L48" s="87"/>
      <c r="M48" s="87"/>
      <c r="N48" s="87"/>
      <c r="O48" s="87"/>
    </row>
    <row r="49" spans="1:15" s="23" customFormat="1" ht="20">
      <c r="A49" s="87"/>
      <c r="B49" s="87"/>
      <c r="C49" s="143"/>
      <c r="D49" s="143"/>
      <c r="E49" s="87"/>
      <c r="F49" s="87"/>
      <c r="G49" s="87"/>
      <c r="H49" s="87"/>
      <c r="I49" s="87"/>
      <c r="J49" s="87"/>
      <c r="K49" s="87"/>
      <c r="L49" s="87"/>
      <c r="M49" s="87"/>
      <c r="N49" s="87"/>
      <c r="O49" s="87"/>
    </row>
    <row r="50" spans="1:15" s="23" customFormat="1" ht="20">
      <c r="A50" s="87"/>
      <c r="B50" s="87"/>
      <c r="C50" s="143"/>
      <c r="D50" s="143"/>
      <c r="E50" s="87"/>
      <c r="F50" s="87"/>
      <c r="G50" s="87"/>
      <c r="H50" s="87"/>
      <c r="I50" s="87"/>
      <c r="J50" s="87"/>
      <c r="K50" s="87"/>
      <c r="L50" s="87"/>
      <c r="M50" s="87"/>
      <c r="N50" s="87"/>
      <c r="O50" s="87"/>
    </row>
    <row r="51" spans="1:15" s="23" customFormat="1" ht="20">
      <c r="A51" s="87"/>
      <c r="B51" s="87"/>
      <c r="C51" s="143"/>
      <c r="D51" s="143"/>
      <c r="E51" s="87"/>
      <c r="F51" s="87"/>
      <c r="G51" s="87"/>
      <c r="H51" s="87"/>
      <c r="I51" s="87"/>
      <c r="J51" s="87"/>
      <c r="K51" s="87"/>
      <c r="L51" s="87"/>
      <c r="M51" s="87"/>
      <c r="N51" s="87"/>
      <c r="O51" s="87"/>
    </row>
    <row r="52" spans="1:15" s="23" customFormat="1" ht="20">
      <c r="A52" s="87"/>
      <c r="C52" s="145"/>
      <c r="D52" s="145"/>
    </row>
    <row r="53" spans="1:15" s="23" customFormat="1" ht="20">
      <c r="A53" s="87"/>
      <c r="C53" s="145"/>
      <c r="D53" s="145"/>
    </row>
    <row r="54" spans="1:15" s="23" customFormat="1" ht="20">
      <c r="A54" s="87"/>
      <c r="C54" s="145"/>
      <c r="D54" s="145"/>
    </row>
    <row r="55" spans="1:15" s="23" customFormat="1" ht="20">
      <c r="A55" s="87"/>
      <c r="C55" s="145"/>
      <c r="D55" s="145"/>
    </row>
    <row r="56" spans="1:15" s="23" customFormat="1" ht="20">
      <c r="A56" s="87"/>
      <c r="C56" s="145"/>
      <c r="D56" s="145"/>
    </row>
    <row r="57" spans="1:15" s="23" customFormat="1" ht="20">
      <c r="A57" s="87"/>
      <c r="C57" s="145"/>
      <c r="D57" s="145"/>
    </row>
    <row r="58" spans="1:15" s="23" customFormat="1" ht="20">
      <c r="A58" s="87"/>
      <c r="C58" s="145"/>
      <c r="D58" s="145"/>
    </row>
    <row r="59" spans="1:15" s="23" customFormat="1" ht="20">
      <c r="A59" s="87"/>
      <c r="C59" s="145"/>
      <c r="D59" s="145"/>
    </row>
    <row r="60" spans="1:15" s="23" customFormat="1" ht="20">
      <c r="A60" s="87"/>
      <c r="C60" s="145"/>
      <c r="D60" s="145"/>
    </row>
    <row r="61" spans="1:15" s="23" customFormat="1" ht="20">
      <c r="A61" s="87"/>
      <c r="C61" s="145"/>
      <c r="D61" s="145"/>
    </row>
    <row r="62" spans="1:15" s="23" customFormat="1" ht="20">
      <c r="A62" s="87"/>
      <c r="C62" s="145"/>
      <c r="D62" s="145"/>
    </row>
    <row r="63" spans="1:15" s="23" customFormat="1" ht="20">
      <c r="A63" s="87"/>
      <c r="C63" s="145"/>
      <c r="D63" s="145"/>
    </row>
    <row r="64" spans="1:15" s="23" customFormat="1" ht="20">
      <c r="A64" s="87"/>
      <c r="C64" s="145"/>
      <c r="D64" s="145"/>
    </row>
    <row r="65" spans="1:4" s="23" customFormat="1" ht="20">
      <c r="A65" s="87"/>
      <c r="C65" s="145"/>
      <c r="D65" s="145"/>
    </row>
    <row r="66" spans="1:4" s="23" customFormat="1" ht="20">
      <c r="A66" s="87"/>
      <c r="C66" s="145"/>
      <c r="D66" s="145"/>
    </row>
    <row r="67" spans="1:4" s="23" customFormat="1" ht="20">
      <c r="A67" s="87"/>
      <c r="C67" s="145"/>
      <c r="D67" s="145"/>
    </row>
    <row r="68" spans="1:4" s="23" customFormat="1" ht="20">
      <c r="A68" s="87"/>
      <c r="C68" s="145"/>
      <c r="D68" s="145"/>
    </row>
    <row r="69" spans="1:4" s="23" customFormat="1" ht="20">
      <c r="A69" s="87"/>
      <c r="C69" s="145"/>
      <c r="D69" s="145"/>
    </row>
    <row r="70" spans="1:4" s="23" customFormat="1" ht="20">
      <c r="A70" s="87"/>
      <c r="C70" s="145"/>
      <c r="D70" s="145"/>
    </row>
    <row r="71" spans="1:4" s="23" customFormat="1" ht="20">
      <c r="A71" s="87"/>
      <c r="C71" s="145"/>
      <c r="D71" s="145"/>
    </row>
    <row r="72" spans="1:4" s="23" customFormat="1" ht="20">
      <c r="A72" s="87"/>
      <c r="C72" s="145"/>
      <c r="D72" s="145"/>
    </row>
    <row r="73" spans="1:4" s="23" customFormat="1" ht="20">
      <c r="A73" s="87"/>
      <c r="C73" s="145"/>
      <c r="D73" s="145"/>
    </row>
    <row r="74" spans="1:4" s="23" customFormat="1" ht="20">
      <c r="A74" s="87"/>
      <c r="C74" s="145"/>
      <c r="D74" s="145"/>
    </row>
    <row r="75" spans="1:4" s="23" customFormat="1" ht="20">
      <c r="A75" s="87"/>
      <c r="C75" s="145"/>
      <c r="D75" s="145"/>
    </row>
    <row r="76" spans="1:4" s="23" customFormat="1" ht="20">
      <c r="A76" s="87"/>
      <c r="C76" s="145"/>
      <c r="D76" s="145"/>
    </row>
    <row r="77" spans="1:4" s="23" customFormat="1" ht="20">
      <c r="A77" s="87"/>
      <c r="C77" s="145"/>
      <c r="D77" s="145"/>
    </row>
    <row r="78" spans="1:4" s="23" customFormat="1" ht="20">
      <c r="A78" s="87"/>
      <c r="C78" s="145"/>
      <c r="D78" s="145"/>
    </row>
    <row r="79" spans="1:4" s="23" customFormat="1" ht="20">
      <c r="A79" s="87"/>
      <c r="C79" s="145"/>
      <c r="D79" s="145"/>
    </row>
    <row r="80" spans="1:4" s="23" customFormat="1" ht="20">
      <c r="A80" s="87"/>
      <c r="C80" s="145"/>
      <c r="D80" s="145"/>
    </row>
    <row r="81" spans="1:4" s="23" customFormat="1" ht="20">
      <c r="A81" s="87"/>
      <c r="C81" s="145"/>
      <c r="D81" s="145"/>
    </row>
    <row r="82" spans="1:4" s="23" customFormat="1" ht="20">
      <c r="A82" s="87"/>
      <c r="C82" s="145"/>
      <c r="D82" s="145"/>
    </row>
    <row r="83" spans="1:4" s="23" customFormat="1" ht="20">
      <c r="A83" s="87"/>
      <c r="C83" s="145"/>
      <c r="D83" s="145"/>
    </row>
    <row r="84" spans="1:4" s="23" customFormat="1" ht="20">
      <c r="A84" s="87"/>
      <c r="C84" s="145"/>
      <c r="D84" s="145"/>
    </row>
    <row r="85" spans="1:4" s="23" customFormat="1" ht="20">
      <c r="A85" s="87"/>
      <c r="C85" s="145"/>
      <c r="D85" s="145"/>
    </row>
    <row r="86" spans="1:4" s="23" customFormat="1" ht="20">
      <c r="A86" s="87"/>
      <c r="C86" s="145"/>
      <c r="D86" s="145"/>
    </row>
    <row r="87" spans="1:4" s="23" customFormat="1" ht="20">
      <c r="A87" s="87"/>
      <c r="C87" s="145"/>
      <c r="D87" s="145"/>
    </row>
    <row r="88" spans="1:4" s="23" customFormat="1" ht="20">
      <c r="A88" s="87"/>
      <c r="C88" s="145"/>
      <c r="D88" s="145"/>
    </row>
    <row r="89" spans="1:4" s="23" customFormat="1" ht="20">
      <c r="A89" s="87"/>
      <c r="C89" s="145"/>
      <c r="D89" s="145"/>
    </row>
    <row r="90" spans="1:4" s="23" customFormat="1" ht="20">
      <c r="A90" s="87"/>
      <c r="C90" s="145"/>
      <c r="D90" s="145"/>
    </row>
    <row r="91" spans="1:4" s="23" customFormat="1" ht="20">
      <c r="A91" s="87"/>
      <c r="C91" s="145"/>
      <c r="D91" s="145"/>
    </row>
    <row r="92" spans="1:4" s="23" customFormat="1" ht="20">
      <c r="A92" s="87"/>
      <c r="C92" s="145"/>
      <c r="D92" s="145"/>
    </row>
    <row r="93" spans="1:4" s="23" customFormat="1" ht="20">
      <c r="A93" s="87"/>
      <c r="C93" s="145"/>
      <c r="D93" s="145"/>
    </row>
    <row r="94" spans="1:4" s="23" customFormat="1" ht="20">
      <c r="A94" s="87"/>
      <c r="C94" s="145"/>
      <c r="D94" s="145"/>
    </row>
    <row r="95" spans="1:4" s="23" customFormat="1" ht="20">
      <c r="A95" s="87"/>
      <c r="C95" s="145"/>
      <c r="D95" s="145"/>
    </row>
    <row r="96" spans="1:4" s="23" customFormat="1" ht="20">
      <c r="A96" s="87"/>
      <c r="C96" s="145"/>
      <c r="D96" s="145"/>
    </row>
    <row r="97" spans="1:4" s="23" customFormat="1" ht="20">
      <c r="A97" s="87"/>
      <c r="C97" s="145"/>
      <c r="D97" s="145"/>
    </row>
    <row r="98" spans="1:4" s="23" customFormat="1" ht="20">
      <c r="A98" s="87"/>
      <c r="C98" s="145"/>
      <c r="D98" s="145"/>
    </row>
    <row r="99" spans="1:4" s="23" customFormat="1" ht="20">
      <c r="A99" s="87"/>
      <c r="C99" s="145"/>
      <c r="D99" s="145"/>
    </row>
    <row r="100" spans="1:4" s="23" customFormat="1" ht="20">
      <c r="A100" s="87"/>
      <c r="C100" s="145"/>
      <c r="D100" s="145"/>
    </row>
    <row r="101" spans="1:4" s="23" customFormat="1" ht="20">
      <c r="A101" s="87"/>
      <c r="C101" s="145"/>
      <c r="D101" s="145"/>
    </row>
    <row r="102" spans="1:4" s="23" customFormat="1" ht="20">
      <c r="A102" s="87"/>
      <c r="C102" s="145"/>
      <c r="D102" s="145"/>
    </row>
    <row r="103" spans="1:4" s="23" customFormat="1" ht="20">
      <c r="A103" s="87"/>
      <c r="C103" s="145"/>
      <c r="D103" s="145"/>
    </row>
    <row r="104" spans="1:4" s="23" customFormat="1" ht="20">
      <c r="A104" s="87"/>
      <c r="C104" s="145"/>
      <c r="D104" s="145"/>
    </row>
    <row r="105" spans="1:4" s="23" customFormat="1" ht="20">
      <c r="A105" s="87"/>
      <c r="C105" s="145"/>
      <c r="D105" s="145"/>
    </row>
    <row r="106" spans="1:4" s="23" customFormat="1" ht="20">
      <c r="A106" s="87"/>
      <c r="C106" s="145"/>
      <c r="D106" s="145"/>
    </row>
    <row r="107" spans="1:4" s="23" customFormat="1" ht="20">
      <c r="A107" s="87"/>
      <c r="C107" s="145"/>
      <c r="D107" s="145"/>
    </row>
    <row r="108" spans="1:4" s="23" customFormat="1" ht="20">
      <c r="A108" s="87"/>
      <c r="C108" s="145"/>
      <c r="D108" s="145"/>
    </row>
    <row r="109" spans="1:4" s="23" customFormat="1" ht="20">
      <c r="A109" s="87"/>
      <c r="C109" s="145"/>
      <c r="D109" s="145"/>
    </row>
    <row r="110" spans="1:4" s="23" customFormat="1" ht="20">
      <c r="A110" s="87"/>
      <c r="C110" s="145"/>
      <c r="D110" s="145"/>
    </row>
    <row r="111" spans="1:4" s="23" customFormat="1" ht="20">
      <c r="A111" s="87"/>
      <c r="C111" s="145"/>
      <c r="D111" s="145"/>
    </row>
    <row r="112" spans="1:4" s="23" customFormat="1" ht="20">
      <c r="A112" s="87"/>
      <c r="C112" s="145"/>
      <c r="D112" s="145"/>
    </row>
    <row r="113" spans="1:4" s="23" customFormat="1" ht="20">
      <c r="A113" s="87"/>
      <c r="C113" s="145"/>
      <c r="D113" s="145"/>
    </row>
    <row r="114" spans="1:4" s="23" customFormat="1" ht="20">
      <c r="A114" s="87"/>
      <c r="C114" s="145"/>
      <c r="D114" s="145"/>
    </row>
    <row r="115" spans="1:4" s="23" customFormat="1" ht="20">
      <c r="A115" s="87"/>
      <c r="C115" s="145"/>
      <c r="D115" s="145"/>
    </row>
    <row r="116" spans="1:4" s="23" customFormat="1" ht="20">
      <c r="A116" s="87"/>
      <c r="C116" s="145"/>
      <c r="D116" s="145"/>
    </row>
    <row r="117" spans="1:4" s="23" customFormat="1" ht="20">
      <c r="A117" s="87"/>
      <c r="C117" s="145"/>
      <c r="D117" s="145"/>
    </row>
    <row r="118" spans="1:4" s="23" customFormat="1" ht="20">
      <c r="A118" s="87"/>
      <c r="C118" s="145"/>
      <c r="D118" s="145"/>
    </row>
    <row r="119" spans="1:4" s="23" customFormat="1" ht="20">
      <c r="A119" s="87"/>
      <c r="C119" s="145"/>
      <c r="D119" s="145"/>
    </row>
    <row r="120" spans="1:4" s="23" customFormat="1" ht="20">
      <c r="A120" s="87"/>
      <c r="C120" s="145"/>
      <c r="D120" s="145"/>
    </row>
    <row r="121" spans="1:4" s="23" customFormat="1" ht="20">
      <c r="A121" s="87"/>
      <c r="C121" s="145"/>
      <c r="D121" s="145"/>
    </row>
    <row r="122" spans="1:4" s="23" customFormat="1" ht="20">
      <c r="A122" s="87"/>
      <c r="C122" s="145"/>
      <c r="D122" s="145"/>
    </row>
    <row r="123" spans="1:4" s="23" customFormat="1" ht="20">
      <c r="A123" s="87"/>
      <c r="C123" s="145"/>
      <c r="D123" s="145"/>
    </row>
    <row r="124" spans="1:4" s="23" customFormat="1" ht="20">
      <c r="A124" s="87"/>
      <c r="C124" s="145"/>
      <c r="D124" s="145"/>
    </row>
    <row r="125" spans="1:4" s="23" customFormat="1" ht="20">
      <c r="A125" s="87"/>
      <c r="C125" s="145"/>
      <c r="D125" s="145"/>
    </row>
    <row r="126" spans="1:4" s="23" customFormat="1" ht="20">
      <c r="A126" s="87"/>
      <c r="C126" s="145"/>
      <c r="D126" s="145"/>
    </row>
    <row r="127" spans="1:4" s="23" customFormat="1" ht="20">
      <c r="A127" s="87"/>
      <c r="C127" s="145"/>
      <c r="D127" s="145"/>
    </row>
    <row r="128" spans="1:4" s="23" customFormat="1" ht="20">
      <c r="A128" s="87"/>
      <c r="C128" s="145"/>
      <c r="D128" s="145"/>
    </row>
    <row r="129" spans="1:4" s="23" customFormat="1" ht="20">
      <c r="A129" s="87"/>
      <c r="C129" s="145"/>
      <c r="D129" s="145"/>
    </row>
    <row r="130" spans="1:4" s="23" customFormat="1" ht="20">
      <c r="A130" s="87"/>
      <c r="C130" s="145"/>
      <c r="D130" s="145"/>
    </row>
    <row r="131" spans="1:4" s="23" customFormat="1" ht="20">
      <c r="A131" s="87"/>
      <c r="C131" s="145"/>
      <c r="D131" s="145"/>
    </row>
    <row r="132" spans="1:4" s="23" customFormat="1" ht="20">
      <c r="A132" s="87"/>
      <c r="C132" s="145"/>
      <c r="D132" s="145"/>
    </row>
    <row r="133" spans="1:4" s="23" customFormat="1" ht="20">
      <c r="A133" s="87"/>
      <c r="C133" s="145"/>
      <c r="D133" s="145"/>
    </row>
    <row r="134" spans="1:4" s="23" customFormat="1" ht="20">
      <c r="A134" s="87"/>
      <c r="C134" s="145"/>
      <c r="D134" s="145"/>
    </row>
    <row r="135" spans="1:4" s="23" customFormat="1" ht="20">
      <c r="A135" s="87"/>
      <c r="C135" s="145"/>
      <c r="D135" s="145"/>
    </row>
    <row r="136" spans="1:4" s="23" customFormat="1" ht="20">
      <c r="A136" s="87"/>
      <c r="C136" s="145"/>
      <c r="D136" s="145"/>
    </row>
    <row r="137" spans="1:4" s="23" customFormat="1" ht="20">
      <c r="A137" s="87"/>
      <c r="C137" s="145"/>
      <c r="D137" s="145"/>
    </row>
    <row r="138" spans="1:4" s="23" customFormat="1" ht="20">
      <c r="A138" s="87"/>
      <c r="C138" s="145"/>
      <c r="D138" s="145"/>
    </row>
    <row r="139" spans="1:4" s="23" customFormat="1" ht="20">
      <c r="A139" s="87"/>
      <c r="C139" s="145"/>
      <c r="D139" s="145"/>
    </row>
    <row r="140" spans="1:4" s="23" customFormat="1" ht="20">
      <c r="A140" s="87"/>
      <c r="C140" s="145"/>
      <c r="D140" s="145"/>
    </row>
    <row r="141" spans="1:4" s="23" customFormat="1" ht="20">
      <c r="A141" s="87"/>
      <c r="C141" s="145"/>
      <c r="D141" s="145"/>
    </row>
    <row r="142" spans="1:4" s="23" customFormat="1" ht="20">
      <c r="A142" s="87"/>
      <c r="C142" s="145"/>
      <c r="D142" s="145"/>
    </row>
    <row r="143" spans="1:4" s="23" customFormat="1" ht="20">
      <c r="A143" s="87"/>
      <c r="C143" s="145"/>
      <c r="D143" s="145"/>
    </row>
    <row r="144" spans="1:4" s="23" customFormat="1" ht="20">
      <c r="A144" s="87"/>
      <c r="C144" s="145"/>
      <c r="D144" s="145"/>
    </row>
    <row r="145" spans="1:4" s="23" customFormat="1" ht="20">
      <c r="A145" s="87"/>
      <c r="C145" s="145"/>
      <c r="D145" s="145"/>
    </row>
    <row r="146" spans="1:4" s="23" customFormat="1" ht="20">
      <c r="A146" s="87"/>
      <c r="C146" s="145"/>
      <c r="D146" s="145"/>
    </row>
    <row r="147" spans="1:4" s="23" customFormat="1" ht="20">
      <c r="A147" s="87"/>
      <c r="C147" s="145"/>
      <c r="D147" s="145"/>
    </row>
    <row r="148" spans="1:4" s="23" customFormat="1" ht="20">
      <c r="A148" s="87"/>
      <c r="C148" s="145"/>
      <c r="D148" s="145"/>
    </row>
    <row r="149" spans="1:4" s="23" customFormat="1" ht="20">
      <c r="A149" s="87"/>
      <c r="C149" s="145"/>
      <c r="D149" s="145"/>
    </row>
    <row r="150" spans="1:4" s="23" customFormat="1" ht="20">
      <c r="A150" s="87"/>
      <c r="C150" s="145"/>
      <c r="D150" s="145"/>
    </row>
    <row r="151" spans="1:4" s="23" customFormat="1" ht="20">
      <c r="A151" s="87"/>
      <c r="C151" s="145"/>
      <c r="D151" s="145"/>
    </row>
    <row r="152" spans="1:4" s="23" customFormat="1" ht="20">
      <c r="A152" s="87"/>
      <c r="C152" s="145"/>
      <c r="D152" s="145"/>
    </row>
    <row r="153" spans="1:4" s="23" customFormat="1" ht="20">
      <c r="A153" s="87"/>
      <c r="C153" s="145"/>
      <c r="D153" s="145"/>
    </row>
    <row r="154" spans="1:4" s="23" customFormat="1" ht="20">
      <c r="A154" s="87"/>
      <c r="C154" s="145"/>
      <c r="D154" s="145"/>
    </row>
    <row r="155" spans="1:4" s="23" customFormat="1" ht="20">
      <c r="A155" s="87"/>
      <c r="C155" s="145"/>
      <c r="D155" s="145"/>
    </row>
    <row r="156" spans="1:4" s="23" customFormat="1" ht="20">
      <c r="A156" s="87"/>
      <c r="C156" s="145"/>
      <c r="D156" s="145"/>
    </row>
    <row r="157" spans="1:4" s="23" customFormat="1" ht="20">
      <c r="A157" s="87"/>
      <c r="C157" s="145"/>
      <c r="D157" s="145"/>
    </row>
    <row r="158" spans="1:4" s="23" customFormat="1" ht="20">
      <c r="A158" s="87"/>
      <c r="C158" s="145"/>
      <c r="D158" s="145"/>
    </row>
    <row r="159" spans="1:4" s="23" customFormat="1" ht="20">
      <c r="A159" s="87"/>
      <c r="C159" s="145"/>
      <c r="D159" s="145"/>
    </row>
    <row r="160" spans="1:4" s="23" customFormat="1" ht="20">
      <c r="A160" s="87"/>
      <c r="C160" s="145"/>
      <c r="D160" s="145"/>
    </row>
    <row r="161" spans="1:4" s="23" customFormat="1" ht="20">
      <c r="A161" s="87"/>
      <c r="C161" s="145"/>
      <c r="D161" s="145"/>
    </row>
    <row r="162" spans="1:4" s="23" customFormat="1" ht="20">
      <c r="A162" s="87"/>
      <c r="C162" s="145"/>
      <c r="D162" s="145"/>
    </row>
    <row r="163" spans="1:4" s="23" customFormat="1" ht="20">
      <c r="A163" s="87"/>
      <c r="C163" s="145"/>
      <c r="D163" s="145"/>
    </row>
    <row r="164" spans="1:4" s="23" customFormat="1" ht="20">
      <c r="A164" s="87"/>
      <c r="C164" s="145"/>
      <c r="D164" s="145"/>
    </row>
    <row r="165" spans="1:4" s="23" customFormat="1" ht="20">
      <c r="A165" s="87"/>
      <c r="C165" s="145"/>
      <c r="D165" s="145"/>
    </row>
    <row r="166" spans="1:4" s="23" customFormat="1" ht="20">
      <c r="A166" s="87"/>
      <c r="C166" s="145"/>
      <c r="D166" s="145"/>
    </row>
    <row r="167" spans="1:4" s="23" customFormat="1" ht="20">
      <c r="A167" s="87"/>
      <c r="C167" s="145"/>
      <c r="D167" s="145"/>
    </row>
    <row r="168" spans="1:4" s="23" customFormat="1" ht="20">
      <c r="A168" s="87"/>
      <c r="C168" s="145"/>
      <c r="D168" s="145"/>
    </row>
    <row r="169" spans="1:4" s="23" customFormat="1" ht="20">
      <c r="A169" s="87"/>
      <c r="C169" s="145"/>
      <c r="D169" s="145"/>
    </row>
    <row r="170" spans="1:4" s="23" customFormat="1" ht="20">
      <c r="A170" s="87"/>
      <c r="C170" s="145"/>
      <c r="D170" s="145"/>
    </row>
    <row r="171" spans="1:4" s="23" customFormat="1" ht="20">
      <c r="A171" s="87"/>
      <c r="C171" s="145"/>
      <c r="D171" s="145"/>
    </row>
    <row r="172" spans="1:4" s="23" customFormat="1" ht="20">
      <c r="A172" s="87"/>
      <c r="C172" s="145"/>
      <c r="D172" s="145"/>
    </row>
    <row r="173" spans="1:4" s="23" customFormat="1" ht="20">
      <c r="A173" s="87"/>
      <c r="C173" s="145"/>
      <c r="D173" s="145"/>
    </row>
    <row r="174" spans="1:4" s="23" customFormat="1" ht="20">
      <c r="A174" s="87"/>
      <c r="C174" s="145"/>
      <c r="D174" s="145"/>
    </row>
    <row r="175" spans="1:4" s="23" customFormat="1" ht="20">
      <c r="A175" s="87"/>
      <c r="C175" s="145"/>
      <c r="D175" s="145"/>
    </row>
    <row r="176" spans="1:4" s="23" customFormat="1" ht="20">
      <c r="A176" s="87"/>
      <c r="C176" s="145"/>
      <c r="D176" s="145"/>
    </row>
    <row r="177" spans="1:4" s="23" customFormat="1" ht="20">
      <c r="A177" s="87"/>
      <c r="C177" s="145"/>
      <c r="D177" s="145"/>
    </row>
    <row r="178" spans="1:4" s="23" customFormat="1" ht="20">
      <c r="A178" s="87"/>
      <c r="C178" s="145"/>
      <c r="D178" s="145"/>
    </row>
    <row r="179" spans="1:4" s="23" customFormat="1" ht="20">
      <c r="A179" s="87"/>
      <c r="C179" s="145"/>
      <c r="D179" s="145"/>
    </row>
    <row r="180" spans="1:4" s="23" customFormat="1" ht="20">
      <c r="A180" s="87"/>
      <c r="C180" s="145"/>
      <c r="D180" s="145"/>
    </row>
    <row r="181" spans="1:4" s="23" customFormat="1" ht="20">
      <c r="A181" s="87"/>
      <c r="C181" s="145"/>
      <c r="D181" s="145"/>
    </row>
    <row r="182" spans="1:4" s="23" customFormat="1" ht="20">
      <c r="A182" s="87"/>
      <c r="C182" s="145"/>
      <c r="D182" s="145"/>
    </row>
    <row r="183" spans="1:4" s="23" customFormat="1" ht="20">
      <c r="A183" s="87"/>
      <c r="C183" s="145"/>
      <c r="D183" s="145"/>
    </row>
    <row r="184" spans="1:4" s="23" customFormat="1" ht="20">
      <c r="A184" s="87"/>
      <c r="C184" s="145"/>
      <c r="D184" s="145"/>
    </row>
    <row r="185" spans="1:4" s="23" customFormat="1" ht="20">
      <c r="A185" s="87"/>
      <c r="C185" s="145"/>
      <c r="D185" s="145"/>
    </row>
    <row r="186" spans="1:4" s="23" customFormat="1" ht="20">
      <c r="A186" s="87"/>
      <c r="C186" s="145"/>
      <c r="D186" s="145"/>
    </row>
    <row r="187" spans="1:4" s="23" customFormat="1" ht="20">
      <c r="A187" s="87"/>
      <c r="C187" s="145"/>
      <c r="D187" s="145"/>
    </row>
    <row r="188" spans="1:4" s="23" customFormat="1" ht="20">
      <c r="A188" s="87"/>
      <c r="C188" s="145"/>
      <c r="D188" s="145"/>
    </row>
    <row r="189" spans="1:4" s="23" customFormat="1" ht="20">
      <c r="A189" s="87"/>
      <c r="C189" s="145"/>
      <c r="D189" s="145"/>
    </row>
    <row r="190" spans="1:4" s="23" customFormat="1" ht="20">
      <c r="A190" s="87"/>
      <c r="C190" s="145"/>
      <c r="D190" s="145"/>
    </row>
    <row r="191" spans="1:4" s="23" customFormat="1" ht="20">
      <c r="A191" s="87"/>
      <c r="C191" s="145"/>
      <c r="D191" s="145"/>
    </row>
    <row r="192" spans="1:4" s="23" customFormat="1" ht="20">
      <c r="A192" s="87"/>
      <c r="C192" s="145"/>
      <c r="D192" s="145"/>
    </row>
    <row r="193" spans="1:4" s="23" customFormat="1" ht="20">
      <c r="A193" s="87"/>
      <c r="C193" s="145"/>
      <c r="D193" s="145"/>
    </row>
    <row r="194" spans="1:4" s="23" customFormat="1" ht="20">
      <c r="A194" s="87"/>
      <c r="C194" s="145"/>
      <c r="D194" s="145"/>
    </row>
    <row r="195" spans="1:4" s="23" customFormat="1" ht="20">
      <c r="A195" s="87"/>
      <c r="C195" s="145"/>
      <c r="D195" s="145"/>
    </row>
    <row r="196" spans="1:4" s="23" customFormat="1" ht="20">
      <c r="A196" s="87"/>
      <c r="C196" s="145"/>
      <c r="D196" s="145"/>
    </row>
    <row r="197" spans="1:4" s="23" customFormat="1" ht="20">
      <c r="A197" s="87"/>
      <c r="C197" s="145"/>
      <c r="D197" s="145"/>
    </row>
    <row r="198" spans="1:4" s="23" customFormat="1" ht="20">
      <c r="A198" s="87"/>
      <c r="C198" s="145"/>
      <c r="D198" s="145"/>
    </row>
    <row r="199" spans="1:4" s="23" customFormat="1" ht="20">
      <c r="A199" s="87"/>
      <c r="C199" s="145"/>
      <c r="D199" s="145"/>
    </row>
    <row r="200" spans="1:4" s="23" customFormat="1" ht="20">
      <c r="A200" s="87"/>
      <c r="C200" s="145"/>
      <c r="D200" s="145"/>
    </row>
    <row r="201" spans="1:4" s="23" customFormat="1" ht="20">
      <c r="A201" s="87"/>
      <c r="C201" s="145"/>
      <c r="D201" s="145"/>
    </row>
    <row r="202" spans="1:4" s="23" customFormat="1" ht="20">
      <c r="A202" s="87"/>
      <c r="C202" s="145"/>
      <c r="D202" s="145"/>
    </row>
    <row r="203" spans="1:4" s="23" customFormat="1" ht="20">
      <c r="A203" s="87"/>
      <c r="C203" s="145"/>
      <c r="D203" s="145"/>
    </row>
    <row r="204" spans="1:4" s="23" customFormat="1" ht="20">
      <c r="A204" s="87"/>
      <c r="C204" s="145"/>
      <c r="D204" s="145"/>
    </row>
    <row r="205" spans="1:4" s="23" customFormat="1" ht="20">
      <c r="A205" s="87"/>
      <c r="C205" s="145"/>
      <c r="D205" s="145"/>
    </row>
    <row r="206" spans="1:4" s="23" customFormat="1" ht="20">
      <c r="A206" s="87"/>
      <c r="C206" s="145"/>
      <c r="D206" s="145"/>
    </row>
    <row r="207" spans="1:4" s="23" customFormat="1" ht="20">
      <c r="A207" s="87"/>
      <c r="C207" s="145"/>
      <c r="D207" s="145"/>
    </row>
    <row r="208" spans="1:4" s="23" customFormat="1">
      <c r="A208" s="87"/>
    </row>
    <row r="209" spans="1:8" s="23" customFormat="1" ht="20">
      <c r="A209" s="87"/>
      <c r="B209" s="146" t="s">
        <v>87</v>
      </c>
      <c r="C209" s="146" t="s">
        <v>140</v>
      </c>
      <c r="D209" s="147" t="s">
        <v>87</v>
      </c>
      <c r="E209" s="147" t="s">
        <v>140</v>
      </c>
    </row>
    <row r="210" spans="1:8" s="23" customFormat="1" ht="44">
      <c r="A210" s="87"/>
      <c r="B210" s="148" t="s">
        <v>89</v>
      </c>
      <c r="C210" s="148"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4">
      <c r="A211" s="87"/>
      <c r="B211" s="148" t="s">
        <v>89</v>
      </c>
      <c r="C211" s="148" t="s">
        <v>206</v>
      </c>
      <c r="E211" s="23" t="s">
        <v>205</v>
      </c>
      <c r="F211" s="23" t="str">
        <f t="shared" ref="F211:F221" si="0">IF(NOT(ISBLANK(D211)),D211,IF(NOT(ISBLANK(E211)),"     "&amp;E211,FALSE))</f>
        <v xml:space="preserve">     Afectación menor a 200 SMLMV</v>
      </c>
    </row>
    <row r="212" spans="1:8" s="23" customFormat="1" ht="44">
      <c r="A212" s="87"/>
      <c r="B212" s="148" t="s">
        <v>89</v>
      </c>
      <c r="C212" s="148" t="s">
        <v>210</v>
      </c>
      <c r="E212" s="23" t="s">
        <v>206</v>
      </c>
      <c r="F212" s="23" t="str">
        <f t="shared" si="0"/>
        <v xml:space="preserve">     Entre 200 y 1000 SMLMV</v>
      </c>
    </row>
    <row r="213" spans="1:8" s="23" customFormat="1" ht="44">
      <c r="A213" s="87"/>
      <c r="B213" s="148" t="s">
        <v>89</v>
      </c>
      <c r="C213" s="148" t="s">
        <v>211</v>
      </c>
      <c r="E213" s="23" t="s">
        <v>210</v>
      </c>
      <c r="F213" s="23" t="str">
        <f t="shared" si="0"/>
        <v xml:space="preserve">     Entre 1000 y 5000 SMLMV </v>
      </c>
    </row>
    <row r="214" spans="1:8" s="23" customFormat="1" ht="44">
      <c r="A214" s="87"/>
      <c r="B214" s="148" t="s">
        <v>89</v>
      </c>
      <c r="C214" s="148" t="s">
        <v>207</v>
      </c>
      <c r="E214" s="23" t="s">
        <v>211</v>
      </c>
      <c r="F214" s="23" t="str">
        <f t="shared" si="0"/>
        <v xml:space="preserve">     Entre 5000 y 10000 SMLMV</v>
      </c>
    </row>
    <row r="215" spans="1:8" s="23" customFormat="1" ht="22">
      <c r="A215" s="87"/>
      <c r="B215" s="148" t="s">
        <v>57</v>
      </c>
      <c r="C215" s="148" t="s">
        <v>92</v>
      </c>
      <c r="E215" s="23" t="s">
        <v>207</v>
      </c>
      <c r="F215" s="23" t="str">
        <f t="shared" si="0"/>
        <v xml:space="preserve">     Mayor a 10000 SMLMV</v>
      </c>
    </row>
    <row r="216" spans="1:8" s="23" customFormat="1" ht="66">
      <c r="A216" s="87"/>
      <c r="B216" s="148" t="s">
        <v>57</v>
      </c>
      <c r="C216" s="148" t="s">
        <v>93</v>
      </c>
      <c r="D216" s="23" t="s">
        <v>57</v>
      </c>
      <c r="F216" s="23" t="str">
        <f t="shared" si="0"/>
        <v>Pérdida Reputacional</v>
      </c>
    </row>
    <row r="217" spans="1:8" s="23" customFormat="1" ht="44">
      <c r="A217" s="87"/>
      <c r="B217" s="148" t="s">
        <v>57</v>
      </c>
      <c r="C217" s="148" t="s">
        <v>95</v>
      </c>
      <c r="E217" s="23" t="s">
        <v>92</v>
      </c>
      <c r="F217" s="23" t="str">
        <f>IF(NOT(ISBLANK(D217)),D217,IF(NOT(ISBLANK(E217)),"     "&amp;E217,FALSE))</f>
        <v xml:space="preserve">     El riesgo afecta la imagen de alguna área de la organización</v>
      </c>
    </row>
    <row r="218" spans="1:8" s="23" customFormat="1" ht="66">
      <c r="A218" s="87"/>
      <c r="B218" s="148" t="s">
        <v>57</v>
      </c>
      <c r="C218" s="148" t="s">
        <v>94</v>
      </c>
      <c r="E218" s="23" t="s">
        <v>93</v>
      </c>
      <c r="F218" s="23" t="str">
        <f t="shared" si="0"/>
        <v xml:space="preserve">     El riesgo afecta la imagen de la entidad internamente, de conocimiento general, nivel interno, de junta dircetiva y accionistas y/o de provedores</v>
      </c>
    </row>
    <row r="219" spans="1:8" s="23" customFormat="1" ht="44">
      <c r="A219" s="87"/>
      <c r="B219" s="148" t="s">
        <v>57</v>
      </c>
      <c r="C219" s="148" t="s">
        <v>113</v>
      </c>
      <c r="E219" s="23" t="s">
        <v>95</v>
      </c>
      <c r="F219" s="23" t="str">
        <f t="shared" si="0"/>
        <v xml:space="preserve">     El riesgo afecta la imagen de la entidad con algunos usuarios de relevancia frente al logro de los objetivos</v>
      </c>
    </row>
    <row r="220" spans="1:8" s="23" customFormat="1">
      <c r="A220" s="87"/>
      <c r="E220" s="23" t="s">
        <v>94</v>
      </c>
      <c r="F220" s="23" t="str">
        <f t="shared" si="0"/>
        <v xml:space="preserve">     El riesgo afecta la imagen de de la entidad con efecto publicitario sostenido a nivel de sector administrativo, nivel departamental o municipal</v>
      </c>
    </row>
    <row r="221" spans="1:8" s="23" customFormat="1">
      <c r="A221" s="87"/>
      <c r="B221" s="23" t="e" cm="1" vm="1">
        <f t="array" aca="1" ref="B221" ca="1">_xlfn.UNIQUE(Tabla1[[#All],[Criterios]])</f>
        <v>#NAME?</v>
      </c>
      <c r="E221" s="23" t="s">
        <v>113</v>
      </c>
      <c r="F221" s="23" t="str">
        <f t="shared" si="0"/>
        <v xml:space="preserve">     El riesgo afecta la imagen de la entidad a nivel nacional, con efecto publicitarios sostenible a nivel país</v>
      </c>
    </row>
    <row r="222" spans="1:8" s="23" customFormat="1">
      <c r="A222" s="87"/>
    </row>
    <row r="223" spans="1:8" s="23" customFormat="1">
      <c r="F223" s="149" t="s">
        <v>141</v>
      </c>
    </row>
    <row r="224" spans="1:8" s="23" customFormat="1">
      <c r="F224" s="149"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Natalia Bulla Jaramillo</cp:lastModifiedBy>
  <cp:lastPrinted>2020-05-13T01:12:22Z</cp:lastPrinted>
  <dcterms:created xsi:type="dcterms:W3CDTF">2020-03-24T23:12:47Z</dcterms:created>
  <dcterms:modified xsi:type="dcterms:W3CDTF">2024-07-08T14:37:00Z</dcterms:modified>
</cp:coreProperties>
</file>