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hidePivotFieldList="1" defaultThemeVersion="124226"/>
  <mc:AlternateContent xmlns:mc="http://schemas.openxmlformats.org/markup-compatibility/2006">
    <mc:Choice Requires="x15">
      <x15ac:absPath xmlns:x15ac="http://schemas.microsoft.com/office/spreadsheetml/2010/11/ac" url="https://d.docs.live.net/8ed9c3e3b75d16b0/Documentos/SECRETARIA DE PLANEACION MPAL/INFORME DE ACTIVIDADES/REVISION DEPENDENCIAS/MATRIZ/MONITOREO/MX GESTION/JULIO24/JUL29- DESP INFRAEST/"/>
    </mc:Choice>
  </mc:AlternateContent>
  <xr:revisionPtr revIDLastSave="0" documentId="8_{1EAFF71C-7DA0-417D-9D18-072DC2C15F50}" xr6:coauthVersionLast="47" xr6:coauthVersionMax="47" xr10:uidLastSave="{00000000-0000-0000-0000-000000000000}"/>
  <bookViews>
    <workbookView xWindow="-108" yWindow="-108" windowWidth="23256" windowHeight="12456" firstSheet="3" activeTab="7" xr2:uid="{00000000-000D-0000-FFFF-FFFF00000000}"/>
  </bookViews>
  <sheets>
    <sheet name="Intructivo" sheetId="20" r:id="rId1"/>
    <sheet name="Contexto" sheetId="21" r:id="rId2"/>
    <sheet name="Priorizacion de Causas" sheetId="22" r:id="rId3"/>
    <sheet name="DOFA" sheetId="23" r:id="rId4"/>
    <sheet name="Mapa final" sheetId="1" r:id="rId5"/>
    <sheet name="Matriz Calor Inherente" sheetId="18" r:id="rId6"/>
    <sheet name="Matriz Calor Residual" sheetId="19" r:id="rId7"/>
    <sheet name="Tabla probabilidad" sheetId="12" r:id="rId8"/>
    <sheet name="Tabla Impacto" sheetId="13" r:id="rId9"/>
    <sheet name="Tabla Valoración controles" sheetId="15" r:id="rId10"/>
    <sheet name="Opciones Tratamiento" sheetId="16" state="hidden" r:id="rId11"/>
    <sheet name="Hoja1" sheetId="11" state="hidden" r:id="rId12"/>
  </sheets>
  <externalReferences>
    <externalReference r:id="rId13"/>
    <externalReference r:id="rId14"/>
    <externalReference r:id="rId15"/>
    <externalReference r:id="rId16"/>
  </externalReferences>
  <calcPr calcId="191029"/>
  <pivotCaches>
    <pivotCache cacheId="11" r:id="rId17"/>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21" i="1" l="1"/>
  <c r="T10" i="1"/>
  <c r="S30" i="22"/>
  <c r="R30" i="22"/>
  <c r="S29" i="22"/>
  <c r="R29" i="22"/>
  <c r="S28" i="22"/>
  <c r="R28" i="22"/>
  <c r="S27" i="22"/>
  <c r="R27" i="22"/>
  <c r="S26" i="22"/>
  <c r="R26" i="22"/>
  <c r="S25" i="22"/>
  <c r="R25" i="22"/>
  <c r="S24" i="22"/>
  <c r="R24" i="22"/>
  <c r="S23" i="22"/>
  <c r="R23" i="22"/>
  <c r="S22" i="22"/>
  <c r="R22" i="22"/>
  <c r="S21" i="22"/>
  <c r="R21" i="22"/>
  <c r="S20" i="22"/>
  <c r="R20" i="22"/>
  <c r="S19" i="22"/>
  <c r="R19" i="22"/>
  <c r="S18" i="22"/>
  <c r="R18" i="22"/>
  <c r="S17" i="22"/>
  <c r="R17" i="22"/>
  <c r="S16" i="22"/>
  <c r="R16" i="22"/>
  <c r="S15" i="22"/>
  <c r="R15" i="22"/>
  <c r="S14" i="22"/>
  <c r="R14" i="22"/>
  <c r="S13" i="22"/>
  <c r="R13" i="22"/>
  <c r="S12" i="22"/>
  <c r="R12" i="22"/>
  <c r="S11" i="22"/>
  <c r="R11" i="22"/>
  <c r="A6" i="23" l="1"/>
  <c r="A1" i="23"/>
  <c r="S40" i="22"/>
  <c r="R40" i="22"/>
  <c r="S39" i="22"/>
  <c r="R39" i="22"/>
  <c r="S38" i="22"/>
  <c r="R38" i="22"/>
  <c r="S37" i="22"/>
  <c r="R37" i="22"/>
  <c r="S36" i="22"/>
  <c r="R36" i="22"/>
  <c r="S35" i="22"/>
  <c r="S41" i="22" s="1"/>
  <c r="S42" i="22" s="1"/>
  <c r="R35" i="22"/>
  <c r="B1" i="22"/>
  <c r="W65" i="1" l="1"/>
  <c r="T65" i="1"/>
  <c r="W64" i="1"/>
  <c r="T64" i="1"/>
  <c r="W63" i="1"/>
  <c r="T63" i="1"/>
  <c r="W62" i="1"/>
  <c r="T62" i="1"/>
  <c r="W61" i="1"/>
  <c r="T61" i="1"/>
  <c r="W60" i="1"/>
  <c r="T60" i="1"/>
  <c r="W59" i="1"/>
  <c r="T59" i="1"/>
  <c r="W58" i="1"/>
  <c r="T58" i="1"/>
  <c r="W57" i="1"/>
  <c r="T57" i="1"/>
  <c r="W56" i="1"/>
  <c r="T56" i="1"/>
  <c r="W55" i="1"/>
  <c r="T55" i="1"/>
  <c r="W54" i="1"/>
  <c r="T54" i="1"/>
  <c r="W53" i="1"/>
  <c r="T53" i="1"/>
  <c r="W52" i="1"/>
  <c r="T52" i="1"/>
  <c r="W51" i="1"/>
  <c r="T51" i="1"/>
  <c r="W50" i="1"/>
  <c r="T50" i="1"/>
  <c r="W49" i="1"/>
  <c r="T49" i="1"/>
  <c r="W48" i="1"/>
  <c r="T48" i="1"/>
  <c r="W47" i="1"/>
  <c r="T47" i="1"/>
  <c r="W46" i="1"/>
  <c r="T46" i="1"/>
  <c r="W45" i="1"/>
  <c r="T45" i="1"/>
  <c r="W44" i="1"/>
  <c r="T44" i="1"/>
  <c r="W43" i="1"/>
  <c r="T43" i="1"/>
  <c r="W42" i="1"/>
  <c r="T42" i="1"/>
  <c r="W41" i="1"/>
  <c r="T41" i="1"/>
  <c r="W40" i="1"/>
  <c r="T40" i="1"/>
  <c r="W39" i="1"/>
  <c r="T39" i="1"/>
  <c r="W38" i="1"/>
  <c r="T38" i="1"/>
  <c r="W37" i="1"/>
  <c r="T37" i="1"/>
  <c r="W36" i="1"/>
  <c r="T36" i="1"/>
  <c r="W35" i="1"/>
  <c r="T35" i="1"/>
  <c r="W34" i="1"/>
  <c r="T34" i="1"/>
  <c r="W33" i="1"/>
  <c r="T33" i="1"/>
  <c r="W32" i="1"/>
  <c r="T32" i="1"/>
  <c r="W31" i="1"/>
  <c r="T31" i="1"/>
  <c r="W30" i="1"/>
  <c r="T30" i="1"/>
  <c r="W21" i="1"/>
  <c r="T21" i="1"/>
  <c r="W12" i="1"/>
  <c r="T12" i="1"/>
  <c r="AE32" i="1" l="1"/>
  <c r="AD32" i="1" s="1"/>
  <c r="AE40" i="1"/>
  <c r="AD40" i="1" s="1"/>
  <c r="AE44" i="1"/>
  <c r="AD44" i="1" s="1"/>
  <c r="AE31" i="1"/>
  <c r="AD31" i="1" s="1"/>
  <c r="AE35" i="1"/>
  <c r="AD35" i="1" s="1"/>
  <c r="AE39" i="1"/>
  <c r="AD39" i="1" s="1"/>
  <c r="AE43" i="1"/>
  <c r="AD43" i="1" s="1"/>
  <c r="AE47" i="1"/>
  <c r="AD47" i="1" s="1"/>
  <c r="AE51" i="1"/>
  <c r="AD51" i="1" s="1"/>
  <c r="AE55" i="1"/>
  <c r="AD55" i="1" s="1"/>
  <c r="AE63" i="1"/>
  <c r="AD63" i="1" s="1"/>
  <c r="AE34" i="1"/>
  <c r="AD34" i="1" s="1"/>
  <c r="AE38" i="1"/>
  <c r="AD38" i="1" s="1"/>
  <c r="AE46" i="1"/>
  <c r="AD46" i="1" s="1"/>
  <c r="AE50" i="1"/>
  <c r="AD50" i="1" s="1"/>
  <c r="AE58" i="1"/>
  <c r="AD58" i="1" s="1"/>
  <c r="AE62" i="1"/>
  <c r="AD62" i="1" s="1"/>
  <c r="AE59" i="1"/>
  <c r="AD59" i="1" s="1"/>
  <c r="AE52" i="1"/>
  <c r="AD52" i="1" s="1"/>
  <c r="AE56" i="1"/>
  <c r="AD56" i="1" s="1"/>
  <c r="AE64" i="1"/>
  <c r="AD64" i="1" s="1"/>
  <c r="AE33" i="1"/>
  <c r="AD33" i="1" s="1"/>
  <c r="AE37" i="1"/>
  <c r="AD37" i="1" s="1"/>
  <c r="AE41" i="1"/>
  <c r="AD41" i="1" s="1"/>
  <c r="AE45" i="1"/>
  <c r="AD45" i="1" s="1"/>
  <c r="AE49" i="1"/>
  <c r="AD49" i="1" s="1"/>
  <c r="AE53" i="1"/>
  <c r="AD53" i="1" s="1"/>
  <c r="AE57" i="1"/>
  <c r="AD57" i="1" s="1"/>
  <c r="AE61" i="1"/>
  <c r="AD61" i="1" s="1"/>
  <c r="AE65" i="1"/>
  <c r="AD65" i="1" s="1"/>
  <c r="AA60" i="1"/>
  <c r="AA62" i="1"/>
  <c r="AA64" i="1"/>
  <c r="AE60" i="1"/>
  <c r="AD60" i="1" s="1"/>
  <c r="AA61" i="1"/>
  <c r="AA63" i="1"/>
  <c r="AA65" i="1"/>
  <c r="AA54" i="1"/>
  <c r="AA56" i="1"/>
  <c r="AA58" i="1"/>
  <c r="AE54" i="1"/>
  <c r="AD54" i="1" s="1"/>
  <c r="AA55" i="1"/>
  <c r="AA57" i="1"/>
  <c r="AA59" i="1"/>
  <c r="AA48" i="1"/>
  <c r="AA50" i="1"/>
  <c r="AA52" i="1"/>
  <c r="AE48" i="1"/>
  <c r="AD48" i="1" s="1"/>
  <c r="AA49" i="1"/>
  <c r="AA51" i="1"/>
  <c r="AA53" i="1"/>
  <c r="AA42" i="1"/>
  <c r="AA44" i="1"/>
  <c r="AA46" i="1"/>
  <c r="AE42" i="1"/>
  <c r="AD42" i="1" s="1"/>
  <c r="AA43" i="1"/>
  <c r="AA45" i="1"/>
  <c r="AA47" i="1"/>
  <c r="AA36" i="1"/>
  <c r="AA38" i="1"/>
  <c r="AA40" i="1"/>
  <c r="AE36" i="1"/>
  <c r="AD36" i="1" s="1"/>
  <c r="AA37" i="1"/>
  <c r="AA39" i="1"/>
  <c r="AA41" i="1"/>
  <c r="AA30" i="1"/>
  <c r="AA32" i="1"/>
  <c r="AA34" i="1"/>
  <c r="AE30" i="1"/>
  <c r="AD30" i="1" s="1"/>
  <c r="AA31" i="1"/>
  <c r="AA33" i="1"/>
  <c r="AA35" i="1"/>
  <c r="AC65" i="1" l="1"/>
  <c r="AB65" i="1"/>
  <c r="AF65" i="1" s="1"/>
  <c r="AC63" i="1"/>
  <c r="AB63" i="1"/>
  <c r="AF63" i="1" s="1"/>
  <c r="AC61" i="1"/>
  <c r="AB61" i="1"/>
  <c r="AF61" i="1" s="1"/>
  <c r="AC64" i="1"/>
  <c r="AB64" i="1"/>
  <c r="AF64" i="1" s="1"/>
  <c r="AC62" i="1"/>
  <c r="AB62" i="1"/>
  <c r="AF62" i="1" s="1"/>
  <c r="AC60" i="1"/>
  <c r="AB60" i="1"/>
  <c r="AF60" i="1" s="1"/>
  <c r="AC59" i="1"/>
  <c r="AB59" i="1"/>
  <c r="AF59" i="1" s="1"/>
  <c r="AC57" i="1"/>
  <c r="AB57" i="1"/>
  <c r="AF57" i="1" s="1"/>
  <c r="AC55" i="1"/>
  <c r="AB55" i="1"/>
  <c r="AF55" i="1" s="1"/>
  <c r="AC58" i="1"/>
  <c r="AB58" i="1"/>
  <c r="AF58" i="1" s="1"/>
  <c r="AC56" i="1"/>
  <c r="AB56" i="1"/>
  <c r="AF56" i="1" s="1"/>
  <c r="AC54" i="1"/>
  <c r="AB54" i="1"/>
  <c r="AF54" i="1" s="1"/>
  <c r="AC53" i="1"/>
  <c r="AB53" i="1"/>
  <c r="AF53" i="1" s="1"/>
  <c r="AC51" i="1"/>
  <c r="AB51" i="1"/>
  <c r="AF51" i="1" s="1"/>
  <c r="AC49" i="1"/>
  <c r="AB49" i="1"/>
  <c r="AF49" i="1" s="1"/>
  <c r="AC52" i="1"/>
  <c r="AB52" i="1"/>
  <c r="AF52" i="1" s="1"/>
  <c r="AC50" i="1"/>
  <c r="AB50" i="1"/>
  <c r="AF50" i="1" s="1"/>
  <c r="AC48" i="1"/>
  <c r="AB48" i="1"/>
  <c r="AF48" i="1" s="1"/>
  <c r="AC47" i="1"/>
  <c r="AB47" i="1"/>
  <c r="AF47" i="1" s="1"/>
  <c r="AC45" i="1"/>
  <c r="AB45" i="1"/>
  <c r="AF45" i="1" s="1"/>
  <c r="AC43" i="1"/>
  <c r="AB43" i="1"/>
  <c r="AF43" i="1" s="1"/>
  <c r="AC46" i="1"/>
  <c r="AB46" i="1"/>
  <c r="AF46" i="1" s="1"/>
  <c r="AC44" i="1"/>
  <c r="AB44" i="1"/>
  <c r="AF44" i="1" s="1"/>
  <c r="AC42" i="1"/>
  <c r="AB42" i="1"/>
  <c r="AF42" i="1" s="1"/>
  <c r="AC41" i="1"/>
  <c r="AB41" i="1"/>
  <c r="AF41" i="1" s="1"/>
  <c r="AC39" i="1"/>
  <c r="AB39" i="1"/>
  <c r="AF39" i="1" s="1"/>
  <c r="AC37" i="1"/>
  <c r="AB37" i="1"/>
  <c r="AF37" i="1" s="1"/>
  <c r="AC40" i="1"/>
  <c r="AB40" i="1"/>
  <c r="AF40" i="1" s="1"/>
  <c r="AC38" i="1"/>
  <c r="AB38" i="1"/>
  <c r="AF38" i="1" s="1"/>
  <c r="AC36" i="1"/>
  <c r="AB36" i="1"/>
  <c r="AF36" i="1" s="1"/>
  <c r="AC35" i="1"/>
  <c r="AB35" i="1"/>
  <c r="AF35" i="1" s="1"/>
  <c r="AC33" i="1"/>
  <c r="AB33" i="1"/>
  <c r="AF33" i="1" s="1"/>
  <c r="AC31" i="1"/>
  <c r="AB31" i="1"/>
  <c r="AF31" i="1" s="1"/>
  <c r="AB34" i="1"/>
  <c r="AF34" i="1" s="1"/>
  <c r="AC34" i="1"/>
  <c r="AB32" i="1"/>
  <c r="AF32" i="1" s="1"/>
  <c r="AC32" i="1"/>
  <c r="AC30" i="1"/>
  <c r="AB30" i="1"/>
  <c r="AF30" i="1" s="1"/>
  <c r="AB29" i="1"/>
  <c r="AB27" i="1"/>
  <c r="AB25" i="1"/>
  <c r="AB28" i="1"/>
  <c r="AB26" i="1"/>
  <c r="AB24" i="1"/>
  <c r="AC21" i="1"/>
  <c r="AB21" i="1"/>
  <c r="AF21" i="1" s="1"/>
  <c r="AB22" i="1"/>
  <c r="AB23" i="1"/>
  <c r="K10" i="1" l="1"/>
  <c r="K18" i="1"/>
  <c r="L18" i="1" s="1"/>
  <c r="K24" i="1"/>
  <c r="K30" i="1"/>
  <c r="L30" i="1" s="1"/>
  <c r="K36" i="1"/>
  <c r="L36" i="1" s="1"/>
  <c r="K42" i="1"/>
  <c r="L42" i="1" s="1"/>
  <c r="K48" i="1"/>
  <c r="L48" i="1" s="1"/>
  <c r="K54" i="1"/>
  <c r="L54" i="1" s="1"/>
  <c r="K60" i="1"/>
  <c r="L60" i="1" s="1"/>
  <c r="W11" i="1"/>
  <c r="N63" i="1"/>
  <c r="N27" i="1"/>
  <c r="N44" i="1"/>
  <c r="N50" i="1"/>
  <c r="N32" i="1"/>
  <c r="N51" i="1"/>
  <c r="N58" i="1"/>
  <c r="N55" i="1"/>
  <c r="N62" i="1"/>
  <c r="N59" i="1"/>
  <c r="N56" i="1"/>
  <c r="N31" i="1"/>
  <c r="N29" i="1"/>
  <c r="N53" i="1"/>
  <c r="N37" i="1"/>
  <c r="N40" i="1"/>
  <c r="N19" i="1"/>
  <c r="N34" i="1"/>
  <c r="N28" i="1"/>
  <c r="N20" i="1"/>
  <c r="N57" i="1"/>
  <c r="N35" i="1"/>
  <c r="N61" i="1"/>
  <c r="N26" i="1"/>
  <c r="N43" i="1"/>
  <c r="N52" i="1"/>
  <c r="N41" i="1"/>
  <c r="N64" i="1"/>
  <c r="N49" i="1"/>
  <c r="N47" i="1"/>
  <c r="N39" i="1"/>
  <c r="N23" i="1"/>
  <c r="N38" i="1"/>
  <c r="N45" i="1"/>
  <c r="N65" i="1"/>
  <c r="N46" i="1"/>
  <c r="N22" i="1"/>
  <c r="N33" i="1"/>
  <c r="N25" i="1"/>
  <c r="N21" i="1"/>
  <c r="L24" i="1" l="1"/>
  <c r="T11" i="1" l="1"/>
  <c r="F217" i="13"/>
  <c r="W10" i="1" l="1"/>
  <c r="L10" i="1" l="1"/>
  <c r="N15" i="1"/>
  <c r="N17" i="1"/>
  <c r="N14" i="1"/>
  <c r="N16" i="1"/>
  <c r="N13" i="1"/>
  <c r="F221" i="13" l="1"/>
  <c r="F211" i="13"/>
  <c r="F212" i="13"/>
  <c r="F213" i="13"/>
  <c r="F214" i="13"/>
  <c r="F215" i="13"/>
  <c r="F216" i="13"/>
  <c r="F218" i="13"/>
  <c r="F219" i="13"/>
  <c r="F220" i="13"/>
  <c r="F210" i="13"/>
  <c r="N11" i="1"/>
  <c r="B221" i="13" a="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K12" i="1" l="1"/>
  <c r="L12" i="1" l="1"/>
  <c r="AA12" i="1" s="1"/>
  <c r="AB12" i="1" l="1"/>
  <c r="AC12"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A10" i="1" l="1"/>
  <c r="AB10" i="1" s="1"/>
  <c r="AC10" i="1" l="1"/>
  <c r="AA11" i="1" s="1"/>
  <c r="AC11" i="1" l="1"/>
  <c r="AB11" i="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K35" i="19" l="1"/>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N18" i="1" l="1"/>
  <c r="O18" i="1" s="1"/>
  <c r="N24" i="1"/>
  <c r="O24" i="1" s="1"/>
  <c r="N30" i="1"/>
  <c r="O30" i="1" s="1"/>
  <c r="N36" i="1"/>
  <c r="O36" i="1" s="1"/>
  <c r="N42" i="1"/>
  <c r="O42" i="1" s="1"/>
  <c r="N48" i="1"/>
  <c r="O48" i="1" s="1"/>
  <c r="N54" i="1"/>
  <c r="O54" i="1" s="1"/>
  <c r="N60" i="1"/>
  <c r="O60" i="1" s="1"/>
  <c r="N12" i="1"/>
  <c r="O12" i="1" s="1"/>
  <c r="N10" i="1"/>
  <c r="O10" i="1" s="1"/>
  <c r="P38" i="18" l="1"/>
  <c r="J6" i="18"/>
  <c r="V6" i="18"/>
  <c r="J22" i="18"/>
  <c r="V22" i="18"/>
  <c r="AH6" i="18"/>
  <c r="P22" i="18"/>
  <c r="AH22" i="18"/>
  <c r="P6" i="18"/>
  <c r="P10" i="1"/>
  <c r="AE10" i="1" s="1"/>
  <c r="AE11" i="1" s="1"/>
  <c r="AB38" i="18"/>
  <c r="AB30" i="18"/>
  <c r="V14" i="18"/>
  <c r="P30" i="18"/>
  <c r="V30" i="18"/>
  <c r="AH30" i="18"/>
  <c r="V38" i="18"/>
  <c r="P14" i="18"/>
  <c r="Q10" i="1"/>
  <c r="AH14" i="18"/>
  <c r="J14" i="18"/>
  <c r="AB22" i="18"/>
  <c r="AB14" i="18"/>
  <c r="J30" i="18"/>
  <c r="AB6" i="18"/>
  <c r="J38" i="18"/>
  <c r="AH38" i="18"/>
  <c r="R38" i="18"/>
  <c r="R14" i="18"/>
  <c r="AD14" i="18"/>
  <c r="AJ38" i="18"/>
  <c r="X30" i="18"/>
  <c r="L38" i="18"/>
  <c r="AD6" i="18"/>
  <c r="R6" i="18"/>
  <c r="AJ6" i="18"/>
  <c r="AJ30" i="18"/>
  <c r="Q12" i="1"/>
  <c r="R30" i="18"/>
  <c r="AD38" i="18"/>
  <c r="AD22" i="18"/>
  <c r="P12" i="1"/>
  <c r="AE12" i="1" s="1"/>
  <c r="AD12" i="1" s="1"/>
  <c r="AF12" i="1" s="1"/>
  <c r="L30" i="18"/>
  <c r="AJ14" i="18"/>
  <c r="L14" i="18"/>
  <c r="X38" i="18"/>
  <c r="L22" i="18"/>
  <c r="AD30" i="18"/>
  <c r="AJ22" i="18"/>
  <c r="X14" i="18"/>
  <c r="X6" i="18"/>
  <c r="R22" i="18"/>
  <c r="L6" i="18"/>
  <c r="X22" i="18"/>
  <c r="P60" i="1"/>
  <c r="Q60" i="1"/>
  <c r="V36" i="18"/>
  <c r="J12" i="18"/>
  <c r="J28" i="18"/>
  <c r="AH36" i="18"/>
  <c r="J20" i="18"/>
  <c r="AB36" i="18"/>
  <c r="J44" i="18"/>
  <c r="AH12" i="18"/>
  <c r="P12" i="18"/>
  <c r="P28" i="18"/>
  <c r="AB12" i="18"/>
  <c r="AB28" i="18"/>
  <c r="AH20" i="18"/>
  <c r="V44" i="18"/>
  <c r="P36" i="18"/>
  <c r="AH44" i="18"/>
  <c r="V12" i="18"/>
  <c r="V20" i="18"/>
  <c r="V28" i="18"/>
  <c r="AH28" i="18"/>
  <c r="P20" i="18"/>
  <c r="AB20" i="18"/>
  <c r="J36" i="18"/>
  <c r="P44" i="18"/>
  <c r="AB44" i="18"/>
  <c r="P54" i="1"/>
  <c r="Q54" i="1"/>
  <c r="Z42" i="18"/>
  <c r="N18" i="18"/>
  <c r="N42" i="18"/>
  <c r="N10" i="18"/>
  <c r="AF26" i="18"/>
  <c r="AL34" i="18"/>
  <c r="AL10" i="18"/>
  <c r="N26" i="18"/>
  <c r="AL42" i="18"/>
  <c r="AF18" i="18"/>
  <c r="AF10" i="18"/>
  <c r="T10" i="18"/>
  <c r="Z34" i="18"/>
  <c r="N34" i="18"/>
  <c r="AF42" i="18"/>
  <c r="AL18" i="18"/>
  <c r="T34" i="18"/>
  <c r="AL26" i="18"/>
  <c r="T18" i="18"/>
  <c r="T26" i="18"/>
  <c r="Z26" i="18"/>
  <c r="Z18" i="18"/>
  <c r="Z10" i="18"/>
  <c r="T42" i="18"/>
  <c r="AF34" i="18"/>
  <c r="Q48" i="1"/>
  <c r="P48" i="1"/>
  <c r="R18" i="18"/>
  <c r="L18" i="18"/>
  <c r="AD42" i="18"/>
  <c r="R26" i="18"/>
  <c r="R10" i="18"/>
  <c r="L34" i="18"/>
  <c r="X26" i="18"/>
  <c r="R42" i="18"/>
  <c r="X34" i="18"/>
  <c r="L10" i="18"/>
  <c r="AD18" i="18"/>
  <c r="AD34" i="18"/>
  <c r="L42" i="18"/>
  <c r="L26" i="18"/>
  <c r="AJ26" i="18"/>
  <c r="AJ10" i="18"/>
  <c r="AJ34" i="18"/>
  <c r="AJ42" i="18"/>
  <c r="AD26" i="18"/>
  <c r="R34" i="18"/>
  <c r="AJ18" i="18"/>
  <c r="X10" i="18"/>
  <c r="AD10" i="18"/>
  <c r="X42" i="18"/>
  <c r="X18" i="18"/>
  <c r="P42" i="1"/>
  <c r="Q42" i="1"/>
  <c r="AB10" i="18"/>
  <c r="P18" i="18"/>
  <c r="V18" i="18"/>
  <c r="J26" i="18"/>
  <c r="AB42" i="18"/>
  <c r="V10" i="18"/>
  <c r="P34" i="18"/>
  <c r="V42" i="18"/>
  <c r="AB18" i="18"/>
  <c r="P42" i="18"/>
  <c r="V26" i="18"/>
  <c r="AH34" i="18"/>
  <c r="J42" i="18"/>
  <c r="P10" i="18"/>
  <c r="AB26" i="18"/>
  <c r="P26" i="18"/>
  <c r="AH18" i="18"/>
  <c r="J34" i="18"/>
  <c r="J18" i="18"/>
  <c r="V34" i="18"/>
  <c r="AH10" i="18"/>
  <c r="AB34" i="18"/>
  <c r="J10" i="18"/>
  <c r="AH42" i="18"/>
  <c r="AH26" i="18"/>
  <c r="Q36" i="1"/>
  <c r="P36" i="1"/>
  <c r="N40" i="18"/>
  <c r="AF32" i="18"/>
  <c r="AL24" i="18"/>
  <c r="T8" i="18"/>
  <c r="T16" i="18"/>
  <c r="AF40" i="18"/>
  <c r="AL8" i="18"/>
  <c r="Z32" i="18"/>
  <c r="AL40" i="18"/>
  <c r="Z8" i="18"/>
  <c r="T32" i="18"/>
  <c r="T24" i="18"/>
  <c r="T40" i="18"/>
  <c r="N16" i="18"/>
  <c r="AF8" i="18"/>
  <c r="Z16" i="18"/>
  <c r="Z40" i="18"/>
  <c r="N24" i="18"/>
  <c r="Z24" i="18"/>
  <c r="AF16" i="18"/>
  <c r="AF24" i="18"/>
  <c r="AL32" i="18"/>
  <c r="AL16" i="18"/>
  <c r="N8" i="18"/>
  <c r="N32" i="18"/>
  <c r="Q30" i="1"/>
  <c r="P30" i="1"/>
  <c r="AJ16" i="18"/>
  <c r="AD8" i="18"/>
  <c r="L32" i="18"/>
  <c r="R40" i="18"/>
  <c r="L40" i="18"/>
  <c r="R16" i="18"/>
  <c r="X32" i="18"/>
  <c r="L24" i="18"/>
  <c r="AD32" i="18"/>
  <c r="AD16" i="18"/>
  <c r="AD40" i="18"/>
  <c r="AJ8" i="18"/>
  <c r="L8" i="18"/>
  <c r="X8" i="18"/>
  <c r="L16" i="18"/>
  <c r="R8" i="18"/>
  <c r="AJ32" i="18"/>
  <c r="X16" i="18"/>
  <c r="R32" i="18"/>
  <c r="X40" i="18"/>
  <c r="AJ40" i="18"/>
  <c r="AD24" i="18"/>
  <c r="X24" i="18"/>
  <c r="AJ24" i="18"/>
  <c r="R24" i="18"/>
  <c r="P24" i="1"/>
  <c r="Q24" i="1"/>
  <c r="P16" i="18"/>
  <c r="V32" i="18"/>
  <c r="V8" i="18"/>
  <c r="AH8" i="18"/>
  <c r="AB32" i="18"/>
  <c r="V24" i="18"/>
  <c r="J8" i="18"/>
  <c r="AB8" i="18"/>
  <c r="J24" i="18"/>
  <c r="P8" i="18"/>
  <c r="V16" i="18"/>
  <c r="AH16" i="18"/>
  <c r="AH40" i="18"/>
  <c r="J32" i="18"/>
  <c r="AB16" i="18"/>
  <c r="AB24" i="18"/>
  <c r="AB40" i="18"/>
  <c r="P24" i="18"/>
  <c r="P32" i="18"/>
  <c r="P40" i="18"/>
  <c r="AH24" i="18"/>
  <c r="J16" i="18"/>
  <c r="V40" i="18"/>
  <c r="J40" i="18"/>
  <c r="AH32" i="18"/>
  <c r="P18" i="1"/>
  <c r="Q18" i="1"/>
  <c r="AL6" i="18"/>
  <c r="N30" i="18"/>
  <c r="T38" i="18"/>
  <c r="Z6" i="18"/>
  <c r="N14" i="18"/>
  <c r="AF6" i="18"/>
  <c r="AL22" i="18"/>
  <c r="T14" i="18"/>
  <c r="N22" i="18"/>
  <c r="T22" i="18"/>
  <c r="AF38" i="18"/>
  <c r="N6" i="18"/>
  <c r="T6" i="18"/>
  <c r="AF30" i="18"/>
  <c r="AL30" i="18"/>
  <c r="Z22" i="18"/>
  <c r="Z14" i="18"/>
  <c r="Z30" i="18"/>
  <c r="AL38" i="18"/>
  <c r="AF14" i="18"/>
  <c r="AL14" i="18"/>
  <c r="AF22" i="18"/>
  <c r="T30" i="18"/>
  <c r="N38" i="18"/>
  <c r="Z38" i="18"/>
  <c r="AD10" i="1" l="1"/>
  <c r="P36" i="19" s="1"/>
  <c r="V7" i="19"/>
  <c r="AH37" i="19"/>
  <c r="P27" i="19"/>
  <c r="AB7" i="19"/>
  <c r="AB47" i="19"/>
  <c r="P17" i="19"/>
  <c r="V17" i="19"/>
  <c r="J47" i="19"/>
  <c r="AH47" i="19"/>
  <c r="V47" i="19"/>
  <c r="V27" i="19"/>
  <c r="P37" i="19"/>
  <c r="AH7" i="19"/>
  <c r="AB17" i="19"/>
  <c r="P47" i="19"/>
  <c r="J7" i="19"/>
  <c r="AB27" i="19"/>
  <c r="V37" i="19"/>
  <c r="J17" i="19"/>
  <c r="AH17" i="19"/>
  <c r="P7" i="19"/>
  <c r="J37" i="19"/>
  <c r="AH27" i="19"/>
  <c r="AB37" i="19"/>
  <c r="J27" i="19"/>
  <c r="AH6" i="19" l="1"/>
  <c r="P26" i="19"/>
  <c r="V26" i="19"/>
  <c r="J26" i="19"/>
  <c r="AB16" i="19"/>
  <c r="AB36" i="19"/>
  <c r="AH16" i="19"/>
  <c r="P46" i="19"/>
  <c r="J46" i="19"/>
  <c r="AB6" i="19"/>
  <c r="AF10" i="1"/>
  <c r="AB46" i="19"/>
  <c r="AH36" i="19"/>
  <c r="AH46" i="19"/>
  <c r="P16" i="19"/>
  <c r="J16" i="19"/>
  <c r="J36" i="19"/>
  <c r="AB26" i="19"/>
  <c r="P6" i="19"/>
  <c r="J6" i="19"/>
  <c r="V36" i="19"/>
  <c r="AH26" i="19"/>
  <c r="V16" i="19"/>
  <c r="V46" i="19"/>
  <c r="V6" i="19"/>
  <c r="AD11" i="1"/>
  <c r="W37" i="19" l="1"/>
  <c r="AC7" i="19"/>
  <c r="AI7" i="19"/>
  <c r="W47" i="19"/>
  <c r="W17" i="19"/>
  <c r="Q37" i="19"/>
  <c r="W27" i="19"/>
  <c r="AI27" i="19"/>
  <c r="Q47" i="19"/>
  <c r="Q7" i="19"/>
  <c r="W7" i="19"/>
  <c r="K27" i="19"/>
  <c r="AI17" i="19"/>
  <c r="K17" i="19"/>
  <c r="K47" i="19"/>
  <c r="K7" i="19"/>
  <c r="AI47" i="19"/>
  <c r="Q17" i="19"/>
  <c r="Q27" i="19"/>
  <c r="K37" i="19"/>
  <c r="AC27" i="19"/>
  <c r="AC47" i="19"/>
  <c r="AC37" i="19"/>
  <c r="AI37" i="19"/>
  <c r="AC17" i="19"/>
  <c r="AF11" i="1"/>
  <c r="K36" i="19"/>
  <c r="K6" i="19"/>
  <c r="AI6" i="19"/>
  <c r="Q36" i="19"/>
  <c r="W26" i="19"/>
  <c r="W46" i="19"/>
  <c r="AI36" i="19"/>
  <c r="AC6" i="19"/>
  <c r="AC26" i="19"/>
  <c r="W36" i="19"/>
  <c r="K16" i="19"/>
  <c r="K46" i="19"/>
  <c r="AC46" i="19"/>
  <c r="Q46" i="19"/>
  <c r="AC16" i="19"/>
  <c r="W16" i="19"/>
  <c r="Q26" i="19"/>
  <c r="Q6" i="19"/>
  <c r="Q16" i="19"/>
  <c r="AI16" i="19"/>
  <c r="W6" i="19"/>
  <c r="K26" i="19"/>
  <c r="AI26" i="19"/>
  <c r="AC36" i="19"/>
  <c r="AI46" i="19"/>
  <c r="AJ7" i="19" l="1"/>
  <c r="L47" i="19"/>
  <c r="AJ37" i="19"/>
  <c r="R37" i="19"/>
  <c r="L27" i="19"/>
  <c r="AD7" i="19"/>
  <c r="AD17" i="19"/>
  <c r="X37" i="19"/>
  <c r="L37" i="19"/>
  <c r="R47" i="19"/>
  <c r="R17" i="19"/>
  <c r="AD37" i="19"/>
  <c r="AJ17" i="19"/>
  <c r="X7" i="19"/>
  <c r="AJ47" i="19"/>
  <c r="X47" i="19"/>
  <c r="L7" i="19"/>
  <c r="L17" i="19"/>
  <c r="AD27" i="19"/>
  <c r="R27" i="19"/>
  <c r="X27" i="19"/>
  <c r="AD47" i="19"/>
  <c r="R7" i="19"/>
  <c r="AJ27" i="19"/>
  <c r="X17" i="19"/>
  <c r="AJ46" i="19"/>
  <c r="X46" i="19"/>
  <c r="AD46" i="19"/>
  <c r="X26" i="19"/>
  <c r="AD26" i="19"/>
  <c r="L36" i="19"/>
  <c r="AJ36" i="19"/>
  <c r="X16" i="19"/>
  <c r="R26" i="19"/>
  <c r="R46" i="19"/>
  <c r="AJ26" i="19"/>
  <c r="AD6" i="19"/>
  <c r="L46" i="19"/>
  <c r="L6" i="19"/>
  <c r="X6" i="19"/>
  <c r="L26" i="19"/>
  <c r="L16" i="19"/>
  <c r="R36" i="19"/>
  <c r="R16" i="19"/>
  <c r="AD16" i="19"/>
  <c r="X36" i="19"/>
  <c r="AJ16" i="19"/>
  <c r="R6" i="19"/>
  <c r="AJ6" i="19"/>
  <c r="AD36" i="19"/>
  <c r="M47" i="19" l="1"/>
  <c r="AE47" i="19"/>
  <c r="Y17" i="19"/>
  <c r="AK17" i="19"/>
  <c r="AE7" i="19"/>
  <c r="S27" i="19"/>
  <c r="M27" i="19"/>
  <c r="S37" i="19"/>
  <c r="S47" i="19"/>
  <c r="AE27" i="19"/>
  <c r="M7" i="19"/>
  <c r="Y47" i="19"/>
  <c r="M37" i="19"/>
  <c r="S7" i="19"/>
  <c r="S17" i="19"/>
  <c r="Y27" i="19"/>
  <c r="M17" i="19"/>
  <c r="AK7" i="19"/>
  <c r="AE17" i="19"/>
  <c r="AK47" i="19"/>
  <c r="AK27" i="19"/>
  <c r="AK37" i="19"/>
  <c r="Y7" i="19"/>
  <c r="Y37" i="19"/>
  <c r="AE37" i="19"/>
  <c r="S36" i="19"/>
  <c r="Y26" i="19"/>
  <c r="AK46" i="19"/>
  <c r="AE16" i="19"/>
  <c r="AK6" i="19"/>
  <c r="M6" i="19"/>
  <c r="Y36" i="19"/>
  <c r="AK16" i="19"/>
  <c r="S6" i="19"/>
  <c r="M26" i="19"/>
  <c r="AE36" i="19"/>
  <c r="AE6" i="19"/>
  <c r="S46" i="19"/>
  <c r="AE26" i="19"/>
  <c r="M16" i="19"/>
  <c r="Y46" i="19"/>
  <c r="AK26" i="19"/>
  <c r="S16" i="19"/>
  <c r="M36" i="19"/>
  <c r="M46" i="19"/>
  <c r="Y6" i="19"/>
  <c r="AE46" i="19"/>
  <c r="AK36" i="19"/>
  <c r="Y16" i="19"/>
  <c r="S26" i="19"/>
  <c r="O17" i="19" l="1"/>
  <c r="U47" i="19"/>
  <c r="AM7" i="19"/>
  <c r="AG37" i="19"/>
  <c r="AA37" i="19"/>
  <c r="AA27" i="19"/>
  <c r="AA7" i="19"/>
  <c r="AG17" i="19"/>
  <c r="AM37" i="19"/>
  <c r="AG47" i="19"/>
  <c r="O37" i="19"/>
  <c r="AA47" i="19"/>
  <c r="O47" i="19"/>
  <c r="O27" i="19"/>
  <c r="AM17" i="19"/>
  <c r="AG27" i="19"/>
  <c r="U37" i="19"/>
  <c r="AA17" i="19"/>
  <c r="O7" i="19"/>
  <c r="U7" i="19"/>
  <c r="U27" i="19"/>
  <c r="AG7" i="19"/>
  <c r="AM47" i="19"/>
  <c r="AM27" i="19"/>
  <c r="U17" i="19"/>
  <c r="AF27" i="19"/>
  <c r="T47" i="19"/>
  <c r="N17" i="19"/>
  <c r="AF47" i="19"/>
  <c r="N47" i="19"/>
  <c r="AL17" i="19"/>
  <c r="AF7" i="19"/>
  <c r="AL47" i="19"/>
  <c r="AL7" i="19"/>
  <c r="T27" i="19"/>
  <c r="T7" i="19"/>
  <c r="N27" i="19"/>
  <c r="Z37" i="19"/>
  <c r="Z47" i="19"/>
  <c r="T17" i="19"/>
  <c r="T37" i="19"/>
  <c r="AL37" i="19"/>
  <c r="Z17" i="19"/>
  <c r="N37" i="19"/>
  <c r="Z27" i="19"/>
  <c r="AL27" i="19"/>
  <c r="AF17" i="19"/>
  <c r="Z7" i="19"/>
  <c r="AF37" i="19"/>
  <c r="N7" i="19"/>
  <c r="U36" i="19"/>
  <c r="AA26" i="19"/>
  <c r="AG16" i="19"/>
  <c r="AM6" i="19"/>
  <c r="O6" i="19"/>
  <c r="U46" i="19"/>
  <c r="AA36" i="19"/>
  <c r="AG26" i="19"/>
  <c r="AM16" i="19"/>
  <c r="O16" i="19"/>
  <c r="U6" i="19"/>
  <c r="AG36" i="19"/>
  <c r="AG46" i="19"/>
  <c r="O26" i="19"/>
  <c r="AA16" i="19"/>
  <c r="AM36" i="19"/>
  <c r="AA6" i="19"/>
  <c r="AG6" i="19"/>
  <c r="AA46" i="19"/>
  <c r="AM26" i="19"/>
  <c r="U16" i="19"/>
  <c r="O36" i="19"/>
  <c r="U26" i="19"/>
  <c r="AM46" i="19"/>
  <c r="O46" i="19"/>
  <c r="AL6" i="19"/>
  <c r="T36" i="19"/>
  <c r="AF16" i="19"/>
  <c r="AL16" i="19"/>
  <c r="Z36" i="19"/>
  <c r="Z26" i="19"/>
  <c r="AL36" i="19"/>
  <c r="AF46" i="19"/>
  <c r="AL26" i="19"/>
  <c r="AL46" i="19"/>
  <c r="AF26" i="19"/>
  <c r="N6" i="19"/>
  <c r="AF6" i="19"/>
  <c r="Z6" i="19"/>
  <c r="N16" i="19"/>
  <c r="T26" i="19"/>
  <c r="Z46" i="19"/>
  <c r="T16" i="19"/>
  <c r="T46" i="19"/>
  <c r="T6" i="19"/>
  <c r="Z16" i="19"/>
  <c r="AF36" i="19"/>
  <c r="N26" i="19"/>
  <c r="N36" i="19"/>
  <c r="N46"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<sst xmlns="http://schemas.openxmlformats.org/spreadsheetml/2006/main" count="570" uniqueCount="393">
  <si>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</si>
  <si>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</si>
  <si>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</si>
  <si>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</si>
  <si>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</si>
  <si>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</si>
  <si>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</si>
  <si>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</si>
  <si>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</si>
  <si>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</si>
  <si>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</si>
  <si>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</si>
  <si>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</si>
  <si>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</si>
  <si>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</si>
  <si>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</si>
  <si>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</si>
  <si>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</si>
  <si>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</si>
  <si>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</si>
  <si>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</si>
  <si>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</si>
  <si>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</si>
  <si>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</si>
  <si>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</si>
  <si>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</si>
  <si>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</si>
  <si>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</si>
  <si>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</si>
  <si>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</si>
  <si>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</si>
  <si>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</si>
  <si>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</si>
  <si>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</si>
  <si>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</si>
  <si>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</si>
  <si>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</si>
  <si>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</si>
  <si>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</si>
  <si>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</si>
  <si>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</si>
  <si>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</si>
  <si>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</si>
  <si>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</si>
  <si>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</si>
  <si>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</si>
  <si>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</si>
  <si>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</si>
  <si>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</si>
  <si>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</si>
  <si>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</si>
  <si>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</si>
  <si>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</si>
  <si>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</si>
  <si>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</si>
  <si>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</si>
  <si>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</si>
  <si>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</si>
  <si>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</si>
  <si>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</si>
  <si>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</si>
  <si>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</si>
  <si>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</si>
  <si>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</si>
  <si>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</si>
  <si>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</si>
  <si>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</si>
  <si>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</si>
  <si>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</si>
  <si>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</si>
  <si>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</si>
  <si>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</si>
  <si>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</si>
  <si>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</si>
  <si>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</si>
  <si>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</si>
  <si>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</si>
  <si>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</si>
  <si>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</si>
  <si>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</si>
  <si>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</si>
  <si>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</si>
  <si>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</si>
  <si>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</si>
  <si>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</si>
  <si>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</si>
  <si>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</si>
  <si>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</si>
  <si>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</si>
  <si>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</si>
  <si>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</si>
  <si>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</si>
  <si>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</si>
  <si>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</si>
  <si>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</si>
  <si>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</si>
  <si>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</si>
  <si>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</si>
  <si>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</si>
  <si>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</si>
  <si>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</si>
  <si>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</si>
  <si>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</si>
  <si>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</si>
  <si>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</si>
  <si>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</si>
  <si>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</si>
  <si>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</si>
  <si>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</si>
  <si>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</si>
  <si>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</si>
  <si>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</si>
  <si>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</si>
  <si>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</si>
  <si>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</si>
  <si>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</si>
  <si>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</si>
  <si>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</si>
  <si>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</si>
  <si>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</si>
  <si>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</si>
  <si>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</si>
  <si>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</si>
  <si>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</si>
  <si>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</si>
  <si>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</si>
  <si>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</si>
  <si>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</si>
  <si>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</si>
  <si>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</si>
  <si>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</si>
  <si>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</si>
  <si>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</si>
  <si>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</si>
  <si>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</si>
  <si>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</si>
  <si>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</si>
  <si>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</si>
  <si>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</si>
  <si>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</si>
  <si>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</si>
  <si>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</si>
  <si>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</si>
  <si>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</si>
  <si>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</si>
  <si>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</si>
  <si>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</si>
  <si>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</si>
  <si>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</si>
  <si>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</si>
  <si>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</si>
  <si>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</si>
  <si>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</si>
  <si>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</si>
  <si>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</si>
  <si>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</si>
  <si>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</si>
  <si>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</si>
  <si>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</si>
  <si>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</si>
  <si>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</si>
  <si>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</si>
  <si>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</si>
  <si>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</si>
  <si>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</si>
  <si>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</si>
  <si>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</si>
  <si>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</si>
  <si>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</si>
  <si>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</si>
  <si>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</si>
  <si>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</si>
  <si>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</si>
  <si>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</si>
  <si>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</si>
  <si>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</si>
  <si>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</si>
  <si>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</si>
  <si>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</si>
  <si>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</si>
  <si>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</si>
  <si>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</si>
  <si>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</si>
  <si>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</si>
  <si>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</si>
  <si>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</si>
  <si>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</si>
  <si>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</si>
  <si>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</si>
  <si>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</si>
  <si>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</si>
  <si>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</si>
  <si>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</si>
  <si>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</si>
  <si>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</si>
  <si>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</si>
  <si>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</si>
  <si>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</si>
  <si>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</si>
  <si>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</si>
  <si>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</si>
  <si>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</si>
  <si>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</si>
  <si>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</si>
  <si>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</si>
  <si>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</si>
  <si>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</si>
  <si>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</si>
  <si>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</si>
  <si>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</si>
  <si>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</si>
  <si>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</si>
  <si>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</si>
  <si>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</si>
  <si>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</si>
  <si>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 xml:space="preserve">PROCESO: </t>
  </si>
  <si>
    <t>FORMATO: CONTEXTO ESTRATEGICO</t>
  </si>
  <si>
    <t xml:space="preserve">CONTEXTO ESTRATEGICO </t>
  </si>
  <si>
    <t>FACTORES EXTERNOS</t>
  </si>
  <si>
    <t>FACTORES INTERNOS</t>
  </si>
  <si>
    <t>FACTORES DEL PROCESO</t>
  </si>
  <si>
    <t>SOCIALES Y CULTURALES</t>
  </si>
  <si>
    <t>POLÍTICOS</t>
  </si>
  <si>
    <t>AMBIENTALES</t>
  </si>
  <si>
    <t>OTROS</t>
  </si>
  <si>
    <t>Codigo:</t>
  </si>
  <si>
    <t xml:space="preserve">Versión: </t>
  </si>
  <si>
    <t xml:space="preserve">Fecha: </t>
  </si>
  <si>
    <t xml:space="preserve">Pagina:  </t>
  </si>
  <si>
    <t>FORMATO: PRIORIZACION DE CAUSAS (Amenazas y Debilidades)</t>
  </si>
  <si>
    <t>No.</t>
  </si>
  <si>
    <t xml:space="preserve">CAUSAS </t>
  </si>
  <si>
    <t>P1</t>
  </si>
  <si>
    <t>P2</t>
  </si>
  <si>
    <t>P3</t>
  </si>
  <si>
    <t>P4</t>
  </si>
  <si>
    <t>P5</t>
  </si>
  <si>
    <t>P6</t>
  </si>
  <si>
    <t>P7</t>
  </si>
  <si>
    <t>P8</t>
  </si>
  <si>
    <t>P9</t>
  </si>
  <si>
    <t>P10</t>
  </si>
  <si>
    <t>P11</t>
  </si>
  <si>
    <t>P12</t>
  </si>
  <si>
    <t>P13</t>
  </si>
  <si>
    <t>P14</t>
  </si>
  <si>
    <t>P15</t>
  </si>
  <si>
    <t>TOTAL</t>
  </si>
  <si>
    <t>PROMEDIO</t>
  </si>
  <si>
    <t>¿SE PRIORIZA LA CAUSA PARA EL ANÁLISIS DOFA?</t>
  </si>
  <si>
    <t>SUMA TOTAL</t>
  </si>
  <si>
    <t>Fecha:</t>
  </si>
  <si>
    <t>FORMATO: MATRIZ DOFA</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</si>
  <si>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</si>
  <si>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</si>
  <si>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</si>
  <si>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</si>
  <si>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</si>
  <si>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</si>
  <si>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Arial"/>
        <family val="2"/>
      </rPr>
      <t>consiste en contrarrestar Debilidades por medio de Oportunidades.</t>
    </r>
  </si>
  <si>
    <r>
      <t xml:space="preserve">ESTRATEGIA FO (CRECIMIENTO)
</t>
    </r>
    <r>
      <rPr>
        <b/>
        <sz val="11"/>
        <color theme="1"/>
        <rFont val="Arial"/>
        <family val="2"/>
      </rPr>
      <t>Utilizar fortalezas para optimizar oportunidades.</t>
    </r>
  </si>
  <si>
    <t>AMENAZAS (A)</t>
  </si>
  <si>
    <r>
      <t xml:space="preserve">ESTRATEGIA DA (CONTINGENCIA)
</t>
    </r>
    <r>
      <rPr>
        <b/>
        <sz val="11"/>
        <color theme="1"/>
        <rFont val="Arial"/>
        <family val="2"/>
      </rPr>
      <t>Cuando el riesgo se materialice a partir de la combinación de debilidades
con amenazas, para formular acciones de contingencia.</t>
    </r>
  </si>
  <si>
    <r>
      <t xml:space="preserve">ESTRATEGIA FA (SUPERVIVENCIA)
</t>
    </r>
    <r>
      <rPr>
        <b/>
        <sz val="11"/>
        <color theme="1"/>
        <rFont val="Arial"/>
        <family val="2"/>
      </rPr>
      <t>Utilizar fortalezas para contrarrestar amenazas</t>
    </r>
    <r>
      <rPr>
        <b/>
        <sz val="14"/>
        <color theme="1"/>
        <rFont val="Arial"/>
        <family val="2"/>
      </rPr>
      <t xml:space="preserve">
</t>
    </r>
  </si>
  <si>
    <t xml:space="preserve">Codigo: </t>
  </si>
  <si>
    <t>FISCAL</t>
  </si>
  <si>
    <t>Gestión</t>
  </si>
  <si>
    <t>Tipo de Riesgo</t>
  </si>
  <si>
    <t>SUBCAUSAS</t>
  </si>
  <si>
    <t>Posiblilidad de perdida reputacional y económica  por incumplimiento de las metas establecidas en los planes de acción y en plan de desarrollo municipal debido a la planificación inadecuada de las acciones y estrategias propias de la entidad en cumplimiento al proceso de gestión en Infraesructura y Obras Públicas</t>
  </si>
  <si>
    <t>Posiblilidad de perdida reputacional y económica  por incumplimiento en la entrega final de las obras de infraestructura y obras publicas por falta de recursos y demoras en la ejecucion del proyecto para atender la necesidades de la población, obras inconclusas por falta de las debidas condiciones técnicas y de calidad requeridas y generción de residuos debido a la falta de gestión al seguimiento y verificacion a la ejecuicon de obras de infraestructura y obras publicas.</t>
  </si>
  <si>
    <t>PROCESO:  GESTION DE INFRAESTRUCTRUA Y OBRAS PUBLICAS</t>
  </si>
  <si>
    <t>Por cambio de gobierno y la no continuidad de las políticas públicas</t>
  </si>
  <si>
    <t>PERSONAL DE LA ENTIDAD (Capacidad del personal, políticas de manejo del talento humano, idoneidad)</t>
  </si>
  <si>
    <t>Personal de planta insuficiente para apoyar los procesos</t>
  </si>
  <si>
    <t>DISEÑO DEL PROCESO</t>
  </si>
  <si>
    <t>Desactualización en la caracterización de los procesos</t>
  </si>
  <si>
    <t>Catástrofes naturales que pueden afectar la ejecución de las obras civiles</t>
  </si>
  <si>
    <t>TECNOLOGÍA (integridad de datos, disponibilidad de datos y sistemas, desarrollo, producción, mantenimiento de sistemas de información)</t>
  </si>
  <si>
    <t>Falta de UPS para los equipos de cómputo en caso de fallas en el fluído eléctrico</t>
  </si>
  <si>
    <t>COMUNICACIÓN ENTRE LOS PROCESOS</t>
  </si>
  <si>
    <t>Desconocimiento de la caracterización, manuales, procedimientos, instructivos, guías, formatos y demas documentos propios del proceso por parte de los funcionarios</t>
  </si>
  <si>
    <t>Jornadas de paro, movilizaciones y actos de vandalismo de la comunidad que generan afectación en obras</t>
  </si>
  <si>
    <t xml:space="preserve">Equipos tecnológicos obsoletos </t>
  </si>
  <si>
    <t>PROCEDIMIENTOS DEL PROCESO</t>
  </si>
  <si>
    <t>Desactualización en los manuales, procedimientos, instructivos y demás documentos de los procesos</t>
  </si>
  <si>
    <t>LEGALES Y REGLAMENTARIOS</t>
  </si>
  <si>
    <t xml:space="preserve">Cambios en la normatividad </t>
  </si>
  <si>
    <t>FINANCIEROS</t>
  </si>
  <si>
    <t>Insuficiente asignación de presupuesto para la ejecución de los procesos y cumplimiento de las metas del plan de desarrollo</t>
  </si>
  <si>
    <t>ECONÓMICOS Y FINANCIEROS</t>
  </si>
  <si>
    <t>Bajo presupuesto para la ejecución de las obras</t>
  </si>
  <si>
    <t>FACTORES GEOGRÁFICOS (ubicación, espacio,topografía, clima, recursos naturales, etc.)</t>
  </si>
  <si>
    <t>Ubicación dispersa de las dependencias de la Administración Municipal</t>
  </si>
  <si>
    <t>Alza de precios en los materiales de construcción</t>
  </si>
  <si>
    <t>Falta de planta eléctrica en caso de fallas en el fluído eléctrico</t>
  </si>
  <si>
    <t>Declaratoria de emergencia por pandemias</t>
  </si>
  <si>
    <t>Hacinamiento en la sede de la dependencia, falta iluminación natural y ventilación</t>
  </si>
  <si>
    <t>Acciones populares con relación a obras civiles</t>
  </si>
  <si>
    <t xml:space="preserve"> Escritorios en mal estado y falta de sillas ergonómicas para el personal de planta </t>
  </si>
  <si>
    <t>COMMUNICACIÓN INTERNA</t>
  </si>
  <si>
    <t xml:space="preserve">Comunicación interna deficiente </t>
  </si>
  <si>
    <t>Falta de ética y valores y aplicación del código de Integridad y buen gobierno</t>
  </si>
  <si>
    <t>ESTRATÉGICOS</t>
  </si>
  <si>
    <t>Dificultad para desarrollar trabajo en equipo</t>
  </si>
  <si>
    <t>Desconocimiento del código disciplinario único</t>
  </si>
  <si>
    <t xml:space="preserve">Equipos tecnológicos obsoletos  </t>
  </si>
  <si>
    <t xml:space="preserve">OBJETIVO: 
IDENTIFICAR Y GENERAR LOS ESTUDIOS, DISEÑOS Y PROYECTOS, CON EL FIN DE ADELANTAR LA CONSTRUCCIÓN Y EL MANTENIMIENTO DE LAS OBRAS DE INFRAESTRUCTURA Y OBRAS PUBLICAS, QUE REQUIERA LA CIUDAD ACORDES CON LAS NECESIDADES DE DESARROLLO CONTRIBUYENDO A LA PROTECCION DEL AMBIENTE Y EL DESARROLLO SOSTENIBLE DEL MUNICIPIO.
</t>
  </si>
  <si>
    <t>1. Personal de planta insuficiente para apoyar los procesos</t>
  </si>
  <si>
    <t>2. Falta de UPS para los equipos de cómputo en caso de fallas en el fluído eléctrico</t>
  </si>
  <si>
    <t xml:space="preserve">3. Equipos tecnológicos obsoletos  </t>
  </si>
  <si>
    <t>4. Insuficiente asignación de presupuesto para la ejecución de los procesos y cumplimiento de las metas del plan de desarrollo</t>
  </si>
  <si>
    <t>5. Ubicación dispersa de las dependencias de la Administración Municipal</t>
  </si>
  <si>
    <t>6. Falta de planta eléctrica en caso de fallas en el fluído eléctrico</t>
  </si>
  <si>
    <t>7. Hacinamiento en la sede de la dependencia, falta iluminación natural y ventilación</t>
  </si>
  <si>
    <t xml:space="preserve"> 8. Escritorios en mal estado y falta de sillas ergonómicas para el personal de planta </t>
  </si>
  <si>
    <t>9. Deficiencia en la comunicación de los tramites y servicios</t>
  </si>
  <si>
    <t>10. Falta de ética y valores y aplicación del código de Integridad y buen gobierno</t>
  </si>
  <si>
    <t>11. Dificultad para desarrollar trabajo en equipo</t>
  </si>
  <si>
    <t>12. Desconocimiento del código disciplinario único</t>
  </si>
  <si>
    <t>13.Desactualización en la caracterización de los procesos</t>
  </si>
  <si>
    <t>14.Desconocimiento de la caracterización, manuales, procedimientos, instructivos, guías, formatos y demas documentos propios del proceso por parte de los funcionarios</t>
  </si>
  <si>
    <t>15.Desactualización en los manuales, procedimientos, instructivos y demás documentos de los procesos</t>
  </si>
  <si>
    <t xml:space="preserve">16.Desconocimiento de requisitos legales en el desarrollo de los procesos contractuales </t>
  </si>
  <si>
    <t>1. Conocimiento, experiencia y compromiso por parte de los líderes de los procesos</t>
  </si>
  <si>
    <t>2. Contar con personal de planta con alta experiencia y calificación para el desarrollo de las actividades misionales</t>
  </si>
  <si>
    <t>3. Contar con algunos recursos propios de la dependencia</t>
  </si>
  <si>
    <t>4. Contar con un software de comunicación interna PISAMI</t>
  </si>
  <si>
    <t>5. Contar con personal de contrato para apoyar las direcciones Técnica y Operativa</t>
  </si>
  <si>
    <t>6. Contar con un Sistema Integrado de Gestión de la Alcaldía Municipal de Ibagué SIGAMI</t>
  </si>
  <si>
    <t>7. Página web oficial y plataformas de la Administración Municipal</t>
  </si>
  <si>
    <t>1. Acceso a la información publicada en paginas web de entidades del orden nacional</t>
  </si>
  <si>
    <t>2. Recurso tecnológico necesario para remitir información en línea. (Internet, Correo Electrónico, Redes sociales, aplicaciones)</t>
  </si>
  <si>
    <t>3. Capacitación para fortalecer el trabajo en equipo y los valores institucionales</t>
  </si>
  <si>
    <t>4. Capacitaciones brindadas por entidades del orden nacional</t>
  </si>
  <si>
    <t>5. Vincular personal idóneo a través de concurso de méritos de la comisión nacional del servicio civil</t>
  </si>
  <si>
    <t>6. Código de integridad y buen gobierno</t>
  </si>
  <si>
    <t>7. Código Disciplinario Único</t>
  </si>
  <si>
    <t>8. Modelo integrado de Planeación y Gestión  MIPG</t>
  </si>
  <si>
    <t xml:space="preserve">9. Procesos contractuales desarrollados en la plataforma SECOP II </t>
  </si>
  <si>
    <t>O1 D9 D11. Hacer campaña de promoción y divulgación de los trámites y servicios que presta la Secretaría de Infraestructura</t>
  </si>
  <si>
    <t>O2 D9 . Hacer uso de los recursos tecnológicos como herramienta para mejorar los mecanismos de trabajo en la comunicación, optimizando las tareas y obteniendo resultados de mayor calidad.</t>
  </si>
  <si>
    <t>O3 D11 Programar jornadas de capacitación que fortalezcan el trabajo en equipo, que hagan sentir a los funcionarios motivados a lograr resultados oportunos y eficientes</t>
  </si>
  <si>
    <t>O4 O6 O7 D10 D12  Programar jornadas de capacitación para fortalecer valores como la confianza, la honestidad, la integridad y conocer el código disciplinario único, con el fin de lograr una gestión eficiente, íntegra y transparente de la administración pública</t>
  </si>
  <si>
    <t>O5 D1. Lograr mediante el concurso público de méritos, aumentar la planta de personal idóneo que asuma las responsabilidades y continuidad en los procesos</t>
  </si>
  <si>
    <t>O8 D13 D15 Actualización de los procesos, procedimientos, manuales, instructivos y demás documentos que lo requieran teniendo como base el Modelo Integrado de Planeación y Gestión.</t>
  </si>
  <si>
    <t xml:space="preserve">O9 D14 D16 Programar jornadas de capacitacion  en materia de contratacion estatal y actualizacion de los requisitos legales y demas documentos que se requieren en el desarrollo de los procesos contractuales </t>
  </si>
  <si>
    <t xml:space="preserve">O3 O4 F1 F2 Brindar capacitación constante al personal de planta y líderes de los procesos, para dar continuidad a los procesos de manera eficiente </t>
  </si>
  <si>
    <t>O3 F6 Brindar capacitación al personal de apoyo de contrato para que cumplan sus obligaciones de manera eficiente.</t>
  </si>
  <si>
    <t>1. Por cambio de gobierno y la no continuidad de las políticas públicas</t>
  </si>
  <si>
    <t>2. Catástrofes naturales que pueden afectar la ejecución de las obras civiles</t>
  </si>
  <si>
    <t>3. Jornadas de paro, movilizaciones y actos de vandalismo de la comunidad que generan afectación en obras</t>
  </si>
  <si>
    <t xml:space="preserve">4. Cambios en la normatividad </t>
  </si>
  <si>
    <t>5. Bajo presupuesto para la ejecución de las obras</t>
  </si>
  <si>
    <t>6. Alza de precios en los materiales de construcción</t>
  </si>
  <si>
    <t>7. Declaratoria de emergencia por pandemias</t>
  </si>
  <si>
    <t>8.Acciones populares con relación a obras civiles</t>
  </si>
  <si>
    <t>D12 A1. Realizar reporte a los organos de control y vigilancia</t>
  </si>
  <si>
    <t xml:space="preserve">A1 A4 F8 Actualizar con la normatividad vigente los trámites y/o servicios a los usuarios a través de la pagina web y demas plataformas de la administración municipal </t>
  </si>
  <si>
    <t xml:space="preserve">Incumplimiento de las metas establecidas en los planes de acción y en plan de desarrollo municipal . </t>
  </si>
  <si>
    <t>Planificación inadecuada de las acciones y estrategias propias de la entidad en cumplimiento al proceso de gestión Infraestructura y Obras Públicas</t>
  </si>
  <si>
    <t>Desarticulación entre la secretaría y las demas dependencias de la entidad  involucradas en los procesos contractuales del Proceso Gestión Infraestructura y Obras Públicas</t>
  </si>
  <si>
    <t>Desarticulación entre las direcciónes de la secretraría para formular e implementar acciones y estrategias.</t>
  </si>
  <si>
    <t xml:space="preserve">REALIZAR LA FORMULACIÓN Y APROBACIÓN DEL PLAN DE DESARROLLO MUNICIPAL
REALIZAR LA IDENTIFICACION DE LOS ESTUDIOS Y DISEÑOS DE PROYECTOS PARA LA CONSTRUCCION DE INFRAESTRUCTURA Y OBRAS PUBLICAS
</t>
  </si>
  <si>
    <t>El secretario de Infraestructura convoca cada quince dias comite de contratación para hacer el seguimiento de los procesos contractuales, dejando como evidencia las actas de reunion y los registros de asistencia</t>
  </si>
  <si>
    <t>El secretario de infraestructura convoca a comités técnicos mensuales a funcionarios y contratistas, con el fin de realizar el seguimiento a los proyectos de infraestructura y Obras Públicas, dejando como evidencia las actas de reunión y los registros de asistencia</t>
  </si>
  <si>
    <t xml:space="preserve">Implementar una herramienta ya sea Base de Datos o una Matriz que permita el seguimiento a los procesos contractuales  </t>
  </si>
  <si>
    <t>Secretario(a) de Infraestructura, Equipo Directivo</t>
  </si>
  <si>
    <t>Permanente</t>
  </si>
  <si>
    <t>Trimestral</t>
  </si>
  <si>
    <t>Se realiza el seguimiento mediante documentos como actas de reunión y evidencia de la matriz o base de datos de seguimiento a los procesos contractuales de manera mensual.</t>
  </si>
  <si>
    <t xml:space="preserve">Cumplir con la realizacion de los comites tecnicos mensuales para el seguimiento a los proyectos de infraestructura y obras publicas </t>
  </si>
  <si>
    <t>Incumplimiento en la entrega final de las obras de infraestructura y obras publicas por falta de recursos y demoras en la ejecucion del proyecto para atender la necesidades de la población.</t>
  </si>
  <si>
    <t>Obras inconclusas por falta de las debidas condiciones técnicas y de calidad requeridas.</t>
  </si>
  <si>
    <t xml:space="preserve">Generción de residuos ocasionados por la construccion de obras de infraestructura y obras publicas </t>
  </si>
  <si>
    <t xml:space="preserve">Falta de gestión al seguimiento y verificacion a la ejecuicon de obras de infraestructura y obras publicas </t>
  </si>
  <si>
    <t>Cambios normativos y de gobierno</t>
  </si>
  <si>
    <t>Personal que no cumple con la competencia requerida</t>
  </si>
  <si>
    <t xml:space="preserve">Ausencia de control y exigencia por parte del supervisor del contrato a los contratistas en terminos ambientales y de seguridad y salud en el trabajo </t>
  </si>
  <si>
    <t xml:space="preserve">.-  REALIZAR LA IDENTIFICACION DE LOS RECURSOS FINANCIEROS, TECNICOS Y ADMINISTRATIVOS QUE SE REQUIEREN PARA EL DESARROLLO  DE LOS PROYECTOS EN EL PROCESO GESTION DE INFRAESTRUCTURA Y OBRAS PUBLICAS                                                                      .-VERIFICAR CUMPLIMIENTO DE LA  GUIA SOCIO AMBIENTAL EN EL DESARROLLO  DE LOS PROYECTOS DEL PROCESO GESTION DE INFRAESTRUCTURA Y OBRAS PUBLICAS                                                                                                                                                                                                                                                                                  </t>
  </si>
  <si>
    <t xml:space="preserve">El secretario de infraestructura y/o Directores junto con el supervisor evaluaran el desarrollo de las distintas actividades a desarrollar por el personal de contrato tanto profesional como de apoyo a la gestion, al igual con el contratista de obra e interventoria de manera mensual y/o cuando lo requiera, dejando como evidencia la certificacion que ha cumplido con las obligaciones para las cuales fueron contratados. </t>
  </si>
  <si>
    <t>El secretario de infraestructura y/o Directores convocan a comités técnicos de manera semanal y/o quincenal y/o cuando se requiera al personal de planta  y contratistas, con el fin de realizar el seguimiento a las distintas actividades de los proyectos de infraestructura y Obras Públicas, dejando como evidencia las actas de reunión y los registros de asistencia</t>
  </si>
  <si>
    <t xml:space="preserve">Cumplir con la realizacion de los comites tecnicos semanales y/ o quincenales  para el seguimiento de las distintas actividades  de los proyectos de infraestructura y obras publicas </t>
  </si>
  <si>
    <t>Se realiza el seguimiento mediante actas de reunión  de los comites tecnicos y las evidencia presentadas al seguimiento de los proyectos ante la secretaria de planeación</t>
  </si>
  <si>
    <t>Realizar mesas de trabajo quincenales y/o mensuales con el fin de revisar el desarrollo de las actividades del personal profesional y de apoyo a la gestion, como de los contratistas de obra e interventoria.</t>
  </si>
  <si>
    <t>Secretario(a) de Infraestructura, Equipo Directivo, Supervisores</t>
  </si>
  <si>
    <t xml:space="preserve">Seguimiento mediante actas de reunion </t>
  </si>
  <si>
    <t>GESTION DE INFRAESTRUCTURA Y OBRAS PUBLICAS</t>
  </si>
  <si>
    <t xml:space="preserve">IDENTIFICAR Y GENERAR LOS ESTUDIOS, DISEÑOS Y PROYECTOS, CON EL FIN DE ADELANTAR LA CONSTRUCCIÓN Y EL MANTENIMIENTO DE LAS OBRAS DE INFRAESTRUCTURA Y OBRAS PUBLICAS, QUE REQUIERA LA CIUDAD ACORDES CON LAS NECESIDADES DE DESARROLLO CONTRIBUYENDO A LA PROTECCION DEL AMBIENTE Y EL DESARROLLO SOSTENIBLE DEL MUNICIPIO.
</t>
  </si>
  <si>
    <t>No se realizó Comité Tenico en este periodo</t>
  </si>
  <si>
    <t xml:space="preserve">PERIODO SEGUIMIENTO          MAYO -  JUNIO </t>
  </si>
  <si>
    <t>Se realizan Comites Técnicos de obra de manera quincenal y/o semanal para su seguimiento ( Cto 2430-2022 Piscinas La 42 - Cto 1979-2023 Rehabilitacion Malla Vial - Cto 1646-2024 Complejo Acuatico)</t>
  </si>
  <si>
    <t>No se realizó Comité  de Contratación en este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</si>
</sst>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73"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b/>
      <sz val="11"/>
      <color theme="1"/>
      <name val="Calibri"/>
      <family val="2"/>
      <scheme val="minor"/>
    </font>
    <font>
      <b/>
      <sz val="12"/>
      <color indexed="8"/>
      <name val="Arial"/>
      <family val="2"/>
    </font>
    <font>
      <b/>
      <sz val="11"/>
      <color indexed="8"/>
      <name val="Arial"/>
      <family val="2"/>
    </font>
    <font>
      <sz val="11"/>
      <color theme="1"/>
      <name val="Arial"/>
      <family val="2"/>
    </font>
    <font>
      <b/>
      <sz val="11"/>
      <color indexed="17"/>
      <name val="Arial"/>
      <family val="2"/>
    </font>
    <font>
      <b/>
      <sz val="12"/>
      <color theme="1"/>
      <name val="Arial"/>
      <family val="2"/>
    </font>
    <font>
      <sz val="11"/>
      <color indexed="8"/>
      <name val="Arial"/>
      <family val="2"/>
    </font>
    <font>
      <sz val="11"/>
      <name val="Arial"/>
      <family val="2"/>
    </font>
    <font>
      <sz val="10"/>
      <color theme="1"/>
      <name val="Arial"/>
      <family val="2"/>
    </font>
    <font>
      <b/>
      <sz val="11"/>
      <color theme="1"/>
      <name val="Arial"/>
      <family val="2"/>
    </font>
    <font>
      <b/>
      <sz val="10"/>
      <color theme="1"/>
      <name val="Arial"/>
      <family val="2"/>
    </font>
    <font>
      <b/>
      <sz val="9"/>
      <color theme="1"/>
      <name val="Arial"/>
      <family val="2"/>
    </font>
    <font>
      <b/>
      <sz val="9"/>
      <color theme="1"/>
      <name val="Calibri"/>
      <family val="2"/>
      <scheme val="minor"/>
    </font>
    <font>
      <b/>
      <sz val="20"/>
      <color theme="1"/>
      <name val="Arial"/>
      <family val="2"/>
    </font>
    <font>
      <b/>
      <sz val="14"/>
      <color theme="1"/>
      <name val="Arial"/>
      <family val="2"/>
    </font>
  </fonts>
  <fills count="23">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9"/>
        <bgColor indexed="64"/>
      </patternFill>
    </fill>
    <fill>
      <patternFill patternType="solid">
        <fgColor theme="0" tint="-4.9989318521683403E-2"/>
        <bgColor indexed="64"/>
      </patternFill>
    </fill>
    <fill>
      <patternFill patternType="solid">
        <fgColor rgb="FFFFA365"/>
        <bgColor indexed="64"/>
      </patternFill>
    </fill>
    <fill>
      <patternFill patternType="solid">
        <fgColor theme="2" tint="-0.249977111117893"/>
        <bgColor indexed="64"/>
      </patternFill>
    </fill>
    <fill>
      <patternFill patternType="solid">
        <fgColor theme="6" tint="0.79998168889431442"/>
        <bgColor indexed="64"/>
      </patternFill>
    </fill>
    <fill>
      <patternFill patternType="solid">
        <fgColor theme="8" tint="0.79998168889431442"/>
        <bgColor indexed="64"/>
      </patternFill>
    </fill>
  </fills>
  <borders count="110">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theme="0"/>
      </left>
      <right/>
      <top/>
      <bottom/>
      <diagonal/>
    </border>
    <border>
      <left style="thin">
        <color indexed="64"/>
      </left>
      <right/>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
      <left style="dashed">
        <color theme="9" tint="-0.249977111117893"/>
      </left>
      <right style="dashed">
        <color theme="9" tint="-0.249977111117893"/>
      </right>
      <top/>
      <bottom style="dashed">
        <color theme="9" tint="-0.249977111117893"/>
      </bottom>
      <diagonal/>
    </border>
    <border>
      <left style="dashed">
        <color theme="9" tint="-0.24994659260841701"/>
      </left>
      <right style="dashed">
        <color theme="9" tint="-0.24994659260841701"/>
      </right>
      <top/>
      <bottom style="dotted">
        <color theme="9" tint="-0.24994659260841701"/>
      </bottom>
      <diagonal/>
    </border>
    <border>
      <left style="dashed">
        <color theme="9" tint="-0.24994659260841701"/>
      </left>
      <right style="dashed">
        <color theme="9" tint="-0.249977111117893"/>
      </right>
      <top style="dashed">
        <color theme="9" tint="-0.24994659260841701"/>
      </top>
      <bottom/>
      <diagonal/>
    </border>
    <border>
      <left style="dashed">
        <color theme="9" tint="-0.24994659260841701"/>
      </left>
      <right style="dashed">
        <color theme="9" tint="-0.249977111117893"/>
      </right>
      <top/>
      <bottom/>
      <diagonal/>
    </border>
    <border>
      <left style="dashed">
        <color theme="9" tint="-0.24994659260841701"/>
      </left>
      <right style="dashed">
        <color theme="9" tint="-0.249977111117893"/>
      </right>
      <top/>
      <bottom style="dashed">
        <color theme="9" tint="-0.24994659260841701"/>
      </bottom>
      <diagonal/>
    </border>
    <border>
      <left style="dashed">
        <color theme="9" tint="-0.249977111117893"/>
      </left>
      <right/>
      <top style="dashed">
        <color theme="9" tint="-0.249977111117893"/>
      </top>
      <bottom style="dashed">
        <color theme="9" tint="-0.249977111117893"/>
      </bottom>
      <diagonal/>
    </border>
    <border>
      <left/>
      <right/>
      <top style="dashed">
        <color theme="9" tint="-0.249977111117893"/>
      </top>
      <bottom style="dashed">
        <color theme="9" tint="-0.249977111117893"/>
      </bottom>
      <diagonal/>
    </border>
    <border>
      <left/>
      <right style="dashed">
        <color theme="9" tint="-0.249977111117893"/>
      </right>
      <top style="dashed">
        <color theme="9" tint="-0.249977111117893"/>
      </top>
      <bottom style="dashed">
        <color theme="9" tint="-0.249977111117893"/>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651">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xf numFmtId="0" fontId="40" fillId="3" borderId="52" xfId="2" applyFont="1" applyFill="1" applyBorder="1"/>
    <xf numFmtId="0" fontId="40" fillId="3" borderId="53" xfId="2" applyFont="1" applyFill="1" applyBorder="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xf numFmtId="0" fontId="45" fillId="3" borderId="0" xfId="0" applyFont="1" applyFill="1" applyAlignment="1">
      <alignment horizontal="left" vertical="center" wrapText="1"/>
    </xf>
    <xf numFmtId="0" fontId="46" fillId="3" borderId="0" xfId="0" applyFont="1" applyFill="1" applyAlignment="1">
      <alignment horizontal="left" vertical="top" wrapText="1"/>
    </xf>
    <xf numFmtId="0" fontId="40" fillId="3" borderId="0" xfId="2" applyFont="1" applyFill="1"/>
    <xf numFmtId="0" fontId="40" fillId="3" borderId="15" xfId="2" applyFont="1" applyFill="1" applyBorder="1"/>
    <xf numFmtId="0" fontId="40" fillId="3" borderId="16" xfId="2" applyFont="1" applyFill="1" applyBorder="1"/>
    <xf numFmtId="0" fontId="40" fillId="3" borderId="18" xfId="2" applyFont="1" applyFill="1" applyBorder="1"/>
    <xf numFmtId="0" fontId="40" fillId="3" borderId="17" xfId="2" applyFont="1" applyFill="1" applyBorder="1"/>
    <xf numFmtId="0" fontId="44" fillId="3" borderId="0" xfId="2" applyFont="1" applyFill="1" applyAlignment="1">
      <alignment horizontal="left" vertical="center" wrapText="1"/>
    </xf>
    <xf numFmtId="0" fontId="40" fillId="3" borderId="0" xfId="2" applyFont="1" applyFill="1" applyAlignment="1">
      <alignment horizontal="left" vertical="center" wrapText="1"/>
    </xf>
    <xf numFmtId="0" fontId="40" fillId="3" borderId="0" xfId="2" quotePrefix="1" applyFont="1" applyFill="1" applyAlignment="1">
      <alignment horizontal="left" vertical="center" wrapText="1"/>
    </xf>
    <xf numFmtId="0" fontId="42" fillId="3" borderId="14" xfId="2" quotePrefix="1" applyFont="1" applyFill="1" applyBorder="1" applyAlignment="1">
      <alignment horizontal="left" vertical="top" wrapText="1"/>
    </xf>
    <xf numFmtId="0" fontId="43" fillId="3" borderId="0" xfId="2" quotePrefix="1" applyFont="1" applyFill="1" applyAlignment="1">
      <alignment horizontal="left" vertical="top" wrapText="1"/>
    </xf>
    <xf numFmtId="0" fontId="4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1" fillId="0" borderId="2" xfId="0" applyFont="1" applyBorder="1" applyAlignment="1" applyProtection="1">
      <alignment horizontal="justify" vertical="top" wrapText="1"/>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27" fillId="0" borderId="2" xfId="0" applyFont="1" applyBorder="1" applyAlignment="1" applyProtection="1">
      <alignment horizontal="center" vertical="top" wrapText="1"/>
      <protection locked="0"/>
    </xf>
    <xf numFmtId="0" fontId="49" fillId="0" borderId="2"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1" fillId="0" borderId="75"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54" fillId="3" borderId="0" xfId="0" applyFont="1" applyFill="1" applyAlignment="1">
      <alignment horizontal="justify" vertical="center" wrapText="1" readingOrder="1"/>
    </xf>
    <xf numFmtId="0" fontId="55" fillId="3" borderId="0" xfId="0" applyFont="1" applyFill="1" applyAlignment="1">
      <alignment vertical="center"/>
    </xf>
    <xf numFmtId="0" fontId="54" fillId="0" borderId="0" xfId="0" applyFont="1" applyAlignment="1">
      <alignment horizontal="justify" vertical="center" wrapText="1" readingOrder="1"/>
    </xf>
    <xf numFmtId="0" fontId="54" fillId="0" borderId="0" xfId="0" applyFont="1" applyAlignment="1">
      <alignment vertical="center"/>
    </xf>
    <xf numFmtId="0" fontId="12" fillId="0" borderId="0" xfId="0" pivotButton="1" applyFont="1"/>
    <xf numFmtId="0" fontId="56" fillId="0" borderId="0" xfId="0" applyFont="1" applyAlignment="1">
      <alignment horizontal="center" wrapText="1"/>
    </xf>
    <xf numFmtId="0" fontId="57" fillId="0" borderId="0" xfId="0" applyFont="1"/>
    <xf numFmtId="0" fontId="61" fillId="0" borderId="78" xfId="0" applyFont="1" applyBorder="1" applyAlignment="1">
      <alignment vertical="center" wrapText="1"/>
    </xf>
    <xf numFmtId="0" fontId="59" fillId="0" borderId="0" xfId="0" applyFont="1" applyAlignment="1">
      <alignment vertical="center" wrapText="1"/>
    </xf>
    <xf numFmtId="0" fontId="61" fillId="0" borderId="0" xfId="0" applyFont="1"/>
    <xf numFmtId="0" fontId="59" fillId="0" borderId="0" xfId="0" applyFont="1" applyAlignment="1">
      <alignment horizontal="center" vertical="center" wrapText="1"/>
    </xf>
    <xf numFmtId="0" fontId="61" fillId="0" borderId="33" xfId="0" applyFont="1" applyBorder="1" applyAlignment="1">
      <alignment vertical="center" wrapText="1"/>
    </xf>
    <xf numFmtId="0" fontId="63" fillId="17" borderId="83" xfId="0" applyFont="1" applyFill="1" applyBorder="1" applyAlignment="1">
      <alignment vertical="center"/>
    </xf>
    <xf numFmtId="0" fontId="63" fillId="17" borderId="84" xfId="0" applyFont="1" applyFill="1" applyBorder="1" applyAlignment="1">
      <alignment horizontal="center" vertical="center"/>
    </xf>
    <xf numFmtId="0" fontId="63" fillId="17" borderId="85" xfId="0" applyFont="1" applyFill="1" applyBorder="1" applyAlignment="1">
      <alignment horizontal="center" vertical="center"/>
    </xf>
    <xf numFmtId="0" fontId="61" fillId="18" borderId="77" xfId="0" applyFont="1" applyFill="1" applyBorder="1" applyAlignment="1">
      <alignment vertical="center" wrapText="1"/>
    </xf>
    <xf numFmtId="0" fontId="61" fillId="18" borderId="78" xfId="0" applyFont="1" applyFill="1" applyBorder="1" applyAlignment="1">
      <alignment vertical="center" wrapText="1"/>
    </xf>
    <xf numFmtId="0" fontId="61" fillId="18" borderId="37" xfId="0" applyFont="1" applyFill="1" applyBorder="1" applyAlignment="1">
      <alignment vertical="center" wrapText="1"/>
    </xf>
    <xf numFmtId="0" fontId="61" fillId="3" borderId="33" xfId="0" applyFont="1" applyFill="1" applyBorder="1" applyAlignment="1">
      <alignment horizontal="left" vertical="center" wrapText="1"/>
    </xf>
    <xf numFmtId="0" fontId="61" fillId="18" borderId="33" xfId="0" applyFont="1" applyFill="1" applyBorder="1" applyAlignment="1">
      <alignment vertical="center" wrapText="1"/>
    </xf>
    <xf numFmtId="0" fontId="61" fillId="0" borderId="33" xfId="0" applyFont="1" applyBorder="1" applyAlignment="1">
      <alignment horizontal="left" vertical="center" wrapText="1"/>
    </xf>
    <xf numFmtId="0" fontId="61" fillId="0" borderId="38" xfId="0" applyFont="1" applyBorder="1" applyAlignment="1">
      <alignment horizontal="left" vertical="center" wrapText="1"/>
    </xf>
    <xf numFmtId="0" fontId="61" fillId="0" borderId="33" xfId="0" applyFont="1" applyBorder="1" applyAlignment="1">
      <alignment horizontal="left" vertical="center"/>
    </xf>
    <xf numFmtId="0" fontId="65" fillId="0" borderId="33" xfId="0" applyFont="1" applyBorder="1" applyAlignment="1">
      <alignment horizontal="left" vertical="center" wrapText="1"/>
    </xf>
    <xf numFmtId="0" fontId="61" fillId="18" borderId="39" xfId="0" applyFont="1" applyFill="1" applyBorder="1" applyAlignment="1">
      <alignment vertical="center" wrapText="1"/>
    </xf>
    <xf numFmtId="0" fontId="61" fillId="0" borderId="40" xfId="0" applyFont="1" applyBorder="1" applyAlignment="1">
      <alignment horizontal="left" vertical="center" wrapText="1"/>
    </xf>
    <xf numFmtId="0" fontId="61" fillId="18" borderId="40" xfId="0" applyFont="1" applyFill="1" applyBorder="1" applyAlignment="1">
      <alignment vertical="center" wrapText="1"/>
    </xf>
    <xf numFmtId="0" fontId="65" fillId="0" borderId="40" xfId="0" applyFont="1" applyBorder="1" applyAlignment="1">
      <alignment horizontal="left" vertical="center" wrapText="1"/>
    </xf>
    <xf numFmtId="0" fontId="61" fillId="0" borderId="41" xfId="0" applyFont="1" applyBorder="1" applyAlignment="1">
      <alignment horizontal="left" vertical="center" wrapText="1"/>
    </xf>
    <xf numFmtId="0" fontId="61" fillId="0" borderId="0" xfId="0" applyFont="1" applyAlignment="1">
      <alignmen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66" fillId="0" borderId="0" xfId="0" applyFont="1" applyAlignment="1">
      <alignment horizontal="left" vertical="center" wrapText="1"/>
    </xf>
    <xf numFmtId="0" fontId="38" fillId="0" borderId="0" xfId="0" applyFont="1" applyAlignment="1">
      <alignment horizontal="left" vertical="center" wrapText="1"/>
    </xf>
    <xf numFmtId="0" fontId="66" fillId="0" borderId="0" xfId="0" applyFont="1" applyAlignment="1">
      <alignment horizontal="left" vertical="center"/>
    </xf>
    <xf numFmtId="0" fontId="38" fillId="0" borderId="0" xfId="0" applyFont="1" applyAlignment="1">
      <alignment horizontal="left" vertical="center"/>
    </xf>
    <xf numFmtId="0" fontId="61" fillId="0" borderId="15" xfId="0" applyFont="1" applyBorder="1" applyAlignment="1">
      <alignment horizontal="left" vertical="center" wrapText="1"/>
    </xf>
    <xf numFmtId="0" fontId="61" fillId="0" borderId="15" xfId="0" applyFont="1" applyBorder="1"/>
    <xf numFmtId="0" fontId="61" fillId="0" borderId="18" xfId="0" applyFont="1" applyBorder="1"/>
    <xf numFmtId="0" fontId="61" fillId="0" borderId="17" xfId="0" applyFont="1" applyBorder="1"/>
    <xf numFmtId="0" fontId="61" fillId="3" borderId="0" xfId="0" applyFont="1" applyFill="1" applyAlignment="1">
      <alignment horizontal="left" vertical="center" wrapText="1"/>
    </xf>
    <xf numFmtId="0" fontId="61" fillId="3" borderId="87" xfId="0" applyFont="1" applyFill="1" applyBorder="1" applyAlignment="1">
      <alignment horizontal="left" vertical="center" wrapText="1"/>
    </xf>
    <xf numFmtId="0" fontId="61" fillId="0" borderId="89" xfId="0" applyFont="1" applyBorder="1"/>
    <xf numFmtId="0" fontId="68" fillId="19" borderId="34" xfId="0" applyFont="1" applyFill="1" applyBorder="1" applyAlignment="1">
      <alignment horizontal="center" vertical="center" wrapText="1"/>
    </xf>
    <xf numFmtId="0" fontId="67" fillId="19" borderId="34" xfId="0" applyFont="1" applyFill="1" applyBorder="1" applyAlignment="1">
      <alignment horizontal="center" vertical="center" wrapText="1"/>
    </xf>
    <xf numFmtId="0" fontId="69" fillId="19" borderId="34" xfId="0" applyFont="1" applyFill="1" applyBorder="1" applyAlignment="1">
      <alignment horizontal="center" vertical="center" wrapText="1"/>
    </xf>
    <xf numFmtId="165" fontId="69" fillId="19" borderId="90" xfId="0" applyNumberFormat="1" applyFont="1" applyFill="1" applyBorder="1" applyAlignment="1">
      <alignment horizontal="center" vertical="center" wrapText="1"/>
    </xf>
    <xf numFmtId="0" fontId="70" fillId="19" borderId="91" xfId="0" applyFont="1" applyFill="1" applyBorder="1" applyAlignment="1">
      <alignment horizontal="center" vertical="center" wrapText="1"/>
    </xf>
    <xf numFmtId="0" fontId="58" fillId="0" borderId="0" xfId="0" applyFont="1" applyAlignment="1">
      <alignment horizontal="center" vertical="center" wrapText="1"/>
    </xf>
    <xf numFmtId="0" fontId="61" fillId="0" borderId="33" xfId="0" applyFont="1" applyBorder="1" applyAlignment="1">
      <alignment horizontal="center" vertical="center"/>
    </xf>
    <xf numFmtId="0" fontId="61" fillId="0" borderId="33" xfId="0" applyFont="1" applyBorder="1" applyAlignment="1" applyProtection="1">
      <alignment horizontal="center" vertical="center"/>
      <protection locked="0"/>
    </xf>
    <xf numFmtId="166" fontId="61" fillId="0" borderId="92" xfId="0" applyNumberFormat="1" applyFont="1" applyBorder="1" applyAlignment="1">
      <alignment horizontal="center" vertical="center"/>
    </xf>
    <xf numFmtId="0" fontId="0" fillId="0" borderId="93" xfId="0" applyBorder="1" applyAlignment="1" applyProtection="1">
      <alignment horizontal="center" vertical="top"/>
      <protection locked="0"/>
    </xf>
    <xf numFmtId="0" fontId="0" fillId="0" borderId="94" xfId="0" applyBorder="1" applyAlignment="1" applyProtection="1">
      <alignment vertical="top"/>
      <protection locked="0"/>
    </xf>
    <xf numFmtId="0" fontId="0" fillId="0" borderId="94" xfId="0" applyBorder="1"/>
    <xf numFmtId="165" fontId="61" fillId="0" borderId="92" xfId="0" applyNumberFormat="1" applyFont="1" applyBorder="1" applyAlignment="1">
      <alignment horizontal="center" vertical="center"/>
    </xf>
    <xf numFmtId="0" fontId="61" fillId="0" borderId="95" xfId="0" applyFont="1" applyBorder="1" applyAlignment="1">
      <alignment horizontal="center" vertical="center"/>
    </xf>
    <xf numFmtId="0" fontId="61" fillId="0" borderId="95" xfId="0" applyFont="1" applyBorder="1" applyAlignment="1">
      <alignment horizontal="left" vertical="center" wrapText="1"/>
    </xf>
    <xf numFmtId="0" fontId="61" fillId="0" borderId="95" xfId="0" applyFont="1" applyBorder="1" applyAlignment="1" applyProtection="1">
      <alignment horizontal="center" vertical="center"/>
      <protection locked="0"/>
    </xf>
    <xf numFmtId="165" fontId="61" fillId="0" borderId="96" xfId="0" applyNumberFormat="1" applyFont="1" applyBorder="1" applyAlignment="1">
      <alignment horizontal="center" vertical="center"/>
    </xf>
    <xf numFmtId="0" fontId="0" fillId="0" borderId="97" xfId="0" applyBorder="1"/>
    <xf numFmtId="165" fontId="61" fillId="20" borderId="79" xfId="0" applyNumberFormat="1" applyFont="1" applyFill="1" applyBorder="1" applyAlignment="1">
      <alignment vertical="center"/>
    </xf>
    <xf numFmtId="165" fontId="61" fillId="8" borderId="41" xfId="0" applyNumberFormat="1" applyFont="1" applyFill="1" applyBorder="1" applyAlignment="1">
      <alignment vertical="center"/>
    </xf>
    <xf numFmtId="0" fontId="0" fillId="0" borderId="0" xfId="0" applyAlignment="1" applyProtection="1">
      <alignment horizontal="center"/>
      <protection locked="0"/>
    </xf>
    <xf numFmtId="0" fontId="0" fillId="0" borderId="0" xfId="0" applyProtection="1">
      <protection locked="0"/>
    </xf>
    <xf numFmtId="165" fontId="0" fillId="0" borderId="0" xfId="0" applyNumberFormat="1" applyProtection="1">
      <protection locked="0"/>
    </xf>
    <xf numFmtId="0" fontId="38" fillId="3" borderId="0" xfId="0" applyFont="1" applyFill="1" applyAlignment="1">
      <alignment horizontal="left"/>
    </xf>
    <xf numFmtId="0" fontId="61" fillId="0" borderId="78" xfId="0" applyFont="1" applyBorder="1" applyAlignment="1">
      <alignment horizontal="left" vertical="center" wrapText="1"/>
    </xf>
    <xf numFmtId="0" fontId="61" fillId="0" borderId="79" xfId="0" applyFont="1" applyBorder="1" applyAlignment="1">
      <alignment horizontal="left" vertical="center" wrapText="1"/>
    </xf>
    <xf numFmtId="0" fontId="61" fillId="18" borderId="33" xfId="0" applyFont="1" applyFill="1" applyBorder="1" applyAlignment="1">
      <alignment vertical="top" wrapText="1"/>
    </xf>
    <xf numFmtId="0" fontId="61" fillId="0" borderId="38" xfId="0" applyFont="1" applyBorder="1" applyAlignment="1">
      <alignment horizontal="left" vertical="top" wrapText="1"/>
    </xf>
    <xf numFmtId="0" fontId="61" fillId="0" borderId="0" xfId="0" applyFont="1" applyAlignment="1">
      <alignment vertical="center"/>
    </xf>
    <xf numFmtId="0" fontId="61" fillId="21" borderId="78" xfId="0" applyFont="1" applyFill="1" applyBorder="1" applyAlignment="1">
      <alignment horizontal="left" vertical="center" wrapText="1"/>
    </xf>
    <xf numFmtId="0" fontId="61" fillId="21" borderId="33" xfId="0" applyFont="1" applyFill="1" applyBorder="1" applyAlignment="1">
      <alignment horizontal="left" vertical="center" wrapText="1"/>
    </xf>
    <xf numFmtId="0" fontId="61" fillId="21" borderId="33" xfId="0" applyFont="1" applyFill="1" applyBorder="1" applyAlignment="1">
      <alignment horizontal="left" vertical="center"/>
    </xf>
    <xf numFmtId="0" fontId="61" fillId="21" borderId="95" xfId="0" applyFont="1" applyFill="1" applyBorder="1" applyAlignment="1">
      <alignment horizontal="left" vertical="center" wrapText="1"/>
    </xf>
    <xf numFmtId="0" fontId="61" fillId="22" borderId="34" xfId="0" applyFont="1" applyFill="1" applyBorder="1" applyAlignment="1">
      <alignment horizontal="left" vertical="center" wrapText="1"/>
    </xf>
    <xf numFmtId="0" fontId="61" fillId="22" borderId="33" xfId="0" applyFont="1" applyFill="1" applyBorder="1" applyAlignment="1">
      <alignment horizontal="left" vertical="center" wrapText="1"/>
    </xf>
    <xf numFmtId="0" fontId="61" fillId="22" borderId="33" xfId="0" applyFont="1" applyFill="1" applyBorder="1" applyAlignment="1">
      <alignment horizontal="left" vertical="top" wrapText="1"/>
    </xf>
    <xf numFmtId="0" fontId="65" fillId="22" borderId="33" xfId="0" applyFont="1" applyFill="1" applyBorder="1" applyAlignment="1">
      <alignment horizontal="left" vertical="center" wrapText="1"/>
    </xf>
    <xf numFmtId="0" fontId="61" fillId="22" borderId="0" xfId="0" applyFont="1" applyFill="1" applyAlignment="1">
      <alignment vertical="center"/>
    </xf>
    <xf numFmtId="0" fontId="38" fillId="0" borderId="33" xfId="0" applyFont="1" applyBorder="1" applyAlignment="1" applyProtection="1">
      <alignment vertical="center"/>
      <protection locked="0"/>
    </xf>
    <xf numFmtId="0" fontId="27" fillId="3" borderId="75" xfId="0" applyFont="1" applyFill="1" applyBorder="1" applyAlignment="1">
      <alignment vertical="center" wrapText="1"/>
    </xf>
    <xf numFmtId="0" fontId="49" fillId="0" borderId="2" xfId="0" applyFont="1" applyBorder="1" applyAlignment="1" applyProtection="1">
      <alignment horizontal="center" vertical="center" textRotation="90" wrapText="1"/>
      <protection hidden="1"/>
    </xf>
    <xf numFmtId="0" fontId="49" fillId="0" borderId="2" xfId="0" applyFont="1" applyBorder="1" applyAlignment="1" applyProtection="1">
      <alignment horizontal="center" vertical="center" textRotation="90"/>
      <protection hidden="1"/>
    </xf>
    <xf numFmtId="0" fontId="41" fillId="14" borderId="48" xfId="2" applyFont="1" applyFill="1" applyBorder="1" applyAlignment="1">
      <alignment horizontal="center" vertical="center" wrapText="1"/>
    </xf>
    <xf numFmtId="0" fontId="41" fillId="14" borderId="49" xfId="2" applyFont="1" applyFill="1" applyBorder="1" applyAlignment="1">
      <alignment horizontal="center" vertical="center" wrapText="1"/>
    </xf>
    <xf numFmtId="0" fontId="41" fillId="14" borderId="50" xfId="2" applyFont="1" applyFill="1" applyBorder="1" applyAlignment="1">
      <alignment horizontal="center" vertical="center" wrapText="1"/>
    </xf>
    <xf numFmtId="0" fontId="40" fillId="0" borderId="14" xfId="2" quotePrefix="1" applyFont="1" applyBorder="1" applyAlignment="1">
      <alignment horizontal="left" vertical="center" wrapText="1"/>
    </xf>
    <xf numFmtId="0" fontId="40" fillId="0" borderId="0" xfId="2" quotePrefix="1" applyFont="1" applyAlignment="1">
      <alignment horizontal="left" vertical="center" wrapText="1"/>
    </xf>
    <xf numFmtId="0" fontId="40" fillId="0" borderId="15" xfId="2" quotePrefix="1" applyFont="1" applyBorder="1" applyAlignment="1">
      <alignment horizontal="left" vertical="center" wrapText="1"/>
    </xf>
    <xf numFmtId="0" fontId="40" fillId="0" borderId="68" xfId="2" quotePrefix="1" applyFont="1" applyBorder="1" applyAlignment="1">
      <alignment horizontal="left" vertical="center" wrapText="1"/>
    </xf>
    <xf numFmtId="0" fontId="40" fillId="0" borderId="69" xfId="2" quotePrefix="1" applyFont="1" applyBorder="1" applyAlignment="1">
      <alignment horizontal="left" vertical="center" wrapText="1"/>
    </xf>
    <xf numFmtId="0" fontId="40" fillId="0" borderId="70" xfId="2" quotePrefix="1" applyFont="1" applyBorder="1" applyAlignment="1">
      <alignment horizontal="left" vertical="center" wrapText="1"/>
    </xf>
    <xf numFmtId="0" fontId="42" fillId="3" borderId="51" xfId="2" quotePrefix="1" applyFont="1" applyFill="1" applyBorder="1" applyAlignment="1">
      <alignment horizontal="left" vertical="top" wrapText="1"/>
    </xf>
    <xf numFmtId="0" fontId="43" fillId="3" borderId="52" xfId="2" quotePrefix="1" applyFont="1" applyFill="1" applyBorder="1" applyAlignment="1">
      <alignment horizontal="left" vertical="top" wrapText="1"/>
    </xf>
    <xf numFmtId="0" fontId="43" fillId="3" borderId="53" xfId="2" quotePrefix="1" applyFont="1" applyFill="1" applyBorder="1" applyAlignment="1">
      <alignment horizontal="left" vertical="top" wrapText="1"/>
    </xf>
    <xf numFmtId="0" fontId="40" fillId="0" borderId="14" xfId="2" quotePrefix="1" applyFont="1" applyBorder="1" applyAlignment="1">
      <alignment horizontal="left" vertical="top" wrapText="1"/>
    </xf>
    <xf numFmtId="0" fontId="40" fillId="0" borderId="0" xfId="2" quotePrefix="1" applyFont="1" applyAlignment="1">
      <alignment horizontal="left" vertical="top" wrapText="1"/>
    </xf>
    <xf numFmtId="0" fontId="40" fillId="0" borderId="15" xfId="2" quotePrefix="1" applyFont="1" applyBorder="1" applyAlignment="1">
      <alignment horizontal="left" vertical="top" wrapText="1"/>
    </xf>
    <xf numFmtId="0" fontId="45" fillId="14" borderId="54" xfId="3" applyFont="1" applyFill="1" applyBorder="1" applyAlignment="1">
      <alignment horizontal="center" vertical="center" wrapText="1"/>
    </xf>
    <xf numFmtId="0" fontId="45" fillId="14" borderId="55" xfId="3" applyFont="1" applyFill="1" applyBorder="1" applyAlignment="1">
      <alignment horizontal="center" vertical="center" wrapText="1"/>
    </xf>
    <xf numFmtId="0" fontId="45" fillId="14" borderId="56" xfId="2" applyFont="1" applyFill="1" applyBorder="1" applyAlignment="1">
      <alignment horizontal="center" vertical="center"/>
    </xf>
    <xf numFmtId="0" fontId="4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45" fillId="3" borderId="58" xfId="3" applyFont="1" applyFill="1" applyBorder="1" applyAlignment="1">
      <alignment horizontal="left" vertical="top" wrapText="1" readingOrder="1"/>
    </xf>
    <xf numFmtId="0" fontId="45" fillId="3" borderId="59" xfId="3" applyFont="1" applyFill="1" applyBorder="1" applyAlignment="1">
      <alignment horizontal="left" vertical="top" wrapText="1" readingOrder="1"/>
    </xf>
    <xf numFmtId="0" fontId="46" fillId="3" borderId="60" xfId="2" applyFont="1" applyFill="1" applyBorder="1" applyAlignment="1">
      <alignment horizontal="justify" vertical="center" wrapText="1"/>
    </xf>
    <xf numFmtId="0" fontId="46" fillId="3" borderId="61" xfId="2" applyFont="1" applyFill="1" applyBorder="1" applyAlignment="1">
      <alignment horizontal="justify" vertical="center" wrapText="1"/>
    </xf>
    <xf numFmtId="0" fontId="45" fillId="3" borderId="62" xfId="0" applyFont="1" applyFill="1" applyBorder="1" applyAlignment="1">
      <alignment horizontal="left" vertical="center" wrapText="1"/>
    </xf>
    <xf numFmtId="0" fontId="45" fillId="3" borderId="63" xfId="0" applyFont="1" applyFill="1" applyBorder="1" applyAlignment="1">
      <alignment horizontal="left" vertical="center" wrapText="1"/>
    </xf>
    <xf numFmtId="0" fontId="46" fillId="3" borderId="64" xfId="2" applyFont="1" applyFill="1" applyBorder="1" applyAlignment="1">
      <alignment horizontal="justify" vertical="center" wrapText="1"/>
    </xf>
    <xf numFmtId="0" fontId="46" fillId="3" borderId="65" xfId="2" applyFont="1" applyFill="1" applyBorder="1" applyAlignment="1">
      <alignment horizontal="justify" vertical="center" wrapText="1"/>
    </xf>
    <xf numFmtId="0" fontId="40" fillId="3" borderId="14" xfId="2" applyFont="1" applyFill="1" applyBorder="1" applyAlignment="1">
      <alignment horizontal="left" vertical="top" wrapText="1"/>
    </xf>
    <xf numFmtId="0" fontId="40" fillId="3" borderId="0" xfId="2" applyFont="1" applyFill="1" applyAlignment="1">
      <alignment horizontal="left" vertical="top" wrapText="1"/>
    </xf>
    <xf numFmtId="0" fontId="40" fillId="3" borderId="15" xfId="2" applyFont="1" applyFill="1" applyBorder="1" applyAlignment="1">
      <alignment horizontal="left" vertical="top" wrapText="1"/>
    </xf>
    <xf numFmtId="0" fontId="45" fillId="3" borderId="71" xfId="0" applyFont="1" applyFill="1" applyBorder="1" applyAlignment="1">
      <alignment horizontal="left" vertical="center" wrapText="1"/>
    </xf>
    <xf numFmtId="0" fontId="45" fillId="3" borderId="72" xfId="0" applyFont="1" applyFill="1" applyBorder="1" applyAlignment="1">
      <alignment horizontal="left" vertical="center" wrapText="1"/>
    </xf>
    <xf numFmtId="0" fontId="45" fillId="3" borderId="73" xfId="0" applyFont="1" applyFill="1" applyBorder="1" applyAlignment="1">
      <alignment horizontal="left" vertical="center" wrapText="1"/>
    </xf>
    <xf numFmtId="0" fontId="45" fillId="3" borderId="74" xfId="0" applyFont="1" applyFill="1" applyBorder="1" applyAlignment="1">
      <alignment horizontal="left" vertical="center" wrapText="1"/>
    </xf>
    <xf numFmtId="0" fontId="46" fillId="3" borderId="66" xfId="0" applyFont="1" applyFill="1" applyBorder="1" applyAlignment="1">
      <alignment horizontal="justify" vertical="center" wrapText="1"/>
    </xf>
    <xf numFmtId="0" fontId="46" fillId="3" borderId="67" xfId="0" applyFont="1" applyFill="1" applyBorder="1" applyAlignment="1">
      <alignment horizontal="justify" vertical="center" wrapText="1"/>
    </xf>
    <xf numFmtId="0" fontId="59" fillId="0" borderId="0" xfId="0" applyFont="1" applyAlignment="1">
      <alignment horizontal="center" vertical="center" wrapText="1"/>
    </xf>
    <xf numFmtId="0" fontId="60" fillId="0" borderId="33" xfId="0" applyFont="1" applyBorder="1" applyAlignment="1">
      <alignment horizontal="center" vertical="center" wrapText="1"/>
    </xf>
    <xf numFmtId="0" fontId="59" fillId="0" borderId="80" xfId="0" applyFont="1" applyBorder="1" applyAlignment="1">
      <alignment horizontal="center" vertical="center" wrapText="1"/>
    </xf>
    <xf numFmtId="0" fontId="59" fillId="0" borderId="81" xfId="0" applyFont="1" applyBorder="1" applyAlignment="1">
      <alignment horizontal="center" vertical="center" wrapText="1"/>
    </xf>
    <xf numFmtId="0" fontId="59" fillId="0" borderId="82" xfId="0" applyFont="1" applyBorder="1" applyAlignment="1">
      <alignment horizontal="center" vertical="center" wrapText="1"/>
    </xf>
    <xf numFmtId="0" fontId="63" fillId="16" borderId="37" xfId="0" applyFont="1" applyFill="1" applyBorder="1" applyAlignment="1">
      <alignment horizontal="center" vertical="center" wrapText="1"/>
    </xf>
    <xf numFmtId="0" fontId="63" fillId="16" borderId="33" xfId="0" applyFont="1" applyFill="1" applyBorder="1" applyAlignment="1">
      <alignment horizontal="center" vertical="center" wrapText="1"/>
    </xf>
    <xf numFmtId="0" fontId="63" fillId="16" borderId="38" xfId="0" applyFont="1" applyFill="1" applyBorder="1" applyAlignment="1">
      <alignment horizontal="center" vertical="center" wrapText="1"/>
    </xf>
    <xf numFmtId="0" fontId="61" fillId="16" borderId="37" xfId="0" applyFont="1" applyFill="1" applyBorder="1" applyAlignment="1">
      <alignment horizontal="left" vertical="center"/>
    </xf>
    <xf numFmtId="0" fontId="61" fillId="16" borderId="33" xfId="0" applyFont="1" applyFill="1" applyBorder="1" applyAlignment="1">
      <alignment horizontal="left" vertical="center"/>
    </xf>
    <xf numFmtId="0" fontId="61" fillId="16" borderId="38" xfId="0" applyFont="1" applyFill="1" applyBorder="1" applyAlignment="1">
      <alignment horizontal="left" vertical="center"/>
    </xf>
    <xf numFmtId="0" fontId="64" fillId="16" borderId="39" xfId="0" applyFont="1" applyFill="1" applyBorder="1" applyAlignment="1">
      <alignment horizontal="left" vertical="top" wrapText="1"/>
    </xf>
    <xf numFmtId="0" fontId="64" fillId="16" borderId="40" xfId="0" applyFont="1" applyFill="1" applyBorder="1" applyAlignment="1">
      <alignment horizontal="left" vertical="top"/>
    </xf>
    <xf numFmtId="0" fontId="64" fillId="16" borderId="41" xfId="0" applyFont="1" applyFill="1" applyBorder="1" applyAlignment="1">
      <alignment horizontal="left" vertical="top"/>
    </xf>
    <xf numFmtId="0" fontId="64" fillId="3" borderId="0" xfId="0" applyFont="1" applyFill="1" applyAlignment="1">
      <alignment horizontal="center" vertical="center" wrapText="1"/>
    </xf>
    <xf numFmtId="0" fontId="59" fillId="0" borderId="77" xfId="0" applyFont="1" applyBorder="1" applyAlignment="1">
      <alignment vertical="center" wrapText="1"/>
    </xf>
    <xf numFmtId="0" fontId="59" fillId="0" borderId="37" xfId="0" applyFont="1" applyBorder="1" applyAlignment="1">
      <alignment vertical="center" wrapText="1"/>
    </xf>
    <xf numFmtId="0" fontId="60" fillId="0" borderId="78" xfId="0" applyFont="1" applyBorder="1" applyAlignment="1">
      <alignment horizontal="center" vertical="center" wrapText="1"/>
    </xf>
    <xf numFmtId="0" fontId="62" fillId="0" borderId="79" xfId="0" applyFont="1" applyBorder="1" applyAlignment="1">
      <alignment horizontal="center" vertical="center" wrapText="1"/>
    </xf>
    <xf numFmtId="0" fontId="62" fillId="0" borderId="38" xfId="0" applyFont="1" applyBorder="1" applyAlignment="1">
      <alignment horizontal="center" vertical="center" wrapText="1"/>
    </xf>
    <xf numFmtId="0" fontId="67" fillId="20" borderId="39" xfId="0" applyFont="1" applyFill="1" applyBorder="1" applyAlignment="1">
      <alignment horizontal="right" vertical="center"/>
    </xf>
    <xf numFmtId="0" fontId="67" fillId="20" borderId="40" xfId="0" applyFont="1" applyFill="1" applyBorder="1" applyAlignment="1">
      <alignment horizontal="right" vertical="center"/>
    </xf>
    <xf numFmtId="0" fontId="0" fillId="0" borderId="19" xfId="0" applyBorder="1" applyAlignment="1">
      <alignment horizontal="center"/>
    </xf>
    <xf numFmtId="0" fontId="0" fillId="0" borderId="0" xfId="0" applyAlignment="1">
      <alignment horizontal="center"/>
    </xf>
    <xf numFmtId="0" fontId="0" fillId="0" borderId="69" xfId="0" applyBorder="1" applyAlignment="1">
      <alignment horizontal="center"/>
    </xf>
    <xf numFmtId="0" fontId="60" fillId="0" borderId="19" xfId="0" applyFont="1" applyBorder="1" applyAlignment="1">
      <alignment horizontal="center" vertical="center" wrapText="1"/>
    </xf>
    <xf numFmtId="0" fontId="60" fillId="0" borderId="86" xfId="0" applyFont="1" applyBorder="1" applyAlignment="1">
      <alignment horizontal="center" vertical="center" wrapText="1"/>
    </xf>
    <xf numFmtId="0" fontId="60" fillId="0" borderId="0" xfId="0" applyFont="1" applyAlignment="1">
      <alignment horizontal="center" vertical="center" wrapText="1"/>
    </xf>
    <xf numFmtId="0" fontId="60" fillId="0" borderId="87" xfId="0" applyFont="1" applyBorder="1" applyAlignment="1">
      <alignment horizontal="center" vertical="center" wrapText="1"/>
    </xf>
    <xf numFmtId="0" fontId="61" fillId="0" borderId="78" xfId="0" applyFont="1" applyBorder="1" applyAlignment="1">
      <alignment horizontal="left" vertical="center" wrapText="1"/>
    </xf>
    <xf numFmtId="0" fontId="61" fillId="0" borderId="79" xfId="0" applyFont="1" applyBorder="1" applyAlignment="1">
      <alignment horizontal="left" vertical="center" wrapText="1"/>
    </xf>
    <xf numFmtId="0" fontId="61" fillId="0" borderId="33" xfId="0" applyFont="1" applyBorder="1" applyAlignment="1">
      <alignment horizontal="left" vertical="center" wrapText="1"/>
    </xf>
    <xf numFmtId="0" fontId="61" fillId="0" borderId="38" xfId="0" applyFont="1" applyBorder="1" applyAlignment="1">
      <alignment horizontal="left" vertical="center" wrapText="1"/>
    </xf>
    <xf numFmtId="0" fontId="60" fillId="0" borderId="69" xfId="0" applyFont="1" applyBorder="1" applyAlignment="1">
      <alignment horizontal="center" vertical="center" wrapText="1"/>
    </xf>
    <xf numFmtId="0" fontId="60" fillId="0" borderId="88" xfId="0" applyFont="1" applyBorder="1" applyAlignment="1">
      <alignment horizontal="center" vertical="center" wrapText="1"/>
    </xf>
    <xf numFmtId="0" fontId="0" fillId="0" borderId="88" xfId="0" applyBorder="1" applyAlignment="1">
      <alignment horizontal="center"/>
    </xf>
    <xf numFmtId="0" fontId="61" fillId="16" borderId="33" xfId="0" applyFont="1" applyFill="1" applyBorder="1" applyAlignment="1">
      <alignment vertical="center"/>
    </xf>
    <xf numFmtId="0" fontId="61" fillId="16" borderId="40" xfId="0" applyFont="1" applyFill="1" applyBorder="1" applyAlignment="1">
      <alignment horizontal="left" vertical="center" wrapText="1"/>
    </xf>
    <xf numFmtId="0" fontId="67" fillId="19" borderId="36" xfId="0" applyFont="1" applyFill="1" applyBorder="1" applyAlignment="1">
      <alignment horizontal="center" vertical="center" wrapText="1"/>
    </xf>
    <xf numFmtId="0" fontId="67" fillId="19" borderId="47" xfId="0" applyFont="1" applyFill="1" applyBorder="1" applyAlignment="1">
      <alignment horizontal="center" vertical="center" wrapText="1"/>
    </xf>
    <xf numFmtId="0" fontId="67" fillId="20" borderId="12" xfId="0" applyFont="1" applyFill="1" applyBorder="1" applyAlignment="1">
      <alignment horizontal="right" vertical="center"/>
    </xf>
    <xf numFmtId="0" fontId="67" fillId="20" borderId="19" xfId="0" applyFont="1" applyFill="1" applyBorder="1" applyAlignment="1">
      <alignment horizontal="right" vertical="center"/>
    </xf>
    <xf numFmtId="0" fontId="67" fillId="20" borderId="86" xfId="0" applyFont="1" applyFill="1" applyBorder="1" applyAlignment="1">
      <alignment horizontal="right" vertical="center"/>
    </xf>
    <xf numFmtId="0" fontId="60" fillId="0" borderId="12" xfId="0" applyFont="1" applyBorder="1" applyAlignment="1">
      <alignment horizontal="center" vertical="center" wrapText="1"/>
    </xf>
    <xf numFmtId="0" fontId="60" fillId="0" borderId="14" xfId="0" applyFont="1" applyBorder="1" applyAlignment="1">
      <alignment horizontal="center" vertical="center" wrapText="1"/>
    </xf>
    <xf numFmtId="0" fontId="61" fillId="0" borderId="85" xfId="0" applyFont="1" applyBorder="1" applyAlignment="1">
      <alignment horizontal="center" vertical="center" wrapText="1"/>
    </xf>
    <xf numFmtId="0" fontId="61" fillId="0" borderId="98" xfId="0" applyFont="1" applyBorder="1" applyAlignment="1">
      <alignment horizontal="center" vertical="center" wrapText="1"/>
    </xf>
    <xf numFmtId="0" fontId="61" fillId="0" borderId="43" xfId="0" applyFont="1" applyBorder="1" applyAlignment="1">
      <alignment horizontal="center" vertical="center" wrapText="1"/>
    </xf>
    <xf numFmtId="0" fontId="60" fillId="0" borderId="68" xfId="0" applyFont="1" applyBorder="1" applyAlignment="1">
      <alignment horizontal="center" vertical="center" wrapText="1"/>
    </xf>
    <xf numFmtId="0" fontId="60" fillId="0" borderId="80" xfId="0" applyFont="1" applyBorder="1" applyAlignment="1">
      <alignment horizontal="center" vertical="center" wrapText="1"/>
    </xf>
    <xf numFmtId="0" fontId="60" fillId="0" borderId="81" xfId="0" applyFont="1" applyBorder="1" applyAlignment="1">
      <alignment horizontal="center" vertical="center" wrapText="1"/>
    </xf>
    <xf numFmtId="0" fontId="60" fillId="0" borderId="82" xfId="0" applyFont="1" applyBorder="1" applyAlignment="1">
      <alignment horizontal="center" vertical="center" wrapText="1"/>
    </xf>
    <xf numFmtId="0" fontId="67" fillId="20" borderId="51" xfId="0" applyFont="1" applyFill="1" applyBorder="1" applyAlignment="1">
      <alignment horizontal="left" vertical="center"/>
    </xf>
    <xf numFmtId="0" fontId="67" fillId="20" borderId="52" xfId="0" applyFont="1" applyFill="1" applyBorder="1" applyAlignment="1">
      <alignment horizontal="left" vertical="center"/>
    </xf>
    <xf numFmtId="0" fontId="67" fillId="20" borderId="53" xfId="0" applyFont="1" applyFill="1" applyBorder="1" applyAlignment="1">
      <alignment horizontal="left" vertical="center"/>
    </xf>
    <xf numFmtId="0" fontId="67" fillId="20" borderId="16" xfId="0" applyFont="1" applyFill="1" applyBorder="1" applyAlignment="1">
      <alignment horizontal="left" vertical="center"/>
    </xf>
    <xf numFmtId="0" fontId="67" fillId="20" borderId="18" xfId="0" applyFont="1" applyFill="1" applyBorder="1" applyAlignment="1">
      <alignment horizontal="left" vertical="center"/>
    </xf>
    <xf numFmtId="0" fontId="67" fillId="20" borderId="17" xfId="0" applyFont="1" applyFill="1" applyBorder="1" applyAlignment="1">
      <alignment horizontal="left" vertical="center"/>
    </xf>
    <xf numFmtId="0" fontId="71" fillId="19" borderId="33" xfId="0" applyFont="1" applyFill="1" applyBorder="1" applyAlignment="1">
      <alignment horizontal="center" vertical="center" wrapText="1"/>
    </xf>
    <xf numFmtId="0" fontId="72" fillId="19" borderId="92" xfId="0" applyFont="1" applyFill="1" applyBorder="1" applyAlignment="1">
      <alignment horizontal="center" vertical="center" wrapText="1"/>
    </xf>
    <xf numFmtId="0" fontId="72" fillId="19" borderId="81" xfId="0" applyFont="1" applyFill="1" applyBorder="1" applyAlignment="1">
      <alignment horizontal="center" vertical="center" wrapText="1"/>
    </xf>
    <xf numFmtId="0" fontId="72" fillId="19" borderId="99" xfId="0" applyFont="1" applyFill="1" applyBorder="1" applyAlignment="1">
      <alignment horizontal="center" vertical="center" wrapText="1"/>
    </xf>
    <xf numFmtId="0" fontId="72" fillId="19" borderId="33" xfId="0" applyFont="1" applyFill="1" applyBorder="1" applyAlignment="1">
      <alignment horizontal="center" vertical="center" wrapText="1"/>
    </xf>
    <xf numFmtId="0" fontId="72" fillId="19" borderId="33" xfId="0" applyFont="1" applyFill="1" applyBorder="1" applyAlignment="1">
      <alignment horizontal="center" vertical="center"/>
    </xf>
    <xf numFmtId="0" fontId="72" fillId="19" borderId="92" xfId="0" applyFont="1" applyFill="1" applyBorder="1" applyAlignment="1">
      <alignment horizontal="center"/>
    </xf>
    <xf numFmtId="0" fontId="72" fillId="19" borderId="81" xfId="0" applyFont="1" applyFill="1" applyBorder="1" applyAlignment="1">
      <alignment horizontal="center"/>
    </xf>
    <xf numFmtId="0" fontId="72" fillId="19" borderId="99" xfId="0" applyFont="1" applyFill="1" applyBorder="1" applyAlignment="1">
      <alignment horizontal="center"/>
    </xf>
    <xf numFmtId="0" fontId="38" fillId="0" borderId="92" xfId="0" applyFont="1" applyBorder="1" applyAlignment="1" applyProtection="1">
      <alignment horizontal="left" vertical="center" wrapText="1"/>
      <protection locked="0"/>
    </xf>
    <xf numFmtId="0" fontId="38" fillId="0" borderId="99" xfId="0" applyFont="1" applyBorder="1" applyAlignment="1" applyProtection="1">
      <alignment horizontal="left" vertical="center" wrapText="1"/>
      <protection locked="0"/>
    </xf>
    <xf numFmtId="0" fontId="38" fillId="0" borderId="33" xfId="0" applyFont="1" applyBorder="1" applyAlignment="1" applyProtection="1">
      <alignment horizontal="left" vertical="center" wrapText="1"/>
      <protection locked="0"/>
    </xf>
    <xf numFmtId="0" fontId="38" fillId="0" borderId="81" xfId="0" applyFont="1" applyBorder="1" applyAlignment="1" applyProtection="1">
      <alignment horizontal="left" vertical="center" wrapText="1"/>
      <protection locked="0"/>
    </xf>
    <xf numFmtId="0" fontId="38" fillId="0" borderId="33" xfId="0" applyFont="1" applyBorder="1" applyAlignment="1" applyProtection="1">
      <alignment horizontal="left" vertical="center"/>
      <protection locked="0"/>
    </xf>
    <xf numFmtId="0" fontId="38" fillId="3" borderId="33" xfId="0" applyFont="1" applyFill="1" applyBorder="1" applyAlignment="1" applyProtection="1">
      <alignment horizontal="left" vertical="center" wrapText="1"/>
      <protection locked="0"/>
    </xf>
    <xf numFmtId="0" fontId="38" fillId="3" borderId="92" xfId="0" applyFont="1" applyFill="1" applyBorder="1" applyAlignment="1" applyProtection="1">
      <alignment horizontal="left" vertical="center" wrapText="1"/>
      <protection locked="0"/>
    </xf>
    <xf numFmtId="0" fontId="38" fillId="3" borderId="99" xfId="0" applyFont="1" applyFill="1" applyBorder="1" applyAlignment="1" applyProtection="1">
      <alignment horizontal="left" vertical="center" wrapText="1"/>
      <protection locked="0"/>
    </xf>
    <xf numFmtId="0" fontId="38" fillId="0" borderId="92" xfId="0" applyFont="1" applyBorder="1" applyAlignment="1" applyProtection="1">
      <alignment horizontal="center" vertical="center"/>
      <protection locked="0"/>
    </xf>
    <xf numFmtId="0" fontId="38" fillId="0" borderId="81"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8" fillId="0" borderId="92" xfId="0" applyFont="1" applyBorder="1" applyAlignment="1" applyProtection="1">
      <alignment horizontal="left" vertical="center"/>
      <protection locked="0"/>
    </xf>
    <xf numFmtId="0" fontId="38" fillId="0" borderId="81" xfId="0" applyFont="1" applyBorder="1" applyAlignment="1" applyProtection="1">
      <alignment horizontal="left" vertical="center"/>
      <protection locked="0"/>
    </xf>
    <xf numFmtId="0" fontId="38" fillId="0" borderId="99" xfId="0" applyFont="1" applyBorder="1" applyAlignment="1" applyProtection="1">
      <alignment horizontal="left" vertical="center"/>
      <protection locked="0"/>
    </xf>
    <xf numFmtId="0" fontId="72" fillId="19" borderId="33" xfId="0" applyFont="1" applyFill="1" applyBorder="1" applyAlignment="1">
      <alignment horizontal="center" vertical="center" textRotation="255"/>
    </xf>
    <xf numFmtId="0" fontId="72" fillId="19" borderId="81" xfId="0" applyFont="1" applyFill="1" applyBorder="1" applyAlignment="1">
      <alignment horizontal="center" vertical="center"/>
    </xf>
    <xf numFmtId="0" fontId="72" fillId="19" borderId="99" xfId="0" applyFont="1" applyFill="1" applyBorder="1" applyAlignment="1">
      <alignment horizontal="center" vertical="center"/>
    </xf>
    <xf numFmtId="0" fontId="38" fillId="3" borderId="33" xfId="0" applyFont="1" applyFill="1" applyBorder="1" applyAlignment="1" applyProtection="1">
      <alignment horizontal="left" vertical="center"/>
      <protection locked="0"/>
    </xf>
    <xf numFmtId="0" fontId="38" fillId="3" borderId="92" xfId="0" applyFont="1" applyFill="1" applyBorder="1" applyAlignment="1" applyProtection="1">
      <alignment horizontal="left" vertical="top" wrapText="1"/>
      <protection locked="0"/>
    </xf>
    <xf numFmtId="0" fontId="38" fillId="3" borderId="99" xfId="0" applyFont="1" applyFill="1" applyBorder="1" applyAlignment="1" applyProtection="1">
      <alignment horizontal="left" vertical="top" wrapText="1"/>
      <protection locked="0"/>
    </xf>
    <xf numFmtId="0" fontId="38" fillId="3" borderId="81" xfId="0" applyFont="1" applyFill="1" applyBorder="1" applyAlignment="1" applyProtection="1">
      <alignment horizontal="left" vertical="center" wrapText="1"/>
      <protection locked="0"/>
    </xf>
    <xf numFmtId="0" fontId="38" fillId="3" borderId="81" xfId="0" applyFont="1" applyFill="1" applyBorder="1" applyAlignment="1" applyProtection="1">
      <alignment horizontal="left" vertical="center"/>
      <protection locked="0"/>
    </xf>
    <xf numFmtId="0" fontId="38" fillId="3" borderId="99" xfId="0" applyFont="1" applyFill="1" applyBorder="1" applyAlignment="1" applyProtection="1">
      <alignment horizontal="left" vertical="center"/>
      <protection locked="0"/>
    </xf>
    <xf numFmtId="0" fontId="38" fillId="3" borderId="92" xfId="0" applyFont="1" applyFill="1" applyBorder="1" applyAlignment="1" applyProtection="1">
      <alignment horizontal="left" vertical="center"/>
      <protection locked="0"/>
    </xf>
    <xf numFmtId="0" fontId="72" fillId="19" borderId="33" xfId="0" applyFont="1" applyFill="1" applyBorder="1" applyAlignment="1">
      <alignment horizontal="center" wrapText="1"/>
    </xf>
    <xf numFmtId="0" fontId="72" fillId="19" borderId="33" xfId="0" applyFont="1" applyFill="1" applyBorder="1" applyAlignment="1">
      <alignment horizontal="center"/>
    </xf>
    <xf numFmtId="0" fontId="72" fillId="19" borderId="92" xfId="0" applyFont="1" applyFill="1" applyBorder="1" applyAlignment="1">
      <alignment horizontal="center" vertical="top" wrapText="1"/>
    </xf>
    <xf numFmtId="0" fontId="72" fillId="19" borderId="81" xfId="0" applyFont="1" applyFill="1" applyBorder="1" applyAlignment="1">
      <alignment horizontal="center" vertical="top"/>
    </xf>
    <xf numFmtId="0" fontId="72" fillId="19" borderId="99" xfId="0" applyFont="1" applyFill="1" applyBorder="1" applyAlignment="1">
      <alignment horizontal="center" vertical="top"/>
    </xf>
    <xf numFmtId="0" fontId="38" fillId="3" borderId="95" xfId="0" applyFont="1" applyFill="1" applyBorder="1" applyAlignment="1" applyProtection="1">
      <alignment horizontal="left" vertical="center"/>
      <protection locked="0"/>
    </xf>
    <xf numFmtId="0" fontId="38" fillId="3" borderId="92" xfId="0" applyFont="1" applyFill="1" applyBorder="1" applyAlignment="1" applyProtection="1">
      <alignment horizontal="center" vertical="center"/>
      <protection locked="0"/>
    </xf>
    <xf numFmtId="0" fontId="38" fillId="3" borderId="99" xfId="0" applyFont="1" applyFill="1" applyBorder="1" applyAlignment="1" applyProtection="1">
      <alignment horizontal="center" vertical="center"/>
      <protection locked="0"/>
    </xf>
    <xf numFmtId="0" fontId="38" fillId="3" borderId="81" xfId="0" applyFont="1" applyFill="1" applyBorder="1" applyAlignment="1" applyProtection="1">
      <alignment horizontal="center" vertical="center"/>
      <protection locked="0"/>
    </xf>
    <xf numFmtId="0" fontId="61" fillId="0" borderId="0" xfId="0" applyFont="1" applyAlignment="1">
      <alignment horizontal="center"/>
    </xf>
    <xf numFmtId="0" fontId="38" fillId="3" borderId="0" xfId="0" applyFont="1" applyFill="1" applyAlignment="1">
      <alignment horizontal="left"/>
    </xf>
    <xf numFmtId="0" fontId="50" fillId="0" borderId="100" xfId="0" applyFont="1" applyBorder="1" applyAlignment="1" applyProtection="1">
      <alignment horizontal="center" vertical="top" wrapText="1"/>
      <protection locked="0"/>
    </xf>
    <xf numFmtId="0" fontId="50" fillId="0" borderId="101" xfId="0" applyFont="1" applyBorder="1" applyAlignment="1" applyProtection="1">
      <alignment horizontal="center" vertical="top" wrapText="1"/>
      <protection locked="0"/>
    </xf>
    <xf numFmtId="0" fontId="50" fillId="0" borderId="102" xfId="0" applyFont="1" applyBorder="1" applyAlignment="1" applyProtection="1">
      <alignment horizontal="center" vertical="top" wrapText="1"/>
      <protection locked="0"/>
    </xf>
    <xf numFmtId="0" fontId="1" fillId="5" borderId="33" xfId="0" applyFont="1" applyFill="1" applyBorder="1" applyAlignment="1">
      <alignment horizontal="center" vertical="center" wrapText="1"/>
    </xf>
    <xf numFmtId="0" fontId="1" fillId="3" borderId="3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7" fillId="0" borderId="30" xfId="0" applyFont="1" applyBorder="1" applyAlignment="1" applyProtection="1">
      <alignment horizontal="center" vertical="top" wrapText="1"/>
      <protection locked="0"/>
    </xf>
    <xf numFmtId="0" fontId="27" fillId="0" borderId="76" xfId="0" applyFont="1" applyBorder="1" applyAlignment="1" applyProtection="1">
      <alignment horizontal="center" vertical="top" wrapText="1"/>
      <protection locked="0"/>
    </xf>
    <xf numFmtId="0" fontId="27" fillId="0" borderId="4" xfId="0" applyFont="1" applyBorder="1" applyAlignment="1" applyProtection="1">
      <alignment horizontal="center" vertical="top"/>
      <protection locked="0"/>
    </xf>
    <xf numFmtId="0" fontId="27" fillId="0" borderId="8" xfId="0" applyFont="1" applyBorder="1" applyAlignment="1" applyProtection="1">
      <alignment horizontal="center" vertical="top"/>
      <protection locked="0"/>
    </xf>
    <xf numFmtId="0" fontId="49" fillId="0" borderId="4" xfId="0" applyFont="1" applyBorder="1" applyAlignment="1" applyProtection="1">
      <alignment horizontal="center" vertical="top" wrapText="1"/>
      <protection hidden="1"/>
    </xf>
    <xf numFmtId="0" fontId="49" fillId="0" borderId="8" xfId="0" applyFont="1" applyBorder="1" applyAlignment="1" applyProtection="1">
      <alignment horizontal="center" vertical="top" wrapText="1"/>
      <protection hidden="1"/>
    </xf>
    <xf numFmtId="0" fontId="4" fillId="2" borderId="5"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27" fillId="0" borderId="4" xfId="0" applyFont="1" applyBorder="1" applyAlignment="1" applyProtection="1">
      <alignment horizontal="center" vertical="top" wrapText="1"/>
      <protection locked="0"/>
    </xf>
    <xf numFmtId="0" fontId="27" fillId="0" borderId="8" xfId="0" applyFont="1" applyBorder="1" applyAlignment="1" applyProtection="1">
      <alignment horizontal="center" vertical="top" wrapText="1"/>
      <protection locked="0"/>
    </xf>
    <xf numFmtId="0" fontId="27" fillId="0" borderId="28" xfId="0" applyFont="1" applyBorder="1" applyAlignment="1" applyProtection="1">
      <alignment horizontal="center" vertical="top" wrapText="1"/>
      <protection locked="0"/>
    </xf>
    <xf numFmtId="0" fontId="27" fillId="0" borderId="9" xfId="0" applyFont="1" applyBorder="1" applyAlignment="1" applyProtection="1">
      <alignment horizontal="center" vertical="top" wrapText="1"/>
      <protection locked="0"/>
    </xf>
    <xf numFmtId="0" fontId="50" fillId="0" borderId="75" xfId="0" applyFont="1" applyBorder="1" applyAlignment="1" applyProtection="1">
      <alignment horizontal="center" vertical="top" wrapText="1"/>
      <protection locked="0"/>
    </xf>
    <xf numFmtId="0" fontId="49" fillId="0" borderId="4" xfId="0" applyFont="1" applyBorder="1" applyAlignment="1" applyProtection="1">
      <alignment horizontal="center" vertical="top"/>
      <protection hidden="1"/>
    </xf>
    <xf numFmtId="0" fontId="49" fillId="0" borderId="8" xfId="0" applyFont="1" applyBorder="1" applyAlignment="1" applyProtection="1">
      <alignment horizontal="center" vertical="top"/>
      <protection hidden="1"/>
    </xf>
    <xf numFmtId="9" fontId="27" fillId="0" borderId="4" xfId="0" applyNumberFormat="1" applyFont="1" applyBorder="1" applyAlignment="1" applyProtection="1">
      <alignment horizontal="center" vertical="top" wrapText="1"/>
      <protection hidden="1"/>
    </xf>
    <xf numFmtId="9" fontId="27" fillId="0" borderId="8" xfId="0" applyNumberFormat="1" applyFont="1" applyBorder="1" applyAlignment="1" applyProtection="1">
      <alignment horizontal="center" vertical="top" wrapText="1"/>
      <protection hidden="1"/>
    </xf>
    <xf numFmtId="9" fontId="27" fillId="0" borderId="4" xfId="0" applyNumberFormat="1" applyFont="1" applyBorder="1" applyAlignment="1" applyProtection="1">
      <alignment horizontal="center" vertical="top" wrapText="1"/>
      <protection locked="0"/>
    </xf>
    <xf numFmtId="9" fontId="27" fillId="0" borderId="8" xfId="0" applyNumberFormat="1" applyFont="1" applyBorder="1" applyAlignment="1" applyProtection="1">
      <alignment horizontal="center" vertical="top" wrapText="1"/>
      <protection locked="0"/>
    </xf>
    <xf numFmtId="0" fontId="50" fillId="0" borderId="100" xfId="0" applyFont="1" applyBorder="1" applyAlignment="1" applyProtection="1">
      <alignment horizontal="center" vertical="center" wrapText="1"/>
      <protection locked="0"/>
    </xf>
    <xf numFmtId="0" fontId="50" fillId="0" borderId="101" xfId="0" applyFont="1" applyBorder="1" applyAlignment="1" applyProtection="1">
      <alignment horizontal="center" vertical="center" wrapText="1"/>
      <protection locked="0"/>
    </xf>
    <xf numFmtId="0" fontId="1" fillId="0" borderId="30" xfId="0" applyFont="1" applyBorder="1" applyAlignment="1" applyProtection="1">
      <alignment horizontal="center" vertical="top" wrapText="1"/>
      <protection locked="0"/>
    </xf>
    <xf numFmtId="0" fontId="1" fillId="0" borderId="76" xfId="0" applyFont="1" applyBorder="1" applyAlignment="1" applyProtection="1">
      <alignment horizontal="center" vertical="top" wrapText="1"/>
      <protection locked="0"/>
    </xf>
    <xf numFmtId="0" fontId="1" fillId="0" borderId="32"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27" fillId="3" borderId="107" xfId="0" applyFont="1" applyFill="1" applyBorder="1" applyAlignment="1" applyProtection="1">
      <alignment horizontal="center" vertical="center"/>
      <protection locked="0"/>
    </xf>
    <xf numFmtId="0" fontId="27" fillId="3" borderId="108" xfId="0" applyFont="1" applyFill="1" applyBorder="1" applyAlignment="1" applyProtection="1">
      <alignment horizontal="center" vertical="center"/>
      <protection locked="0"/>
    </xf>
    <xf numFmtId="0" fontId="27" fillId="3" borderId="109" xfId="0" applyFont="1" applyFill="1" applyBorder="1" applyAlignment="1" applyProtection="1">
      <alignment horizontal="center" vertical="center"/>
      <protection locked="0"/>
    </xf>
    <xf numFmtId="0" fontId="27" fillId="3" borderId="75" xfId="0" applyFont="1" applyFill="1" applyBorder="1" applyAlignment="1" applyProtection="1">
      <alignment horizontal="center" vertical="center" wrapText="1"/>
      <protection locked="0"/>
    </xf>
    <xf numFmtId="0" fontId="4" fillId="2" borderId="2" xfId="0" applyFont="1" applyFill="1" applyBorder="1" applyAlignment="1">
      <alignment horizontal="center" vertical="center"/>
    </xf>
    <xf numFmtId="0" fontId="1" fillId="0" borderId="28"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1" fillId="0" borderId="5" xfId="0" applyFont="1" applyBorder="1" applyAlignment="1">
      <alignment horizontal="center" vertical="center"/>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17" fontId="1" fillId="0" borderId="4" xfId="0" applyNumberFormat="1" applyFont="1" applyBorder="1" applyAlignment="1" applyProtection="1">
      <alignment horizontal="center" vertical="center" wrapText="1"/>
      <protection locked="0"/>
    </xf>
    <xf numFmtId="17" fontId="1" fillId="0" borderId="103" xfId="0" applyNumberFormat="1" applyFont="1" applyBorder="1" applyAlignment="1" applyProtection="1">
      <alignment horizontal="center" vertical="center" wrapText="1"/>
      <protection locked="0"/>
    </xf>
    <xf numFmtId="0" fontId="27" fillId="0" borderId="28" xfId="0" applyFont="1" applyBorder="1" applyAlignment="1" applyProtection="1">
      <alignment horizontal="center" vertical="center"/>
      <protection locked="0"/>
    </xf>
    <xf numFmtId="0" fontId="27" fillId="0" borderId="3" xfId="0" applyFont="1" applyBorder="1" applyAlignment="1" applyProtection="1">
      <alignment horizontal="center" vertical="center"/>
      <protection locked="0"/>
    </xf>
    <xf numFmtId="0" fontId="27" fillId="0" borderId="5" xfId="0" applyFont="1" applyBorder="1" applyAlignment="1" applyProtection="1">
      <alignment horizontal="center" vertical="top" wrapText="1"/>
      <protection locked="0"/>
    </xf>
    <xf numFmtId="0" fontId="27" fillId="0" borderId="4" xfId="0" applyFont="1" applyBorder="1" applyAlignment="1" applyProtection="1">
      <alignment horizontal="center" vertical="center" wrapText="1"/>
      <protection locked="0"/>
    </xf>
    <xf numFmtId="0" fontId="27" fillId="0" borderId="5" xfId="0" applyFont="1" applyBorder="1" applyAlignment="1" applyProtection="1">
      <alignment horizontal="center" vertical="center" wrapText="1"/>
      <protection locked="0"/>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4" fillId="2" borderId="6" xfId="0" applyFont="1" applyFill="1" applyBorder="1" applyAlignment="1">
      <alignment horizontal="center" vertical="center" wrapText="1"/>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0" borderId="100" xfId="0" applyFont="1" applyBorder="1" applyAlignment="1" applyProtection="1">
      <alignment horizontal="center" vertical="center" wrapText="1"/>
      <protection locked="0"/>
    </xf>
    <xf numFmtId="0" fontId="2" fillId="0" borderId="101" xfId="0" applyFont="1" applyBorder="1" applyAlignment="1" applyProtection="1">
      <alignment horizontal="center" vertical="center" wrapText="1"/>
      <protection locked="0"/>
    </xf>
    <xf numFmtId="0" fontId="2" fillId="0" borderId="102" xfId="0" applyFont="1" applyBorder="1" applyAlignment="1" applyProtection="1">
      <alignment horizontal="center" vertical="center" wrapText="1"/>
      <protection locked="0"/>
    </xf>
    <xf numFmtId="0" fontId="50" fillId="0" borderId="102" xfId="0" applyFont="1" applyBorder="1" applyAlignment="1" applyProtection="1">
      <alignment horizontal="center" vertical="center" wrapText="1"/>
      <protection locked="0"/>
    </xf>
    <xf numFmtId="0" fontId="1" fillId="0" borderId="104" xfId="0" applyFont="1" applyBorder="1" applyAlignment="1" applyProtection="1">
      <alignment horizontal="center" vertical="center" wrapText="1"/>
      <protection locked="0"/>
    </xf>
    <xf numFmtId="0" fontId="1" fillId="0" borderId="105" xfId="0" applyFont="1" applyBorder="1" applyAlignment="1" applyProtection="1">
      <alignment horizontal="center" vertical="center" wrapText="1"/>
      <protection locked="0"/>
    </xf>
    <xf numFmtId="0" fontId="1" fillId="0" borderId="106" xfId="0" applyFont="1" applyBorder="1" applyAlignment="1" applyProtection="1">
      <alignment horizontal="center" vertical="center" wrapText="1"/>
      <protection locked="0"/>
    </xf>
    <xf numFmtId="0" fontId="1" fillId="0" borderId="100" xfId="0" applyFont="1" applyBorder="1" applyAlignment="1" applyProtection="1">
      <alignment horizontal="center" vertical="top" wrapText="1"/>
      <protection locked="0"/>
    </xf>
    <xf numFmtId="0" fontId="1" fillId="0" borderId="101" xfId="0" applyFont="1" applyBorder="1" applyAlignment="1" applyProtection="1">
      <alignment horizontal="center" vertical="top" wrapText="1"/>
      <protection locked="0"/>
    </xf>
    <xf numFmtId="0" fontId="1" fillId="0" borderId="102" xfId="0" applyFont="1" applyBorder="1" applyAlignment="1" applyProtection="1">
      <alignment horizontal="center" vertical="top" wrapText="1"/>
      <protection locked="0"/>
    </xf>
    <xf numFmtId="0" fontId="6" fillId="0" borderId="4"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27" fillId="0" borderId="4" xfId="0" applyFont="1" applyBorder="1" applyAlignment="1" applyProtection="1">
      <alignment horizontal="center" vertical="top" textRotation="90"/>
      <protection locked="0"/>
    </xf>
    <xf numFmtId="0" fontId="27" fillId="0" borderId="8" xfId="0" applyFont="1" applyBorder="1" applyAlignment="1" applyProtection="1">
      <alignment horizontal="center" vertical="top" textRotation="90"/>
      <protection locked="0"/>
    </xf>
    <xf numFmtId="0" fontId="27" fillId="0" borderId="5" xfId="0" applyFont="1" applyBorder="1" applyAlignment="1" applyProtection="1">
      <alignment horizontal="center" vertical="top" textRotation="90"/>
      <protection locked="0"/>
    </xf>
    <xf numFmtId="0" fontId="1" fillId="0" borderId="4" xfId="0" applyFont="1" applyBorder="1" applyAlignment="1" applyProtection="1">
      <alignment horizontal="center" vertical="top"/>
      <protection hidden="1"/>
    </xf>
    <xf numFmtId="0" fontId="1" fillId="0" borderId="8" xfId="0" applyFont="1" applyBorder="1" applyAlignment="1" applyProtection="1">
      <alignment horizontal="center" vertical="top"/>
      <protection hidden="1"/>
    </xf>
    <xf numFmtId="0" fontId="1" fillId="0" borderId="5" xfId="0" applyFont="1" applyBorder="1" applyAlignment="1" applyProtection="1">
      <alignment horizontal="center" vertical="top"/>
      <protection hidden="1"/>
    </xf>
    <xf numFmtId="9" fontId="27" fillId="0" borderId="4" xfId="0" applyNumberFormat="1" applyFont="1" applyBorder="1" applyAlignment="1" applyProtection="1">
      <alignment horizontal="center" vertical="top"/>
      <protection hidden="1"/>
    </xf>
    <xf numFmtId="9" fontId="27" fillId="0" borderId="8" xfId="0" applyNumberFormat="1" applyFont="1" applyBorder="1" applyAlignment="1" applyProtection="1">
      <alignment horizontal="center" vertical="top"/>
      <protection hidden="1"/>
    </xf>
    <xf numFmtId="9" fontId="27" fillId="0" borderId="5" xfId="0" applyNumberFormat="1" applyFont="1" applyBorder="1" applyAlignment="1" applyProtection="1">
      <alignment horizontal="center" vertical="top"/>
      <protection hidden="1"/>
    </xf>
    <xf numFmtId="0" fontId="49" fillId="0" borderId="4" xfId="0" applyFont="1" applyBorder="1" applyAlignment="1" applyProtection="1">
      <alignment horizontal="center" vertical="top" textRotation="90"/>
      <protection hidden="1"/>
    </xf>
    <xf numFmtId="0" fontId="49" fillId="0" borderId="8" xfId="0" applyFont="1" applyBorder="1" applyAlignment="1" applyProtection="1">
      <alignment horizontal="center" vertical="top" textRotation="90"/>
      <protection hidden="1"/>
    </xf>
    <xf numFmtId="0" fontId="49" fillId="0" borderId="5" xfId="0" applyFont="1" applyBorder="1" applyAlignment="1" applyProtection="1">
      <alignment horizontal="center" vertical="top" textRotation="90"/>
      <protection hidden="1"/>
    </xf>
    <xf numFmtId="17" fontId="1" fillId="0" borderId="8" xfId="0" applyNumberFormat="1" applyFont="1" applyBorder="1" applyAlignment="1" applyProtection="1">
      <alignment horizontal="center" vertical="center" wrapText="1"/>
      <protection locked="0"/>
    </xf>
    <xf numFmtId="17" fontId="1" fillId="0" borderId="5" xfId="0" applyNumberFormat="1" applyFont="1" applyBorder="1" applyAlignment="1" applyProtection="1">
      <alignment horizontal="center" vertical="center" wrapText="1"/>
      <protection locked="0"/>
    </xf>
    <xf numFmtId="164" fontId="1" fillId="0" borderId="4" xfId="1" applyNumberFormat="1" applyFont="1" applyBorder="1" applyAlignment="1">
      <alignment horizontal="center" vertical="top"/>
    </xf>
    <xf numFmtId="164" fontId="1" fillId="0" borderId="8" xfId="1" applyNumberFormat="1" applyFont="1" applyBorder="1" applyAlignment="1">
      <alignment horizontal="center" vertical="top"/>
    </xf>
    <xf numFmtId="164" fontId="1" fillId="0" borderId="5" xfId="1" applyNumberFormat="1" applyFont="1" applyBorder="1" applyAlignment="1">
      <alignment horizontal="center" vertical="top"/>
    </xf>
    <xf numFmtId="0" fontId="49" fillId="0" borderId="4" xfId="0" applyFont="1" applyBorder="1" applyAlignment="1" applyProtection="1">
      <alignment horizontal="center" vertical="top" textRotation="90" wrapText="1"/>
      <protection hidden="1"/>
    </xf>
    <xf numFmtId="0" fontId="49" fillId="0" borderId="8" xfId="0" applyFont="1" applyBorder="1" applyAlignment="1" applyProtection="1">
      <alignment horizontal="center" vertical="top" textRotation="90" wrapText="1"/>
      <protection hidden="1"/>
    </xf>
    <xf numFmtId="0" fontId="49" fillId="0" borderId="5" xfId="0" applyFont="1" applyBorder="1" applyAlignment="1" applyProtection="1">
      <alignment horizontal="center" vertical="top" textRotation="90" wrapText="1"/>
      <protection hidden="1"/>
    </xf>
    <xf numFmtId="0" fontId="1" fillId="0" borderId="2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24" fillId="0" borderId="0" xfId="0" applyFont="1" applyAlignment="1">
      <alignment horizontal="center" vertical="center" wrapText="1"/>
    </xf>
    <xf numFmtId="0" fontId="19" fillId="5" borderId="14"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6" fillId="0" borderId="19" xfId="0" applyFont="1" applyBorder="1" applyAlignment="1">
      <alignment horizontal="center" vertical="center" wrapText="1"/>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3" xfId="0" applyFont="1" applyBorder="1" applyAlignment="1">
      <alignment horizontal="center" vertical="center"/>
    </xf>
    <xf numFmtId="0" fontId="35" fillId="0" borderId="14" xfId="0" applyFont="1" applyBorder="1" applyAlignment="1">
      <alignment horizontal="center" vertical="center"/>
    </xf>
    <xf numFmtId="0" fontId="35" fillId="0" borderId="0" xfId="0" applyFont="1" applyAlignment="1">
      <alignment horizontal="center" vertical="center"/>
    </xf>
    <xf numFmtId="0" fontId="35" fillId="0" borderId="15"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5" fillId="0" borderId="17" xfId="0" applyFont="1" applyBorder="1" applyAlignment="1">
      <alignment horizontal="center" vertical="center"/>
    </xf>
    <xf numFmtId="0" fontId="35" fillId="0" borderId="19" xfId="0" applyFont="1" applyBorder="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4" xfId="0" applyFont="1" applyBorder="1" applyAlignment="1">
      <alignment horizontal="center" vertical="center" wrapText="1"/>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45">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sheetMetadata" Target="metadata.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733425</xdr:colOff>
      <xdr:row>0</xdr:row>
      <xdr:rowOff>38100</xdr:rowOff>
    </xdr:from>
    <xdr:to>
      <xdr:col>5</xdr:col>
      <xdr:colOff>1249680</xdr:colOff>
      <xdr:row>3</xdr:row>
      <xdr:rowOff>146685</xdr:rowOff>
    </xdr:to>
    <xdr:pic>
      <xdr:nvPicPr>
        <xdr:cNvPr id="2" name="1 Imagen" descr="logocapitalmusical">
          <a:extLst>
            <a:ext uri="{FF2B5EF4-FFF2-40B4-BE49-F238E27FC236}">
              <a16:creationId xmlns:a16="http://schemas.microsoft.com/office/drawing/2014/main" id="{ECC614D7-C7AC-45F1-BF82-7EAD27F866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4902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119065</xdr:colOff>
      <xdr:row>0</xdr:row>
      <xdr:rowOff>71437</xdr:rowOff>
    </xdr:from>
    <xdr:to>
      <xdr:col>0</xdr:col>
      <xdr:colOff>1830229</xdr:colOff>
      <xdr:row>4</xdr:row>
      <xdr:rowOff>6668</xdr:rowOff>
    </xdr:to>
    <xdr:pic>
      <xdr:nvPicPr>
        <xdr:cNvPr id="3" name="2 Imagen" descr="logotipo alcaldia version para documentos word">
          <a:extLst>
            <a:ext uri="{FF2B5EF4-FFF2-40B4-BE49-F238E27FC236}">
              <a16:creationId xmlns:a16="http://schemas.microsoft.com/office/drawing/2014/main" id="{A1BB7541-11FB-4608-BEB7-19643CFD0CE2}"/>
            </a:ext>
          </a:extLst>
        </xdr:cNvPr>
        <xdr:cNvPicPr/>
      </xdr:nvPicPr>
      <xdr:blipFill>
        <a:blip xmlns:r="http://schemas.openxmlformats.org/officeDocument/2006/relationships" r:embed="rId2"/>
        <a:srcRect/>
        <a:stretch>
          <a:fillRect/>
        </a:stretch>
      </xdr:blipFill>
      <xdr:spPr bwMode="auto">
        <a:xfrm>
          <a:off x="119065" y="71437"/>
          <a:ext cx="1726404" cy="66675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69056</xdr:rowOff>
    </xdr:from>
    <xdr:to>
      <xdr:col>1</xdr:col>
      <xdr:colOff>1280160</xdr:colOff>
      <xdr:row>3</xdr:row>
      <xdr:rowOff>126596</xdr:rowOff>
    </xdr:to>
    <xdr:pic>
      <xdr:nvPicPr>
        <xdr:cNvPr id="2" name="3 Imagen" descr="logotipo alcaldia version para documentos word">
          <a:extLst>
            <a:ext uri="{FF2B5EF4-FFF2-40B4-BE49-F238E27FC236}">
              <a16:creationId xmlns:a16="http://schemas.microsoft.com/office/drawing/2014/main" id="{2842B543-1CA7-45FE-8427-BBD5F4B7E54F}"/>
            </a:ext>
          </a:extLst>
        </xdr:cNvPr>
        <xdr:cNvPicPr/>
      </xdr:nvPicPr>
      <xdr:blipFill>
        <a:blip xmlns:r="http://schemas.openxmlformats.org/officeDocument/2006/relationships" r:embed="rId1"/>
        <a:srcRect/>
        <a:stretch>
          <a:fillRect/>
        </a:stretch>
      </xdr:blipFill>
      <xdr:spPr bwMode="auto">
        <a:xfrm>
          <a:off x="0" y="69056"/>
          <a:ext cx="1645920" cy="606180"/>
        </a:xfrm>
        <a:prstGeom prst="rect">
          <a:avLst/>
        </a:prstGeom>
        <a:noFill/>
        <a:ln w="9525">
          <a:noFill/>
          <a:miter lim="800000"/>
          <a:headEnd/>
          <a:tailEnd/>
        </a:ln>
      </xdr:spPr>
    </xdr:pic>
    <xdr:clientData/>
  </xdr:twoCellAnchor>
  <xdr:twoCellAnchor>
    <xdr:from>
      <xdr:col>0</xdr:col>
      <xdr:colOff>0</xdr:colOff>
      <xdr:row>25</xdr:row>
      <xdr:rowOff>288633</xdr:rowOff>
    </xdr:from>
    <xdr:to>
      <xdr:col>0</xdr:col>
      <xdr:colOff>1</xdr:colOff>
      <xdr:row>39</xdr:row>
      <xdr:rowOff>288634</xdr:rowOff>
    </xdr:to>
    <xdr:sp macro="" textlink="">
      <xdr:nvSpPr>
        <xdr:cNvPr id="3" name="CuadroTexto 2">
          <a:extLst>
            <a:ext uri="{FF2B5EF4-FFF2-40B4-BE49-F238E27FC236}">
              <a16:creationId xmlns:a16="http://schemas.microsoft.com/office/drawing/2014/main" id="{8335E96B-B5F1-48E3-8253-E8FA7A702D9F}"/>
            </a:ext>
          </a:extLst>
        </xdr:cNvPr>
        <xdr:cNvSpPr txBox="1"/>
      </xdr:nvSpPr>
      <xdr:spPr>
        <a:xfrm rot="16200000">
          <a:off x="-3928110" y="16431603"/>
          <a:ext cx="7856221" cy="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a:latin typeface="Arial" panose="020B0604020202020204" pitchFamily="34" charset="0"/>
              <a:cs typeface="Arial" panose="020B0604020202020204" pitchFamily="34" charset="0"/>
            </a:rPr>
            <a:t>D</a:t>
          </a:r>
          <a:r>
            <a:rPr lang="es-CO" sz="1200" b="1" baseline="0">
              <a:latin typeface="Arial" panose="020B0604020202020204" pitchFamily="34" charset="0"/>
              <a:cs typeface="Arial" panose="020B0604020202020204" pitchFamily="34" charset="0"/>
            </a:rPr>
            <a:t>  E  B  I  L  I  D  A  D  E  </a:t>
          </a:r>
          <a:r>
            <a:rPr lang="es-CO" sz="1200" b="1">
              <a:latin typeface="Arial" panose="020B0604020202020204" pitchFamily="34" charset="0"/>
              <a:cs typeface="Arial" panose="020B0604020202020204" pitchFamily="34" charset="0"/>
            </a:rPr>
            <a:t> S</a:t>
          </a:r>
        </a:p>
      </xdr:txBody>
    </xdr:sp>
    <xdr:clientData/>
  </xdr:twoCellAnchor>
  <xdr:twoCellAnchor>
    <xdr:from>
      <xdr:col>19</xdr:col>
      <xdr:colOff>2222499</xdr:colOff>
      <xdr:row>0</xdr:row>
      <xdr:rowOff>0</xdr:rowOff>
    </xdr:from>
    <xdr:to>
      <xdr:col>19</xdr:col>
      <xdr:colOff>3030680</xdr:colOff>
      <xdr:row>3</xdr:row>
      <xdr:rowOff>187614</xdr:rowOff>
    </xdr:to>
    <xdr:sp macro="" textlink="">
      <xdr:nvSpPr>
        <xdr:cNvPr id="4" name="CuadroTexto 3">
          <a:extLst>
            <a:ext uri="{FF2B5EF4-FFF2-40B4-BE49-F238E27FC236}">
              <a16:creationId xmlns:a16="http://schemas.microsoft.com/office/drawing/2014/main" id="{319AEEC8-6C98-49FA-8CBF-0E123D8E50AC}"/>
            </a:ext>
          </a:extLst>
        </xdr:cNvPr>
        <xdr:cNvSpPr txBox="1"/>
      </xdr:nvSpPr>
      <xdr:spPr>
        <a:xfrm>
          <a:off x="12547599" y="0"/>
          <a:ext cx="461" cy="108677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18</xdr:col>
      <xdr:colOff>149341</xdr:colOff>
      <xdr:row>0</xdr:row>
      <xdr:rowOff>43584</xdr:rowOff>
    </xdr:from>
    <xdr:to>
      <xdr:col>18</xdr:col>
      <xdr:colOff>760095</xdr:colOff>
      <xdr:row>3</xdr:row>
      <xdr:rowOff>152330</xdr:rowOff>
    </xdr:to>
    <xdr:pic>
      <xdr:nvPicPr>
        <xdr:cNvPr id="5" name="Imagen 4">
          <a:extLst>
            <a:ext uri="{FF2B5EF4-FFF2-40B4-BE49-F238E27FC236}">
              <a16:creationId xmlns:a16="http://schemas.microsoft.com/office/drawing/2014/main" id="{43C194FD-F4FA-4EF5-A55A-8B4057FFFC93}"/>
            </a:ext>
          </a:extLst>
        </xdr:cNvPr>
        <xdr:cNvPicPr>
          <a:picLocks noChangeAspect="1"/>
        </xdr:cNvPicPr>
      </xdr:nvPicPr>
      <xdr:blipFill>
        <a:blip xmlns:r="http://schemas.openxmlformats.org/officeDocument/2006/relationships" r:embed="rId2"/>
        <a:stretch>
          <a:fillRect/>
        </a:stretch>
      </xdr:blipFill>
      <xdr:spPr>
        <a:xfrm>
          <a:off x="10459201" y="43584"/>
          <a:ext cx="610754" cy="657386"/>
        </a:xfrm>
        <a:prstGeom prst="rect">
          <a:avLst/>
        </a:prstGeom>
      </xdr:spPr>
    </xdr:pic>
    <xdr:clientData/>
  </xdr:twoCellAnchor>
  <xdr:twoCellAnchor>
    <xdr:from>
      <xdr:col>0</xdr:col>
      <xdr:colOff>0</xdr:colOff>
      <xdr:row>40</xdr:row>
      <xdr:rowOff>0</xdr:rowOff>
    </xdr:from>
    <xdr:to>
      <xdr:col>0</xdr:col>
      <xdr:colOff>2</xdr:colOff>
      <xdr:row>40</xdr:row>
      <xdr:rowOff>0</xdr:rowOff>
    </xdr:to>
    <xdr:sp macro="" textlink="">
      <xdr:nvSpPr>
        <xdr:cNvPr id="6" name="CuadroTexto 5">
          <a:extLst>
            <a:ext uri="{FF2B5EF4-FFF2-40B4-BE49-F238E27FC236}">
              <a16:creationId xmlns:a16="http://schemas.microsoft.com/office/drawing/2014/main" id="{7E56F4DA-FB72-4ABB-A604-DFFDE4AACB60}"/>
            </a:ext>
          </a:extLst>
        </xdr:cNvPr>
        <xdr:cNvSpPr txBox="1"/>
      </xdr:nvSpPr>
      <xdr:spPr>
        <a:xfrm rot="16200000">
          <a:off x="1" y="20703539"/>
          <a:ext cx="0" cy="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baseline="0">
              <a:latin typeface="Arial" panose="020B0604020202020204" pitchFamily="34" charset="0"/>
              <a:cs typeface="Arial" panose="020B0604020202020204" pitchFamily="34" charset="0"/>
            </a:rPr>
            <a:t>D E L  P R O C E S 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219574</xdr:colOff>
      <xdr:row>0</xdr:row>
      <xdr:rowOff>67862</xdr:rowOff>
    </xdr:from>
    <xdr:to>
      <xdr:col>9</xdr:col>
      <xdr:colOff>743449</xdr:colOff>
      <xdr:row>3</xdr:row>
      <xdr:rowOff>176447</xdr:rowOff>
    </xdr:to>
    <xdr:pic>
      <xdr:nvPicPr>
        <xdr:cNvPr id="2" name="1 Imagen" descr="logocapitalmusical">
          <a:extLst>
            <a:ext uri="{FF2B5EF4-FFF2-40B4-BE49-F238E27FC236}">
              <a16:creationId xmlns:a16="http://schemas.microsoft.com/office/drawing/2014/main" id="{F136B4F5-BF48-485D-A946-EDA07EB6A3A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85054" y="67862"/>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111331</xdr:colOff>
      <xdr:row>0</xdr:row>
      <xdr:rowOff>77931</xdr:rowOff>
    </xdr:from>
    <xdr:to>
      <xdr:col>2</xdr:col>
      <xdr:colOff>1236617</xdr:colOff>
      <xdr:row>3</xdr:row>
      <xdr:rowOff>136510</xdr:rowOff>
    </xdr:to>
    <xdr:pic>
      <xdr:nvPicPr>
        <xdr:cNvPr id="3" name="2 Imagen" descr="logotipo alcaldia version para documentos word">
          <a:extLst>
            <a:ext uri="{FF2B5EF4-FFF2-40B4-BE49-F238E27FC236}">
              <a16:creationId xmlns:a16="http://schemas.microsoft.com/office/drawing/2014/main" id="{6BCBEBAA-F0BB-42A9-A7B0-EDCAB97579DA}"/>
            </a:ext>
          </a:extLst>
        </xdr:cNvPr>
        <xdr:cNvPicPr/>
      </xdr:nvPicPr>
      <xdr:blipFill>
        <a:blip xmlns:r="http://schemas.openxmlformats.org/officeDocument/2006/relationships" r:embed="rId2"/>
        <a:srcRect/>
        <a:stretch>
          <a:fillRect/>
        </a:stretch>
      </xdr:blipFill>
      <xdr:spPr bwMode="auto">
        <a:xfrm>
          <a:off x="111331" y="77931"/>
          <a:ext cx="2039686" cy="60721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CLAUDIA%20INFRA%202024-2027\A&#209;O%202024\INFORMES\PLANEACION\SIGAMI\MAPA%20DE%20RIESGOS\MAPA%20RIESGOS%20CORRUPCION%20PROCESO%20GESTION%20DE%20INFRAESTRUCTURA%20Y%20OBRAS%20PUBLICAS%20%201501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ria%20Paula\Downloads\46942-MR-20230216141848(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HOME\Downloads\Formato%20Matriz%20de%20Riesgos%202021%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CLAUDIA%20INFRA%202020-2023\2023\INFORMES\PLANEACION\SIGAMI\MAPA%20DE%20RIESGOS\GESTION\MAPA%20DE%20RIESGOS%20DE%20GESTION%20-%20SEGUIMIENTO%20NOV-DIC%202023%20%20-%200901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CORRUPCIÓN"/>
      <sheetName val="Hoja13"/>
      <sheetName val="NOO"/>
      <sheetName val="N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CORRUPCIÓN"/>
      <sheetName val="Hoja13"/>
      <sheetName val="NOO"/>
      <sheetName val="NO"/>
    </sheetNames>
    <sheetDataSet>
      <sheetData sheetId="0"/>
      <sheetData sheetId="1">
        <row r="1">
          <cell r="B1" t="str">
            <v xml:space="preserve">PROCESO: </v>
          </cell>
        </row>
        <row r="8">
          <cell r="A8" t="str">
            <v xml:space="preserve">PROCESO: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Valoración controles"/>
      <sheetName val="Opciones Tratamiento"/>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Tabla Impacto"/>
      <sheetName val="Mapa final"/>
      <sheetName val="Hoja2"/>
      <sheetName val="Matriz Calor Inherente"/>
      <sheetName val="Matriz Calor Residual"/>
      <sheetName val="Tabla probabilidad"/>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C00-000000000000}" name="TablaDinámica1" cacheId="1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44">
      <pivotArea type="all" dataOnly="0" outline="0" fieldPosition="0"/>
    </format>
    <format dxfId="43">
      <pivotArea field="0" type="button" dataOnly="0" labelOnly="1" outline="0" axis="axisRow" fieldPosition="0"/>
    </format>
    <format dxfId="42">
      <pivotArea field="1" type="button" dataOnly="0" labelOnly="1" outline="0" axis="axisRow" fieldPosition="1"/>
    </format>
    <format dxfId="41">
      <pivotArea dataOnly="0" labelOnly="1" outline="0" fieldPosition="0">
        <references count="1">
          <reference field="0" count="0"/>
        </references>
      </pivotArea>
    </format>
    <format dxfId="40">
      <pivotArea dataOnly="0" labelOnly="1" outline="0" fieldPosition="0">
        <references count="2">
          <reference field="0" count="1" selected="0">
            <x v="0"/>
          </reference>
          <reference field="1" count="5">
            <x v="0"/>
            <x v="6"/>
            <x v="7"/>
            <x v="8"/>
            <x v="9"/>
          </reference>
        </references>
      </pivotArea>
    </format>
    <format dxfId="39">
      <pivotArea dataOnly="0" labelOnly="1" outline="0" fieldPosition="0">
        <references count="2">
          <reference field="0" count="1" selected="0">
            <x v="1"/>
          </reference>
          <reference field="1" count="5">
            <x v="1"/>
            <x v="2"/>
            <x v="3"/>
            <x v="4"/>
            <x v="5"/>
          </reference>
        </references>
      </pivotArea>
    </format>
    <format dxfId="38">
      <pivotArea type="all" dataOnly="0" outline="0" fieldPosition="0"/>
    </format>
    <format dxfId="37">
      <pivotArea field="0" type="button" dataOnly="0" labelOnly="1" outline="0" axis="axisRow" fieldPosition="0"/>
    </format>
    <format dxfId="36">
      <pivotArea field="1" type="button" dataOnly="0" labelOnly="1" outline="0" axis="axisRow" fieldPosition="1"/>
    </format>
    <format dxfId="35">
      <pivotArea dataOnly="0" labelOnly="1" outline="0" fieldPosition="0">
        <references count="1">
          <reference field="0" count="0"/>
        </references>
      </pivotArea>
    </format>
    <format dxfId="34">
      <pivotArea dataOnly="0" labelOnly="1" outline="0" fieldPosition="0">
        <references count="2">
          <reference field="0" count="1" selected="0">
            <x v="0"/>
          </reference>
          <reference field="1" count="5">
            <x v="10"/>
            <x v="11"/>
            <x v="12"/>
            <x v="13"/>
            <x v="14"/>
          </reference>
        </references>
      </pivotArea>
    </format>
    <format dxfId="33">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2" dataDxfId="31">
  <autoFilter ref="B209:C219" xr:uid="{00000000-0009-0000-0100-000001000000}"/>
  <tableColumns count="2">
    <tableColumn id="1" xr3:uid="{00000000-0010-0000-0000-000001000000}" name="Criterios" dataDxfId="30"/>
    <tableColumn id="2" xr3:uid="{00000000-0010-0000-0000-000002000000}" name="Subcriterios" dataDxfId="29"/>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5" zoomScale="110" zoomScaleNormal="110" workbookViewId="0">
      <selection activeCell="B4" sqref="B4:H5"/>
    </sheetView>
  </sheetViews>
  <sheetFormatPr baseColWidth="10" defaultColWidth="11.44140625" defaultRowHeight="14.4" x14ac:dyDescent="0.3"/>
  <cols>
    <col min="1" max="1" width="2.88671875" style="67" customWidth="1"/>
    <col min="2" max="3" width="24.6640625" style="67" customWidth="1"/>
    <col min="4" max="4" width="16" style="67" customWidth="1"/>
    <col min="5" max="5" width="24.6640625" style="67" customWidth="1"/>
    <col min="6" max="6" width="27.6640625" style="67" customWidth="1"/>
    <col min="7" max="8" width="24.6640625" style="67" customWidth="1"/>
    <col min="9" max="16384" width="11.44140625" style="67"/>
  </cols>
  <sheetData>
    <row r="1" spans="2:8" ht="15" thickBot="1" x14ac:dyDescent="0.35"/>
    <row r="2" spans="2:8" ht="18" x14ac:dyDescent="0.3">
      <c r="B2" s="225" t="s">
        <v>155</v>
      </c>
      <c r="C2" s="226"/>
      <c r="D2" s="226"/>
      <c r="E2" s="226"/>
      <c r="F2" s="226"/>
      <c r="G2" s="226"/>
      <c r="H2" s="227"/>
    </row>
    <row r="3" spans="2:8" x14ac:dyDescent="0.3">
      <c r="B3" s="68"/>
      <c r="C3" s="69"/>
      <c r="D3" s="69"/>
      <c r="E3" s="69"/>
      <c r="F3" s="69"/>
      <c r="G3" s="69"/>
      <c r="H3" s="70"/>
    </row>
    <row r="4" spans="2:8" ht="63" customHeight="1" x14ac:dyDescent="0.3">
      <c r="B4" s="228" t="s">
        <v>198</v>
      </c>
      <c r="C4" s="229"/>
      <c r="D4" s="229"/>
      <c r="E4" s="229"/>
      <c r="F4" s="229"/>
      <c r="G4" s="229"/>
      <c r="H4" s="230"/>
    </row>
    <row r="5" spans="2:8" ht="63" customHeight="1" x14ac:dyDescent="0.3">
      <c r="B5" s="231"/>
      <c r="C5" s="232"/>
      <c r="D5" s="232"/>
      <c r="E5" s="232"/>
      <c r="F5" s="232"/>
      <c r="G5" s="232"/>
      <c r="H5" s="233"/>
    </row>
    <row r="6" spans="2:8" x14ac:dyDescent="0.3">
      <c r="B6" s="234" t="s">
        <v>153</v>
      </c>
      <c r="C6" s="235"/>
      <c r="D6" s="235"/>
      <c r="E6" s="235"/>
      <c r="F6" s="235"/>
      <c r="G6" s="235"/>
      <c r="H6" s="236"/>
    </row>
    <row r="7" spans="2:8" ht="95.25" customHeight="1" x14ac:dyDescent="0.3">
      <c r="B7" s="244" t="s">
        <v>158</v>
      </c>
      <c r="C7" s="245"/>
      <c r="D7" s="245"/>
      <c r="E7" s="245"/>
      <c r="F7" s="245"/>
      <c r="G7" s="245"/>
      <c r="H7" s="246"/>
    </row>
    <row r="8" spans="2:8" x14ac:dyDescent="0.3">
      <c r="B8" s="102"/>
      <c r="C8" s="103"/>
      <c r="D8" s="103"/>
      <c r="E8" s="103"/>
      <c r="F8" s="103"/>
      <c r="G8" s="103"/>
      <c r="H8" s="104"/>
    </row>
    <row r="9" spans="2:8" ht="16.5" customHeight="1" x14ac:dyDescent="0.3">
      <c r="B9" s="237" t="s">
        <v>191</v>
      </c>
      <c r="C9" s="238"/>
      <c r="D9" s="238"/>
      <c r="E9" s="238"/>
      <c r="F9" s="238"/>
      <c r="G9" s="238"/>
      <c r="H9" s="239"/>
    </row>
    <row r="10" spans="2:8" ht="44.25" customHeight="1" x14ac:dyDescent="0.3">
      <c r="B10" s="237"/>
      <c r="C10" s="238"/>
      <c r="D10" s="238"/>
      <c r="E10" s="238"/>
      <c r="F10" s="238"/>
      <c r="G10" s="238"/>
      <c r="H10" s="239"/>
    </row>
    <row r="11" spans="2:8" ht="15" thickBot="1" x14ac:dyDescent="0.35">
      <c r="B11" s="91"/>
      <c r="C11" s="94"/>
      <c r="D11" s="99"/>
      <c r="E11" s="100"/>
      <c r="F11" s="100"/>
      <c r="G11" s="101"/>
      <c r="H11" s="95"/>
    </row>
    <row r="12" spans="2:8" ht="15" thickTop="1" x14ac:dyDescent="0.3">
      <c r="B12" s="91"/>
      <c r="C12" s="240" t="s">
        <v>154</v>
      </c>
      <c r="D12" s="241"/>
      <c r="E12" s="242" t="s">
        <v>192</v>
      </c>
      <c r="F12" s="243"/>
      <c r="G12" s="94"/>
      <c r="H12" s="95"/>
    </row>
    <row r="13" spans="2:8" ht="35.25" customHeight="1" x14ac:dyDescent="0.3">
      <c r="B13" s="91"/>
      <c r="C13" s="247" t="s">
        <v>185</v>
      </c>
      <c r="D13" s="248"/>
      <c r="E13" s="249" t="s">
        <v>190</v>
      </c>
      <c r="F13" s="250"/>
      <c r="G13" s="94"/>
      <c r="H13" s="95"/>
    </row>
    <row r="14" spans="2:8" ht="17.25" customHeight="1" x14ac:dyDescent="0.3">
      <c r="B14" s="91"/>
      <c r="C14" s="247" t="s">
        <v>186</v>
      </c>
      <c r="D14" s="248"/>
      <c r="E14" s="249" t="s">
        <v>188</v>
      </c>
      <c r="F14" s="250"/>
      <c r="G14" s="94"/>
      <c r="H14" s="95"/>
    </row>
    <row r="15" spans="2:8" ht="19.5" customHeight="1" x14ac:dyDescent="0.3">
      <c r="B15" s="91"/>
      <c r="C15" s="247" t="s">
        <v>187</v>
      </c>
      <c r="D15" s="248"/>
      <c r="E15" s="249" t="s">
        <v>189</v>
      </c>
      <c r="F15" s="250"/>
      <c r="G15" s="94"/>
      <c r="H15" s="95"/>
    </row>
    <row r="16" spans="2:8" ht="69.75" customHeight="1" x14ac:dyDescent="0.3">
      <c r="B16" s="91"/>
      <c r="C16" s="247" t="s">
        <v>156</v>
      </c>
      <c r="D16" s="248"/>
      <c r="E16" s="249" t="s">
        <v>157</v>
      </c>
      <c r="F16" s="250"/>
      <c r="G16" s="94"/>
      <c r="H16" s="95"/>
    </row>
    <row r="17" spans="2:8" ht="34.5" customHeight="1" x14ac:dyDescent="0.3">
      <c r="B17" s="91"/>
      <c r="C17" s="251" t="s">
        <v>2</v>
      </c>
      <c r="D17" s="252"/>
      <c r="E17" s="253" t="s">
        <v>199</v>
      </c>
      <c r="F17" s="254"/>
      <c r="G17" s="94"/>
      <c r="H17" s="95"/>
    </row>
    <row r="18" spans="2:8" ht="27.75" customHeight="1" x14ac:dyDescent="0.3">
      <c r="B18" s="91"/>
      <c r="C18" s="251" t="s">
        <v>3</v>
      </c>
      <c r="D18" s="252"/>
      <c r="E18" s="253" t="s">
        <v>200</v>
      </c>
      <c r="F18" s="254"/>
      <c r="G18" s="94"/>
      <c r="H18" s="95"/>
    </row>
    <row r="19" spans="2:8" ht="28.5" customHeight="1" x14ac:dyDescent="0.3">
      <c r="B19" s="91"/>
      <c r="C19" s="251" t="s">
        <v>42</v>
      </c>
      <c r="D19" s="252"/>
      <c r="E19" s="253" t="s">
        <v>201</v>
      </c>
      <c r="F19" s="254"/>
      <c r="G19" s="94"/>
      <c r="H19" s="95"/>
    </row>
    <row r="20" spans="2:8" ht="72.75" customHeight="1" x14ac:dyDescent="0.3">
      <c r="B20" s="91"/>
      <c r="C20" s="251" t="s">
        <v>1</v>
      </c>
      <c r="D20" s="252"/>
      <c r="E20" s="253" t="s">
        <v>202</v>
      </c>
      <c r="F20" s="254"/>
      <c r="G20" s="94"/>
      <c r="H20" s="95"/>
    </row>
    <row r="21" spans="2:8" ht="64.5" customHeight="1" x14ac:dyDescent="0.3">
      <c r="B21" s="91"/>
      <c r="C21" s="251" t="s">
        <v>50</v>
      </c>
      <c r="D21" s="252"/>
      <c r="E21" s="253" t="s">
        <v>160</v>
      </c>
      <c r="F21" s="254"/>
      <c r="G21" s="94"/>
      <c r="H21" s="95"/>
    </row>
    <row r="22" spans="2:8" ht="71.25" customHeight="1" x14ac:dyDescent="0.3">
      <c r="B22" s="91"/>
      <c r="C22" s="251" t="s">
        <v>159</v>
      </c>
      <c r="D22" s="252"/>
      <c r="E22" s="253" t="s">
        <v>161</v>
      </c>
      <c r="F22" s="254"/>
      <c r="G22" s="94"/>
      <c r="H22" s="95"/>
    </row>
    <row r="23" spans="2:8" ht="55.5" customHeight="1" x14ac:dyDescent="0.3">
      <c r="B23" s="91"/>
      <c r="C23" s="258" t="s">
        <v>162</v>
      </c>
      <c r="D23" s="259"/>
      <c r="E23" s="253" t="s">
        <v>163</v>
      </c>
      <c r="F23" s="254"/>
      <c r="G23" s="94"/>
      <c r="H23" s="95"/>
    </row>
    <row r="24" spans="2:8" ht="42" customHeight="1" x14ac:dyDescent="0.3">
      <c r="B24" s="91"/>
      <c r="C24" s="258" t="s">
        <v>48</v>
      </c>
      <c r="D24" s="259"/>
      <c r="E24" s="253" t="s">
        <v>164</v>
      </c>
      <c r="F24" s="254"/>
      <c r="G24" s="94"/>
      <c r="H24" s="95"/>
    </row>
    <row r="25" spans="2:8" ht="59.25" customHeight="1" x14ac:dyDescent="0.3">
      <c r="B25" s="91"/>
      <c r="C25" s="258" t="s">
        <v>152</v>
      </c>
      <c r="D25" s="259"/>
      <c r="E25" s="253" t="s">
        <v>165</v>
      </c>
      <c r="F25" s="254"/>
      <c r="G25" s="94"/>
      <c r="H25" s="95"/>
    </row>
    <row r="26" spans="2:8" ht="23.25" customHeight="1" x14ac:dyDescent="0.3">
      <c r="B26" s="91"/>
      <c r="C26" s="258" t="s">
        <v>12</v>
      </c>
      <c r="D26" s="259"/>
      <c r="E26" s="253" t="s">
        <v>166</v>
      </c>
      <c r="F26" s="254"/>
      <c r="G26" s="94"/>
      <c r="H26" s="95"/>
    </row>
    <row r="27" spans="2:8" ht="30.75" customHeight="1" x14ac:dyDescent="0.3">
      <c r="B27" s="91"/>
      <c r="C27" s="258" t="s">
        <v>170</v>
      </c>
      <c r="D27" s="259"/>
      <c r="E27" s="253" t="s">
        <v>167</v>
      </c>
      <c r="F27" s="254"/>
      <c r="G27" s="94"/>
      <c r="H27" s="95"/>
    </row>
    <row r="28" spans="2:8" ht="35.25" customHeight="1" x14ac:dyDescent="0.3">
      <c r="B28" s="91"/>
      <c r="C28" s="258" t="s">
        <v>171</v>
      </c>
      <c r="D28" s="259"/>
      <c r="E28" s="253" t="s">
        <v>168</v>
      </c>
      <c r="F28" s="254"/>
      <c r="G28" s="94"/>
      <c r="H28" s="95"/>
    </row>
    <row r="29" spans="2:8" ht="33" customHeight="1" x14ac:dyDescent="0.3">
      <c r="B29" s="91"/>
      <c r="C29" s="258" t="s">
        <v>171</v>
      </c>
      <c r="D29" s="259"/>
      <c r="E29" s="253" t="s">
        <v>168</v>
      </c>
      <c r="F29" s="254"/>
      <c r="G29" s="94"/>
      <c r="H29" s="95"/>
    </row>
    <row r="30" spans="2:8" ht="30" customHeight="1" x14ac:dyDescent="0.3">
      <c r="B30" s="91"/>
      <c r="C30" s="258" t="s">
        <v>172</v>
      </c>
      <c r="D30" s="259"/>
      <c r="E30" s="253" t="s">
        <v>169</v>
      </c>
      <c r="F30" s="254"/>
      <c r="G30" s="94"/>
      <c r="H30" s="95"/>
    </row>
    <row r="31" spans="2:8" ht="35.25" customHeight="1" x14ac:dyDescent="0.3">
      <c r="B31" s="91"/>
      <c r="C31" s="258" t="s">
        <v>173</v>
      </c>
      <c r="D31" s="259"/>
      <c r="E31" s="253" t="s">
        <v>174</v>
      </c>
      <c r="F31" s="254"/>
      <c r="G31" s="94"/>
      <c r="H31" s="95"/>
    </row>
    <row r="32" spans="2:8" ht="31.5" customHeight="1" x14ac:dyDescent="0.3">
      <c r="B32" s="91"/>
      <c r="C32" s="258" t="s">
        <v>175</v>
      </c>
      <c r="D32" s="259"/>
      <c r="E32" s="253" t="s">
        <v>176</v>
      </c>
      <c r="F32" s="254"/>
      <c r="G32" s="94"/>
      <c r="H32" s="95"/>
    </row>
    <row r="33" spans="2:8" ht="35.25" customHeight="1" x14ac:dyDescent="0.3">
      <c r="B33" s="91"/>
      <c r="C33" s="258" t="s">
        <v>177</v>
      </c>
      <c r="D33" s="259"/>
      <c r="E33" s="253" t="s">
        <v>178</v>
      </c>
      <c r="F33" s="254"/>
      <c r="G33" s="94"/>
      <c r="H33" s="95"/>
    </row>
    <row r="34" spans="2:8" ht="59.25" customHeight="1" x14ac:dyDescent="0.3">
      <c r="B34" s="91"/>
      <c r="C34" s="258" t="s">
        <v>179</v>
      </c>
      <c r="D34" s="259"/>
      <c r="E34" s="253" t="s">
        <v>180</v>
      </c>
      <c r="F34" s="254"/>
      <c r="G34" s="94"/>
      <c r="H34" s="95"/>
    </row>
    <row r="35" spans="2:8" ht="29.25" customHeight="1" x14ac:dyDescent="0.3">
      <c r="B35" s="91"/>
      <c r="C35" s="258" t="s">
        <v>29</v>
      </c>
      <c r="D35" s="259"/>
      <c r="E35" s="253" t="s">
        <v>181</v>
      </c>
      <c r="F35" s="254"/>
      <c r="G35" s="94"/>
      <c r="H35" s="95"/>
    </row>
    <row r="36" spans="2:8" ht="82.5" customHeight="1" x14ac:dyDescent="0.3">
      <c r="B36" s="91"/>
      <c r="C36" s="258" t="s">
        <v>183</v>
      </c>
      <c r="D36" s="259"/>
      <c r="E36" s="253" t="s">
        <v>182</v>
      </c>
      <c r="F36" s="254"/>
      <c r="G36" s="94"/>
      <c r="H36" s="95"/>
    </row>
    <row r="37" spans="2:8" ht="46.5" customHeight="1" x14ac:dyDescent="0.3">
      <c r="B37" s="91"/>
      <c r="C37" s="258" t="s">
        <v>39</v>
      </c>
      <c r="D37" s="259"/>
      <c r="E37" s="253" t="s">
        <v>184</v>
      </c>
      <c r="F37" s="254"/>
      <c r="G37" s="94"/>
      <c r="H37" s="95"/>
    </row>
    <row r="38" spans="2:8" ht="6.75" customHeight="1" thickBot="1" x14ac:dyDescent="0.35">
      <c r="B38" s="91"/>
      <c r="C38" s="260"/>
      <c r="D38" s="261"/>
      <c r="E38" s="262"/>
      <c r="F38" s="263"/>
      <c r="G38" s="94"/>
      <c r="H38" s="95"/>
    </row>
    <row r="39" spans="2:8" ht="15" thickTop="1" x14ac:dyDescent="0.3">
      <c r="B39" s="91"/>
      <c r="C39" s="92"/>
      <c r="D39" s="92"/>
      <c r="E39" s="93"/>
      <c r="F39" s="93"/>
      <c r="G39" s="94"/>
      <c r="H39" s="95"/>
    </row>
    <row r="40" spans="2:8" ht="21" customHeight="1" x14ac:dyDescent="0.3">
      <c r="B40" s="255" t="s">
        <v>193</v>
      </c>
      <c r="C40" s="256"/>
      <c r="D40" s="256"/>
      <c r="E40" s="256"/>
      <c r="F40" s="256"/>
      <c r="G40" s="256"/>
      <c r="H40" s="257"/>
    </row>
    <row r="41" spans="2:8" ht="20.25" customHeight="1" x14ac:dyDescent="0.3">
      <c r="B41" s="255" t="s">
        <v>194</v>
      </c>
      <c r="C41" s="256"/>
      <c r="D41" s="256"/>
      <c r="E41" s="256"/>
      <c r="F41" s="256"/>
      <c r="G41" s="256"/>
      <c r="H41" s="257"/>
    </row>
    <row r="42" spans="2:8" ht="20.25" customHeight="1" x14ac:dyDescent="0.3">
      <c r="B42" s="255" t="s">
        <v>195</v>
      </c>
      <c r="C42" s="256"/>
      <c r="D42" s="256"/>
      <c r="E42" s="256"/>
      <c r="F42" s="256"/>
      <c r="G42" s="256"/>
      <c r="H42" s="257"/>
    </row>
    <row r="43" spans="2:8" ht="20.25" customHeight="1" x14ac:dyDescent="0.3">
      <c r="B43" s="255" t="s">
        <v>196</v>
      </c>
      <c r="C43" s="256"/>
      <c r="D43" s="256"/>
      <c r="E43" s="256"/>
      <c r="F43" s="256"/>
      <c r="G43" s="256"/>
      <c r="H43" s="257"/>
    </row>
    <row r="44" spans="2:8" x14ac:dyDescent="0.3">
      <c r="B44" s="255" t="s">
        <v>197</v>
      </c>
      <c r="C44" s="256"/>
      <c r="D44" s="256"/>
      <c r="E44" s="256"/>
      <c r="F44" s="256"/>
      <c r="G44" s="256"/>
      <c r="H44" s="257"/>
    </row>
    <row r="45" spans="2:8" ht="15" thickBot="1" x14ac:dyDescent="0.35">
      <c r="B45" s="96"/>
      <c r="C45" s="97"/>
      <c r="D45" s="97"/>
      <c r="E45" s="97"/>
      <c r="F45" s="97"/>
      <c r="G45" s="97"/>
      <c r="H45" s="98"/>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F16"/>
  <sheetViews>
    <sheetView workbookViewId="0">
      <selection activeCell="E11" sqref="E11"/>
    </sheetView>
  </sheetViews>
  <sheetFormatPr baseColWidth="10" defaultColWidth="14.33203125" defaultRowHeight="13.8" x14ac:dyDescent="0.3"/>
  <cols>
    <col min="1" max="2" width="14.33203125" style="72"/>
    <col min="3" max="3" width="17" style="72" customWidth="1"/>
    <col min="4" max="4" width="14.33203125" style="72"/>
    <col min="5" max="5" width="46" style="72" customWidth="1"/>
    <col min="6" max="16384" width="14.33203125" style="72"/>
  </cols>
  <sheetData>
    <row r="1" spans="2:6" ht="24" customHeight="1" thickBot="1" x14ac:dyDescent="0.35">
      <c r="B1" s="639" t="s">
        <v>77</v>
      </c>
      <c r="C1" s="640"/>
      <c r="D1" s="640"/>
      <c r="E1" s="640"/>
      <c r="F1" s="641"/>
    </row>
    <row r="2" spans="2:6" ht="16.2" thickBot="1" x14ac:dyDescent="0.35">
      <c r="B2" s="73"/>
      <c r="C2" s="73"/>
      <c r="D2" s="73"/>
      <c r="E2" s="73"/>
      <c r="F2" s="73"/>
    </row>
    <row r="3" spans="2:6" ht="16.2" thickBot="1" x14ac:dyDescent="0.35">
      <c r="B3" s="643" t="s">
        <v>63</v>
      </c>
      <c r="C3" s="644"/>
      <c r="D3" s="644"/>
      <c r="E3" s="85" t="s">
        <v>64</v>
      </c>
      <c r="F3" s="86" t="s">
        <v>65</v>
      </c>
    </row>
    <row r="4" spans="2:6" ht="31.2" x14ac:dyDescent="0.3">
      <c r="B4" s="645" t="s">
        <v>66</v>
      </c>
      <c r="C4" s="647" t="s">
        <v>13</v>
      </c>
      <c r="D4" s="74" t="s">
        <v>14</v>
      </c>
      <c r="E4" s="75" t="s">
        <v>67</v>
      </c>
      <c r="F4" s="76">
        <v>0.25</v>
      </c>
    </row>
    <row r="5" spans="2:6" ht="46.8" x14ac:dyDescent="0.3">
      <c r="B5" s="646"/>
      <c r="C5" s="648"/>
      <c r="D5" s="77" t="s">
        <v>15</v>
      </c>
      <c r="E5" s="78" t="s">
        <v>68</v>
      </c>
      <c r="F5" s="79">
        <v>0.15</v>
      </c>
    </row>
    <row r="6" spans="2:6" ht="46.8" x14ac:dyDescent="0.3">
      <c r="B6" s="646"/>
      <c r="C6" s="648"/>
      <c r="D6" s="77" t="s">
        <v>16</v>
      </c>
      <c r="E6" s="78" t="s">
        <v>69</v>
      </c>
      <c r="F6" s="79">
        <v>0.1</v>
      </c>
    </row>
    <row r="7" spans="2:6" ht="62.4" x14ac:dyDescent="0.3">
      <c r="B7" s="646"/>
      <c r="C7" s="648" t="s">
        <v>17</v>
      </c>
      <c r="D7" s="77" t="s">
        <v>10</v>
      </c>
      <c r="E7" s="78" t="s">
        <v>70</v>
      </c>
      <c r="F7" s="79">
        <v>0.25</v>
      </c>
    </row>
    <row r="8" spans="2:6" ht="31.2" x14ac:dyDescent="0.3">
      <c r="B8" s="646"/>
      <c r="C8" s="648"/>
      <c r="D8" s="77" t="s">
        <v>9</v>
      </c>
      <c r="E8" s="78" t="s">
        <v>71</v>
      </c>
      <c r="F8" s="79">
        <v>0.15</v>
      </c>
    </row>
    <row r="9" spans="2:6" ht="46.8" x14ac:dyDescent="0.3">
      <c r="B9" s="646" t="s">
        <v>151</v>
      </c>
      <c r="C9" s="648" t="s">
        <v>18</v>
      </c>
      <c r="D9" s="77" t="s">
        <v>19</v>
      </c>
      <c r="E9" s="78" t="s">
        <v>72</v>
      </c>
      <c r="F9" s="80" t="s">
        <v>73</v>
      </c>
    </row>
    <row r="10" spans="2:6" ht="46.8" x14ac:dyDescent="0.3">
      <c r="B10" s="646"/>
      <c r="C10" s="648"/>
      <c r="D10" s="77" t="s">
        <v>20</v>
      </c>
      <c r="E10" s="78" t="s">
        <v>74</v>
      </c>
      <c r="F10" s="80" t="s">
        <v>73</v>
      </c>
    </row>
    <row r="11" spans="2:6" ht="46.8" x14ac:dyDescent="0.3">
      <c r="B11" s="646"/>
      <c r="C11" s="648" t="s">
        <v>21</v>
      </c>
      <c r="D11" s="77" t="s">
        <v>22</v>
      </c>
      <c r="E11" s="78" t="s">
        <v>75</v>
      </c>
      <c r="F11" s="80" t="s">
        <v>73</v>
      </c>
    </row>
    <row r="12" spans="2:6" ht="46.8" x14ac:dyDescent="0.3">
      <c r="B12" s="646"/>
      <c r="C12" s="648"/>
      <c r="D12" s="77" t="s">
        <v>23</v>
      </c>
      <c r="E12" s="78" t="s">
        <v>76</v>
      </c>
      <c r="F12" s="80" t="s">
        <v>73</v>
      </c>
    </row>
    <row r="13" spans="2:6" ht="31.2" x14ac:dyDescent="0.3">
      <c r="B13" s="646"/>
      <c r="C13" s="648" t="s">
        <v>24</v>
      </c>
      <c r="D13" s="77" t="s">
        <v>114</v>
      </c>
      <c r="E13" s="78" t="s">
        <v>117</v>
      </c>
      <c r="F13" s="80" t="s">
        <v>73</v>
      </c>
    </row>
    <row r="14" spans="2:6" ht="16.2" thickBot="1" x14ac:dyDescent="0.35">
      <c r="B14" s="649"/>
      <c r="C14" s="650"/>
      <c r="D14" s="81" t="s">
        <v>115</v>
      </c>
      <c r="E14" s="82" t="s">
        <v>116</v>
      </c>
      <c r="F14" s="83" t="s">
        <v>73</v>
      </c>
    </row>
    <row r="15" spans="2:6" ht="49.5" customHeight="1" x14ac:dyDescent="0.3">
      <c r="B15" s="642" t="s">
        <v>148</v>
      </c>
      <c r="C15" s="642"/>
      <c r="D15" s="642"/>
      <c r="E15" s="642"/>
      <c r="F15" s="642"/>
    </row>
    <row r="16" spans="2:6" ht="27" customHeight="1" x14ac:dyDescent="0.3">
      <c r="B16" s="8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E19"/>
  <sheetViews>
    <sheetView workbookViewId="0"/>
  </sheetViews>
  <sheetFormatPr baseColWidth="10" defaultRowHeight="14.4" x14ac:dyDescent="0.3"/>
  <sheetData>
    <row r="2" spans="2:5" x14ac:dyDescent="0.3">
      <c r="B2" t="s">
        <v>31</v>
      </c>
      <c r="E2" t="s">
        <v>128</v>
      </c>
    </row>
    <row r="3" spans="2:5" x14ac:dyDescent="0.3">
      <c r="B3" t="s">
        <v>32</v>
      </c>
      <c r="E3" t="s">
        <v>127</v>
      </c>
    </row>
    <row r="4" spans="2:5" x14ac:dyDescent="0.3">
      <c r="B4" t="s">
        <v>132</v>
      </c>
      <c r="E4" t="s">
        <v>129</v>
      </c>
    </row>
    <row r="5" spans="2:5" x14ac:dyDescent="0.3">
      <c r="B5" t="s">
        <v>131</v>
      </c>
    </row>
    <row r="8" spans="2:5" x14ac:dyDescent="0.3">
      <c r="B8" t="s">
        <v>85</v>
      </c>
    </row>
    <row r="9" spans="2:5" x14ac:dyDescent="0.3">
      <c r="B9" t="s">
        <v>40</v>
      </c>
    </row>
    <row r="10" spans="2:5" x14ac:dyDescent="0.3">
      <c r="B10" t="s">
        <v>41</v>
      </c>
    </row>
    <row r="13" spans="2:5" x14ac:dyDescent="0.3">
      <c r="B13" t="s">
        <v>124</v>
      </c>
    </row>
    <row r="14" spans="2:5" x14ac:dyDescent="0.3">
      <c r="B14" t="s">
        <v>118</v>
      </c>
    </row>
    <row r="15" spans="2:5" x14ac:dyDescent="0.3">
      <c r="B15" t="s">
        <v>121</v>
      </c>
    </row>
    <row r="16" spans="2:5" x14ac:dyDescent="0.3">
      <c r="B16" t="s">
        <v>119</v>
      </c>
    </row>
    <row r="17" spans="2:2" x14ac:dyDescent="0.3">
      <c r="B17" t="s">
        <v>120</v>
      </c>
    </row>
    <row r="18" spans="2:2" x14ac:dyDescent="0.3">
      <c r="B18" t="s">
        <v>122</v>
      </c>
    </row>
    <row r="19" spans="2:2" x14ac:dyDescent="0.3">
      <c r="B19" t="s">
        <v>123</v>
      </c>
    </row>
  </sheetData>
  <sortState xmlns:xlrd2="http://schemas.microsoft.com/office/spreadsheetml/2017/richdata2" ref="B2:B5">
    <sortCondition ref="B2:B5"/>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A21"/>
  <sheetViews>
    <sheetView workbookViewId="0"/>
  </sheetViews>
  <sheetFormatPr baseColWidth="10" defaultColWidth="11.44140625" defaultRowHeight="13.8" x14ac:dyDescent="0.3"/>
  <cols>
    <col min="1" max="1" width="32.88671875" style="9" customWidth="1"/>
    <col min="2" max="16384" width="11.44140625" style="9"/>
  </cols>
  <sheetData>
    <row r="3" spans="1:1" x14ac:dyDescent="0.3">
      <c r="A3" s="10" t="s">
        <v>14</v>
      </c>
    </row>
    <row r="4" spans="1:1" x14ac:dyDescent="0.3">
      <c r="A4" s="10" t="s">
        <v>15</v>
      </c>
    </row>
    <row r="5" spans="1:1" x14ac:dyDescent="0.3">
      <c r="A5" s="10" t="s">
        <v>16</v>
      </c>
    </row>
    <row r="6" spans="1:1" x14ac:dyDescent="0.3">
      <c r="A6" s="10" t="s">
        <v>10</v>
      </c>
    </row>
    <row r="7" spans="1:1" x14ac:dyDescent="0.3">
      <c r="A7" s="10" t="s">
        <v>9</v>
      </c>
    </row>
    <row r="8" spans="1:1" x14ac:dyDescent="0.3">
      <c r="A8" s="10" t="s">
        <v>19</v>
      </c>
    </row>
    <row r="9" spans="1:1" x14ac:dyDescent="0.3">
      <c r="A9" s="10" t="s">
        <v>20</v>
      </c>
    </row>
    <row r="10" spans="1:1" x14ac:dyDescent="0.3">
      <c r="A10" s="10" t="s">
        <v>22</v>
      </c>
    </row>
    <row r="11" spans="1:1" x14ac:dyDescent="0.3">
      <c r="A11" s="10" t="s">
        <v>23</v>
      </c>
    </row>
    <row r="12" spans="1:1" x14ac:dyDescent="0.3">
      <c r="A12" s="10" t="s">
        <v>25</v>
      </c>
    </row>
    <row r="13" spans="1:1" x14ac:dyDescent="0.3">
      <c r="A13" s="10" t="s">
        <v>26</v>
      </c>
    </row>
    <row r="14" spans="1:1" x14ac:dyDescent="0.3">
      <c r="A14" s="10" t="s">
        <v>27</v>
      </c>
    </row>
    <row r="16" spans="1:1" x14ac:dyDescent="0.3">
      <c r="A16" s="10" t="s">
        <v>30</v>
      </c>
    </row>
    <row r="17" spans="1:1" x14ac:dyDescent="0.3">
      <c r="A17" s="10" t="s">
        <v>31</v>
      </c>
    </row>
    <row r="18" spans="1:1" x14ac:dyDescent="0.3">
      <c r="A18" s="10" t="s">
        <v>32</v>
      </c>
    </row>
    <row r="20" spans="1:1" x14ac:dyDescent="0.3">
      <c r="A20" s="10" t="s">
        <v>40</v>
      </c>
    </row>
    <row r="21" spans="1:1" x14ac:dyDescent="0.3">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3"/>
  <sheetViews>
    <sheetView topLeftCell="A16" workbookViewId="0">
      <selection activeCell="A9" sqref="A9:F9"/>
    </sheetView>
  </sheetViews>
  <sheetFormatPr baseColWidth="10" defaultColWidth="11.44140625" defaultRowHeight="13.8" x14ac:dyDescent="0.25"/>
  <cols>
    <col min="1" max="1" width="29.44140625" style="149" customWidth="1"/>
    <col min="2" max="2" width="29.109375" style="149" customWidth="1"/>
    <col min="3" max="3" width="30.33203125" style="149" customWidth="1"/>
    <col min="4" max="4" width="31.88671875" style="149" customWidth="1"/>
    <col min="5" max="5" width="32.5546875" style="149" customWidth="1"/>
    <col min="6" max="6" width="32" style="149" customWidth="1"/>
    <col min="7" max="16384" width="11.44140625" style="149"/>
  </cols>
  <sheetData>
    <row r="1" spans="1:10" ht="15" customHeight="1" x14ac:dyDescent="0.25">
      <c r="A1" s="279"/>
      <c r="B1" s="281" t="s">
        <v>215</v>
      </c>
      <c r="C1" s="281"/>
      <c r="D1" s="281"/>
      <c r="E1" s="147" t="s">
        <v>225</v>
      </c>
      <c r="F1" s="282"/>
      <c r="G1" s="148"/>
      <c r="J1" s="264"/>
    </row>
    <row r="2" spans="1:10" ht="15" customHeight="1" x14ac:dyDescent="0.25">
      <c r="A2" s="280"/>
      <c r="B2" s="265"/>
      <c r="C2" s="265"/>
      <c r="D2" s="265"/>
      <c r="E2" s="151" t="s">
        <v>226</v>
      </c>
      <c r="F2" s="283"/>
      <c r="G2" s="148"/>
      <c r="J2" s="264"/>
    </row>
    <row r="3" spans="1:10" ht="15" customHeight="1" x14ac:dyDescent="0.25">
      <c r="A3" s="280"/>
      <c r="B3" s="265" t="s">
        <v>216</v>
      </c>
      <c r="C3" s="265"/>
      <c r="D3" s="265"/>
      <c r="E3" s="151" t="s">
        <v>227</v>
      </c>
      <c r="F3" s="283"/>
      <c r="G3" s="148"/>
      <c r="J3" s="264"/>
    </row>
    <row r="4" spans="1:10" ht="15.75" customHeight="1" x14ac:dyDescent="0.25">
      <c r="A4" s="280"/>
      <c r="B4" s="265"/>
      <c r="C4" s="265"/>
      <c r="D4" s="265"/>
      <c r="E4" s="151" t="s">
        <v>228</v>
      </c>
      <c r="F4" s="283"/>
      <c r="G4" s="148"/>
      <c r="J4" s="264"/>
    </row>
    <row r="5" spans="1:10" ht="15.75" customHeight="1" x14ac:dyDescent="0.25">
      <c r="A5" s="266"/>
      <c r="B5" s="267"/>
      <c r="C5" s="267"/>
      <c r="D5" s="267"/>
      <c r="E5" s="267"/>
      <c r="F5" s="268"/>
      <c r="G5" s="148"/>
      <c r="J5" s="150"/>
    </row>
    <row r="6" spans="1:10" ht="15" customHeight="1" x14ac:dyDescent="0.25">
      <c r="A6" s="269" t="s">
        <v>217</v>
      </c>
      <c r="B6" s="270"/>
      <c r="C6" s="270"/>
      <c r="D6" s="270"/>
      <c r="E6" s="270"/>
      <c r="F6" s="271"/>
    </row>
    <row r="7" spans="1:10" ht="15.75" customHeight="1" x14ac:dyDescent="0.25">
      <c r="A7" s="269"/>
      <c r="B7" s="270"/>
      <c r="C7" s="270"/>
      <c r="D7" s="270"/>
      <c r="E7" s="270"/>
      <c r="F7" s="271"/>
    </row>
    <row r="8" spans="1:10" ht="27" customHeight="1" x14ac:dyDescent="0.25">
      <c r="A8" s="272" t="s">
        <v>271</v>
      </c>
      <c r="B8" s="273"/>
      <c r="C8" s="273"/>
      <c r="D8" s="273"/>
      <c r="E8" s="273"/>
      <c r="F8" s="274"/>
    </row>
    <row r="9" spans="1:10" ht="77.25" customHeight="1" thickBot="1" x14ac:dyDescent="0.3">
      <c r="A9" s="275" t="s">
        <v>307</v>
      </c>
      <c r="B9" s="276"/>
      <c r="C9" s="276"/>
      <c r="D9" s="276"/>
      <c r="E9" s="276"/>
      <c r="F9" s="277"/>
    </row>
    <row r="10" spans="1:10" ht="18.75" customHeight="1" thickBot="1" x14ac:dyDescent="0.3">
      <c r="A10" s="278"/>
      <c r="B10" s="278"/>
      <c r="C10" s="278"/>
      <c r="D10" s="278"/>
      <c r="E10" s="278"/>
      <c r="F10" s="278"/>
    </row>
    <row r="11" spans="1:10" ht="22.5" customHeight="1" thickBot="1" x14ac:dyDescent="0.3">
      <c r="A11" s="152" t="s">
        <v>218</v>
      </c>
      <c r="B11" s="153" t="s">
        <v>268</v>
      </c>
      <c r="C11" s="153" t="s">
        <v>219</v>
      </c>
      <c r="D11" s="153" t="s">
        <v>268</v>
      </c>
      <c r="E11" s="153" t="s">
        <v>220</v>
      </c>
      <c r="F11" s="154" t="s">
        <v>268</v>
      </c>
    </row>
    <row r="12" spans="1:10" ht="75" customHeight="1" x14ac:dyDescent="0.25">
      <c r="A12" s="155" t="s">
        <v>222</v>
      </c>
      <c r="B12" s="207" t="s">
        <v>272</v>
      </c>
      <c r="C12" s="156" t="s">
        <v>273</v>
      </c>
      <c r="D12" s="207" t="s">
        <v>274</v>
      </c>
      <c r="E12" s="156" t="s">
        <v>275</v>
      </c>
      <c r="F12" s="208" t="s">
        <v>276</v>
      </c>
    </row>
    <row r="13" spans="1:10" ht="60" customHeight="1" x14ac:dyDescent="0.25">
      <c r="A13" s="157" t="s">
        <v>223</v>
      </c>
      <c r="B13" s="158" t="s">
        <v>277</v>
      </c>
      <c r="C13" s="209" t="s">
        <v>278</v>
      </c>
      <c r="D13" s="160" t="s">
        <v>279</v>
      </c>
      <c r="E13" s="159" t="s">
        <v>280</v>
      </c>
      <c r="F13" s="210" t="s">
        <v>281</v>
      </c>
    </row>
    <row r="14" spans="1:10" ht="82.5" customHeight="1" x14ac:dyDescent="0.25">
      <c r="A14" s="157" t="s">
        <v>221</v>
      </c>
      <c r="B14" s="158" t="s">
        <v>282</v>
      </c>
      <c r="C14" s="159" t="s">
        <v>278</v>
      </c>
      <c r="D14" s="160" t="s">
        <v>283</v>
      </c>
      <c r="E14" s="159" t="s">
        <v>284</v>
      </c>
      <c r="F14" s="161" t="s">
        <v>285</v>
      </c>
    </row>
    <row r="15" spans="1:10" ht="73.5" customHeight="1" x14ac:dyDescent="0.25">
      <c r="A15" s="157" t="s">
        <v>286</v>
      </c>
      <c r="B15" s="162" t="s">
        <v>287</v>
      </c>
      <c r="C15" s="159" t="s">
        <v>288</v>
      </c>
      <c r="D15" s="160" t="s">
        <v>289</v>
      </c>
      <c r="E15" s="159"/>
      <c r="F15" s="161"/>
    </row>
    <row r="16" spans="1:10" ht="59.25" customHeight="1" x14ac:dyDescent="0.25">
      <c r="A16" s="157" t="s">
        <v>290</v>
      </c>
      <c r="B16" s="160" t="s">
        <v>291</v>
      </c>
      <c r="C16" s="159" t="s">
        <v>292</v>
      </c>
      <c r="D16" s="160" t="s">
        <v>293</v>
      </c>
      <c r="E16" s="159"/>
      <c r="F16" s="161"/>
    </row>
    <row r="17" spans="1:6" ht="69.75" customHeight="1" x14ac:dyDescent="0.25">
      <c r="A17" s="157" t="s">
        <v>290</v>
      </c>
      <c r="B17" s="160" t="s">
        <v>294</v>
      </c>
      <c r="C17" s="159" t="s">
        <v>292</v>
      </c>
      <c r="D17" s="160" t="s">
        <v>295</v>
      </c>
      <c r="E17" s="159"/>
      <c r="F17" s="161"/>
    </row>
    <row r="18" spans="1:6" ht="66.75" customHeight="1" x14ac:dyDescent="0.25">
      <c r="A18" s="157" t="s">
        <v>223</v>
      </c>
      <c r="B18" s="160" t="s">
        <v>296</v>
      </c>
      <c r="C18" s="159" t="s">
        <v>292</v>
      </c>
      <c r="D18" s="160" t="s">
        <v>297</v>
      </c>
      <c r="E18" s="159"/>
      <c r="F18" s="161"/>
    </row>
    <row r="19" spans="1:6" ht="73.5" customHeight="1" x14ac:dyDescent="0.25">
      <c r="A19" s="157" t="s">
        <v>221</v>
      </c>
      <c r="B19" s="160" t="s">
        <v>298</v>
      </c>
      <c r="C19" s="159" t="s">
        <v>292</v>
      </c>
      <c r="D19" s="163" t="s">
        <v>299</v>
      </c>
      <c r="E19" s="159"/>
      <c r="F19" s="161"/>
    </row>
    <row r="20" spans="1:6" ht="65.25" customHeight="1" x14ac:dyDescent="0.25">
      <c r="A20" s="157"/>
      <c r="B20" s="160"/>
      <c r="C20" s="159" t="s">
        <v>300</v>
      </c>
      <c r="D20" s="211" t="s">
        <v>301</v>
      </c>
      <c r="E20" s="159"/>
      <c r="F20" s="161"/>
    </row>
    <row r="21" spans="1:6" ht="66.75" customHeight="1" x14ac:dyDescent="0.25">
      <c r="A21" s="157"/>
      <c r="B21" s="160"/>
      <c r="C21" s="159" t="s">
        <v>273</v>
      </c>
      <c r="D21" s="163" t="s">
        <v>302</v>
      </c>
      <c r="E21" s="159"/>
      <c r="F21" s="161"/>
    </row>
    <row r="22" spans="1:6" ht="69" customHeight="1" x14ac:dyDescent="0.25">
      <c r="A22" s="157"/>
      <c r="B22" s="160"/>
      <c r="C22" s="159" t="s">
        <v>303</v>
      </c>
      <c r="D22" s="163" t="s">
        <v>304</v>
      </c>
      <c r="E22" s="159"/>
      <c r="F22" s="161"/>
    </row>
    <row r="23" spans="1:6" ht="61.5" customHeight="1" x14ac:dyDescent="0.25">
      <c r="A23" s="157"/>
      <c r="B23" s="160"/>
      <c r="C23" s="159" t="s">
        <v>224</v>
      </c>
      <c r="D23" s="163" t="s">
        <v>305</v>
      </c>
      <c r="E23" s="159"/>
      <c r="F23" s="161"/>
    </row>
    <row r="24" spans="1:6" ht="57.75" customHeight="1" x14ac:dyDescent="0.25">
      <c r="A24" s="157"/>
      <c r="B24" s="160"/>
      <c r="C24" s="159"/>
      <c r="D24" s="163"/>
      <c r="E24" s="159"/>
      <c r="F24" s="161"/>
    </row>
    <row r="25" spans="1:6" ht="62.25" customHeight="1" x14ac:dyDescent="0.25">
      <c r="A25" s="157"/>
      <c r="B25" s="160"/>
      <c r="C25" s="159"/>
      <c r="D25" s="163"/>
      <c r="E25" s="159"/>
      <c r="F25" s="161"/>
    </row>
    <row r="26" spans="1:6" ht="56.25" customHeight="1" thickBot="1" x14ac:dyDescent="0.3">
      <c r="A26" s="164"/>
      <c r="B26" s="165"/>
      <c r="C26" s="166"/>
      <c r="D26" s="167"/>
      <c r="E26" s="166"/>
      <c r="F26" s="168"/>
    </row>
    <row r="27" spans="1:6" ht="65.25" customHeight="1" x14ac:dyDescent="0.25">
      <c r="A27" s="169"/>
      <c r="B27" s="170"/>
      <c r="C27" s="169"/>
      <c r="D27" s="171"/>
      <c r="E27" s="169"/>
      <c r="F27" s="171"/>
    </row>
    <row r="28" spans="1:6" ht="62.25" customHeight="1" x14ac:dyDescent="0.25">
      <c r="A28" s="169"/>
      <c r="B28" s="170"/>
      <c r="C28" s="169"/>
      <c r="D28" s="171"/>
      <c r="E28" s="169"/>
      <c r="F28" s="171"/>
    </row>
    <row r="29" spans="1:6" ht="63" customHeight="1" x14ac:dyDescent="0.25">
      <c r="A29" s="169"/>
      <c r="B29" s="170"/>
      <c r="C29" s="169"/>
      <c r="D29" s="171"/>
      <c r="E29" s="169"/>
      <c r="F29" s="170"/>
    </row>
    <row r="30" spans="1:6" ht="51.75" customHeight="1" x14ac:dyDescent="0.25">
      <c r="A30" s="169"/>
      <c r="B30" s="170"/>
      <c r="C30" s="169"/>
      <c r="D30" s="171"/>
      <c r="E30" s="169"/>
      <c r="F30" s="170"/>
    </row>
    <row r="31" spans="1:6" ht="52.5" customHeight="1" x14ac:dyDescent="0.25">
      <c r="A31" s="169"/>
      <c r="B31" s="171"/>
      <c r="C31" s="169"/>
      <c r="D31" s="171"/>
      <c r="E31" s="169"/>
      <c r="F31" s="171"/>
    </row>
    <row r="32" spans="1:6" ht="63.75" customHeight="1" x14ac:dyDescent="0.25">
      <c r="A32" s="169"/>
      <c r="B32" s="171"/>
      <c r="C32" s="169"/>
      <c r="D32" s="171"/>
      <c r="E32" s="169"/>
      <c r="F32" s="171"/>
    </row>
    <row r="33" spans="1:6" ht="66" customHeight="1" x14ac:dyDescent="0.25">
      <c r="A33" s="169"/>
      <c r="B33" s="172"/>
      <c r="C33" s="169"/>
      <c r="D33" s="173"/>
      <c r="E33" s="169"/>
      <c r="F33" s="172"/>
    </row>
    <row r="34" spans="1:6" ht="55.5" customHeight="1" x14ac:dyDescent="0.25">
      <c r="A34" s="169"/>
      <c r="B34" s="172"/>
      <c r="C34" s="169"/>
      <c r="D34" s="173"/>
      <c r="E34" s="169"/>
      <c r="F34" s="174"/>
    </row>
    <row r="35" spans="1:6" ht="51.75" customHeight="1" x14ac:dyDescent="0.25">
      <c r="A35" s="169"/>
      <c r="B35" s="174"/>
      <c r="C35" s="169"/>
      <c r="D35" s="175"/>
      <c r="E35" s="169"/>
      <c r="F35" s="174"/>
    </row>
    <row r="36" spans="1:6" ht="55.5" customHeight="1" x14ac:dyDescent="0.25">
      <c r="A36" s="169"/>
      <c r="B36" s="174"/>
      <c r="C36" s="169"/>
      <c r="D36" s="174"/>
      <c r="E36" s="169"/>
      <c r="F36" s="174"/>
    </row>
    <row r="37" spans="1:6" ht="55.5" customHeight="1" x14ac:dyDescent="0.25">
      <c r="A37" s="169"/>
      <c r="B37" s="174"/>
      <c r="C37" s="169"/>
      <c r="D37" s="174"/>
      <c r="E37" s="169"/>
      <c r="F37" s="174"/>
    </row>
    <row r="38" spans="1:6" ht="54.75" customHeight="1" x14ac:dyDescent="0.25">
      <c r="A38" s="169"/>
      <c r="B38" s="174"/>
      <c r="C38" s="169"/>
      <c r="D38" s="174"/>
      <c r="E38" s="169"/>
      <c r="F38" s="174"/>
    </row>
    <row r="39" spans="1:6" ht="56.25" customHeight="1" x14ac:dyDescent="0.25">
      <c r="A39" s="169"/>
      <c r="B39" s="174"/>
      <c r="C39" s="169"/>
      <c r="D39" s="174"/>
      <c r="E39" s="169"/>
      <c r="F39" s="174"/>
    </row>
    <row r="40" spans="1:6" ht="54.75" customHeight="1" x14ac:dyDescent="0.25">
      <c r="A40" s="169"/>
      <c r="B40" s="172"/>
      <c r="C40" s="169"/>
      <c r="D40" s="173"/>
      <c r="E40" s="169"/>
      <c r="F40" s="172"/>
    </row>
    <row r="41" spans="1:6" ht="55.5" customHeight="1" x14ac:dyDescent="0.25">
      <c r="A41" s="169"/>
      <c r="B41" s="172"/>
      <c r="C41" s="169"/>
      <c r="D41" s="173"/>
      <c r="E41" s="169"/>
      <c r="F41" s="174"/>
    </row>
    <row r="42" spans="1:6" ht="54.75" customHeight="1" x14ac:dyDescent="0.25">
      <c r="A42" s="169"/>
      <c r="B42" s="174"/>
      <c r="C42" s="169"/>
      <c r="D42" s="175"/>
      <c r="E42" s="169"/>
      <c r="F42" s="174"/>
    </row>
    <row r="43" spans="1:6" ht="55.5" customHeight="1" x14ac:dyDescent="0.25">
      <c r="A43" s="169"/>
      <c r="B43" s="174"/>
      <c r="C43" s="169"/>
      <c r="D43" s="174"/>
      <c r="E43" s="169"/>
      <c r="F43" s="174"/>
    </row>
    <row r="44" spans="1:6" ht="56.25" customHeight="1" x14ac:dyDescent="0.25">
      <c r="A44" s="169"/>
      <c r="B44" s="174"/>
      <c r="C44" s="169"/>
      <c r="D44" s="174"/>
      <c r="E44" s="169"/>
      <c r="F44" s="174"/>
    </row>
    <row r="45" spans="1:6" ht="59.25" customHeight="1" x14ac:dyDescent="0.25">
      <c r="A45" s="169"/>
      <c r="B45" s="174"/>
      <c r="C45" s="169"/>
      <c r="D45" s="174"/>
      <c r="E45" s="169"/>
      <c r="F45" s="174"/>
    </row>
    <row r="46" spans="1:6" ht="55.5" customHeight="1" x14ac:dyDescent="0.25">
      <c r="A46" s="169"/>
      <c r="B46" s="174"/>
      <c r="C46" s="169"/>
      <c r="D46" s="174"/>
      <c r="E46" s="169"/>
      <c r="F46" s="174"/>
    </row>
    <row r="47" spans="1:6" ht="55.5" customHeight="1" x14ac:dyDescent="0.25">
      <c r="A47" s="169"/>
      <c r="B47" s="172"/>
      <c r="C47" s="169"/>
      <c r="D47" s="173"/>
      <c r="E47" s="169"/>
      <c r="F47" s="172"/>
    </row>
    <row r="48" spans="1:6" ht="56.25" customHeight="1" x14ac:dyDescent="0.25">
      <c r="A48" s="169"/>
      <c r="B48" s="172"/>
      <c r="C48" s="169"/>
      <c r="D48" s="173"/>
      <c r="E48" s="169"/>
      <c r="F48" s="174"/>
    </row>
    <row r="49" spans="1:6" ht="54" customHeight="1" x14ac:dyDescent="0.25">
      <c r="A49" s="169"/>
      <c r="B49" s="174"/>
      <c r="C49" s="169"/>
      <c r="D49" s="175"/>
      <c r="E49" s="169"/>
      <c r="F49" s="174"/>
    </row>
    <row r="50" spans="1:6" ht="56.25" customHeight="1" x14ac:dyDescent="0.25">
      <c r="A50" s="169"/>
      <c r="B50" s="174"/>
      <c r="C50" s="169"/>
      <c r="D50" s="174"/>
      <c r="E50" s="169"/>
      <c r="F50" s="174"/>
    </row>
    <row r="51" spans="1:6" ht="59.25" customHeight="1" x14ac:dyDescent="0.25">
      <c r="A51" s="169"/>
      <c r="B51" s="174"/>
      <c r="C51" s="169"/>
      <c r="D51" s="174"/>
      <c r="E51" s="169"/>
      <c r="F51" s="174"/>
    </row>
    <row r="52" spans="1:6" ht="54.75" customHeight="1" x14ac:dyDescent="0.25">
      <c r="A52" s="169"/>
      <c r="B52" s="174"/>
      <c r="C52" s="169"/>
      <c r="D52" s="174"/>
      <c r="E52" s="169"/>
      <c r="F52" s="174"/>
    </row>
    <row r="53" spans="1:6" ht="55.5" customHeight="1" x14ac:dyDescent="0.25">
      <c r="A53" s="169"/>
      <c r="B53" s="174"/>
      <c r="C53" s="169"/>
      <c r="D53" s="174"/>
      <c r="E53" s="169"/>
      <c r="F53" s="174"/>
    </row>
  </sheetData>
  <mergeCells count="10">
    <mergeCell ref="A9:F9"/>
    <mergeCell ref="A10:F10"/>
    <mergeCell ref="A1:A4"/>
    <mergeCell ref="B1:D2"/>
    <mergeCell ref="F1:F4"/>
    <mergeCell ref="J1:J4"/>
    <mergeCell ref="B3:D4"/>
    <mergeCell ref="A5:F5"/>
    <mergeCell ref="A6:F7"/>
    <mergeCell ref="A8:F8"/>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'H:\CLAUDIA INFRA 2024-2027\AÑO 2024\INFORMES\PLANEACION\SIGAMI\MAPA DE RIESGOS\[MAPA RIESGOS CORRUPCION PROCESO GESTION DE INFRAESTRUCTURA Y OBRAS PUBLICAS  15012024.xlsx]LISTAS CONTEXTO'!#REF!</xm:f>
          </x14:formula1>
          <xm:sqref>E12:E23</xm:sqref>
        </x14:dataValidation>
        <x14:dataValidation type="list" allowBlank="1" showInputMessage="1" showErrorMessage="1" xr:uid="{00000000-0002-0000-0100-000001000000}">
          <x14:formula1>
            <xm:f>'H:\CLAUDIA INFRA 2024-2027\AÑO 2024\INFORMES\PLANEACION\SIGAMI\MAPA DE RIESGOS\[MAPA RIESGOS CORRUPCION PROCESO GESTION DE INFRAESTRUCTURA Y OBRAS PUBLICAS  15012024.xlsx]LISTAS CONTEXTO'!#REF!</xm:f>
          </x14:formula1>
          <xm:sqref>C12:C23 A12:A23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42"/>
  <sheetViews>
    <sheetView topLeftCell="A10" workbookViewId="0">
      <selection activeCell="T13" sqref="T13"/>
    </sheetView>
  </sheetViews>
  <sheetFormatPr baseColWidth="10" defaultColWidth="11.44140625" defaultRowHeight="14.4" x14ac:dyDescent="0.3"/>
  <cols>
    <col min="1" max="1" width="5.109375" style="203" customWidth="1"/>
    <col min="2" max="2" width="40.44140625" style="204" customWidth="1"/>
    <col min="3" max="17" width="6.44140625" style="204" customWidth="1"/>
    <col min="18" max="18" width="8.109375" style="204" customWidth="1"/>
    <col min="19" max="19" width="13" style="205" customWidth="1"/>
    <col min="20" max="20" width="19.6640625" customWidth="1"/>
    <col min="21" max="23" width="11.44140625" hidden="1" customWidth="1"/>
  </cols>
  <sheetData>
    <row r="1" spans="1:24" ht="30.75" customHeight="1" x14ac:dyDescent="0.3">
      <c r="A1" s="286"/>
      <c r="B1" s="289" t="str">
        <f>[2]CONTEXTO!B1</f>
        <v xml:space="preserve">PROCESO: </v>
      </c>
      <c r="C1" s="289"/>
      <c r="D1" s="289"/>
      <c r="E1" s="289"/>
      <c r="F1" s="289"/>
      <c r="G1" s="289"/>
      <c r="H1" s="289"/>
      <c r="I1" s="289"/>
      <c r="J1" s="289"/>
      <c r="K1" s="289"/>
      <c r="L1" s="289"/>
      <c r="M1" s="289"/>
      <c r="N1" s="289"/>
      <c r="O1" s="289"/>
      <c r="P1" s="289"/>
      <c r="Q1" s="289"/>
      <c r="R1" s="289"/>
      <c r="S1" s="290"/>
      <c r="T1" s="293" t="s">
        <v>225</v>
      </c>
      <c r="U1" s="293"/>
      <c r="V1" s="293"/>
      <c r="W1" s="294"/>
    </row>
    <row r="2" spans="1:24" ht="25.5" customHeight="1" x14ac:dyDescent="0.3">
      <c r="A2" s="287"/>
      <c r="B2" s="291"/>
      <c r="C2" s="291"/>
      <c r="D2" s="291"/>
      <c r="E2" s="291"/>
      <c r="F2" s="291"/>
      <c r="G2" s="291"/>
      <c r="H2" s="291"/>
      <c r="I2" s="291"/>
      <c r="J2" s="291"/>
      <c r="K2" s="291"/>
      <c r="L2" s="291"/>
      <c r="M2" s="291"/>
      <c r="N2" s="291"/>
      <c r="O2" s="291"/>
      <c r="P2" s="291"/>
      <c r="Q2" s="291"/>
      <c r="R2" s="291"/>
      <c r="S2" s="292"/>
      <c r="T2" s="295" t="s">
        <v>226</v>
      </c>
      <c r="U2" s="295"/>
      <c r="V2" s="295"/>
      <c r="W2" s="296"/>
    </row>
    <row r="3" spans="1:24" ht="15" customHeight="1" x14ac:dyDescent="0.3">
      <c r="A3" s="287"/>
      <c r="B3" s="291" t="s">
        <v>229</v>
      </c>
      <c r="C3" s="291"/>
      <c r="D3" s="291"/>
      <c r="E3" s="291"/>
      <c r="F3" s="291"/>
      <c r="G3" s="291"/>
      <c r="H3" s="291"/>
      <c r="I3" s="291"/>
      <c r="J3" s="291"/>
      <c r="K3" s="291"/>
      <c r="L3" s="291"/>
      <c r="M3" s="291"/>
      <c r="N3" s="291"/>
      <c r="O3" s="291"/>
      <c r="P3" s="291"/>
      <c r="Q3" s="291"/>
      <c r="R3" s="291"/>
      <c r="S3" s="292"/>
      <c r="T3" s="295" t="s">
        <v>251</v>
      </c>
      <c r="U3" s="295"/>
      <c r="V3" s="295"/>
      <c r="W3" s="296"/>
    </row>
    <row r="4" spans="1:24" ht="15.75" customHeight="1" x14ac:dyDescent="0.3">
      <c r="A4" s="288"/>
      <c r="B4" s="297"/>
      <c r="C4" s="297"/>
      <c r="D4" s="297"/>
      <c r="E4" s="297"/>
      <c r="F4" s="297"/>
      <c r="G4" s="297"/>
      <c r="H4" s="297"/>
      <c r="I4" s="297"/>
      <c r="J4" s="297"/>
      <c r="K4" s="297"/>
      <c r="L4" s="297"/>
      <c r="M4" s="297"/>
      <c r="N4" s="297"/>
      <c r="O4" s="297"/>
      <c r="P4" s="297"/>
      <c r="Q4" s="297"/>
      <c r="R4" s="297"/>
      <c r="S4" s="298"/>
      <c r="T4" s="295" t="s">
        <v>228</v>
      </c>
      <c r="U4" s="295"/>
      <c r="V4" s="295"/>
      <c r="W4" s="296"/>
    </row>
    <row r="5" spans="1:24" ht="15.75" customHeight="1" x14ac:dyDescent="0.3">
      <c r="A5" s="288"/>
      <c r="B5" s="288"/>
      <c r="C5" s="288"/>
      <c r="D5" s="288"/>
      <c r="E5" s="288"/>
      <c r="F5" s="288"/>
      <c r="G5" s="288"/>
      <c r="H5" s="288"/>
      <c r="I5" s="288"/>
      <c r="J5" s="288"/>
      <c r="K5" s="288"/>
      <c r="L5" s="288"/>
      <c r="M5" s="288"/>
      <c r="N5" s="288"/>
      <c r="O5" s="288"/>
      <c r="P5" s="288"/>
      <c r="Q5" s="288"/>
      <c r="R5" s="288"/>
      <c r="S5" s="288"/>
      <c r="T5" s="299"/>
      <c r="U5" s="170"/>
      <c r="V5" s="170"/>
      <c r="W5" s="176"/>
    </row>
    <row r="6" spans="1:24" s="149" customFormat="1" ht="27" customHeight="1" x14ac:dyDescent="0.25">
      <c r="A6" s="300"/>
      <c r="B6" s="300"/>
      <c r="C6" s="300"/>
      <c r="D6" s="300"/>
      <c r="E6" s="300"/>
      <c r="F6" s="300"/>
      <c r="G6" s="300"/>
      <c r="H6" s="300"/>
      <c r="I6" s="300"/>
      <c r="J6" s="300"/>
      <c r="K6" s="300"/>
      <c r="L6" s="300"/>
      <c r="M6" s="300"/>
      <c r="N6" s="300"/>
      <c r="O6" s="300"/>
      <c r="P6" s="300"/>
      <c r="Q6" s="300"/>
      <c r="R6" s="300"/>
      <c r="S6" s="300"/>
      <c r="T6" s="300"/>
      <c r="W6" s="177"/>
    </row>
    <row r="7" spans="1:24" s="149" customFormat="1" ht="81" customHeight="1" thickBot="1" x14ac:dyDescent="0.3">
      <c r="A7" s="301"/>
      <c r="B7" s="301"/>
      <c r="C7" s="301"/>
      <c r="D7" s="301"/>
      <c r="E7" s="301"/>
      <c r="F7" s="301"/>
      <c r="G7" s="301"/>
      <c r="H7" s="301"/>
      <c r="I7" s="301"/>
      <c r="J7" s="301"/>
      <c r="K7" s="301"/>
      <c r="L7" s="301"/>
      <c r="M7" s="301"/>
      <c r="N7" s="301"/>
      <c r="O7" s="301"/>
      <c r="P7" s="301"/>
      <c r="Q7" s="301"/>
      <c r="R7" s="301"/>
      <c r="S7" s="301"/>
      <c r="T7" s="301"/>
      <c r="U7" s="178"/>
      <c r="V7" s="178"/>
      <c r="W7" s="179"/>
    </row>
    <row r="8" spans="1:24" s="149" customFormat="1" ht="26.25" customHeight="1" thickBot="1" x14ac:dyDescent="0.3">
      <c r="A8" s="180"/>
      <c r="B8" s="180"/>
      <c r="C8" s="180"/>
      <c r="D8" s="180"/>
      <c r="E8" s="180"/>
      <c r="F8" s="180"/>
      <c r="G8" s="180"/>
      <c r="H8" s="180"/>
      <c r="I8" s="180"/>
      <c r="J8" s="180"/>
      <c r="K8" s="180"/>
      <c r="L8" s="180"/>
      <c r="M8" s="180"/>
      <c r="N8" s="180"/>
      <c r="O8" s="180"/>
      <c r="P8" s="180"/>
      <c r="Q8" s="180"/>
      <c r="R8" s="180"/>
      <c r="S8" s="180"/>
      <c r="T8" s="181"/>
      <c r="X8" s="182"/>
    </row>
    <row r="9" spans="1:24" s="149" customFormat="1" ht="39.75" customHeight="1" thickBot="1" x14ac:dyDescent="0.3">
      <c r="A9" s="302"/>
      <c r="B9" s="302"/>
      <c r="C9" s="302" t="b">
        <v>0</v>
      </c>
      <c r="D9" s="302"/>
      <c r="E9" s="302"/>
      <c r="F9" s="302"/>
      <c r="G9" s="302"/>
      <c r="H9" s="302"/>
      <c r="I9" s="302"/>
      <c r="J9" s="302"/>
      <c r="K9" s="302"/>
      <c r="L9" s="302"/>
      <c r="M9" s="302"/>
      <c r="N9" s="302"/>
      <c r="O9" s="302"/>
      <c r="P9" s="302"/>
      <c r="Q9" s="302"/>
      <c r="R9" s="302"/>
      <c r="S9" s="302"/>
      <c r="T9" s="303"/>
    </row>
    <row r="10" spans="1:24" s="188" customFormat="1" ht="32.25" customHeight="1" thickBot="1" x14ac:dyDescent="0.35">
      <c r="A10" s="183" t="s">
        <v>230</v>
      </c>
      <c r="B10" s="184" t="s">
        <v>231</v>
      </c>
      <c r="C10" s="184" t="s">
        <v>232</v>
      </c>
      <c r="D10" s="184" t="s">
        <v>233</v>
      </c>
      <c r="E10" s="184" t="s">
        <v>234</v>
      </c>
      <c r="F10" s="184" t="s">
        <v>235</v>
      </c>
      <c r="G10" s="184" t="s">
        <v>236</v>
      </c>
      <c r="H10" s="184" t="s">
        <v>237</v>
      </c>
      <c r="I10" s="184" t="s">
        <v>238</v>
      </c>
      <c r="J10" s="184" t="s">
        <v>239</v>
      </c>
      <c r="K10" s="184" t="s">
        <v>240</v>
      </c>
      <c r="L10" s="184" t="s">
        <v>241</v>
      </c>
      <c r="M10" s="184" t="s">
        <v>242</v>
      </c>
      <c r="N10" s="184" t="s">
        <v>243</v>
      </c>
      <c r="O10" s="184" t="s">
        <v>244</v>
      </c>
      <c r="P10" s="184" t="s">
        <v>245</v>
      </c>
      <c r="Q10" s="184" t="s">
        <v>246</v>
      </c>
      <c r="R10" s="185" t="s">
        <v>247</v>
      </c>
      <c r="S10" s="186" t="s">
        <v>248</v>
      </c>
      <c r="T10" s="187" t="s">
        <v>249</v>
      </c>
    </row>
    <row r="11" spans="1:24" ht="39.75" customHeight="1" x14ac:dyDescent="0.3">
      <c r="A11" s="189">
        <v>1</v>
      </c>
      <c r="B11" s="212" t="s">
        <v>272</v>
      </c>
      <c r="C11" s="190">
        <v>5</v>
      </c>
      <c r="D11" s="190">
        <v>5</v>
      </c>
      <c r="E11" s="190">
        <v>5</v>
      </c>
      <c r="F11" s="190"/>
      <c r="G11" s="190"/>
      <c r="H11" s="190"/>
      <c r="I11" s="190"/>
      <c r="J11" s="190"/>
      <c r="K11" s="190"/>
      <c r="L11" s="190"/>
      <c r="M11" s="190"/>
      <c r="N11" s="190"/>
      <c r="O11" s="190"/>
      <c r="P11" s="190"/>
      <c r="Q11" s="190"/>
      <c r="R11" s="189">
        <f t="shared" ref="R11:R26" si="0">SUM(C11:Q11)</f>
        <v>15</v>
      </c>
      <c r="S11" s="195">
        <f t="shared" ref="S11:S26" si="1">IF(ISERROR(AVERAGE(C11:Q11)),0,AVERAGE(C11:Q11))</f>
        <v>5</v>
      </c>
      <c r="T11" s="192"/>
    </row>
    <row r="12" spans="1:24" ht="45.75" customHeight="1" x14ac:dyDescent="0.3">
      <c r="A12" s="189">
        <v>2</v>
      </c>
      <c r="B12" s="213" t="s">
        <v>277</v>
      </c>
      <c r="C12" s="190">
        <v>2</v>
      </c>
      <c r="D12" s="190">
        <v>2</v>
      </c>
      <c r="E12" s="190">
        <v>2</v>
      </c>
      <c r="F12" s="190"/>
      <c r="G12" s="190"/>
      <c r="H12" s="190"/>
      <c r="I12" s="190"/>
      <c r="J12" s="190"/>
      <c r="K12" s="190"/>
      <c r="L12" s="190"/>
      <c r="M12" s="190"/>
      <c r="N12" s="190"/>
      <c r="O12" s="190"/>
      <c r="P12" s="190"/>
      <c r="Q12" s="190"/>
      <c r="R12" s="189">
        <f t="shared" si="0"/>
        <v>6</v>
      </c>
      <c r="S12" s="195">
        <f t="shared" si="1"/>
        <v>2</v>
      </c>
      <c r="T12" s="193"/>
    </row>
    <row r="13" spans="1:24" ht="65.25" customHeight="1" x14ac:dyDescent="0.3">
      <c r="A13" s="189">
        <v>3</v>
      </c>
      <c r="B13" s="213" t="s">
        <v>282</v>
      </c>
      <c r="C13" s="190">
        <v>3</v>
      </c>
      <c r="D13" s="190">
        <v>3</v>
      </c>
      <c r="E13" s="190">
        <v>3</v>
      </c>
      <c r="F13" s="190"/>
      <c r="G13" s="190"/>
      <c r="H13" s="190"/>
      <c r="I13" s="190"/>
      <c r="J13" s="190"/>
      <c r="K13" s="190"/>
      <c r="L13" s="190"/>
      <c r="M13" s="190"/>
      <c r="N13" s="190"/>
      <c r="O13" s="190"/>
      <c r="P13" s="190"/>
      <c r="Q13" s="190"/>
      <c r="R13" s="189">
        <f t="shared" si="0"/>
        <v>9</v>
      </c>
      <c r="S13" s="195">
        <f t="shared" si="1"/>
        <v>3</v>
      </c>
      <c r="T13" s="194"/>
    </row>
    <row r="14" spans="1:24" ht="39.75" customHeight="1" x14ac:dyDescent="0.3">
      <c r="A14" s="189">
        <v>4</v>
      </c>
      <c r="B14" s="214" t="s">
        <v>287</v>
      </c>
      <c r="C14" s="190">
        <v>5</v>
      </c>
      <c r="D14" s="190">
        <v>5</v>
      </c>
      <c r="E14" s="190">
        <v>5</v>
      </c>
      <c r="F14" s="190"/>
      <c r="G14" s="190"/>
      <c r="H14" s="190"/>
      <c r="I14" s="190"/>
      <c r="J14" s="190"/>
      <c r="K14" s="190"/>
      <c r="L14" s="190"/>
      <c r="M14" s="190"/>
      <c r="N14" s="190"/>
      <c r="O14" s="190"/>
      <c r="P14" s="190"/>
      <c r="Q14" s="190"/>
      <c r="R14" s="189">
        <f t="shared" si="0"/>
        <v>15</v>
      </c>
      <c r="S14" s="195">
        <f t="shared" si="1"/>
        <v>5</v>
      </c>
      <c r="T14" s="194"/>
    </row>
    <row r="15" spans="1:24" ht="39.75" customHeight="1" x14ac:dyDescent="0.3">
      <c r="A15" s="189">
        <v>5</v>
      </c>
      <c r="B15" s="213" t="s">
        <v>291</v>
      </c>
      <c r="C15" s="190">
        <v>5</v>
      </c>
      <c r="D15" s="190">
        <v>5</v>
      </c>
      <c r="E15" s="190">
        <v>5</v>
      </c>
      <c r="F15" s="190"/>
      <c r="G15" s="190"/>
      <c r="H15" s="190"/>
      <c r="I15" s="190"/>
      <c r="J15" s="190"/>
      <c r="K15" s="190"/>
      <c r="L15" s="190"/>
      <c r="M15" s="190"/>
      <c r="N15" s="190"/>
      <c r="O15" s="190"/>
      <c r="P15" s="190"/>
      <c r="Q15" s="190"/>
      <c r="R15" s="189">
        <f t="shared" si="0"/>
        <v>15</v>
      </c>
      <c r="S15" s="195">
        <f t="shared" si="1"/>
        <v>5</v>
      </c>
      <c r="T15" s="194"/>
    </row>
    <row r="16" spans="1:24" ht="39.75" customHeight="1" x14ac:dyDescent="0.3">
      <c r="A16" s="189">
        <v>6</v>
      </c>
      <c r="B16" s="215" t="s">
        <v>294</v>
      </c>
      <c r="C16" s="190">
        <v>5</v>
      </c>
      <c r="D16" s="190">
        <v>5</v>
      </c>
      <c r="E16" s="190">
        <v>5</v>
      </c>
      <c r="F16" s="190"/>
      <c r="G16" s="190"/>
      <c r="H16" s="190"/>
      <c r="I16" s="190"/>
      <c r="J16" s="190"/>
      <c r="K16" s="190"/>
      <c r="L16" s="190"/>
      <c r="M16" s="190"/>
      <c r="N16" s="190"/>
      <c r="O16" s="190"/>
      <c r="P16" s="190"/>
      <c r="Q16" s="190"/>
      <c r="R16" s="189">
        <f t="shared" si="0"/>
        <v>15</v>
      </c>
      <c r="S16" s="195">
        <f t="shared" si="1"/>
        <v>5</v>
      </c>
      <c r="T16" s="194"/>
    </row>
    <row r="17" spans="1:20" ht="39.75" customHeight="1" x14ac:dyDescent="0.3">
      <c r="A17" s="189">
        <v>7</v>
      </c>
      <c r="B17" s="213" t="s">
        <v>296</v>
      </c>
      <c r="C17" s="190">
        <v>5</v>
      </c>
      <c r="D17" s="190">
        <v>5</v>
      </c>
      <c r="E17" s="190">
        <v>5</v>
      </c>
      <c r="F17" s="190"/>
      <c r="G17" s="190"/>
      <c r="H17" s="190"/>
      <c r="I17" s="190"/>
      <c r="J17" s="190"/>
      <c r="K17" s="190"/>
      <c r="L17" s="190"/>
      <c r="M17" s="190"/>
      <c r="N17" s="190"/>
      <c r="O17" s="190"/>
      <c r="P17" s="190"/>
      <c r="Q17" s="190"/>
      <c r="R17" s="189">
        <f t="shared" si="0"/>
        <v>15</v>
      </c>
      <c r="S17" s="195">
        <f t="shared" si="1"/>
        <v>5</v>
      </c>
      <c r="T17" s="194"/>
    </row>
    <row r="18" spans="1:20" ht="46.5" customHeight="1" x14ac:dyDescent="0.3">
      <c r="A18" s="189">
        <v>8</v>
      </c>
      <c r="B18" s="213" t="s">
        <v>298</v>
      </c>
      <c r="C18" s="190">
        <v>4</v>
      </c>
      <c r="D18" s="190">
        <v>4</v>
      </c>
      <c r="E18" s="190">
        <v>4</v>
      </c>
      <c r="F18" s="190"/>
      <c r="G18" s="190"/>
      <c r="H18" s="190"/>
      <c r="I18" s="190"/>
      <c r="J18" s="190"/>
      <c r="K18" s="190"/>
      <c r="L18" s="190"/>
      <c r="M18" s="190"/>
      <c r="N18" s="190"/>
      <c r="O18" s="190"/>
      <c r="P18" s="190"/>
      <c r="Q18" s="190"/>
      <c r="R18" s="189">
        <f t="shared" si="0"/>
        <v>12</v>
      </c>
      <c r="S18" s="195">
        <f t="shared" si="1"/>
        <v>4</v>
      </c>
      <c r="T18" s="194"/>
    </row>
    <row r="19" spans="1:20" ht="47.25" customHeight="1" x14ac:dyDescent="0.3">
      <c r="A19" s="189">
        <v>9</v>
      </c>
      <c r="B19" s="216" t="s">
        <v>274</v>
      </c>
      <c r="C19" s="190">
        <v>5</v>
      </c>
      <c r="D19" s="190">
        <v>5</v>
      </c>
      <c r="E19" s="190">
        <v>5</v>
      </c>
      <c r="F19" s="190"/>
      <c r="G19" s="190"/>
      <c r="H19" s="190"/>
      <c r="I19" s="190"/>
      <c r="J19" s="190"/>
      <c r="K19" s="190"/>
      <c r="L19" s="190"/>
      <c r="M19" s="190"/>
      <c r="N19" s="190"/>
      <c r="O19" s="190"/>
      <c r="P19" s="190"/>
      <c r="Q19" s="190"/>
      <c r="R19" s="189">
        <f t="shared" si="0"/>
        <v>15</v>
      </c>
      <c r="S19" s="195">
        <f t="shared" si="1"/>
        <v>5</v>
      </c>
      <c r="T19" s="194"/>
    </row>
    <row r="20" spans="1:20" ht="39.75" customHeight="1" x14ac:dyDescent="0.3">
      <c r="A20" s="189">
        <v>10</v>
      </c>
      <c r="B20" s="217" t="s">
        <v>279</v>
      </c>
      <c r="C20" s="190">
        <v>4</v>
      </c>
      <c r="D20" s="190">
        <v>4</v>
      </c>
      <c r="E20" s="190">
        <v>4</v>
      </c>
      <c r="F20" s="190"/>
      <c r="G20" s="190"/>
      <c r="H20" s="190"/>
      <c r="I20" s="190"/>
      <c r="J20" s="190"/>
      <c r="K20" s="190"/>
      <c r="L20" s="190"/>
      <c r="M20" s="190"/>
      <c r="N20" s="190"/>
      <c r="O20" s="190"/>
      <c r="P20" s="190"/>
      <c r="Q20" s="190"/>
      <c r="R20" s="189">
        <f t="shared" si="0"/>
        <v>12</v>
      </c>
      <c r="S20" s="195">
        <f t="shared" si="1"/>
        <v>4</v>
      </c>
      <c r="T20" s="194"/>
    </row>
    <row r="21" spans="1:20" ht="39.75" customHeight="1" x14ac:dyDescent="0.3">
      <c r="A21" s="189">
        <v>11</v>
      </c>
      <c r="B21" s="217" t="s">
        <v>306</v>
      </c>
      <c r="C21" s="190">
        <v>5</v>
      </c>
      <c r="D21" s="190">
        <v>5</v>
      </c>
      <c r="E21" s="190">
        <v>5</v>
      </c>
      <c r="F21" s="190"/>
      <c r="G21" s="190"/>
      <c r="H21" s="190"/>
      <c r="I21" s="190"/>
      <c r="J21" s="190"/>
      <c r="K21" s="190"/>
      <c r="L21" s="190"/>
      <c r="M21" s="190"/>
      <c r="N21" s="190"/>
      <c r="O21" s="190"/>
      <c r="P21" s="190"/>
      <c r="Q21" s="190"/>
      <c r="R21" s="189">
        <f t="shared" si="0"/>
        <v>15</v>
      </c>
      <c r="S21" s="195">
        <f t="shared" si="1"/>
        <v>5</v>
      </c>
      <c r="T21" s="194"/>
    </row>
    <row r="22" spans="1:20" ht="45.75" customHeight="1" x14ac:dyDescent="0.3">
      <c r="A22" s="189">
        <v>12</v>
      </c>
      <c r="B22" s="218" t="s">
        <v>289</v>
      </c>
      <c r="C22" s="190">
        <v>5</v>
      </c>
      <c r="D22" s="190">
        <v>5</v>
      </c>
      <c r="E22" s="190">
        <v>5</v>
      </c>
      <c r="F22" s="190"/>
      <c r="G22" s="190"/>
      <c r="H22" s="190"/>
      <c r="I22" s="190"/>
      <c r="J22" s="190"/>
      <c r="K22" s="190"/>
      <c r="L22" s="190"/>
      <c r="M22" s="190"/>
      <c r="N22" s="190"/>
      <c r="O22" s="190"/>
      <c r="P22" s="190"/>
      <c r="Q22" s="190"/>
      <c r="R22" s="189">
        <f t="shared" si="0"/>
        <v>15</v>
      </c>
      <c r="S22" s="195">
        <f t="shared" si="1"/>
        <v>5</v>
      </c>
      <c r="T22" s="194"/>
    </row>
    <row r="23" spans="1:20" ht="49.5" customHeight="1" x14ac:dyDescent="0.3">
      <c r="A23" s="189">
        <v>13</v>
      </c>
      <c r="B23" s="217" t="s">
        <v>293</v>
      </c>
      <c r="C23" s="190">
        <v>5</v>
      </c>
      <c r="D23" s="190">
        <v>5</v>
      </c>
      <c r="E23" s="190">
        <v>5</v>
      </c>
      <c r="F23" s="190"/>
      <c r="G23" s="190"/>
      <c r="H23" s="190"/>
      <c r="I23" s="190"/>
      <c r="J23" s="190"/>
      <c r="K23" s="190"/>
      <c r="L23" s="190"/>
      <c r="M23" s="190"/>
      <c r="N23" s="190"/>
      <c r="O23" s="190"/>
      <c r="P23" s="190"/>
      <c r="Q23" s="190"/>
      <c r="R23" s="189">
        <f t="shared" si="0"/>
        <v>15</v>
      </c>
      <c r="S23" s="195">
        <f t="shared" si="1"/>
        <v>5</v>
      </c>
      <c r="T23" s="194"/>
    </row>
    <row r="24" spans="1:20" ht="39.75" customHeight="1" x14ac:dyDescent="0.3">
      <c r="A24" s="189">
        <v>14</v>
      </c>
      <c r="B24" s="217" t="s">
        <v>295</v>
      </c>
      <c r="C24" s="190">
        <v>4</v>
      </c>
      <c r="D24" s="190">
        <v>4</v>
      </c>
      <c r="E24" s="190">
        <v>4</v>
      </c>
      <c r="F24" s="190"/>
      <c r="G24" s="190"/>
      <c r="H24" s="190"/>
      <c r="I24" s="190"/>
      <c r="J24" s="190"/>
      <c r="K24" s="190"/>
      <c r="L24" s="190"/>
      <c r="M24" s="190"/>
      <c r="N24" s="190"/>
      <c r="O24" s="190"/>
      <c r="P24" s="190"/>
      <c r="Q24" s="190"/>
      <c r="R24" s="189">
        <f t="shared" si="0"/>
        <v>12</v>
      </c>
      <c r="S24" s="195">
        <f t="shared" si="1"/>
        <v>4</v>
      </c>
      <c r="T24" s="194"/>
    </row>
    <row r="25" spans="1:20" ht="39.75" customHeight="1" x14ac:dyDescent="0.3">
      <c r="A25" s="189">
        <v>15</v>
      </c>
      <c r="B25" s="217" t="s">
        <v>297</v>
      </c>
      <c r="C25" s="190">
        <v>5</v>
      </c>
      <c r="D25" s="190">
        <v>5</v>
      </c>
      <c r="E25" s="190">
        <v>5</v>
      </c>
      <c r="F25" s="190"/>
      <c r="G25" s="190"/>
      <c r="H25" s="190"/>
      <c r="I25" s="190"/>
      <c r="J25" s="190"/>
      <c r="K25" s="190"/>
      <c r="L25" s="190"/>
      <c r="M25" s="190"/>
      <c r="N25" s="190"/>
      <c r="O25" s="190"/>
      <c r="P25" s="190"/>
      <c r="Q25" s="190"/>
      <c r="R25" s="189">
        <f t="shared" si="0"/>
        <v>15</v>
      </c>
      <c r="S25" s="195">
        <f t="shared" si="1"/>
        <v>5</v>
      </c>
      <c r="T25" s="194"/>
    </row>
    <row r="26" spans="1:20" ht="48.75" customHeight="1" x14ac:dyDescent="0.3">
      <c r="A26" s="189">
        <v>16</v>
      </c>
      <c r="B26" s="219" t="s">
        <v>299</v>
      </c>
      <c r="C26" s="190">
        <v>4</v>
      </c>
      <c r="D26" s="190">
        <v>4</v>
      </c>
      <c r="E26" s="190">
        <v>4</v>
      </c>
      <c r="F26" s="190"/>
      <c r="G26" s="190"/>
      <c r="H26" s="190"/>
      <c r="I26" s="190"/>
      <c r="J26" s="190"/>
      <c r="K26" s="190"/>
      <c r="L26" s="190"/>
      <c r="M26" s="190"/>
      <c r="N26" s="190"/>
      <c r="O26" s="190"/>
      <c r="P26" s="190"/>
      <c r="Q26" s="190"/>
      <c r="R26" s="189">
        <f t="shared" si="0"/>
        <v>12</v>
      </c>
      <c r="S26" s="195">
        <f t="shared" si="1"/>
        <v>4</v>
      </c>
      <c r="T26" s="194"/>
    </row>
    <row r="27" spans="1:20" ht="39.75" customHeight="1" x14ac:dyDescent="0.3">
      <c r="A27" s="189">
        <v>17</v>
      </c>
      <c r="B27" s="220" t="s">
        <v>301</v>
      </c>
      <c r="C27" s="190">
        <v>5</v>
      </c>
      <c r="D27" s="190">
        <v>5</v>
      </c>
      <c r="E27" s="190">
        <v>5</v>
      </c>
      <c r="F27" s="190"/>
      <c r="G27" s="190"/>
      <c r="H27" s="190"/>
      <c r="I27" s="190"/>
      <c r="J27" s="190"/>
      <c r="K27" s="190"/>
      <c r="L27" s="190"/>
      <c r="M27" s="190"/>
      <c r="N27" s="190"/>
      <c r="O27" s="190"/>
      <c r="P27" s="190"/>
      <c r="Q27" s="190"/>
      <c r="R27" s="189">
        <f t="shared" ref="R27:R30" si="2">SUM(C27:Q27)</f>
        <v>15</v>
      </c>
      <c r="S27" s="195">
        <f>IF(ISERROR(AVERAGE(C27:Q27)),0,AVERAGE(C27:Q27))</f>
        <v>5</v>
      </c>
      <c r="T27" s="194"/>
    </row>
    <row r="28" spans="1:20" ht="39.75" customHeight="1" x14ac:dyDescent="0.3">
      <c r="A28" s="189">
        <v>18</v>
      </c>
      <c r="B28" s="217" t="s">
        <v>302</v>
      </c>
      <c r="C28" s="190">
        <v>5</v>
      </c>
      <c r="D28" s="190">
        <v>5</v>
      </c>
      <c r="E28" s="190">
        <v>5</v>
      </c>
      <c r="F28" s="190"/>
      <c r="G28" s="190"/>
      <c r="H28" s="190"/>
      <c r="I28" s="190"/>
      <c r="J28" s="190"/>
      <c r="K28" s="190"/>
      <c r="L28" s="190"/>
      <c r="M28" s="190"/>
      <c r="N28" s="190"/>
      <c r="O28" s="190"/>
      <c r="P28" s="190"/>
      <c r="Q28" s="190"/>
      <c r="R28" s="189">
        <f t="shared" si="2"/>
        <v>15</v>
      </c>
      <c r="S28" s="195">
        <f t="shared" ref="S28:S30" si="3">IF(ISERROR(AVERAGE(C28:Q28)),0,AVERAGE(C28:Q28))</f>
        <v>5</v>
      </c>
      <c r="T28" s="194"/>
    </row>
    <row r="29" spans="1:20" ht="48" customHeight="1" x14ac:dyDescent="0.3">
      <c r="A29" s="189">
        <v>19</v>
      </c>
      <c r="B29" s="217" t="s">
        <v>304</v>
      </c>
      <c r="C29" s="190">
        <v>4</v>
      </c>
      <c r="D29" s="190">
        <v>4</v>
      </c>
      <c r="E29" s="190">
        <v>4</v>
      </c>
      <c r="F29" s="190"/>
      <c r="G29" s="190"/>
      <c r="H29" s="190"/>
      <c r="I29" s="190"/>
      <c r="J29" s="190"/>
      <c r="K29" s="190"/>
      <c r="L29" s="190"/>
      <c r="M29" s="190"/>
      <c r="N29" s="190"/>
      <c r="O29" s="190"/>
      <c r="P29" s="190"/>
      <c r="Q29" s="190"/>
      <c r="R29" s="189">
        <f t="shared" si="2"/>
        <v>12</v>
      </c>
      <c r="S29" s="195">
        <f t="shared" si="3"/>
        <v>4</v>
      </c>
      <c r="T29" s="194"/>
    </row>
    <row r="30" spans="1:20" ht="39.75" customHeight="1" x14ac:dyDescent="0.3">
      <c r="A30" s="189">
        <v>20</v>
      </c>
      <c r="B30" s="217" t="s">
        <v>305</v>
      </c>
      <c r="C30" s="190">
        <v>4</v>
      </c>
      <c r="D30" s="190">
        <v>4</v>
      </c>
      <c r="E30" s="190">
        <v>4</v>
      </c>
      <c r="F30" s="190"/>
      <c r="G30" s="190"/>
      <c r="H30" s="190"/>
      <c r="I30" s="190"/>
      <c r="J30" s="190"/>
      <c r="K30" s="190"/>
      <c r="L30" s="190"/>
      <c r="M30" s="190"/>
      <c r="N30" s="190"/>
      <c r="O30" s="190"/>
      <c r="P30" s="190"/>
      <c r="Q30" s="190"/>
      <c r="R30" s="189">
        <f t="shared" si="2"/>
        <v>12</v>
      </c>
      <c r="S30" s="195">
        <f t="shared" si="3"/>
        <v>4</v>
      </c>
      <c r="T30" s="194"/>
    </row>
    <row r="31" spans="1:20" ht="49.5" customHeight="1" x14ac:dyDescent="0.3">
      <c r="A31" s="189">
        <v>21</v>
      </c>
      <c r="B31" s="160" t="s">
        <v>276</v>
      </c>
      <c r="C31" s="190">
        <v>5</v>
      </c>
      <c r="D31" s="190">
        <v>5</v>
      </c>
      <c r="E31" s="190">
        <v>5</v>
      </c>
      <c r="F31" s="190"/>
      <c r="G31" s="190"/>
      <c r="H31" s="190"/>
      <c r="I31" s="190"/>
      <c r="J31" s="190"/>
      <c r="K31" s="190"/>
      <c r="L31" s="190"/>
      <c r="M31" s="190"/>
      <c r="N31" s="190"/>
      <c r="O31" s="190"/>
      <c r="P31" s="190"/>
      <c r="Q31" s="190"/>
      <c r="R31" s="189"/>
      <c r="S31" s="191"/>
      <c r="T31" s="194"/>
    </row>
    <row r="32" spans="1:20" ht="42" customHeight="1" x14ac:dyDescent="0.3">
      <c r="A32" s="189">
        <v>22</v>
      </c>
      <c r="B32" s="160" t="s">
        <v>281</v>
      </c>
      <c r="C32" s="190">
        <v>4</v>
      </c>
      <c r="D32" s="190">
        <v>4</v>
      </c>
      <c r="E32" s="190">
        <v>4</v>
      </c>
      <c r="F32" s="190"/>
      <c r="G32" s="190"/>
      <c r="H32" s="190"/>
      <c r="I32" s="190"/>
      <c r="J32" s="190"/>
      <c r="K32" s="190"/>
      <c r="L32" s="190"/>
      <c r="M32" s="190"/>
      <c r="N32" s="190"/>
      <c r="O32" s="190"/>
      <c r="P32" s="190"/>
      <c r="Q32" s="190"/>
      <c r="R32" s="189"/>
      <c r="S32" s="195"/>
      <c r="T32" s="194"/>
    </row>
    <row r="33" spans="1:20" ht="48" customHeight="1" x14ac:dyDescent="0.3">
      <c r="A33" s="189">
        <v>23</v>
      </c>
      <c r="B33" s="160" t="s">
        <v>285</v>
      </c>
      <c r="C33" s="190">
        <v>4</v>
      </c>
      <c r="D33" s="190">
        <v>4</v>
      </c>
      <c r="E33" s="190">
        <v>4</v>
      </c>
      <c r="F33" s="190"/>
      <c r="G33" s="190"/>
      <c r="H33" s="190"/>
      <c r="I33" s="190"/>
      <c r="J33" s="190"/>
      <c r="K33" s="190"/>
      <c r="L33" s="190"/>
      <c r="M33" s="190"/>
      <c r="N33" s="190"/>
      <c r="O33" s="190"/>
      <c r="P33" s="190"/>
      <c r="Q33" s="190"/>
      <c r="R33" s="189"/>
      <c r="S33" s="195"/>
      <c r="T33" s="194"/>
    </row>
    <row r="34" spans="1:20" ht="46.5" customHeight="1" x14ac:dyDescent="0.3">
      <c r="A34" s="189">
        <v>24</v>
      </c>
      <c r="B34" s="160"/>
      <c r="C34" s="190"/>
      <c r="D34" s="190"/>
      <c r="E34" s="190"/>
      <c r="F34" s="190"/>
      <c r="G34" s="190"/>
      <c r="H34" s="190"/>
      <c r="I34" s="190"/>
      <c r="J34" s="190"/>
      <c r="K34" s="190"/>
      <c r="L34" s="190"/>
      <c r="M34" s="190"/>
      <c r="N34" s="190"/>
      <c r="O34" s="190"/>
      <c r="P34" s="190"/>
      <c r="Q34" s="190"/>
      <c r="R34" s="189"/>
      <c r="S34" s="195"/>
      <c r="T34" s="194"/>
    </row>
    <row r="35" spans="1:20" ht="44.25" customHeight="1" x14ac:dyDescent="0.3">
      <c r="A35" s="189">
        <v>25</v>
      </c>
      <c r="B35" s="160"/>
      <c r="C35" s="190"/>
      <c r="D35" s="190"/>
      <c r="E35" s="190"/>
      <c r="F35" s="190"/>
      <c r="G35" s="190"/>
      <c r="H35" s="190"/>
      <c r="I35" s="190"/>
      <c r="J35" s="190"/>
      <c r="K35" s="190"/>
      <c r="L35" s="190"/>
      <c r="M35" s="190"/>
      <c r="N35" s="190"/>
      <c r="O35" s="190"/>
      <c r="P35" s="190"/>
      <c r="Q35" s="190"/>
      <c r="R35" s="189">
        <f t="shared" ref="R35:R39" si="4">SUM(C35:Q35)</f>
        <v>0</v>
      </c>
      <c r="S35" s="195">
        <f t="shared" ref="S35:S39" si="5">IF(ISERROR(AVERAGE(C35:Q35)),0,AVERAGE(C35:Q35))</f>
        <v>0</v>
      </c>
      <c r="T35" s="194"/>
    </row>
    <row r="36" spans="1:20" ht="42.75" customHeight="1" x14ac:dyDescent="0.3">
      <c r="A36" s="189">
        <v>26</v>
      </c>
      <c r="B36" s="160"/>
      <c r="C36" s="190"/>
      <c r="D36" s="190"/>
      <c r="E36" s="190"/>
      <c r="F36" s="190"/>
      <c r="G36" s="190"/>
      <c r="H36" s="190"/>
      <c r="I36" s="190"/>
      <c r="J36" s="190"/>
      <c r="K36" s="190"/>
      <c r="L36" s="190"/>
      <c r="M36" s="190"/>
      <c r="N36" s="190"/>
      <c r="O36" s="190"/>
      <c r="P36" s="190"/>
      <c r="Q36" s="190"/>
      <c r="R36" s="189">
        <f t="shared" si="4"/>
        <v>0</v>
      </c>
      <c r="S36" s="195">
        <f t="shared" si="5"/>
        <v>0</v>
      </c>
      <c r="T36" s="194"/>
    </row>
    <row r="37" spans="1:20" ht="42" customHeight="1" x14ac:dyDescent="0.3">
      <c r="A37" s="189">
        <v>27</v>
      </c>
      <c r="B37" s="160"/>
      <c r="C37" s="190"/>
      <c r="D37" s="190"/>
      <c r="E37" s="190"/>
      <c r="F37" s="190"/>
      <c r="G37" s="190"/>
      <c r="H37" s="190"/>
      <c r="I37" s="190"/>
      <c r="J37" s="190"/>
      <c r="K37" s="190"/>
      <c r="L37" s="190"/>
      <c r="M37" s="190"/>
      <c r="N37" s="190"/>
      <c r="O37" s="190"/>
      <c r="P37" s="190"/>
      <c r="Q37" s="190"/>
      <c r="R37" s="189">
        <f t="shared" si="4"/>
        <v>0</v>
      </c>
      <c r="S37" s="195">
        <f t="shared" si="5"/>
        <v>0</v>
      </c>
      <c r="T37" s="194"/>
    </row>
    <row r="38" spans="1:20" ht="42.75" customHeight="1" x14ac:dyDescent="0.3">
      <c r="A38" s="189">
        <v>28</v>
      </c>
      <c r="B38" s="160"/>
      <c r="C38" s="190"/>
      <c r="D38" s="190"/>
      <c r="E38" s="190"/>
      <c r="F38" s="190"/>
      <c r="G38" s="190"/>
      <c r="H38" s="190"/>
      <c r="I38" s="190"/>
      <c r="J38" s="190"/>
      <c r="K38" s="190"/>
      <c r="L38" s="190"/>
      <c r="M38" s="190"/>
      <c r="N38" s="190"/>
      <c r="O38" s="190"/>
      <c r="P38" s="190"/>
      <c r="Q38" s="190"/>
      <c r="R38" s="189">
        <f t="shared" si="4"/>
        <v>0</v>
      </c>
      <c r="S38" s="195">
        <f t="shared" si="5"/>
        <v>0</v>
      </c>
      <c r="T38" s="194"/>
    </row>
    <row r="39" spans="1:20" ht="47.25" customHeight="1" x14ac:dyDescent="0.3">
      <c r="A39" s="189">
        <v>29</v>
      </c>
      <c r="B39" s="160"/>
      <c r="C39" s="190"/>
      <c r="D39" s="190"/>
      <c r="E39" s="190"/>
      <c r="F39" s="190"/>
      <c r="G39" s="190"/>
      <c r="H39" s="190"/>
      <c r="I39" s="190"/>
      <c r="J39" s="190"/>
      <c r="K39" s="190"/>
      <c r="L39" s="190"/>
      <c r="M39" s="190"/>
      <c r="N39" s="190"/>
      <c r="O39" s="190"/>
      <c r="P39" s="190"/>
      <c r="Q39" s="190"/>
      <c r="R39" s="189">
        <f t="shared" si="4"/>
        <v>0</v>
      </c>
      <c r="S39" s="195">
        <f t="shared" si="5"/>
        <v>0</v>
      </c>
      <c r="T39" s="194"/>
    </row>
    <row r="40" spans="1:20" ht="50.25" customHeight="1" thickBot="1" x14ac:dyDescent="0.35">
      <c r="A40" s="196">
        <v>30</v>
      </c>
      <c r="B40" s="197"/>
      <c r="C40" s="198"/>
      <c r="D40" s="198"/>
      <c r="E40" s="198"/>
      <c r="F40" s="198"/>
      <c r="G40" s="198"/>
      <c r="H40" s="198"/>
      <c r="I40" s="198"/>
      <c r="J40" s="198"/>
      <c r="K40" s="198"/>
      <c r="L40" s="198"/>
      <c r="M40" s="198"/>
      <c r="N40" s="198"/>
      <c r="O40" s="198"/>
      <c r="P40" s="198"/>
      <c r="Q40" s="198"/>
      <c r="R40" s="196">
        <f>SUM(C40:Q40)</f>
        <v>0</v>
      </c>
      <c r="S40" s="199">
        <f>IF(ISERROR(AVERAGE(C40:Q40)),0,AVERAGE(C40:Q40))</f>
        <v>0</v>
      </c>
      <c r="T40" s="200"/>
    </row>
    <row r="41" spans="1:20" ht="24" customHeight="1" x14ac:dyDescent="0.3">
      <c r="A41" s="304" t="s">
        <v>250</v>
      </c>
      <c r="B41" s="305"/>
      <c r="C41" s="305"/>
      <c r="D41" s="305"/>
      <c r="E41" s="305"/>
      <c r="F41" s="305"/>
      <c r="G41" s="305"/>
      <c r="H41" s="305"/>
      <c r="I41" s="305"/>
      <c r="J41" s="305"/>
      <c r="K41" s="305"/>
      <c r="L41" s="305"/>
      <c r="M41" s="305"/>
      <c r="N41" s="305"/>
      <c r="O41" s="305"/>
      <c r="P41" s="305"/>
      <c r="Q41" s="305"/>
      <c r="R41" s="306"/>
      <c r="S41" s="201">
        <f>SUM(S11:S40)</f>
        <v>89</v>
      </c>
    </row>
    <row r="42" spans="1:20" ht="28.5" customHeight="1" thickBot="1" x14ac:dyDescent="0.35">
      <c r="A42" s="284" t="s">
        <v>248</v>
      </c>
      <c r="B42" s="285"/>
      <c r="C42" s="285"/>
      <c r="D42" s="285"/>
      <c r="E42" s="285"/>
      <c r="F42" s="285"/>
      <c r="G42" s="285"/>
      <c r="H42" s="285"/>
      <c r="I42" s="285"/>
      <c r="J42" s="285"/>
      <c r="K42" s="285"/>
      <c r="L42" s="285"/>
      <c r="M42" s="285"/>
      <c r="N42" s="285"/>
      <c r="O42" s="285"/>
      <c r="P42" s="285"/>
      <c r="Q42" s="285"/>
      <c r="R42" s="285"/>
      <c r="S42" s="202">
        <f>S41/A33</f>
        <v>3.8695652173913042</v>
      </c>
    </row>
  </sheetData>
  <mergeCells count="13">
    <mergeCell ref="A42:R42"/>
    <mergeCell ref="A1:A4"/>
    <mergeCell ref="B1:S2"/>
    <mergeCell ref="T1:W1"/>
    <mergeCell ref="T2:W2"/>
    <mergeCell ref="B3:S4"/>
    <mergeCell ref="T3:W3"/>
    <mergeCell ref="T4:W4"/>
    <mergeCell ref="A5:T5"/>
    <mergeCell ref="A6:T6"/>
    <mergeCell ref="A7:T7"/>
    <mergeCell ref="A9:T9"/>
    <mergeCell ref="A41:R41"/>
  </mergeCells>
  <conditionalFormatting sqref="Z14">
    <cfRule type="dataBar" priority="1">
      <dataBar>
        <cfvo type="min"/>
        <cfvo type="max"/>
        <color rgb="FFFFB628"/>
      </dataBar>
      <extLst>
        <ext xmlns:x14="http://schemas.microsoft.com/office/spreadsheetml/2009/9/main" uri="{B025F937-C7B1-47D3-B67F-A62EFF666E3E}">
          <x14:id>{44C003F3-3AF5-4DAF-B4C8-9A1F98737122}</x14:id>
        </ext>
      </extLst>
    </cfRule>
  </conditionalFormatting>
  <dataValidations count="1">
    <dataValidation type="whole" showErrorMessage="1" error="DATO INVÁLIDO_x000a_Tenga en cuenta que la escala de calificación va de 1 a 5" sqref="C11:Q40" xr:uid="{00000000-0002-0000-0200-000000000000}">
      <formula1>1</formula1>
      <formula2>5</formula2>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44C003F3-3AF5-4DAF-B4C8-9A1F98737122}">
            <x14:dataBar minLength="0" maxLength="100" border="1" negativeBarBorderColorSameAsPositive="0">
              <x14:cfvo type="autoMin"/>
              <x14:cfvo type="autoMax"/>
              <x14:borderColor rgb="FFFFB628"/>
              <x14:negativeFillColor rgb="FFFF0000"/>
              <x14:negativeBorderColor rgb="FFFF0000"/>
              <x14:axisColor rgb="FF000000"/>
            </x14:dataBar>
          </x14:cfRule>
          <xm:sqref>Z14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33"/>
  <sheetViews>
    <sheetView topLeftCell="C15" workbookViewId="0">
      <selection activeCell="C51" sqref="C51:D51"/>
    </sheetView>
  </sheetViews>
  <sheetFormatPr baseColWidth="10" defaultColWidth="11.44140625" defaultRowHeight="13.8" x14ac:dyDescent="0.25"/>
  <cols>
    <col min="1" max="2" width="6.5546875" style="149" customWidth="1"/>
    <col min="3" max="3" width="32.6640625" style="149" customWidth="1"/>
    <col min="4" max="4" width="27.5546875" style="149" customWidth="1"/>
    <col min="5" max="5" width="38" style="149" customWidth="1"/>
    <col min="6" max="6" width="30.33203125" style="149" customWidth="1"/>
    <col min="7" max="7" width="18.33203125" style="149" customWidth="1"/>
    <col min="8" max="8" width="15.5546875" style="149" customWidth="1"/>
    <col min="9" max="9" width="19.33203125" style="149" customWidth="1"/>
    <col min="10" max="10" width="14.5546875" style="149" customWidth="1"/>
    <col min="11" max="16384" width="11.44140625" style="149"/>
  </cols>
  <sheetData>
    <row r="1" spans="1:14" ht="15" customHeight="1" x14ac:dyDescent="0.25">
      <c r="A1" s="307" t="str">
        <f>[2]CONTEXTO!B1</f>
        <v xml:space="preserve">PROCESO: </v>
      </c>
      <c r="B1" s="289"/>
      <c r="C1" s="289"/>
      <c r="D1" s="289"/>
      <c r="E1" s="289"/>
      <c r="F1" s="289"/>
      <c r="G1" s="290"/>
      <c r="H1" s="293" t="s">
        <v>264</v>
      </c>
      <c r="I1" s="293"/>
      <c r="J1" s="309"/>
      <c r="K1" s="148"/>
      <c r="N1" s="264"/>
    </row>
    <row r="2" spans="1:14" ht="15" customHeight="1" x14ac:dyDescent="0.25">
      <c r="A2" s="308"/>
      <c r="B2" s="291"/>
      <c r="C2" s="291"/>
      <c r="D2" s="291"/>
      <c r="E2" s="291"/>
      <c r="F2" s="291"/>
      <c r="G2" s="292"/>
      <c r="H2" s="295" t="s">
        <v>226</v>
      </c>
      <c r="I2" s="295"/>
      <c r="J2" s="310"/>
      <c r="K2" s="148"/>
      <c r="N2" s="264"/>
    </row>
    <row r="3" spans="1:14" ht="15" customHeight="1" x14ac:dyDescent="0.25">
      <c r="A3" s="308" t="s">
        <v>252</v>
      </c>
      <c r="B3" s="291"/>
      <c r="C3" s="291"/>
      <c r="D3" s="291"/>
      <c r="E3" s="291"/>
      <c r="F3" s="291"/>
      <c r="G3" s="292"/>
      <c r="H3" s="295" t="s">
        <v>227</v>
      </c>
      <c r="I3" s="295"/>
      <c r="J3" s="310"/>
      <c r="K3" s="148"/>
      <c r="N3" s="264"/>
    </row>
    <row r="4" spans="1:14" ht="15.75" customHeight="1" x14ac:dyDescent="0.25">
      <c r="A4" s="312"/>
      <c r="B4" s="297"/>
      <c r="C4" s="297"/>
      <c r="D4" s="297"/>
      <c r="E4" s="297"/>
      <c r="F4" s="297"/>
      <c r="G4" s="298"/>
      <c r="H4" s="295" t="s">
        <v>228</v>
      </c>
      <c r="I4" s="295"/>
      <c r="J4" s="311"/>
      <c r="K4" s="148"/>
      <c r="N4" s="264"/>
    </row>
    <row r="5" spans="1:14" ht="15.75" customHeight="1" x14ac:dyDescent="0.25">
      <c r="A5" s="313"/>
      <c r="B5" s="314"/>
      <c r="C5" s="314"/>
      <c r="D5" s="314"/>
      <c r="E5" s="314"/>
      <c r="F5" s="314"/>
      <c r="G5" s="314"/>
      <c r="H5" s="314"/>
      <c r="I5" s="314"/>
      <c r="J5" s="315"/>
      <c r="K5" s="148"/>
      <c r="N5" s="150"/>
    </row>
    <row r="6" spans="1:14" ht="15" customHeight="1" x14ac:dyDescent="0.25">
      <c r="A6" s="316" t="str">
        <f>[2]CONTEXTO!A8</f>
        <v xml:space="preserve">PROCESO: </v>
      </c>
      <c r="B6" s="317"/>
      <c r="C6" s="317"/>
      <c r="D6" s="317"/>
      <c r="E6" s="317"/>
      <c r="F6" s="317"/>
      <c r="G6" s="317"/>
      <c r="H6" s="317"/>
      <c r="I6" s="317"/>
      <c r="J6" s="318"/>
    </row>
    <row r="7" spans="1:14" ht="32.25" customHeight="1" thickBot="1" x14ac:dyDescent="0.3">
      <c r="A7" s="319"/>
      <c r="B7" s="320"/>
      <c r="C7" s="320"/>
      <c r="D7" s="320"/>
      <c r="E7" s="320"/>
      <c r="F7" s="320"/>
      <c r="G7" s="320"/>
      <c r="H7" s="320"/>
      <c r="I7" s="320"/>
      <c r="J7" s="321"/>
    </row>
    <row r="8" spans="1:14" ht="23.25" customHeight="1" x14ac:dyDescent="0.25">
      <c r="A8" s="322" t="s">
        <v>253</v>
      </c>
      <c r="B8" s="322"/>
      <c r="C8" s="322"/>
      <c r="D8" s="322"/>
      <c r="E8" s="323" t="s">
        <v>219</v>
      </c>
      <c r="F8" s="324"/>
      <c r="G8" s="324"/>
      <c r="H8" s="324"/>
      <c r="I8" s="324"/>
      <c r="J8" s="325"/>
    </row>
    <row r="9" spans="1:14" ht="23.25" customHeight="1" x14ac:dyDescent="0.25">
      <c r="A9" s="322"/>
      <c r="B9" s="322"/>
      <c r="C9" s="322"/>
      <c r="D9" s="322"/>
      <c r="E9" s="326" t="s">
        <v>254</v>
      </c>
      <c r="F9" s="326"/>
      <c r="G9" s="326" t="s">
        <v>255</v>
      </c>
      <c r="H9" s="326"/>
      <c r="I9" s="326"/>
      <c r="J9" s="326"/>
    </row>
    <row r="10" spans="1:14" ht="23.25" customHeight="1" x14ac:dyDescent="0.3">
      <c r="A10" s="322"/>
      <c r="B10" s="322"/>
      <c r="C10" s="322"/>
      <c r="D10" s="322"/>
      <c r="E10" s="327" t="s">
        <v>256</v>
      </c>
      <c r="F10" s="327"/>
      <c r="G10" s="328" t="s">
        <v>257</v>
      </c>
      <c r="H10" s="329"/>
      <c r="I10" s="329"/>
      <c r="J10" s="330"/>
    </row>
    <row r="11" spans="1:14" ht="43.5" customHeight="1" x14ac:dyDescent="0.25">
      <c r="A11" s="322"/>
      <c r="B11" s="322"/>
      <c r="C11" s="322"/>
      <c r="D11" s="322"/>
      <c r="E11" s="331" t="s">
        <v>308</v>
      </c>
      <c r="F11" s="332"/>
      <c r="G11" s="333" t="s">
        <v>324</v>
      </c>
      <c r="H11" s="333"/>
      <c r="I11" s="333"/>
      <c r="J11" s="333"/>
    </row>
    <row r="12" spans="1:14" ht="43.5" customHeight="1" x14ac:dyDescent="0.25">
      <c r="A12" s="322"/>
      <c r="B12" s="322"/>
      <c r="C12" s="322"/>
      <c r="D12" s="322"/>
      <c r="E12" s="331" t="s">
        <v>309</v>
      </c>
      <c r="F12" s="332"/>
      <c r="G12" s="333" t="s">
        <v>325</v>
      </c>
      <c r="H12" s="333"/>
      <c r="I12" s="333"/>
      <c r="J12" s="333"/>
    </row>
    <row r="13" spans="1:14" ht="43.5" customHeight="1" x14ac:dyDescent="0.25">
      <c r="A13" s="322"/>
      <c r="B13" s="322"/>
      <c r="C13" s="322"/>
      <c r="D13" s="322"/>
      <c r="E13" s="331" t="s">
        <v>310</v>
      </c>
      <c r="F13" s="332"/>
      <c r="G13" s="336" t="s">
        <v>326</v>
      </c>
      <c r="H13" s="336"/>
      <c r="I13" s="336"/>
      <c r="J13" s="336"/>
    </row>
    <row r="14" spans="1:14" ht="43.5" customHeight="1" x14ac:dyDescent="0.25">
      <c r="A14" s="322"/>
      <c r="B14" s="322"/>
      <c r="C14" s="322"/>
      <c r="D14" s="322"/>
      <c r="E14" s="337" t="s">
        <v>311</v>
      </c>
      <c r="F14" s="338"/>
      <c r="G14" s="333" t="s">
        <v>327</v>
      </c>
      <c r="H14" s="333"/>
      <c r="I14" s="333"/>
      <c r="J14" s="333"/>
    </row>
    <row r="15" spans="1:14" ht="49.5" customHeight="1" x14ac:dyDescent="0.25">
      <c r="A15" s="322"/>
      <c r="B15" s="322"/>
      <c r="C15" s="322"/>
      <c r="D15" s="322"/>
      <c r="E15" s="331" t="s">
        <v>312</v>
      </c>
      <c r="F15" s="332"/>
      <c r="G15" s="333" t="s">
        <v>328</v>
      </c>
      <c r="H15" s="333"/>
      <c r="I15" s="333"/>
      <c r="J15" s="333"/>
    </row>
    <row r="16" spans="1:14" ht="49.5" customHeight="1" x14ac:dyDescent="0.25">
      <c r="A16" s="322"/>
      <c r="B16" s="322"/>
      <c r="C16" s="322"/>
      <c r="D16" s="322"/>
      <c r="E16" s="331" t="s">
        <v>313</v>
      </c>
      <c r="F16" s="332"/>
      <c r="G16" s="331" t="s">
        <v>329</v>
      </c>
      <c r="H16" s="334"/>
      <c r="I16" s="334"/>
      <c r="J16" s="332"/>
    </row>
    <row r="17" spans="1:10" ht="54.75" customHeight="1" x14ac:dyDescent="0.25">
      <c r="A17" s="322"/>
      <c r="B17" s="322"/>
      <c r="C17" s="322"/>
      <c r="D17" s="322"/>
      <c r="E17" s="331" t="s">
        <v>314</v>
      </c>
      <c r="F17" s="332"/>
      <c r="G17" s="335" t="s">
        <v>330</v>
      </c>
      <c r="H17" s="335"/>
      <c r="I17" s="335"/>
      <c r="J17" s="335"/>
    </row>
    <row r="18" spans="1:10" ht="48.75" customHeight="1" x14ac:dyDescent="0.25">
      <c r="A18" s="322"/>
      <c r="B18" s="322"/>
      <c r="C18" s="322"/>
      <c r="D18" s="322"/>
      <c r="E18" s="331" t="s">
        <v>315</v>
      </c>
      <c r="F18" s="332"/>
      <c r="G18" s="335"/>
      <c r="H18" s="335"/>
      <c r="I18" s="335"/>
      <c r="J18" s="335"/>
    </row>
    <row r="19" spans="1:10" ht="54.75" customHeight="1" x14ac:dyDescent="0.25">
      <c r="A19" s="322"/>
      <c r="B19" s="322"/>
      <c r="C19" s="322"/>
      <c r="D19" s="322"/>
      <c r="E19" s="331" t="s">
        <v>316</v>
      </c>
      <c r="F19" s="332"/>
      <c r="G19" s="335"/>
      <c r="H19" s="335"/>
      <c r="I19" s="335"/>
      <c r="J19" s="335"/>
    </row>
    <row r="20" spans="1:10" ht="59.25" customHeight="1" x14ac:dyDescent="0.25">
      <c r="A20" s="322"/>
      <c r="B20" s="322"/>
      <c r="C20" s="322"/>
      <c r="D20" s="322"/>
      <c r="E20" s="331" t="s">
        <v>317</v>
      </c>
      <c r="F20" s="332"/>
      <c r="G20" s="335"/>
      <c r="H20" s="335"/>
      <c r="I20" s="335"/>
      <c r="J20" s="335"/>
    </row>
    <row r="21" spans="1:10" ht="49.5" customHeight="1" x14ac:dyDescent="0.25">
      <c r="A21" s="322"/>
      <c r="B21" s="322"/>
      <c r="C21" s="322"/>
      <c r="D21" s="322"/>
      <c r="E21" s="331" t="s">
        <v>318</v>
      </c>
      <c r="F21" s="332"/>
      <c r="G21" s="339"/>
      <c r="H21" s="340"/>
      <c r="I21" s="340"/>
      <c r="J21" s="341"/>
    </row>
    <row r="22" spans="1:10" ht="49.5" customHeight="1" x14ac:dyDescent="0.25">
      <c r="A22" s="322"/>
      <c r="B22" s="322"/>
      <c r="C22" s="322"/>
      <c r="D22" s="322"/>
      <c r="E22" s="331" t="s">
        <v>319</v>
      </c>
      <c r="F22" s="332"/>
      <c r="G22" s="342"/>
      <c r="H22" s="343"/>
      <c r="I22" s="343"/>
      <c r="J22" s="344"/>
    </row>
    <row r="23" spans="1:10" ht="49.5" customHeight="1" x14ac:dyDescent="0.25">
      <c r="A23" s="322"/>
      <c r="B23" s="322"/>
      <c r="C23" s="322"/>
      <c r="D23" s="322"/>
      <c r="E23" s="331" t="s">
        <v>320</v>
      </c>
      <c r="F23" s="332"/>
      <c r="G23" s="342"/>
      <c r="H23" s="343"/>
      <c r="I23" s="343"/>
      <c r="J23" s="344"/>
    </row>
    <row r="24" spans="1:10" ht="49.5" customHeight="1" x14ac:dyDescent="0.25">
      <c r="A24" s="322"/>
      <c r="B24" s="322"/>
      <c r="C24" s="322"/>
      <c r="D24" s="322"/>
      <c r="E24" s="331" t="s">
        <v>321</v>
      </c>
      <c r="F24" s="332"/>
      <c r="G24" s="342"/>
      <c r="H24" s="343"/>
      <c r="I24" s="343"/>
      <c r="J24" s="344"/>
    </row>
    <row r="25" spans="1:10" ht="49.5" customHeight="1" x14ac:dyDescent="0.25">
      <c r="A25" s="322"/>
      <c r="B25" s="322"/>
      <c r="C25" s="322"/>
      <c r="D25" s="322"/>
      <c r="E25" s="331" t="s">
        <v>322</v>
      </c>
      <c r="F25" s="332"/>
      <c r="G25" s="339"/>
      <c r="H25" s="340"/>
      <c r="I25" s="340"/>
      <c r="J25" s="341"/>
    </row>
    <row r="26" spans="1:10" ht="49.5" customHeight="1" x14ac:dyDescent="0.25">
      <c r="A26" s="322"/>
      <c r="B26" s="322"/>
      <c r="C26" s="322"/>
      <c r="D26" s="322"/>
      <c r="E26" s="331" t="s">
        <v>323</v>
      </c>
      <c r="F26" s="332"/>
      <c r="G26" s="339"/>
      <c r="H26" s="340"/>
      <c r="I26" s="340"/>
      <c r="J26" s="341"/>
    </row>
    <row r="27" spans="1:10" ht="51.75" customHeight="1" x14ac:dyDescent="0.25">
      <c r="A27" s="345" t="s">
        <v>218</v>
      </c>
      <c r="B27" s="345" t="s">
        <v>255</v>
      </c>
      <c r="C27" s="327" t="s">
        <v>258</v>
      </c>
      <c r="D27" s="327"/>
      <c r="E27" s="323" t="s">
        <v>259</v>
      </c>
      <c r="F27" s="325"/>
      <c r="G27" s="323" t="s">
        <v>260</v>
      </c>
      <c r="H27" s="346"/>
      <c r="I27" s="346"/>
      <c r="J27" s="347"/>
    </row>
    <row r="28" spans="1:10" ht="48.75" customHeight="1" x14ac:dyDescent="0.25">
      <c r="A28" s="345"/>
      <c r="B28" s="345"/>
      <c r="C28" s="337" t="s">
        <v>331</v>
      </c>
      <c r="D28" s="338"/>
      <c r="E28" s="337" t="s">
        <v>340</v>
      </c>
      <c r="F28" s="338"/>
      <c r="G28" s="337" t="s">
        <v>347</v>
      </c>
      <c r="H28" s="351"/>
      <c r="I28" s="351"/>
      <c r="J28" s="338"/>
    </row>
    <row r="29" spans="1:10" ht="51" customHeight="1" x14ac:dyDescent="0.25">
      <c r="A29" s="345"/>
      <c r="B29" s="345"/>
      <c r="C29" s="337" t="s">
        <v>332</v>
      </c>
      <c r="D29" s="338"/>
      <c r="E29" s="337" t="s">
        <v>341</v>
      </c>
      <c r="F29" s="338"/>
      <c r="G29" s="337" t="s">
        <v>348</v>
      </c>
      <c r="H29" s="351"/>
      <c r="I29" s="351"/>
      <c r="J29" s="338"/>
    </row>
    <row r="30" spans="1:10" ht="54.75" customHeight="1" x14ac:dyDescent="0.25">
      <c r="A30" s="345"/>
      <c r="B30" s="345"/>
      <c r="C30" s="337" t="s">
        <v>333</v>
      </c>
      <c r="D30" s="338"/>
      <c r="E30" s="337" t="s">
        <v>342</v>
      </c>
      <c r="F30" s="338"/>
      <c r="G30" s="337"/>
      <c r="H30" s="351"/>
      <c r="I30" s="351"/>
      <c r="J30" s="338"/>
    </row>
    <row r="31" spans="1:10" ht="49.5" customHeight="1" x14ac:dyDescent="0.25">
      <c r="A31" s="345"/>
      <c r="B31" s="345"/>
      <c r="C31" s="336" t="s">
        <v>334</v>
      </c>
      <c r="D31" s="348"/>
      <c r="E31" s="349" t="s">
        <v>343</v>
      </c>
      <c r="F31" s="350"/>
      <c r="G31" s="337"/>
      <c r="H31" s="351"/>
      <c r="I31" s="351"/>
      <c r="J31" s="338"/>
    </row>
    <row r="32" spans="1:10" ht="51" customHeight="1" x14ac:dyDescent="0.25">
      <c r="A32" s="345"/>
      <c r="B32" s="345"/>
      <c r="C32" s="336" t="s">
        <v>335</v>
      </c>
      <c r="D32" s="348"/>
      <c r="E32" s="337" t="s">
        <v>344</v>
      </c>
      <c r="F32" s="338"/>
      <c r="G32" s="348"/>
      <c r="H32" s="352"/>
      <c r="I32" s="352"/>
      <c r="J32" s="353"/>
    </row>
    <row r="33" spans="1:10" ht="52.5" customHeight="1" x14ac:dyDescent="0.25">
      <c r="A33" s="345"/>
      <c r="B33" s="345"/>
      <c r="C33" s="337" t="s">
        <v>336</v>
      </c>
      <c r="D33" s="353"/>
      <c r="E33" s="337" t="s">
        <v>345</v>
      </c>
      <c r="F33" s="338"/>
      <c r="G33" s="348"/>
      <c r="H33" s="348"/>
      <c r="I33" s="348"/>
      <c r="J33" s="348"/>
    </row>
    <row r="34" spans="1:10" ht="47.25" customHeight="1" x14ac:dyDescent="0.25">
      <c r="A34" s="345"/>
      <c r="B34" s="345"/>
      <c r="C34" s="348" t="s">
        <v>337</v>
      </c>
      <c r="D34" s="348"/>
      <c r="E34" s="337" t="s">
        <v>346</v>
      </c>
      <c r="F34" s="338"/>
      <c r="G34" s="354"/>
      <c r="H34" s="352"/>
      <c r="I34" s="352"/>
      <c r="J34" s="353"/>
    </row>
    <row r="35" spans="1:10" ht="51" customHeight="1" x14ac:dyDescent="0.25">
      <c r="A35" s="345"/>
      <c r="B35" s="345"/>
      <c r="C35" s="221" t="s">
        <v>338</v>
      </c>
      <c r="D35" s="221"/>
      <c r="E35" s="336"/>
      <c r="F35" s="336"/>
      <c r="G35" s="348"/>
      <c r="H35" s="348"/>
      <c r="I35" s="348"/>
      <c r="J35" s="348"/>
    </row>
    <row r="36" spans="1:10" ht="51" customHeight="1" x14ac:dyDescent="0.25">
      <c r="A36" s="345"/>
      <c r="B36" s="345"/>
      <c r="C36" s="337" t="s">
        <v>339</v>
      </c>
      <c r="D36" s="338"/>
      <c r="E36" s="348"/>
      <c r="F36" s="348"/>
      <c r="G36" s="348"/>
      <c r="H36" s="348"/>
      <c r="I36" s="348"/>
      <c r="J36" s="348"/>
    </row>
    <row r="37" spans="1:10" ht="51" customHeight="1" x14ac:dyDescent="0.25">
      <c r="A37" s="345"/>
      <c r="B37" s="345"/>
      <c r="C37" s="337"/>
      <c r="D37" s="338"/>
      <c r="E37" s="354"/>
      <c r="F37" s="353"/>
      <c r="G37" s="354"/>
      <c r="H37" s="352"/>
      <c r="I37" s="352"/>
      <c r="J37" s="353"/>
    </row>
    <row r="38" spans="1:10" ht="45.75" customHeight="1" x14ac:dyDescent="0.25">
      <c r="A38" s="345"/>
      <c r="B38" s="345"/>
      <c r="C38" s="337"/>
      <c r="D38" s="338"/>
      <c r="E38" s="354"/>
      <c r="F38" s="353"/>
      <c r="G38" s="354"/>
      <c r="H38" s="352"/>
      <c r="I38" s="352"/>
      <c r="J38" s="353"/>
    </row>
    <row r="39" spans="1:10" ht="41.25" customHeight="1" x14ac:dyDescent="0.25">
      <c r="A39" s="345"/>
      <c r="B39" s="345"/>
      <c r="C39" s="348"/>
      <c r="D39" s="348"/>
      <c r="E39" s="360"/>
      <c r="F39" s="360"/>
      <c r="G39" s="360"/>
      <c r="H39" s="360"/>
      <c r="I39" s="360"/>
      <c r="J39" s="360"/>
    </row>
    <row r="40" spans="1:10" ht="66" customHeight="1" x14ac:dyDescent="0.3">
      <c r="A40" s="345"/>
      <c r="B40" s="345" t="s">
        <v>254</v>
      </c>
      <c r="C40" s="327" t="s">
        <v>261</v>
      </c>
      <c r="D40" s="327"/>
      <c r="E40" s="355" t="s">
        <v>262</v>
      </c>
      <c r="F40" s="356"/>
      <c r="G40" s="357" t="s">
        <v>263</v>
      </c>
      <c r="H40" s="358"/>
      <c r="I40" s="358"/>
      <c r="J40" s="359"/>
    </row>
    <row r="41" spans="1:10" ht="51.75" customHeight="1" x14ac:dyDescent="0.25">
      <c r="A41" s="345"/>
      <c r="B41" s="345"/>
      <c r="C41" s="337" t="s">
        <v>349</v>
      </c>
      <c r="D41" s="338"/>
      <c r="E41" s="337" t="s">
        <v>357</v>
      </c>
      <c r="F41" s="338"/>
      <c r="G41" s="337" t="s">
        <v>358</v>
      </c>
      <c r="H41" s="351"/>
      <c r="I41" s="351"/>
      <c r="J41" s="338"/>
    </row>
    <row r="42" spans="1:10" ht="47.25" customHeight="1" x14ac:dyDescent="0.25">
      <c r="A42" s="345"/>
      <c r="B42" s="345"/>
      <c r="C42" s="337" t="s">
        <v>350</v>
      </c>
      <c r="D42" s="338"/>
      <c r="E42" s="337"/>
      <c r="F42" s="338"/>
      <c r="G42" s="337"/>
      <c r="H42" s="351"/>
      <c r="I42" s="351"/>
      <c r="J42" s="338"/>
    </row>
    <row r="43" spans="1:10" ht="49.5" customHeight="1" x14ac:dyDescent="0.25">
      <c r="A43" s="345"/>
      <c r="B43" s="345"/>
      <c r="C43" s="337" t="s">
        <v>351</v>
      </c>
      <c r="D43" s="338"/>
      <c r="E43" s="336"/>
      <c r="F43" s="336"/>
      <c r="G43" s="337"/>
      <c r="H43" s="351"/>
      <c r="I43" s="351"/>
      <c r="J43" s="338"/>
    </row>
    <row r="44" spans="1:10" ht="48" customHeight="1" x14ac:dyDescent="0.25">
      <c r="A44" s="345"/>
      <c r="B44" s="345"/>
      <c r="C44" s="348" t="s">
        <v>352</v>
      </c>
      <c r="D44" s="348"/>
      <c r="E44" s="336"/>
      <c r="F44" s="336"/>
      <c r="G44" s="348"/>
      <c r="H44" s="348"/>
      <c r="I44" s="348"/>
      <c r="J44" s="348"/>
    </row>
    <row r="45" spans="1:10" ht="45.75" customHeight="1" x14ac:dyDescent="0.25">
      <c r="A45" s="345"/>
      <c r="B45" s="345"/>
      <c r="C45" s="348" t="s">
        <v>353</v>
      </c>
      <c r="D45" s="348"/>
      <c r="E45" s="348"/>
      <c r="F45" s="348"/>
      <c r="G45" s="348"/>
      <c r="H45" s="348"/>
      <c r="I45" s="348"/>
      <c r="J45" s="348"/>
    </row>
    <row r="46" spans="1:10" ht="45.75" customHeight="1" x14ac:dyDescent="0.25">
      <c r="A46" s="345"/>
      <c r="B46" s="345"/>
      <c r="C46" s="348" t="s">
        <v>354</v>
      </c>
      <c r="D46" s="348"/>
      <c r="E46" s="348"/>
      <c r="F46" s="348"/>
      <c r="G46" s="348"/>
      <c r="H46" s="348"/>
      <c r="I46" s="348"/>
      <c r="J46" s="348"/>
    </row>
    <row r="47" spans="1:10" ht="45" customHeight="1" x14ac:dyDescent="0.25">
      <c r="A47" s="345"/>
      <c r="B47" s="345"/>
      <c r="C47" s="354" t="s">
        <v>355</v>
      </c>
      <c r="D47" s="353"/>
      <c r="E47" s="354"/>
      <c r="F47" s="353"/>
      <c r="G47" s="354"/>
      <c r="H47" s="352"/>
      <c r="I47" s="352"/>
      <c r="J47" s="353"/>
    </row>
    <row r="48" spans="1:10" ht="50.25" customHeight="1" x14ac:dyDescent="0.25">
      <c r="A48" s="345"/>
      <c r="B48" s="345"/>
      <c r="C48" s="354" t="s">
        <v>356</v>
      </c>
      <c r="D48" s="353"/>
      <c r="E48" s="354"/>
      <c r="F48" s="353"/>
      <c r="G48" s="354"/>
      <c r="H48" s="352"/>
      <c r="I48" s="352"/>
      <c r="J48" s="353"/>
    </row>
    <row r="49" spans="1:10" ht="52.5" customHeight="1" x14ac:dyDescent="0.25">
      <c r="A49" s="345"/>
      <c r="B49" s="345"/>
      <c r="C49" s="354"/>
      <c r="D49" s="353"/>
      <c r="E49" s="361"/>
      <c r="F49" s="362"/>
      <c r="G49" s="361"/>
      <c r="H49" s="363"/>
      <c r="I49" s="363"/>
      <c r="J49" s="362"/>
    </row>
    <row r="50" spans="1:10" ht="48" customHeight="1" x14ac:dyDescent="0.25">
      <c r="A50" s="345"/>
      <c r="B50" s="345"/>
      <c r="C50" s="354"/>
      <c r="D50" s="353"/>
      <c r="E50" s="354"/>
      <c r="F50" s="353"/>
      <c r="G50" s="354"/>
      <c r="H50" s="352"/>
      <c r="I50" s="352"/>
      <c r="J50" s="353"/>
    </row>
    <row r="51" spans="1:10" ht="46.5" customHeight="1" x14ac:dyDescent="0.25">
      <c r="A51" s="345"/>
      <c r="B51" s="345"/>
      <c r="C51" s="354"/>
      <c r="D51" s="353"/>
      <c r="E51" s="361"/>
      <c r="F51" s="362"/>
      <c r="G51" s="361"/>
      <c r="H51" s="363"/>
      <c r="I51" s="363"/>
      <c r="J51" s="362"/>
    </row>
    <row r="52" spans="1:10" ht="48" customHeight="1" x14ac:dyDescent="0.25">
      <c r="A52" s="345"/>
      <c r="B52" s="345"/>
      <c r="C52" s="354"/>
      <c r="D52" s="353"/>
      <c r="E52" s="354"/>
      <c r="F52" s="353"/>
      <c r="G52" s="354"/>
      <c r="H52" s="352"/>
      <c r="I52" s="352"/>
      <c r="J52" s="353"/>
    </row>
    <row r="53" spans="1:10" ht="53.25" customHeight="1" x14ac:dyDescent="0.25">
      <c r="A53" s="345"/>
      <c r="B53" s="345"/>
      <c r="C53" s="354"/>
      <c r="D53" s="353"/>
      <c r="E53" s="354"/>
      <c r="F53" s="353"/>
      <c r="G53" s="354"/>
      <c r="H53" s="352"/>
      <c r="I53" s="352"/>
      <c r="J53" s="353"/>
    </row>
    <row r="54" spans="1:10" ht="43.5" customHeight="1" x14ac:dyDescent="0.25">
      <c r="A54" s="345"/>
      <c r="B54" s="345"/>
      <c r="C54" s="348"/>
      <c r="D54" s="348"/>
      <c r="E54" s="348"/>
      <c r="F54" s="348"/>
      <c r="G54" s="348"/>
      <c r="H54" s="348"/>
      <c r="I54" s="348"/>
      <c r="J54" s="348"/>
    </row>
    <row r="55" spans="1:10" ht="48.75" customHeight="1" x14ac:dyDescent="0.25">
      <c r="A55" s="345"/>
      <c r="B55" s="345"/>
      <c r="C55" s="348"/>
      <c r="D55" s="348"/>
      <c r="E55" s="348"/>
      <c r="F55" s="348"/>
      <c r="G55" s="348"/>
      <c r="H55" s="348"/>
      <c r="I55" s="348"/>
      <c r="J55" s="348"/>
    </row>
    <row r="56" spans="1:10" x14ac:dyDescent="0.25">
      <c r="C56" s="206"/>
      <c r="D56" s="206"/>
      <c r="E56" s="365"/>
      <c r="F56" s="365"/>
      <c r="G56" s="365"/>
      <c r="H56" s="365"/>
      <c r="I56" s="365"/>
      <c r="J56" s="365"/>
    </row>
    <row r="57" spans="1:10" x14ac:dyDescent="0.25">
      <c r="C57" s="206"/>
      <c r="D57" s="206"/>
      <c r="E57" s="365"/>
      <c r="F57" s="365"/>
      <c r="G57" s="365"/>
      <c r="H57" s="365"/>
      <c r="I57" s="365"/>
      <c r="J57" s="365"/>
    </row>
    <row r="58" spans="1:10" x14ac:dyDescent="0.25">
      <c r="E58" s="364"/>
      <c r="F58" s="364"/>
      <c r="G58" s="364"/>
      <c r="H58" s="364"/>
      <c r="I58" s="364"/>
      <c r="J58" s="364"/>
    </row>
    <row r="59" spans="1:10" x14ac:dyDescent="0.25">
      <c r="E59" s="364"/>
      <c r="F59" s="364"/>
      <c r="G59" s="364"/>
      <c r="H59" s="364"/>
      <c r="I59" s="364"/>
      <c r="J59" s="364"/>
    </row>
    <row r="60" spans="1:10" x14ac:dyDescent="0.25">
      <c r="E60" s="364"/>
      <c r="F60" s="364"/>
      <c r="G60" s="364"/>
      <c r="H60" s="364"/>
      <c r="I60" s="364"/>
      <c r="J60" s="364"/>
    </row>
    <row r="61" spans="1:10" x14ac:dyDescent="0.25">
      <c r="E61" s="364"/>
      <c r="F61" s="364"/>
      <c r="G61" s="364"/>
      <c r="H61" s="364"/>
      <c r="I61" s="364"/>
      <c r="J61" s="364"/>
    </row>
    <row r="62" spans="1:10" x14ac:dyDescent="0.25">
      <c r="E62" s="364"/>
      <c r="F62" s="364"/>
      <c r="G62" s="364"/>
      <c r="H62" s="364"/>
      <c r="I62" s="364"/>
      <c r="J62" s="364"/>
    </row>
    <row r="63" spans="1:10" x14ac:dyDescent="0.25">
      <c r="E63" s="364"/>
      <c r="F63" s="364"/>
      <c r="G63" s="364"/>
      <c r="H63" s="364"/>
      <c r="I63" s="364"/>
      <c r="J63" s="364"/>
    </row>
    <row r="64" spans="1:10" x14ac:dyDescent="0.25">
      <c r="E64" s="364"/>
      <c r="F64" s="364"/>
      <c r="G64" s="364"/>
      <c r="H64" s="364"/>
      <c r="I64" s="364"/>
      <c r="J64" s="364"/>
    </row>
    <row r="65" spans="5:10" x14ac:dyDescent="0.25">
      <c r="E65" s="364"/>
      <c r="F65" s="364"/>
      <c r="G65" s="364"/>
      <c r="H65" s="364"/>
      <c r="I65" s="364"/>
      <c r="J65" s="364"/>
    </row>
    <row r="66" spans="5:10" x14ac:dyDescent="0.25">
      <c r="E66" s="364"/>
      <c r="F66" s="364"/>
      <c r="G66" s="364"/>
      <c r="H66" s="364"/>
      <c r="I66" s="364"/>
      <c r="J66" s="364"/>
    </row>
    <row r="67" spans="5:10" x14ac:dyDescent="0.25">
      <c r="E67" s="364"/>
      <c r="F67" s="364"/>
      <c r="G67" s="364"/>
      <c r="H67" s="364"/>
      <c r="I67" s="364"/>
      <c r="J67" s="364"/>
    </row>
    <row r="68" spans="5:10" x14ac:dyDescent="0.25">
      <c r="E68" s="364"/>
      <c r="F68" s="364"/>
      <c r="G68" s="364"/>
      <c r="H68" s="364"/>
      <c r="I68" s="364"/>
      <c r="J68" s="364"/>
    </row>
    <row r="69" spans="5:10" x14ac:dyDescent="0.25">
      <c r="E69" s="364"/>
      <c r="F69" s="364"/>
      <c r="G69" s="364"/>
      <c r="H69" s="364"/>
      <c r="I69" s="364"/>
      <c r="J69" s="364"/>
    </row>
    <row r="70" spans="5:10" x14ac:dyDescent="0.25">
      <c r="E70" s="364"/>
      <c r="F70" s="364"/>
      <c r="G70" s="364"/>
      <c r="H70" s="364"/>
      <c r="I70" s="364"/>
      <c r="J70" s="364"/>
    </row>
    <row r="71" spans="5:10" x14ac:dyDescent="0.25">
      <c r="E71" s="364"/>
      <c r="F71" s="364"/>
      <c r="G71" s="364"/>
      <c r="H71" s="364"/>
      <c r="I71" s="364"/>
      <c r="J71" s="364"/>
    </row>
    <row r="72" spans="5:10" x14ac:dyDescent="0.25">
      <c r="E72" s="364"/>
      <c r="F72" s="364"/>
      <c r="G72" s="364"/>
      <c r="H72" s="364"/>
      <c r="I72" s="364"/>
      <c r="J72" s="364"/>
    </row>
    <row r="73" spans="5:10" x14ac:dyDescent="0.25">
      <c r="E73" s="364"/>
      <c r="F73" s="364"/>
      <c r="G73" s="364"/>
      <c r="H73" s="364"/>
      <c r="I73" s="364"/>
      <c r="J73" s="364"/>
    </row>
    <row r="74" spans="5:10" x14ac:dyDescent="0.25">
      <c r="E74" s="364"/>
      <c r="F74" s="364"/>
      <c r="G74" s="364"/>
      <c r="H74" s="364"/>
      <c r="I74" s="364"/>
      <c r="J74" s="364"/>
    </row>
    <row r="75" spans="5:10" x14ac:dyDescent="0.25">
      <c r="E75" s="364"/>
      <c r="F75" s="364"/>
      <c r="G75" s="364"/>
      <c r="H75" s="364"/>
      <c r="I75" s="364"/>
      <c r="J75" s="364"/>
    </row>
    <row r="76" spans="5:10" x14ac:dyDescent="0.25">
      <c r="E76" s="364"/>
      <c r="F76" s="364"/>
      <c r="G76" s="364"/>
      <c r="H76" s="364"/>
      <c r="I76" s="364"/>
      <c r="J76" s="364"/>
    </row>
    <row r="77" spans="5:10" x14ac:dyDescent="0.25">
      <c r="E77" s="364"/>
      <c r="F77" s="364"/>
      <c r="G77" s="364"/>
      <c r="H77" s="364"/>
      <c r="I77" s="364"/>
      <c r="J77" s="364"/>
    </row>
    <row r="78" spans="5:10" x14ac:dyDescent="0.25">
      <c r="E78" s="364"/>
      <c r="F78" s="364"/>
      <c r="G78" s="364"/>
      <c r="H78" s="364"/>
      <c r="I78" s="364"/>
      <c r="J78" s="364"/>
    </row>
    <row r="79" spans="5:10" x14ac:dyDescent="0.25">
      <c r="E79" s="364"/>
      <c r="F79" s="364"/>
      <c r="G79" s="364"/>
      <c r="H79" s="364"/>
      <c r="I79" s="364"/>
      <c r="J79" s="364"/>
    </row>
    <row r="80" spans="5:10" x14ac:dyDescent="0.25">
      <c r="E80" s="364"/>
      <c r="F80" s="364"/>
      <c r="G80" s="364"/>
      <c r="H80" s="364"/>
      <c r="I80" s="364"/>
      <c r="J80" s="364"/>
    </row>
    <row r="81" spans="5:10" x14ac:dyDescent="0.25">
      <c r="E81" s="364"/>
      <c r="F81" s="364"/>
      <c r="G81" s="364"/>
      <c r="H81" s="364"/>
      <c r="I81" s="364"/>
      <c r="J81" s="364"/>
    </row>
    <row r="82" spans="5:10" x14ac:dyDescent="0.25">
      <c r="E82" s="364"/>
      <c r="F82" s="364"/>
      <c r="G82" s="364"/>
      <c r="H82" s="364"/>
      <c r="I82" s="364"/>
      <c r="J82" s="364"/>
    </row>
    <row r="83" spans="5:10" x14ac:dyDescent="0.25">
      <c r="E83" s="364"/>
      <c r="F83" s="364"/>
      <c r="G83" s="364"/>
      <c r="H83" s="364"/>
      <c r="I83" s="364"/>
      <c r="J83" s="364"/>
    </row>
    <row r="84" spans="5:10" x14ac:dyDescent="0.25">
      <c r="E84" s="364"/>
      <c r="F84" s="364"/>
      <c r="G84" s="364"/>
      <c r="H84" s="364"/>
      <c r="I84" s="364"/>
      <c r="J84" s="364"/>
    </row>
    <row r="85" spans="5:10" x14ac:dyDescent="0.25">
      <c r="E85" s="364"/>
      <c r="F85" s="364"/>
      <c r="G85" s="364"/>
      <c r="H85" s="364"/>
      <c r="I85" s="364"/>
      <c r="J85" s="364"/>
    </row>
    <row r="86" spans="5:10" x14ac:dyDescent="0.25">
      <c r="E86" s="364"/>
      <c r="F86" s="364"/>
      <c r="G86" s="364"/>
      <c r="H86" s="364"/>
      <c r="I86" s="364"/>
      <c r="J86" s="364"/>
    </row>
    <row r="87" spans="5:10" x14ac:dyDescent="0.25">
      <c r="E87" s="364"/>
      <c r="F87" s="364"/>
      <c r="G87" s="364"/>
      <c r="H87" s="364"/>
      <c r="I87" s="364"/>
      <c r="J87" s="364"/>
    </row>
    <row r="88" spans="5:10" x14ac:dyDescent="0.25">
      <c r="E88" s="364"/>
      <c r="F88" s="364"/>
      <c r="G88" s="364"/>
      <c r="H88" s="364"/>
      <c r="I88" s="364"/>
      <c r="J88" s="364"/>
    </row>
    <row r="89" spans="5:10" x14ac:dyDescent="0.25">
      <c r="E89" s="364"/>
      <c r="F89" s="364"/>
      <c r="G89" s="364"/>
      <c r="H89" s="364"/>
      <c r="I89" s="364"/>
      <c r="J89" s="364"/>
    </row>
    <row r="90" spans="5:10" x14ac:dyDescent="0.25">
      <c r="E90" s="364"/>
      <c r="F90" s="364"/>
      <c r="G90" s="364"/>
      <c r="H90" s="364"/>
      <c r="I90" s="364"/>
      <c r="J90" s="364"/>
    </row>
    <row r="91" spans="5:10" x14ac:dyDescent="0.25">
      <c r="E91" s="364"/>
      <c r="F91" s="364"/>
      <c r="G91" s="364"/>
      <c r="H91" s="364"/>
      <c r="I91" s="364"/>
      <c r="J91" s="364"/>
    </row>
    <row r="92" spans="5:10" x14ac:dyDescent="0.25">
      <c r="E92" s="364"/>
      <c r="F92" s="364"/>
      <c r="G92" s="364"/>
      <c r="H92" s="364"/>
      <c r="I92" s="364"/>
      <c r="J92" s="364"/>
    </row>
    <row r="93" spans="5:10" x14ac:dyDescent="0.25">
      <c r="E93" s="364"/>
      <c r="F93" s="364"/>
      <c r="G93" s="364"/>
      <c r="H93" s="364"/>
      <c r="I93" s="364"/>
      <c r="J93" s="364"/>
    </row>
    <row r="94" spans="5:10" x14ac:dyDescent="0.25">
      <c r="E94" s="364"/>
      <c r="F94" s="364"/>
      <c r="G94" s="364"/>
      <c r="H94" s="364"/>
      <c r="I94" s="364"/>
      <c r="J94" s="364"/>
    </row>
    <row r="95" spans="5:10" x14ac:dyDescent="0.25">
      <c r="E95" s="364"/>
      <c r="F95" s="364"/>
      <c r="G95" s="364"/>
      <c r="H95" s="364"/>
      <c r="I95" s="364"/>
      <c r="J95" s="364"/>
    </row>
    <row r="96" spans="5:10" x14ac:dyDescent="0.25">
      <c r="E96" s="364"/>
      <c r="F96" s="364"/>
      <c r="G96" s="364"/>
      <c r="H96" s="364"/>
      <c r="I96" s="364"/>
      <c r="J96" s="364"/>
    </row>
    <row r="97" spans="5:10" x14ac:dyDescent="0.25">
      <c r="E97" s="364"/>
      <c r="F97" s="364"/>
      <c r="G97" s="364"/>
      <c r="H97" s="364"/>
      <c r="I97" s="364"/>
      <c r="J97" s="364"/>
    </row>
    <row r="98" spans="5:10" x14ac:dyDescent="0.25">
      <c r="E98" s="364"/>
      <c r="F98" s="364"/>
      <c r="G98" s="364"/>
      <c r="H98" s="364"/>
      <c r="I98" s="364"/>
      <c r="J98" s="364"/>
    </row>
    <row r="99" spans="5:10" x14ac:dyDescent="0.25">
      <c r="E99" s="364"/>
      <c r="F99" s="364"/>
      <c r="G99" s="364"/>
      <c r="H99" s="364"/>
      <c r="I99" s="364"/>
      <c r="J99" s="364"/>
    </row>
    <row r="100" spans="5:10" x14ac:dyDescent="0.25">
      <c r="E100" s="364"/>
      <c r="F100" s="364"/>
      <c r="G100" s="364"/>
      <c r="H100" s="364"/>
      <c r="I100" s="364"/>
      <c r="J100" s="364"/>
    </row>
    <row r="101" spans="5:10" x14ac:dyDescent="0.25">
      <c r="E101" s="364"/>
      <c r="F101" s="364"/>
      <c r="G101" s="364"/>
      <c r="H101" s="364"/>
      <c r="I101" s="364"/>
      <c r="J101" s="364"/>
    </row>
    <row r="102" spans="5:10" x14ac:dyDescent="0.25">
      <c r="E102" s="364"/>
      <c r="F102" s="364"/>
      <c r="G102" s="364"/>
      <c r="H102" s="364"/>
      <c r="I102" s="364"/>
      <c r="J102" s="364"/>
    </row>
    <row r="103" spans="5:10" x14ac:dyDescent="0.25">
      <c r="E103" s="364"/>
      <c r="F103" s="364"/>
      <c r="G103" s="364"/>
      <c r="H103" s="364"/>
      <c r="I103" s="364"/>
      <c r="J103" s="364"/>
    </row>
    <row r="104" spans="5:10" x14ac:dyDescent="0.25">
      <c r="E104" s="364"/>
      <c r="F104" s="364"/>
      <c r="G104" s="364"/>
      <c r="H104" s="364"/>
      <c r="I104" s="364"/>
      <c r="J104" s="364"/>
    </row>
    <row r="105" spans="5:10" x14ac:dyDescent="0.25">
      <c r="E105" s="364"/>
      <c r="F105" s="364"/>
      <c r="G105" s="364"/>
      <c r="H105" s="364"/>
      <c r="I105" s="364"/>
      <c r="J105" s="364"/>
    </row>
    <row r="106" spans="5:10" x14ac:dyDescent="0.25">
      <c r="E106" s="364"/>
      <c r="F106" s="364"/>
      <c r="G106" s="364"/>
      <c r="H106" s="364"/>
      <c r="I106" s="364"/>
      <c r="J106" s="364"/>
    </row>
    <row r="107" spans="5:10" x14ac:dyDescent="0.25">
      <c r="E107" s="364"/>
      <c r="F107" s="364"/>
      <c r="G107" s="364"/>
      <c r="H107" s="364"/>
      <c r="I107" s="364"/>
      <c r="J107" s="364"/>
    </row>
    <row r="108" spans="5:10" x14ac:dyDescent="0.25">
      <c r="E108" s="364"/>
      <c r="F108" s="364"/>
      <c r="G108" s="364"/>
      <c r="H108" s="364"/>
      <c r="I108" s="364"/>
      <c r="J108" s="364"/>
    </row>
    <row r="109" spans="5:10" x14ac:dyDescent="0.25">
      <c r="E109" s="364"/>
      <c r="F109" s="364"/>
      <c r="G109" s="364"/>
      <c r="H109" s="364"/>
      <c r="I109" s="364"/>
      <c r="J109" s="364"/>
    </row>
    <row r="110" spans="5:10" x14ac:dyDescent="0.25">
      <c r="E110" s="364"/>
      <c r="F110" s="364"/>
      <c r="G110" s="364"/>
      <c r="H110" s="364"/>
      <c r="I110" s="364"/>
      <c r="J110" s="364"/>
    </row>
    <row r="111" spans="5:10" x14ac:dyDescent="0.25">
      <c r="E111" s="364"/>
      <c r="F111" s="364"/>
      <c r="G111" s="364"/>
      <c r="H111" s="364"/>
      <c r="I111" s="364"/>
      <c r="J111" s="364"/>
    </row>
    <row r="112" spans="5:10" x14ac:dyDescent="0.25">
      <c r="E112" s="364"/>
      <c r="F112" s="364"/>
      <c r="G112" s="364"/>
      <c r="H112" s="364"/>
      <c r="I112" s="364"/>
      <c r="J112" s="364"/>
    </row>
    <row r="113" spans="5:10" x14ac:dyDescent="0.25">
      <c r="E113" s="364"/>
      <c r="F113" s="364"/>
      <c r="G113" s="364"/>
      <c r="H113" s="364"/>
      <c r="I113" s="364"/>
      <c r="J113" s="364"/>
    </row>
    <row r="114" spans="5:10" x14ac:dyDescent="0.25">
      <c r="E114" s="364"/>
      <c r="F114" s="364"/>
      <c r="G114" s="364"/>
      <c r="H114" s="364"/>
      <c r="I114" s="364"/>
      <c r="J114" s="364"/>
    </row>
    <row r="115" spans="5:10" x14ac:dyDescent="0.25">
      <c r="E115" s="364"/>
      <c r="F115" s="364"/>
      <c r="G115" s="364"/>
      <c r="H115" s="364"/>
      <c r="I115" s="364"/>
      <c r="J115" s="364"/>
    </row>
    <row r="116" spans="5:10" x14ac:dyDescent="0.25">
      <c r="E116" s="364"/>
      <c r="F116" s="364"/>
      <c r="G116" s="364"/>
      <c r="H116" s="364"/>
      <c r="I116" s="364"/>
      <c r="J116" s="364"/>
    </row>
    <row r="117" spans="5:10" x14ac:dyDescent="0.25">
      <c r="E117" s="364"/>
      <c r="F117" s="364"/>
      <c r="G117" s="364"/>
      <c r="H117" s="364"/>
      <c r="I117" s="364"/>
      <c r="J117" s="364"/>
    </row>
    <row r="118" spans="5:10" x14ac:dyDescent="0.25">
      <c r="E118" s="364"/>
      <c r="F118" s="364"/>
      <c r="G118" s="364"/>
      <c r="H118" s="364"/>
      <c r="I118" s="364"/>
      <c r="J118" s="364"/>
    </row>
    <row r="119" spans="5:10" x14ac:dyDescent="0.25">
      <c r="E119" s="364"/>
      <c r="F119" s="364"/>
      <c r="G119" s="364"/>
      <c r="H119" s="364"/>
      <c r="I119" s="364"/>
      <c r="J119" s="364"/>
    </row>
    <row r="120" spans="5:10" x14ac:dyDescent="0.25">
      <c r="E120" s="364"/>
      <c r="F120" s="364"/>
      <c r="G120" s="364"/>
      <c r="H120" s="364"/>
      <c r="I120" s="364"/>
      <c r="J120" s="364"/>
    </row>
    <row r="121" spans="5:10" x14ac:dyDescent="0.25">
      <c r="E121" s="364"/>
      <c r="F121" s="364"/>
      <c r="G121" s="364"/>
      <c r="H121" s="364"/>
      <c r="I121" s="364"/>
      <c r="J121" s="364"/>
    </row>
    <row r="122" spans="5:10" x14ac:dyDescent="0.25">
      <c r="E122" s="364"/>
      <c r="F122" s="364"/>
      <c r="G122" s="364"/>
      <c r="H122" s="364"/>
      <c r="I122" s="364"/>
      <c r="J122" s="364"/>
    </row>
    <row r="123" spans="5:10" x14ac:dyDescent="0.25">
      <c r="E123" s="364"/>
      <c r="F123" s="364"/>
      <c r="G123" s="364"/>
      <c r="H123" s="364"/>
      <c r="I123" s="364"/>
      <c r="J123" s="364"/>
    </row>
    <row r="124" spans="5:10" x14ac:dyDescent="0.25">
      <c r="E124" s="364"/>
      <c r="F124" s="364"/>
      <c r="G124" s="364"/>
      <c r="H124" s="364"/>
      <c r="I124" s="364"/>
      <c r="J124" s="364"/>
    </row>
    <row r="125" spans="5:10" x14ac:dyDescent="0.25">
      <c r="E125" s="364"/>
      <c r="F125" s="364"/>
      <c r="G125" s="364"/>
      <c r="H125" s="364"/>
      <c r="I125" s="364"/>
      <c r="J125" s="364"/>
    </row>
    <row r="126" spans="5:10" x14ac:dyDescent="0.25">
      <c r="E126" s="364"/>
      <c r="F126" s="364"/>
      <c r="G126" s="364"/>
      <c r="H126" s="364"/>
      <c r="I126" s="364"/>
      <c r="J126" s="364"/>
    </row>
    <row r="127" spans="5:10" x14ac:dyDescent="0.25">
      <c r="E127" s="364"/>
      <c r="F127" s="364"/>
      <c r="G127" s="364"/>
      <c r="H127" s="364"/>
      <c r="I127" s="364"/>
      <c r="J127" s="364"/>
    </row>
    <row r="128" spans="5:10" x14ac:dyDescent="0.25">
      <c r="E128" s="364"/>
      <c r="F128" s="364"/>
      <c r="G128" s="364"/>
      <c r="H128" s="364"/>
      <c r="I128" s="364"/>
      <c r="J128" s="364"/>
    </row>
    <row r="129" spans="5:10" x14ac:dyDescent="0.25">
      <c r="E129" s="364"/>
      <c r="F129" s="364"/>
      <c r="G129" s="364"/>
      <c r="H129" s="364"/>
      <c r="I129" s="364"/>
      <c r="J129" s="364"/>
    </row>
    <row r="130" spans="5:10" x14ac:dyDescent="0.25">
      <c r="E130" s="364"/>
      <c r="F130" s="364"/>
      <c r="G130" s="364"/>
      <c r="H130" s="364"/>
      <c r="I130" s="364"/>
      <c r="J130" s="364"/>
    </row>
    <row r="131" spans="5:10" x14ac:dyDescent="0.25">
      <c r="E131" s="364"/>
      <c r="F131" s="364"/>
      <c r="G131" s="364"/>
      <c r="H131" s="364"/>
      <c r="I131" s="364"/>
      <c r="J131" s="364"/>
    </row>
    <row r="132" spans="5:10" x14ac:dyDescent="0.25">
      <c r="E132" s="364"/>
      <c r="F132" s="364"/>
      <c r="G132" s="364"/>
      <c r="H132" s="364"/>
      <c r="I132" s="364"/>
      <c r="J132" s="364"/>
    </row>
    <row r="133" spans="5:10" x14ac:dyDescent="0.25">
      <c r="E133" s="364"/>
      <c r="F133" s="364"/>
      <c r="G133" s="364"/>
      <c r="H133" s="364"/>
      <c r="I133" s="364"/>
      <c r="J133" s="364"/>
    </row>
  </sheetData>
  <mergeCells count="293">
    <mergeCell ref="E25:F25"/>
    <mergeCell ref="G25:J25"/>
    <mergeCell ref="E131:F131"/>
    <mergeCell ref="G131:J131"/>
    <mergeCell ref="E132:F132"/>
    <mergeCell ref="G132:J132"/>
    <mergeCell ref="E133:F133"/>
    <mergeCell ref="G133:J133"/>
    <mergeCell ref="E128:F128"/>
    <mergeCell ref="G128:J128"/>
    <mergeCell ref="E129:F129"/>
    <mergeCell ref="G129:J129"/>
    <mergeCell ref="E130:F130"/>
    <mergeCell ref="G130:J130"/>
    <mergeCell ref="E125:F125"/>
    <mergeCell ref="G125:J125"/>
    <mergeCell ref="E126:F126"/>
    <mergeCell ref="G126:J126"/>
    <mergeCell ref="E127:F127"/>
    <mergeCell ref="G127:J127"/>
    <mergeCell ref="E122:F122"/>
    <mergeCell ref="G122:J122"/>
    <mergeCell ref="E123:F123"/>
    <mergeCell ref="G123:J123"/>
    <mergeCell ref="E124:F124"/>
    <mergeCell ref="G124:J124"/>
    <mergeCell ref="E119:F119"/>
    <mergeCell ref="G119:J119"/>
    <mergeCell ref="E120:F120"/>
    <mergeCell ref="G120:J120"/>
    <mergeCell ref="E121:F121"/>
    <mergeCell ref="G121:J121"/>
    <mergeCell ref="E116:F116"/>
    <mergeCell ref="G116:J116"/>
    <mergeCell ref="E117:F117"/>
    <mergeCell ref="G117:J117"/>
    <mergeCell ref="E118:F118"/>
    <mergeCell ref="G118:J118"/>
    <mergeCell ref="E113:F113"/>
    <mergeCell ref="G113:J113"/>
    <mergeCell ref="E114:F114"/>
    <mergeCell ref="G114:J114"/>
    <mergeCell ref="E115:F115"/>
    <mergeCell ref="G115:J115"/>
    <mergeCell ref="E110:F110"/>
    <mergeCell ref="G110:J110"/>
    <mergeCell ref="E111:F111"/>
    <mergeCell ref="G111:J111"/>
    <mergeCell ref="E112:F112"/>
    <mergeCell ref="G112:J112"/>
    <mergeCell ref="E107:F107"/>
    <mergeCell ref="G107:J107"/>
    <mergeCell ref="E108:F108"/>
    <mergeCell ref="G108:J108"/>
    <mergeCell ref="E109:F109"/>
    <mergeCell ref="G109:J109"/>
    <mergeCell ref="E104:F104"/>
    <mergeCell ref="G104:J104"/>
    <mergeCell ref="E105:F105"/>
    <mergeCell ref="G105:J105"/>
    <mergeCell ref="E106:F106"/>
    <mergeCell ref="G106:J106"/>
    <mergeCell ref="E101:F101"/>
    <mergeCell ref="G101:J101"/>
    <mergeCell ref="E102:F102"/>
    <mergeCell ref="G102:J102"/>
    <mergeCell ref="E103:F103"/>
    <mergeCell ref="G103:J103"/>
    <mergeCell ref="E98:F98"/>
    <mergeCell ref="G98:J98"/>
    <mergeCell ref="E99:F99"/>
    <mergeCell ref="G99:J99"/>
    <mergeCell ref="E100:F100"/>
    <mergeCell ref="G100:J100"/>
    <mergeCell ref="E95:F95"/>
    <mergeCell ref="G95:J95"/>
    <mergeCell ref="E96:F96"/>
    <mergeCell ref="G96:J96"/>
    <mergeCell ref="E97:F97"/>
    <mergeCell ref="G97:J97"/>
    <mergeCell ref="E92:F92"/>
    <mergeCell ref="G92:J92"/>
    <mergeCell ref="E93:F93"/>
    <mergeCell ref="G93:J93"/>
    <mergeCell ref="E94:F94"/>
    <mergeCell ref="G94:J94"/>
    <mergeCell ref="E89:F89"/>
    <mergeCell ref="G89:J89"/>
    <mergeCell ref="E90:F90"/>
    <mergeCell ref="G90:J90"/>
    <mergeCell ref="E91:F91"/>
    <mergeCell ref="G91:J91"/>
    <mergeCell ref="E86:F86"/>
    <mergeCell ref="G86:J86"/>
    <mergeCell ref="E87:F87"/>
    <mergeCell ref="G87:J87"/>
    <mergeCell ref="E88:F88"/>
    <mergeCell ref="G88:J88"/>
    <mergeCell ref="E83:F83"/>
    <mergeCell ref="G83:J83"/>
    <mergeCell ref="E84:F84"/>
    <mergeCell ref="G84:J84"/>
    <mergeCell ref="E85:F85"/>
    <mergeCell ref="G85:J85"/>
    <mergeCell ref="E80:F80"/>
    <mergeCell ref="G80:J80"/>
    <mergeCell ref="E81:F81"/>
    <mergeCell ref="G81:J81"/>
    <mergeCell ref="E82:F82"/>
    <mergeCell ref="G82:J82"/>
    <mergeCell ref="E77:F77"/>
    <mergeCell ref="G77:J77"/>
    <mergeCell ref="E78:F78"/>
    <mergeCell ref="G78:J78"/>
    <mergeCell ref="E79:F79"/>
    <mergeCell ref="G79:J79"/>
    <mergeCell ref="E74:F74"/>
    <mergeCell ref="G74:J74"/>
    <mergeCell ref="E75:F75"/>
    <mergeCell ref="G75:J75"/>
    <mergeCell ref="E76:F76"/>
    <mergeCell ref="G76:J76"/>
    <mergeCell ref="E71:F71"/>
    <mergeCell ref="G71:J71"/>
    <mergeCell ref="E72:F72"/>
    <mergeCell ref="G72:J72"/>
    <mergeCell ref="E73:F73"/>
    <mergeCell ref="G73:J73"/>
    <mergeCell ref="E68:F68"/>
    <mergeCell ref="G68:J68"/>
    <mergeCell ref="E69:F69"/>
    <mergeCell ref="G69:J69"/>
    <mergeCell ref="E70:F70"/>
    <mergeCell ref="G70:J70"/>
    <mergeCell ref="E65:F65"/>
    <mergeCell ref="G65:J65"/>
    <mergeCell ref="E66:F66"/>
    <mergeCell ref="G66:J66"/>
    <mergeCell ref="E67:F67"/>
    <mergeCell ref="G67:J67"/>
    <mergeCell ref="E62:F62"/>
    <mergeCell ref="G62:J62"/>
    <mergeCell ref="E63:F63"/>
    <mergeCell ref="G63:J63"/>
    <mergeCell ref="E64:F64"/>
    <mergeCell ref="G64:J64"/>
    <mergeCell ref="E59:F59"/>
    <mergeCell ref="G59:J59"/>
    <mergeCell ref="E60:F60"/>
    <mergeCell ref="G60:J60"/>
    <mergeCell ref="E61:F61"/>
    <mergeCell ref="G61:J61"/>
    <mergeCell ref="E56:F56"/>
    <mergeCell ref="G56:J56"/>
    <mergeCell ref="E57:F57"/>
    <mergeCell ref="G57:J57"/>
    <mergeCell ref="E58:F58"/>
    <mergeCell ref="G58:J58"/>
    <mergeCell ref="C54:D54"/>
    <mergeCell ref="E54:F54"/>
    <mergeCell ref="G54:J54"/>
    <mergeCell ref="C55:D55"/>
    <mergeCell ref="E55:F55"/>
    <mergeCell ref="G55:J55"/>
    <mergeCell ref="C52:D52"/>
    <mergeCell ref="E52:F52"/>
    <mergeCell ref="G52:J52"/>
    <mergeCell ref="C53:D53"/>
    <mergeCell ref="E53:F53"/>
    <mergeCell ref="G53:J53"/>
    <mergeCell ref="C50:D50"/>
    <mergeCell ref="E50:F50"/>
    <mergeCell ref="G50:J50"/>
    <mergeCell ref="C51:D51"/>
    <mergeCell ref="E51:F51"/>
    <mergeCell ref="G51:J51"/>
    <mergeCell ref="C48:D48"/>
    <mergeCell ref="E48:F48"/>
    <mergeCell ref="G48:J48"/>
    <mergeCell ref="C49:D49"/>
    <mergeCell ref="E49:F49"/>
    <mergeCell ref="G49:J49"/>
    <mergeCell ref="G46:J46"/>
    <mergeCell ref="C47:D47"/>
    <mergeCell ref="E47:F47"/>
    <mergeCell ref="G47:J47"/>
    <mergeCell ref="C44:D44"/>
    <mergeCell ref="E44:F44"/>
    <mergeCell ref="G44:J44"/>
    <mergeCell ref="C45:D45"/>
    <mergeCell ref="E45:F45"/>
    <mergeCell ref="G45:J45"/>
    <mergeCell ref="B40:B55"/>
    <mergeCell ref="C40:D40"/>
    <mergeCell ref="E40:F40"/>
    <mergeCell ref="G40:J40"/>
    <mergeCell ref="C41:D41"/>
    <mergeCell ref="E41:F41"/>
    <mergeCell ref="G41:J41"/>
    <mergeCell ref="C37:D37"/>
    <mergeCell ref="E37:F37"/>
    <mergeCell ref="G37:J37"/>
    <mergeCell ref="C38:D38"/>
    <mergeCell ref="E38:F38"/>
    <mergeCell ref="G38:J38"/>
    <mergeCell ref="C42:D42"/>
    <mergeCell ref="E42:F42"/>
    <mergeCell ref="G42:J42"/>
    <mergeCell ref="C43:D43"/>
    <mergeCell ref="E43:F43"/>
    <mergeCell ref="G43:J43"/>
    <mergeCell ref="C39:D39"/>
    <mergeCell ref="E39:F39"/>
    <mergeCell ref="G39:J39"/>
    <mergeCell ref="C46:D46"/>
    <mergeCell ref="E46:F46"/>
    <mergeCell ref="E35:F35"/>
    <mergeCell ref="G35:J35"/>
    <mergeCell ref="C36:D36"/>
    <mergeCell ref="E36:F36"/>
    <mergeCell ref="G36:J36"/>
    <mergeCell ref="C33:D33"/>
    <mergeCell ref="E33:F33"/>
    <mergeCell ref="G33:J33"/>
    <mergeCell ref="C34:D34"/>
    <mergeCell ref="E34:F34"/>
    <mergeCell ref="G34:J34"/>
    <mergeCell ref="E24:F24"/>
    <mergeCell ref="G24:J24"/>
    <mergeCell ref="E26:F26"/>
    <mergeCell ref="G26:J26"/>
    <mergeCell ref="A27:A55"/>
    <mergeCell ref="B27:B39"/>
    <mergeCell ref="C27:D27"/>
    <mergeCell ref="E27:F27"/>
    <mergeCell ref="G27:J27"/>
    <mergeCell ref="C28:D28"/>
    <mergeCell ref="C31:D31"/>
    <mergeCell ref="E31:F31"/>
    <mergeCell ref="G31:J31"/>
    <mergeCell ref="C32:D32"/>
    <mergeCell ref="E32:F32"/>
    <mergeCell ref="G32:J32"/>
    <mergeCell ref="E28:F28"/>
    <mergeCell ref="G28:J28"/>
    <mergeCell ref="C29:D29"/>
    <mergeCell ref="E29:F29"/>
    <mergeCell ref="G29:J29"/>
    <mergeCell ref="C30:D30"/>
    <mergeCell ref="E30:F30"/>
    <mergeCell ref="G30:J30"/>
    <mergeCell ref="G22:J22"/>
    <mergeCell ref="E23:F23"/>
    <mergeCell ref="G23:J23"/>
    <mergeCell ref="E18:F18"/>
    <mergeCell ref="G18:J18"/>
    <mergeCell ref="E19:F19"/>
    <mergeCell ref="G19:J19"/>
    <mergeCell ref="E20:F20"/>
    <mergeCell ref="G20:J20"/>
    <mergeCell ref="A6:J7"/>
    <mergeCell ref="A8:D26"/>
    <mergeCell ref="E8:J8"/>
    <mergeCell ref="E9:F9"/>
    <mergeCell ref="G9:J9"/>
    <mergeCell ref="E10:F10"/>
    <mergeCell ref="G10:J10"/>
    <mergeCell ref="E11:F11"/>
    <mergeCell ref="G11:J11"/>
    <mergeCell ref="E15:F15"/>
    <mergeCell ref="G15:J15"/>
    <mergeCell ref="E16:F16"/>
    <mergeCell ref="G16:J16"/>
    <mergeCell ref="E17:F17"/>
    <mergeCell ref="G17:J17"/>
    <mergeCell ref="E12:F12"/>
    <mergeCell ref="G12:J12"/>
    <mergeCell ref="E13:F13"/>
    <mergeCell ref="G13:J13"/>
    <mergeCell ref="E14:F14"/>
    <mergeCell ref="G14:J14"/>
    <mergeCell ref="E21:F21"/>
    <mergeCell ref="G21:J21"/>
    <mergeCell ref="E22:F22"/>
    <mergeCell ref="A1:G2"/>
    <mergeCell ref="H1:I1"/>
    <mergeCell ref="J1:J4"/>
    <mergeCell ref="N1:N4"/>
    <mergeCell ref="H2:I2"/>
    <mergeCell ref="A3:G4"/>
    <mergeCell ref="H3:I3"/>
    <mergeCell ref="H4:I4"/>
    <mergeCell ref="A5:J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BS68"/>
  <sheetViews>
    <sheetView topLeftCell="F12" zoomScale="70" zoomScaleNormal="70" workbookViewId="0">
      <selection activeCell="AN10" sqref="AN10:AO11"/>
    </sheetView>
  </sheetViews>
  <sheetFormatPr baseColWidth="10" defaultColWidth="11.44140625" defaultRowHeight="13.8" x14ac:dyDescent="0.25"/>
  <cols>
    <col min="1" max="1" width="4" style="2" bestFit="1" customWidth="1"/>
    <col min="2" max="2" width="14.109375" style="2" customWidth="1"/>
    <col min="3" max="3" width="18.6640625" style="2" customWidth="1"/>
    <col min="4" max="4" width="16.109375" style="2" customWidth="1"/>
    <col min="5" max="5" width="30.33203125" style="2" customWidth="1"/>
    <col min="6" max="8" width="35" style="1" customWidth="1"/>
    <col min="9" max="9" width="18.109375" style="5" customWidth="1"/>
    <col min="10" max="10" width="14.33203125" style="1" customWidth="1"/>
    <col min="11" max="11" width="12" style="1" customWidth="1"/>
    <col min="12" max="12" width="6.33203125" style="1" bestFit="1" customWidth="1"/>
    <col min="13" max="13" width="24.44140625" style="1" bestFit="1" customWidth="1"/>
    <col min="14" max="14" width="28.33203125" style="1" hidden="1" customWidth="1"/>
    <col min="15" max="15" width="17.5546875" style="1" customWidth="1"/>
    <col min="16" max="16" width="6.33203125" style="1" bestFit="1" customWidth="1"/>
    <col min="17" max="17" width="16" style="1" customWidth="1"/>
    <col min="18" max="18" width="5.88671875" style="1" customWidth="1"/>
    <col min="19" max="19" width="55" style="1" customWidth="1"/>
    <col min="20" max="20" width="15.109375" style="1" bestFit="1" customWidth="1"/>
    <col min="21" max="21" width="6.88671875" style="1" customWidth="1"/>
    <col min="22" max="22" width="5" style="1" customWidth="1"/>
    <col min="23" max="23" width="5.5546875" style="1" customWidth="1"/>
    <col min="24" max="24" width="7.109375" style="1" customWidth="1"/>
    <col min="25" max="25" width="6.6640625" style="1" customWidth="1"/>
    <col min="26" max="26" width="4.6640625" style="1" bestFit="1" customWidth="1"/>
    <col min="27" max="27" width="38.5546875" style="1" bestFit="1" customWidth="1"/>
    <col min="28" max="28" width="8.6640625" style="1" customWidth="1"/>
    <col min="29" max="29" width="10.44140625" style="1" customWidth="1"/>
    <col min="30" max="30" width="9.33203125" style="1" customWidth="1"/>
    <col min="31" max="31" width="9.109375" style="1" customWidth="1"/>
    <col min="32" max="32" width="8.44140625" style="1" customWidth="1"/>
    <col min="33" max="33" width="7.33203125" style="1" customWidth="1"/>
    <col min="34" max="34" width="23" style="1" customWidth="1"/>
    <col min="35" max="35" width="18.88671875" style="1" customWidth="1"/>
    <col min="36" max="36" width="16.88671875" style="1" customWidth="1"/>
    <col min="37" max="37" width="14.88671875" style="1" customWidth="1"/>
    <col min="38" max="38" width="18.5546875" style="1" customWidth="1"/>
    <col min="39" max="39" width="21" style="1" customWidth="1"/>
    <col min="40" max="16384" width="11.44140625" style="1"/>
  </cols>
  <sheetData>
    <row r="1" spans="1:71" ht="16.5" customHeight="1" x14ac:dyDescent="0.25">
      <c r="A1" s="442" t="s">
        <v>139</v>
      </c>
      <c r="B1" s="443"/>
      <c r="C1" s="443"/>
      <c r="D1" s="443"/>
      <c r="E1" s="443"/>
      <c r="F1" s="443"/>
      <c r="G1" s="443"/>
      <c r="H1" s="443"/>
      <c r="I1" s="443"/>
      <c r="J1" s="443"/>
      <c r="K1" s="443"/>
      <c r="L1" s="443"/>
      <c r="M1" s="443"/>
      <c r="N1" s="443"/>
      <c r="O1" s="443"/>
      <c r="P1" s="443"/>
      <c r="Q1" s="443"/>
      <c r="R1" s="443"/>
      <c r="S1" s="443"/>
      <c r="T1" s="443"/>
      <c r="U1" s="443"/>
      <c r="V1" s="443"/>
      <c r="W1" s="443"/>
      <c r="X1" s="443"/>
      <c r="Y1" s="443"/>
      <c r="Z1" s="443"/>
      <c r="AA1" s="443"/>
      <c r="AB1" s="443"/>
      <c r="AC1" s="443"/>
      <c r="AD1" s="443"/>
      <c r="AE1" s="443"/>
      <c r="AF1" s="443"/>
      <c r="AG1" s="443"/>
      <c r="AH1" s="443"/>
      <c r="AI1" s="443"/>
      <c r="AJ1" s="443"/>
      <c r="AK1" s="443"/>
      <c r="AL1" s="443"/>
      <c r="AM1" s="444"/>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row>
    <row r="2" spans="1:71" ht="24" customHeight="1" x14ac:dyDescent="0.25">
      <c r="A2" s="445"/>
      <c r="B2" s="446"/>
      <c r="C2" s="446"/>
      <c r="D2" s="446"/>
      <c r="E2" s="446"/>
      <c r="F2" s="446"/>
      <c r="G2" s="446"/>
      <c r="H2" s="446"/>
      <c r="I2" s="446"/>
      <c r="J2" s="446"/>
      <c r="K2" s="446"/>
      <c r="L2" s="446"/>
      <c r="M2" s="446"/>
      <c r="N2" s="446"/>
      <c r="O2" s="446"/>
      <c r="P2" s="446"/>
      <c r="Q2" s="446"/>
      <c r="R2" s="446"/>
      <c r="S2" s="446"/>
      <c r="T2" s="446"/>
      <c r="U2" s="446"/>
      <c r="V2" s="446"/>
      <c r="W2" s="446"/>
      <c r="X2" s="446"/>
      <c r="Y2" s="446"/>
      <c r="Z2" s="446"/>
      <c r="AA2" s="446"/>
      <c r="AB2" s="446"/>
      <c r="AC2" s="446"/>
      <c r="AD2" s="446"/>
      <c r="AE2" s="446"/>
      <c r="AF2" s="446"/>
      <c r="AG2" s="446"/>
      <c r="AH2" s="446"/>
      <c r="AI2" s="446"/>
      <c r="AJ2" s="446"/>
      <c r="AK2" s="446"/>
      <c r="AL2" s="446"/>
      <c r="AM2" s="447"/>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row>
    <row r="3" spans="1:71" x14ac:dyDescent="0.25">
      <c r="A3" s="28"/>
      <c r="B3" s="29"/>
      <c r="C3" s="28"/>
      <c r="D3" s="28"/>
      <c r="E3" s="28"/>
      <c r="F3" s="8"/>
      <c r="G3" s="8"/>
      <c r="H3" s="8"/>
      <c r="I3" s="27"/>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row>
    <row r="4" spans="1:71" ht="26.25" customHeight="1" x14ac:dyDescent="0.25">
      <c r="A4" s="420" t="s">
        <v>43</v>
      </c>
      <c r="B4" s="421"/>
      <c r="C4" s="426" t="s">
        <v>387</v>
      </c>
      <c r="D4" s="427"/>
      <c r="E4" s="427"/>
      <c r="F4" s="427"/>
      <c r="G4" s="427"/>
      <c r="H4" s="427"/>
      <c r="I4" s="427"/>
      <c r="J4" s="427"/>
      <c r="K4" s="427"/>
      <c r="L4" s="427"/>
      <c r="M4" s="427"/>
      <c r="N4" s="427"/>
      <c r="O4" s="427"/>
      <c r="P4" s="427"/>
      <c r="Q4" s="427"/>
      <c r="R4" s="427"/>
      <c r="S4" s="427"/>
      <c r="T4" s="427"/>
      <c r="U4" s="427"/>
      <c r="V4" s="427"/>
      <c r="W4" s="427"/>
      <c r="X4" s="427"/>
      <c r="Y4" s="427"/>
      <c r="Z4" s="427"/>
      <c r="AA4" s="427"/>
      <c r="AB4" s="427"/>
      <c r="AC4" s="427"/>
      <c r="AD4" s="427"/>
      <c r="AE4" s="427"/>
      <c r="AF4" s="427"/>
      <c r="AG4" s="427"/>
      <c r="AH4" s="427"/>
      <c r="AI4" s="427"/>
      <c r="AJ4" s="427"/>
      <c r="AK4" s="427"/>
      <c r="AL4" s="427"/>
      <c r="AM4" s="42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row>
    <row r="5" spans="1:71" ht="30" customHeight="1" x14ac:dyDescent="0.25">
      <c r="A5" s="420" t="s">
        <v>125</v>
      </c>
      <c r="B5" s="421"/>
      <c r="C5" s="429" t="s">
        <v>388</v>
      </c>
      <c r="D5" s="429"/>
      <c r="E5" s="429"/>
      <c r="F5" s="429"/>
      <c r="G5" s="429"/>
      <c r="H5" s="429"/>
      <c r="I5" s="429"/>
      <c r="J5" s="429"/>
      <c r="K5" s="429"/>
      <c r="L5" s="429"/>
      <c r="M5" s="429"/>
      <c r="N5" s="429"/>
      <c r="O5" s="429"/>
      <c r="P5" s="429"/>
      <c r="Q5" s="429"/>
      <c r="R5" s="429"/>
      <c r="S5" s="429"/>
      <c r="T5" s="429"/>
      <c r="U5" s="429"/>
      <c r="V5" s="429"/>
      <c r="W5" s="429"/>
      <c r="X5" s="429"/>
      <c r="Y5" s="429"/>
      <c r="Z5" s="429"/>
      <c r="AA5" s="429"/>
      <c r="AB5" s="429"/>
      <c r="AC5" s="429"/>
      <c r="AD5" s="429"/>
      <c r="AE5" s="429"/>
      <c r="AF5" s="429"/>
      <c r="AG5" s="429"/>
      <c r="AH5" s="429"/>
      <c r="AI5" s="429"/>
      <c r="AJ5" s="429"/>
      <c r="AK5" s="429"/>
      <c r="AL5" s="429"/>
      <c r="AM5" s="429"/>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row>
    <row r="6" spans="1:71" ht="49.5" customHeight="1" x14ac:dyDescent="0.25">
      <c r="A6" s="420" t="s">
        <v>44</v>
      </c>
      <c r="B6" s="421"/>
      <c r="C6" s="429"/>
      <c r="D6" s="429"/>
      <c r="E6" s="429"/>
      <c r="F6" s="429"/>
      <c r="G6" s="429"/>
      <c r="H6" s="429"/>
      <c r="I6" s="429"/>
      <c r="J6" s="429"/>
      <c r="K6" s="429"/>
      <c r="L6" s="429"/>
      <c r="M6" s="429"/>
      <c r="N6" s="429"/>
      <c r="O6" s="429"/>
      <c r="P6" s="429"/>
      <c r="Q6" s="429"/>
      <c r="R6" s="429"/>
      <c r="S6" s="429"/>
      <c r="T6" s="429"/>
      <c r="U6" s="429"/>
      <c r="V6" s="429"/>
      <c r="W6" s="429"/>
      <c r="X6" s="429"/>
      <c r="Y6" s="429"/>
      <c r="Z6" s="429"/>
      <c r="AA6" s="429"/>
      <c r="AB6" s="429"/>
      <c r="AC6" s="429"/>
      <c r="AD6" s="429"/>
      <c r="AE6" s="429"/>
      <c r="AF6" s="429"/>
      <c r="AG6" s="429"/>
      <c r="AH6" s="429"/>
      <c r="AI6" s="429"/>
      <c r="AJ6" s="429"/>
      <c r="AK6" s="429"/>
      <c r="AL6" s="429"/>
      <c r="AM6" s="429"/>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row>
    <row r="7" spans="1:71" x14ac:dyDescent="0.25">
      <c r="A7" s="448" t="s">
        <v>134</v>
      </c>
      <c r="B7" s="449"/>
      <c r="C7" s="450"/>
      <c r="D7" s="450"/>
      <c r="E7" s="450"/>
      <c r="F7" s="450"/>
      <c r="G7" s="450"/>
      <c r="H7" s="450"/>
      <c r="I7" s="450"/>
      <c r="J7" s="451"/>
      <c r="K7" s="382" t="s">
        <v>135</v>
      </c>
      <c r="L7" s="450"/>
      <c r="M7" s="450"/>
      <c r="N7" s="450"/>
      <c r="O7" s="450"/>
      <c r="P7" s="450"/>
      <c r="Q7" s="451"/>
      <c r="R7" s="382" t="s">
        <v>136</v>
      </c>
      <c r="S7" s="450"/>
      <c r="T7" s="450"/>
      <c r="U7" s="450"/>
      <c r="V7" s="450"/>
      <c r="W7" s="450"/>
      <c r="X7" s="450"/>
      <c r="Y7" s="450"/>
      <c r="Z7" s="451"/>
      <c r="AA7" s="382" t="s">
        <v>137</v>
      </c>
      <c r="AB7" s="450"/>
      <c r="AC7" s="450"/>
      <c r="AD7" s="450"/>
      <c r="AE7" s="450"/>
      <c r="AF7" s="450"/>
      <c r="AG7" s="451"/>
      <c r="AH7" s="382" t="s">
        <v>34</v>
      </c>
      <c r="AI7" s="450"/>
      <c r="AJ7" s="450"/>
      <c r="AK7" s="450"/>
      <c r="AL7" s="450"/>
      <c r="AM7" s="451"/>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row>
    <row r="8" spans="1:71" ht="16.5" customHeight="1" x14ac:dyDescent="0.25">
      <c r="A8" s="422" t="s">
        <v>0</v>
      </c>
      <c r="B8" s="430" t="s">
        <v>2</v>
      </c>
      <c r="C8" s="380" t="s">
        <v>3</v>
      </c>
      <c r="D8" s="380" t="s">
        <v>42</v>
      </c>
      <c r="E8" s="372" t="s">
        <v>203</v>
      </c>
      <c r="F8" s="424" t="s">
        <v>1</v>
      </c>
      <c r="G8" s="137"/>
      <c r="H8" s="137"/>
      <c r="I8" s="372" t="s">
        <v>50</v>
      </c>
      <c r="J8" s="380" t="s">
        <v>130</v>
      </c>
      <c r="K8" s="373" t="s">
        <v>33</v>
      </c>
      <c r="L8" s="381" t="s">
        <v>5</v>
      </c>
      <c r="M8" s="372" t="s">
        <v>86</v>
      </c>
      <c r="N8" s="372" t="s">
        <v>91</v>
      </c>
      <c r="O8" s="383" t="s">
        <v>45</v>
      </c>
      <c r="P8" s="381" t="s">
        <v>5</v>
      </c>
      <c r="Q8" s="380" t="s">
        <v>48</v>
      </c>
      <c r="R8" s="459" t="s">
        <v>11</v>
      </c>
      <c r="S8" s="371" t="s">
        <v>152</v>
      </c>
      <c r="T8" s="372" t="s">
        <v>12</v>
      </c>
      <c r="U8" s="371" t="s">
        <v>8</v>
      </c>
      <c r="V8" s="371"/>
      <c r="W8" s="371"/>
      <c r="X8" s="371"/>
      <c r="Y8" s="371"/>
      <c r="Z8" s="371"/>
      <c r="AA8" s="461" t="s">
        <v>133</v>
      </c>
      <c r="AB8" s="461" t="s">
        <v>46</v>
      </c>
      <c r="AC8" s="461" t="s">
        <v>5</v>
      </c>
      <c r="AD8" s="461" t="s">
        <v>47</v>
      </c>
      <c r="AE8" s="461" t="s">
        <v>5</v>
      </c>
      <c r="AF8" s="461" t="s">
        <v>49</v>
      </c>
      <c r="AG8" s="459" t="s">
        <v>29</v>
      </c>
      <c r="AH8" s="371" t="s">
        <v>34</v>
      </c>
      <c r="AI8" s="371" t="s">
        <v>35</v>
      </c>
      <c r="AJ8" s="371" t="s">
        <v>36</v>
      </c>
      <c r="AK8" s="371" t="s">
        <v>38</v>
      </c>
      <c r="AL8" s="371" t="s">
        <v>37</v>
      </c>
      <c r="AM8" s="462" t="s">
        <v>39</v>
      </c>
      <c r="AN8" s="369" t="s">
        <v>390</v>
      </c>
      <c r="AO8" s="369"/>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row>
    <row r="9" spans="1:71" s="4" customFormat="1" ht="94.5" customHeight="1" x14ac:dyDescent="0.3">
      <c r="A9" s="423"/>
      <c r="B9" s="430"/>
      <c r="C9" s="371"/>
      <c r="D9" s="371"/>
      <c r="E9" s="373"/>
      <c r="F9" s="425"/>
      <c r="G9" s="137" t="s">
        <v>267</v>
      </c>
      <c r="H9" s="137" t="s">
        <v>204</v>
      </c>
      <c r="I9" s="380"/>
      <c r="J9" s="371"/>
      <c r="K9" s="380"/>
      <c r="L9" s="382"/>
      <c r="M9" s="380"/>
      <c r="N9" s="380"/>
      <c r="O9" s="382"/>
      <c r="P9" s="382"/>
      <c r="Q9" s="371"/>
      <c r="R9" s="460"/>
      <c r="S9" s="371"/>
      <c r="T9" s="380"/>
      <c r="U9" s="7" t="s">
        <v>13</v>
      </c>
      <c r="V9" s="7" t="s">
        <v>17</v>
      </c>
      <c r="W9" s="7" t="s">
        <v>28</v>
      </c>
      <c r="X9" s="7" t="s">
        <v>18</v>
      </c>
      <c r="Y9" s="7" t="s">
        <v>21</v>
      </c>
      <c r="Z9" s="7" t="s">
        <v>24</v>
      </c>
      <c r="AA9" s="461"/>
      <c r="AB9" s="461"/>
      <c r="AC9" s="461"/>
      <c r="AD9" s="461"/>
      <c r="AE9" s="461"/>
      <c r="AF9" s="461"/>
      <c r="AG9" s="460"/>
      <c r="AH9" s="371"/>
      <c r="AI9" s="371"/>
      <c r="AJ9" s="371"/>
      <c r="AK9" s="371"/>
      <c r="AL9" s="371"/>
      <c r="AM9" s="462"/>
      <c r="AN9" s="369"/>
      <c r="AO9" s="369"/>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row>
    <row r="10" spans="1:71" s="3" customFormat="1" ht="123.75" customHeight="1" x14ac:dyDescent="0.3">
      <c r="A10" s="396">
        <v>1</v>
      </c>
      <c r="B10" s="398" t="s">
        <v>129</v>
      </c>
      <c r="C10" s="398" t="s">
        <v>359</v>
      </c>
      <c r="D10" s="400" t="s">
        <v>360</v>
      </c>
      <c r="E10" s="222" t="s">
        <v>361</v>
      </c>
      <c r="F10" s="402" t="s">
        <v>269</v>
      </c>
      <c r="G10" s="409" t="s">
        <v>266</v>
      </c>
      <c r="H10" s="402" t="s">
        <v>363</v>
      </c>
      <c r="I10" s="374" t="s">
        <v>118</v>
      </c>
      <c r="J10" s="376">
        <v>5</v>
      </c>
      <c r="K10" s="378" t="str">
        <f>IF(J10&lt;=0,"",IF(J10&lt;=2,"Muy Baja",IF(J10&lt;=24,"Baja",IF(J10&lt;=500,"Media",IF(J10&lt;=5000,"Alta","Muy Alta")))))</f>
        <v>Baja</v>
      </c>
      <c r="L10" s="405">
        <f>IF(K10="","",IF(K10="Muy Baja",0.2,IF(K10="Baja",0.4,IF(K10="Media",0.6,IF(K10="Alta",0.8,IF(K10="Muy Alta",1,))))))</f>
        <v>0.4</v>
      </c>
      <c r="M10" s="407" t="s">
        <v>145</v>
      </c>
      <c r="N10" s="405" t="str">
        <f>IF(NOT(ISERROR(MATCH(M10,'Tabla Impacto'!$B$221:$B$223,0))),'Tabla Impacto'!$F$223&amp;"Por favor no seleccionar los criterios de impacto(Afectación Económica o presupuestal y Pérdida Reputacional)",M10)</f>
        <v xml:space="preserve">     El riesgo afecta la imagen de la entidad con algunos usuarios de relevancia frente al logro de los objetivos</v>
      </c>
      <c r="O10" s="378" t="str">
        <f>IF(OR(N10='Tabla Impacto'!$C$11,N10='Tabla Impacto'!$D$11),"Leve",IF(OR(N10='Tabla Impacto'!$C$12,N10='Tabla Impacto'!$D$12),"Menor",IF(OR(N10='Tabla Impacto'!$C$13,N10='Tabla Impacto'!$D$13),"Moderado",IF(OR(N10='Tabla Impacto'!$C$14,N10='Tabla Impacto'!$D$14),"Mayor",IF(OR(N10='Tabla Impacto'!$C$15,N10='Tabla Impacto'!$D$15),"Catastrófico","")))))</f>
        <v>Moderado</v>
      </c>
      <c r="P10" s="405">
        <f>IF(O10="","",IF(O10="Leve",0.2,IF(O10="Menor",0.4,IF(O10="Moderado",0.6,IF(O10="Mayor",0.8,IF(O10="Catastrófico",1,))))))</f>
        <v>0.6</v>
      </c>
      <c r="Q10" s="403"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Moderado</v>
      </c>
      <c r="R10" s="105">
        <v>1</v>
      </c>
      <c r="S10" s="113" t="s">
        <v>364</v>
      </c>
      <c r="T10" s="107" t="str">
        <f>IF(OR(U10="Preventivo",U10="Detectivo"),"Probabilidad",IF(U10="Correctivo","Impacto",""))</f>
        <v>Probabilidad</v>
      </c>
      <c r="U10" s="114" t="s">
        <v>15</v>
      </c>
      <c r="V10" s="114" t="s">
        <v>9</v>
      </c>
      <c r="W10" s="115" t="str">
        <f>IF(AND(U10="Preventivo",V10="Automático"),"50%",IF(AND(U10="Preventivo",V10="Manual"),"40%",IF(AND(U10="Detectivo",V10="Automático"),"40%",IF(AND(U10="Detectivo",V10="Manual"),"30%",IF(AND(U10="Correctivo",V10="Automático"),"35%",IF(AND(U10="Correctivo",V10="Manual"),"25%",""))))))</f>
        <v>30%</v>
      </c>
      <c r="X10" s="114" t="s">
        <v>20</v>
      </c>
      <c r="Y10" s="114" t="s">
        <v>22</v>
      </c>
      <c r="Z10" s="114" t="s">
        <v>114</v>
      </c>
      <c r="AA10" s="108">
        <f>IFERROR(IF(T10="Probabilidad",(L10-(+L10*W10)),IF(T10="Impacto",L10,"")),"")</f>
        <v>0.28000000000000003</v>
      </c>
      <c r="AB10" s="223" t="str">
        <f>IFERROR(IF(AA10="","",IF(AA10&lt;=0.2,"Muy Baja",IF(AA10&lt;=0.4,"Baja",IF(AA10&lt;=0.6,"Media",IF(AA10&lt;=0.8,"Alta","Muy Alta"))))),"")</f>
        <v>Baja</v>
      </c>
      <c r="AC10" s="118">
        <f>+AA10</f>
        <v>0.28000000000000003</v>
      </c>
      <c r="AD10" s="223" t="str">
        <f>IFERROR(IF(AE10="","",IF(AE10&lt;=0.2,"Leve",IF(AE10&lt;=0.4,"Menor",IF(AE10&lt;=0.6,"Moderado",IF(AE10&lt;=0.8,"Mayor","Catastrófico"))))),"")</f>
        <v>Moderado</v>
      </c>
      <c r="AE10" s="118">
        <f>IFERROR(IF(T10="Impacto",(P10-(+P10*W10)),IF(T10="Probabilidad",P10,"")),"")</f>
        <v>0.6</v>
      </c>
      <c r="AF10" s="224" t="str">
        <f>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Moderado</v>
      </c>
      <c r="AG10" s="120" t="s">
        <v>131</v>
      </c>
      <c r="AH10" s="116" t="s">
        <v>366</v>
      </c>
      <c r="AI10" s="457" t="s">
        <v>367</v>
      </c>
      <c r="AJ10" s="452" t="s">
        <v>368</v>
      </c>
      <c r="AK10" s="452" t="s">
        <v>369</v>
      </c>
      <c r="AL10" s="398" t="s">
        <v>370</v>
      </c>
      <c r="AM10" s="454" t="s">
        <v>41</v>
      </c>
      <c r="AN10" s="370" t="s">
        <v>392</v>
      </c>
      <c r="AO10" s="370"/>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row>
    <row r="11" spans="1:71" ht="108" customHeight="1" x14ac:dyDescent="0.25">
      <c r="A11" s="397"/>
      <c r="B11" s="399"/>
      <c r="C11" s="399"/>
      <c r="D11" s="401"/>
      <c r="E11" s="222" t="s">
        <v>362</v>
      </c>
      <c r="F11" s="402"/>
      <c r="G11" s="410"/>
      <c r="H11" s="402"/>
      <c r="I11" s="375"/>
      <c r="J11" s="377"/>
      <c r="K11" s="379"/>
      <c r="L11" s="406"/>
      <c r="M11" s="408"/>
      <c r="N11" s="406">
        <f>IF(NOT(ISERROR(MATCH(M11,_xlfn.ANCHORARRAY(F18),0))),L20&amp;"Por favor no seleccionar los criterios de impacto",M11)</f>
        <v>0</v>
      </c>
      <c r="O11" s="379"/>
      <c r="P11" s="406"/>
      <c r="Q11" s="404"/>
      <c r="R11" s="105">
        <v>2</v>
      </c>
      <c r="S11" s="113" t="s">
        <v>365</v>
      </c>
      <c r="T11" s="107" t="str">
        <f>IF(OR(U11="Preventivo",U11="Detectivo"),"Probabilidad",IF(U11="Correctivo","Impacto",""))</f>
        <v>Probabilidad</v>
      </c>
      <c r="U11" s="114" t="s">
        <v>14</v>
      </c>
      <c r="V11" s="114" t="s">
        <v>9</v>
      </c>
      <c r="W11" s="115" t="str">
        <f t="shared" ref="W11" si="0">IF(AND(U11="Preventivo",V11="Automático"),"50%",IF(AND(U11="Preventivo",V11="Manual"),"40%",IF(AND(U11="Detectivo",V11="Automático"),"40%",IF(AND(U11="Detectivo",V11="Manual"),"30%",IF(AND(U11="Correctivo",V11="Automático"),"35%",IF(AND(U11="Correctivo",V11="Manual"),"25%",""))))))</f>
        <v>40%</v>
      </c>
      <c r="X11" s="114" t="s">
        <v>20</v>
      </c>
      <c r="Y11" s="114" t="s">
        <v>22</v>
      </c>
      <c r="Z11" s="114" t="s">
        <v>114</v>
      </c>
      <c r="AA11" s="108">
        <f>IFERROR(IF(AND(T10="Probabilidad",T11="Probabilidad"),(AC10-(+AC10*W11)),IF(AND(T10="Impacto",T11="Probabilidad"),(L10-(+L10*W11)),IF(T11="Impacto",AC10,""))),"")</f>
        <v>0.16800000000000001</v>
      </c>
      <c r="AB11" s="117" t="str">
        <f t="shared" ref="AB11" si="1">IFERROR(IF(AA11="","",IF(AA11&lt;=0.2,"Muy Baja",IF(AA11&lt;=0.4,"Baja",IF(AA11&lt;=0.6,"Media",IF(AA11&lt;=0.8,"Alta","Muy Alta"))))),"")</f>
        <v>Muy Baja</v>
      </c>
      <c r="AC11" s="118">
        <f>+AA11</f>
        <v>0.16800000000000001</v>
      </c>
      <c r="AD11" s="117" t="str">
        <f t="shared" ref="AD11" si="2">IFERROR(IF(AE11="","",IF(AE11&lt;=0.2,"Leve",IF(AE11&lt;=0.4,"Menor",IF(AE11&lt;=0.6,"Moderado",IF(AE11&lt;=0.8,"Mayor","Catastrófico"))))),"")</f>
        <v>Moderado</v>
      </c>
      <c r="AE11" s="118">
        <f>IFERROR(IF(AND(T10="Impacto",T11="Impacto"),(AE10-(+AE10*W11)),IF(AND(T10="Probabilidad",T11="Impacto"),(P10-(+P10*W11)),IF(T11="Probabilidad",AE10,""))),"")</f>
        <v>0.6</v>
      </c>
      <c r="AF11" s="119" t="str">
        <f t="shared" ref="AF11" si="3">IFERROR(IF(OR(AND(AB11="Muy Baja",AD11="Leve"),AND(AB11="Muy Baja",AD11="Menor"),AND(AB11="Baja",AD11="Leve")),"Bajo",IF(OR(AND(AB11="Muy baja",AD11="Moderado"),AND(AB11="Baja",AD11="Menor"),AND(AB11="Baja",AD11="Moderado"),AND(AB11="Media",AD11="Leve"),AND(AB11="Media",AD11="Menor"),AND(AB11="Media",AD11="Moderado"),AND(AB11="Alta",AD11="Leve"),AND(AB11="Alta",AD11="Menor")),"Moderado",IF(OR(AND(AB11="Muy Baja",AD11="Mayor"),AND(AB11="Baja",AD11="Mayor"),AND(AB11="Media",AD11="Mayor"),AND(AB11="Alta",AD11="Moderado"),AND(AB11="Alta",AD11="Mayor"),AND(AB11="Muy Alta",AD11="Leve"),AND(AB11="Muy Alta",AD11="Menor"),AND(AB11="Muy Alta",AD11="Moderado"),AND(AB11="Muy Alta",AD11="Mayor")),"Alto",IF(OR(AND(AB11="Muy Baja",AD11="Catastrófico"),AND(AB11="Baja",AD11="Catastrófico"),AND(AB11="Media",AD11="Catastrófico"),AND(AB11="Alta",AD11="Catastrófico"),AND(AB11="Muy Alta",AD11="Catastrófico")),"Extremo","")))),"")</f>
        <v>Moderado</v>
      </c>
      <c r="AG11" s="120" t="s">
        <v>131</v>
      </c>
      <c r="AH11" s="109" t="s">
        <v>371</v>
      </c>
      <c r="AI11" s="458"/>
      <c r="AJ11" s="453"/>
      <c r="AK11" s="453"/>
      <c r="AL11" s="456"/>
      <c r="AM11" s="455"/>
      <c r="AN11" s="370"/>
      <c r="AO11" s="370"/>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row>
    <row r="12" spans="1:71" ht="71.25" customHeight="1" x14ac:dyDescent="0.25">
      <c r="A12" s="396">
        <v>2</v>
      </c>
      <c r="B12" s="463" t="s">
        <v>129</v>
      </c>
      <c r="C12" s="417" t="s">
        <v>372</v>
      </c>
      <c r="D12" s="470" t="s">
        <v>375</v>
      </c>
      <c r="E12" s="473" t="s">
        <v>376</v>
      </c>
      <c r="F12" s="466" t="s">
        <v>270</v>
      </c>
      <c r="G12" s="409" t="s">
        <v>265</v>
      </c>
      <c r="H12" s="466" t="s">
        <v>379</v>
      </c>
      <c r="I12" s="411" t="s">
        <v>118</v>
      </c>
      <c r="J12" s="414">
        <v>12</v>
      </c>
      <c r="K12" s="390" t="str">
        <f>IF(J12&lt;=0,"",IF(J12&lt;=2,"Muy Baja",IF(J12&lt;=24,"Baja",IF(J12&lt;=500,"Media",IF(J12&lt;=5000,"Alta","Muy Alta")))))</f>
        <v>Baja</v>
      </c>
      <c r="L12" s="387">
        <f>IF(K12="","",IF(K12="Muy Baja",0.2,IF(K12="Baja",0.4,IF(K12="Media",0.6,IF(K12="Alta",0.8,IF(K12="Muy Alta",1,))))))</f>
        <v>0.4</v>
      </c>
      <c r="M12" s="393" t="s">
        <v>145</v>
      </c>
      <c r="N12" s="387" t="str">
        <f>IF(NOT(ISERROR(MATCH(M12,'Tabla Impacto'!$B$221:$B$223,0))),'Tabla Impacto'!$F$223&amp;"Por favor no seleccionar los criterios de impacto(Afectación Económica o presupuestal y Pérdida Reputacional)",M12)</f>
        <v xml:space="preserve">     El riesgo afecta la imagen de la entidad con algunos usuarios de relevancia frente al logro de los objetivos</v>
      </c>
      <c r="O12" s="390" t="str">
        <f>IF(OR(N12='Tabla Impacto'!$C$11,N12='Tabla Impacto'!$D$11),"Leve",IF(OR(N12='Tabla Impacto'!$C$12,N12='Tabla Impacto'!$D$12),"Menor",IF(OR(N12='Tabla Impacto'!$C$13,N12='Tabla Impacto'!$D$13),"Moderado",IF(OR(N12='Tabla Impacto'!$C$14,N12='Tabla Impacto'!$D$14),"Mayor",IF(OR(N12='Tabla Impacto'!$C$15,N12='Tabla Impacto'!$D$15),"Catastrófico","")))))</f>
        <v>Moderado</v>
      </c>
      <c r="P12" s="387">
        <f>IF(O12="","",IF(O12="Leve",0.2,IF(O12="Menor",0.4,IF(O12="Moderado",0.6,IF(O12="Mayor",0.8,IF(O12="Catastrófico",1,))))))</f>
        <v>0.6</v>
      </c>
      <c r="Q12" s="384" t="str">
        <f>IF(OR(AND(K12="Muy Baja",O12="Leve"),AND(K12="Muy Baja",O12="Menor"),AND(K12="Baja",O12="Leve")),"Bajo",IF(OR(AND(K12="Muy baja",O12="Moderado"),AND(K12="Baja",O12="Menor"),AND(K12="Baja",O12="Moderado"),AND(K12="Media",O12="Leve"),AND(K12="Media",O12="Menor"),AND(K12="Media",O12="Moderado"),AND(K12="Alta",O12="Leve"),AND(K12="Alta",O12="Menor")),"Moderado",IF(OR(AND(K12="Muy Baja",O12="Mayor"),AND(K12="Baja",O12="Mayor"),AND(K12="Media",O12="Mayor"),AND(K12="Alta",O12="Moderado"),AND(K12="Alta",O12="Mayor"),AND(K12="Muy Alta",O12="Leve"),AND(K12="Muy Alta",O12="Menor"),AND(K12="Muy Alta",O12="Moderado"),AND(K12="Muy Alta",O12="Mayor")),"Alto",IF(OR(AND(K12="Muy Baja",O12="Catastrófico"),AND(K12="Baja",O12="Catastrófico"),AND(K12="Media",O12="Catastrófico"),AND(K12="Alta",O12="Catastrófico"),AND(K12="Muy Alta",O12="Catastrófico")),"Extremo",""))))</f>
        <v>Moderado</v>
      </c>
      <c r="R12" s="105">
        <v>1</v>
      </c>
      <c r="S12" s="476" t="s">
        <v>381</v>
      </c>
      <c r="T12" s="482" t="str">
        <f>IF(OR(U12="Preventivo",U12="Detectivo"),"Probabilidad",IF(U12="Correctivo","Impacto",""))</f>
        <v>Probabilidad</v>
      </c>
      <c r="U12" s="479" t="s">
        <v>14</v>
      </c>
      <c r="V12" s="479" t="s">
        <v>9</v>
      </c>
      <c r="W12" s="485" t="str">
        <f>IF(AND(U12="Preventivo",V12="Automático"),"50%",IF(AND(U12="Preventivo",V12="Manual"),"40%",IF(AND(U12="Detectivo",V12="Automático"),"40%",IF(AND(U12="Detectivo",V12="Manual"),"30%",IF(AND(U12="Correctivo",V12="Automático"),"35%",IF(AND(U12="Correctivo",V12="Manual"),"25%",""))))))</f>
        <v>40%</v>
      </c>
      <c r="X12" s="479" t="s">
        <v>20</v>
      </c>
      <c r="Y12" s="479" t="s">
        <v>22</v>
      </c>
      <c r="Z12" s="479" t="s">
        <v>114</v>
      </c>
      <c r="AA12" s="493">
        <f>IFERROR(IF(T12="Probabilidad",(L12-(+L12*W12)),IF(T12="Impacto",L12,"")),"")</f>
        <v>0.24</v>
      </c>
      <c r="AB12" s="496" t="str">
        <f>IFERROR(IF(AA12="","",IF(AA12&lt;=0.2,"Muy Baja",IF(AA12&lt;=0.4,"Baja",IF(AA12&lt;=0.6,"Media",IF(AA12&lt;=0.8,"Alta","Muy Alta"))))),"")</f>
        <v>Baja</v>
      </c>
      <c r="AC12" s="485">
        <f>+AA12</f>
        <v>0.24</v>
      </c>
      <c r="AD12" s="496" t="str">
        <f>IFERROR(IF(AE12="","",IF(AE12&lt;=0.2,"Leve",IF(AE12&lt;=0.4,"Menor",IF(AE12&lt;=0.6,"Moderado",IF(AE12&lt;=0.8,"Mayor","Catastrófico"))))),"")</f>
        <v>Moderado</v>
      </c>
      <c r="AE12" s="485">
        <f>IFERROR(IF(T12="Impacto",(P12-(+P12*W12)),IF(T12="Probabilidad",P12,"")),"")</f>
        <v>0.6</v>
      </c>
      <c r="AF12" s="488" t="str">
        <f>IFERROR(IF(OR(AND(AB12="Muy Baja",AD12="Leve"),AND(AB12="Muy Baja",AD12="Menor"),AND(AB12="Baja",AD12="Leve")),"Bajo",IF(OR(AND(AB12="Muy baja",AD12="Moderado"),AND(AB12="Baja",AD12="Menor"),AND(AB12="Baja",AD12="Moderado"),AND(AB12="Media",AD12="Leve"),AND(AB12="Media",AD12="Menor"),AND(AB12="Media",AD12="Moderado"),AND(AB12="Alta",AD12="Leve"),AND(AB12="Alta",AD12="Menor")),"Moderado",IF(OR(AND(AB12="Muy Baja",AD12="Mayor"),AND(AB12="Baja",AD12="Mayor"),AND(AB12="Media",AD12="Mayor"),AND(AB12="Alta",AD12="Moderado"),AND(AB12="Alta",AD12="Mayor"),AND(AB12="Muy Alta",AD12="Leve"),AND(AB12="Muy Alta",AD12="Menor"),AND(AB12="Muy Alta",AD12="Moderado"),AND(AB12="Muy Alta",AD12="Mayor")),"Alto",IF(OR(AND(AB12="Muy Baja",AD12="Catastrófico"),AND(AB12="Baja",AD12="Catastrófico"),AND(AB12="Media",AD12="Catastrófico"),AND(AB12="Alta",AD12="Catastrófico"),AND(AB12="Muy Alta",AD12="Catastrófico")),"Extremo","")))),"")</f>
        <v>Moderado</v>
      </c>
      <c r="AG12" s="479" t="s">
        <v>131</v>
      </c>
      <c r="AH12" s="463" t="s">
        <v>382</v>
      </c>
      <c r="AI12" s="463" t="s">
        <v>367</v>
      </c>
      <c r="AJ12" s="452" t="s">
        <v>368</v>
      </c>
      <c r="AK12" s="452" t="s">
        <v>369</v>
      </c>
      <c r="AL12" s="463" t="s">
        <v>383</v>
      </c>
      <c r="AM12" s="499" t="s">
        <v>41</v>
      </c>
      <c r="AN12" s="370" t="s">
        <v>389</v>
      </c>
      <c r="AO12" s="370"/>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row>
    <row r="13" spans="1:71" ht="30" customHeight="1" x14ac:dyDescent="0.25">
      <c r="A13" s="397"/>
      <c r="B13" s="464"/>
      <c r="C13" s="418"/>
      <c r="D13" s="471"/>
      <c r="E13" s="474"/>
      <c r="F13" s="467"/>
      <c r="G13" s="410"/>
      <c r="H13" s="467"/>
      <c r="I13" s="412"/>
      <c r="J13" s="415"/>
      <c r="K13" s="391"/>
      <c r="L13" s="388"/>
      <c r="M13" s="394"/>
      <c r="N13" s="388">
        <f>IF(NOT(ISERROR(MATCH(M13,_xlfn.ANCHORARRAY(F24),0))),L26&amp;"Por favor no seleccionar los criterios de impacto",M13)</f>
        <v>0</v>
      </c>
      <c r="O13" s="391"/>
      <c r="P13" s="388"/>
      <c r="Q13" s="385"/>
      <c r="R13" s="105">
        <v>2</v>
      </c>
      <c r="S13" s="477"/>
      <c r="T13" s="483"/>
      <c r="U13" s="480"/>
      <c r="V13" s="480"/>
      <c r="W13" s="486"/>
      <c r="X13" s="480"/>
      <c r="Y13" s="480"/>
      <c r="Z13" s="480"/>
      <c r="AA13" s="494"/>
      <c r="AB13" s="497"/>
      <c r="AC13" s="486"/>
      <c r="AD13" s="497"/>
      <c r="AE13" s="486"/>
      <c r="AF13" s="489"/>
      <c r="AG13" s="480"/>
      <c r="AH13" s="464"/>
      <c r="AI13" s="464"/>
      <c r="AJ13" s="491"/>
      <c r="AK13" s="491"/>
      <c r="AL13" s="464"/>
      <c r="AM13" s="500"/>
      <c r="AN13" s="370"/>
      <c r="AO13" s="370"/>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row>
    <row r="14" spans="1:71" ht="25.5" customHeight="1" x14ac:dyDescent="0.25">
      <c r="A14" s="397"/>
      <c r="B14" s="464"/>
      <c r="C14" s="418"/>
      <c r="D14" s="471"/>
      <c r="E14" s="474"/>
      <c r="F14" s="467"/>
      <c r="G14" s="410"/>
      <c r="H14" s="467"/>
      <c r="I14" s="412"/>
      <c r="J14" s="415"/>
      <c r="K14" s="391"/>
      <c r="L14" s="388"/>
      <c r="M14" s="394"/>
      <c r="N14" s="388">
        <f>IF(NOT(ISERROR(MATCH(M14,_xlfn.ANCHORARRAY(F25),0))),L27&amp;"Por favor no seleccionar los criterios de impacto",M14)</f>
        <v>0</v>
      </c>
      <c r="O14" s="391"/>
      <c r="P14" s="388"/>
      <c r="Q14" s="385"/>
      <c r="R14" s="105">
        <v>3</v>
      </c>
      <c r="S14" s="477"/>
      <c r="T14" s="483"/>
      <c r="U14" s="480"/>
      <c r="V14" s="480"/>
      <c r="W14" s="486"/>
      <c r="X14" s="480"/>
      <c r="Y14" s="480"/>
      <c r="Z14" s="480"/>
      <c r="AA14" s="494"/>
      <c r="AB14" s="497"/>
      <c r="AC14" s="486"/>
      <c r="AD14" s="497"/>
      <c r="AE14" s="486"/>
      <c r="AF14" s="489"/>
      <c r="AG14" s="480"/>
      <c r="AH14" s="464"/>
      <c r="AI14" s="464"/>
      <c r="AJ14" s="491"/>
      <c r="AK14" s="491"/>
      <c r="AL14" s="464"/>
      <c r="AM14" s="500"/>
      <c r="AN14" s="370"/>
      <c r="AO14" s="370"/>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row>
    <row r="15" spans="1:71" ht="25.5" customHeight="1" x14ac:dyDescent="0.25">
      <c r="A15" s="397"/>
      <c r="B15" s="464"/>
      <c r="C15" s="418"/>
      <c r="D15" s="471"/>
      <c r="E15" s="474"/>
      <c r="F15" s="467"/>
      <c r="G15" s="410"/>
      <c r="H15" s="467"/>
      <c r="I15" s="412"/>
      <c r="J15" s="415"/>
      <c r="K15" s="391"/>
      <c r="L15" s="388"/>
      <c r="M15" s="394"/>
      <c r="N15" s="388">
        <f>IF(NOT(ISERROR(MATCH(M15,_xlfn.ANCHORARRAY(F26),0))),L28&amp;"Por favor no seleccionar los criterios de impacto",M15)</f>
        <v>0</v>
      </c>
      <c r="O15" s="391"/>
      <c r="P15" s="388"/>
      <c r="Q15" s="385"/>
      <c r="R15" s="105">
        <v>4</v>
      </c>
      <c r="S15" s="477"/>
      <c r="T15" s="483"/>
      <c r="U15" s="480"/>
      <c r="V15" s="480"/>
      <c r="W15" s="486"/>
      <c r="X15" s="480"/>
      <c r="Y15" s="480"/>
      <c r="Z15" s="480"/>
      <c r="AA15" s="494"/>
      <c r="AB15" s="497"/>
      <c r="AC15" s="486"/>
      <c r="AD15" s="497"/>
      <c r="AE15" s="486"/>
      <c r="AF15" s="489"/>
      <c r="AG15" s="480"/>
      <c r="AH15" s="464"/>
      <c r="AI15" s="464"/>
      <c r="AJ15" s="491"/>
      <c r="AK15" s="491"/>
      <c r="AL15" s="464"/>
      <c r="AM15" s="500"/>
      <c r="AN15" s="370"/>
      <c r="AO15" s="370"/>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row>
    <row r="16" spans="1:71" ht="24" customHeight="1" x14ac:dyDescent="0.25">
      <c r="A16" s="397"/>
      <c r="B16" s="464"/>
      <c r="C16" s="418"/>
      <c r="D16" s="471"/>
      <c r="E16" s="475"/>
      <c r="F16" s="467"/>
      <c r="G16" s="410"/>
      <c r="H16" s="467"/>
      <c r="I16" s="412"/>
      <c r="J16" s="415"/>
      <c r="K16" s="391"/>
      <c r="L16" s="388"/>
      <c r="M16" s="394"/>
      <c r="N16" s="388">
        <f>IF(NOT(ISERROR(MATCH(M16,_xlfn.ANCHORARRAY(F27),0))),L29&amp;"Por favor no seleccionar los criterios de impacto",M16)</f>
        <v>0</v>
      </c>
      <c r="O16" s="391"/>
      <c r="P16" s="388"/>
      <c r="Q16" s="385"/>
      <c r="R16" s="105">
        <v>5</v>
      </c>
      <c r="S16" s="477"/>
      <c r="T16" s="483"/>
      <c r="U16" s="480"/>
      <c r="V16" s="480"/>
      <c r="W16" s="486"/>
      <c r="X16" s="480"/>
      <c r="Y16" s="480"/>
      <c r="Z16" s="480"/>
      <c r="AA16" s="494"/>
      <c r="AB16" s="497"/>
      <c r="AC16" s="486"/>
      <c r="AD16" s="497"/>
      <c r="AE16" s="486"/>
      <c r="AF16" s="489"/>
      <c r="AG16" s="480"/>
      <c r="AH16" s="464"/>
      <c r="AI16" s="464"/>
      <c r="AJ16" s="491"/>
      <c r="AK16" s="491"/>
      <c r="AL16" s="464"/>
      <c r="AM16" s="500"/>
      <c r="AN16" s="370"/>
      <c r="AO16" s="370"/>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row>
    <row r="17" spans="1:71" ht="25.5" customHeight="1" x14ac:dyDescent="0.25">
      <c r="A17" s="397"/>
      <c r="B17" s="464"/>
      <c r="C17" s="419"/>
      <c r="D17" s="471"/>
      <c r="E17" s="473" t="s">
        <v>377</v>
      </c>
      <c r="F17" s="467"/>
      <c r="G17" s="410"/>
      <c r="H17" s="467"/>
      <c r="I17" s="413"/>
      <c r="J17" s="416"/>
      <c r="K17" s="392"/>
      <c r="L17" s="389"/>
      <c r="M17" s="395"/>
      <c r="N17" s="389">
        <f>IF(NOT(ISERROR(MATCH(M17,_xlfn.ANCHORARRAY(F28),0))),L30&amp;"Por favor no seleccionar los criterios de impacto",M17)</f>
        <v>0</v>
      </c>
      <c r="O17" s="392"/>
      <c r="P17" s="389"/>
      <c r="Q17" s="386"/>
      <c r="R17" s="105">
        <v>6</v>
      </c>
      <c r="S17" s="477"/>
      <c r="T17" s="483"/>
      <c r="U17" s="480"/>
      <c r="V17" s="480"/>
      <c r="W17" s="486"/>
      <c r="X17" s="480"/>
      <c r="Y17" s="480"/>
      <c r="Z17" s="480"/>
      <c r="AA17" s="494"/>
      <c r="AB17" s="497"/>
      <c r="AC17" s="486"/>
      <c r="AD17" s="497"/>
      <c r="AE17" s="486"/>
      <c r="AF17" s="489"/>
      <c r="AG17" s="480"/>
      <c r="AH17" s="464"/>
      <c r="AI17" s="464"/>
      <c r="AJ17" s="491"/>
      <c r="AK17" s="491"/>
      <c r="AL17" s="464"/>
      <c r="AM17" s="500"/>
      <c r="AN17" s="370"/>
      <c r="AO17" s="370"/>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row>
    <row r="18" spans="1:71" ht="30.75" customHeight="1" x14ac:dyDescent="0.25">
      <c r="A18" s="397"/>
      <c r="B18" s="464"/>
      <c r="C18" s="417" t="s">
        <v>373</v>
      </c>
      <c r="D18" s="471"/>
      <c r="E18" s="474"/>
      <c r="F18" s="467"/>
      <c r="G18" s="410"/>
      <c r="H18" s="467"/>
      <c r="I18" s="411" t="s">
        <v>118</v>
      </c>
      <c r="J18" s="414">
        <v>12</v>
      </c>
      <c r="K18" s="390" t="str">
        <f t="shared" ref="K18" si="4">IF(J18&lt;=0,"",IF(J18&lt;=2,"Muy Baja",IF(J18&lt;=24,"Baja",IF(J18&lt;=500,"Media",IF(J18&lt;=5000,"Alta","Muy Alta")))))</f>
        <v>Baja</v>
      </c>
      <c r="L18" s="387">
        <f t="shared" ref="L18" si="5">IF(K18="","",IF(K18="Muy Baja",0.2,IF(K18="Baja",0.4,IF(K18="Media",0.6,IF(K18="Alta",0.8,IF(K18="Muy Alta",1,))))))</f>
        <v>0.4</v>
      </c>
      <c r="M18" s="393" t="s">
        <v>145</v>
      </c>
      <c r="N18" s="387" t="str">
        <f>IF(NOT(ISERROR(MATCH(M18,'Tabla Impacto'!$B$221:$B$223,0))),'Tabla Impacto'!$F$223&amp;"Por favor no seleccionar los criterios de impacto(Afectación Económica o presupuestal y Pérdida Reputacional)",M18)</f>
        <v xml:space="preserve">     El riesgo afecta la imagen de la entidad con algunos usuarios de relevancia frente al logro de los objetivos</v>
      </c>
      <c r="O18" s="390" t="str">
        <f>IF(OR(N18='Tabla Impacto'!$C$11,N18='Tabla Impacto'!$D$11),"Leve",IF(OR(N18='Tabla Impacto'!$C$12,N18='Tabla Impacto'!$D$12),"Menor",IF(OR(N18='Tabla Impacto'!$C$13,N18='Tabla Impacto'!$D$13),"Moderado",IF(OR(N18='Tabla Impacto'!$C$14,N18='Tabla Impacto'!$D$14),"Mayor",IF(OR(N18='Tabla Impacto'!$C$15,N18='Tabla Impacto'!$D$15),"Catastrófico","")))))</f>
        <v>Moderado</v>
      </c>
      <c r="P18" s="387">
        <f t="shared" ref="P18" si="6">IF(O18="","",IF(O18="Leve",0.2,IF(O18="Menor",0.4,IF(O18="Moderado",0.6,IF(O18="Mayor",0.8,IF(O18="Catastrófico",1,))))))</f>
        <v>0.6</v>
      </c>
      <c r="Q18" s="384" t="str">
        <f t="shared" ref="Q18" si="7">IF(OR(AND(K18="Muy Baja",O18="Leve"),AND(K18="Muy Baja",O18="Menor"),AND(K18="Baja",O18="Leve")),"Bajo",IF(OR(AND(K18="Muy baja",O18="Moderado"),AND(K18="Baja",O18="Menor"),AND(K18="Baja",O18="Moderado"),AND(K18="Media",O18="Leve"),AND(K18="Media",O18="Menor"),AND(K18="Media",O18="Moderado"),AND(K18="Alta",O18="Leve"),AND(K18="Alta",O18="Menor")),"Moderado",IF(OR(AND(K18="Muy Baja",O18="Mayor"),AND(K18="Baja",O18="Mayor"),AND(K18="Media",O18="Mayor"),AND(K18="Alta",O18="Moderado"),AND(K18="Alta",O18="Mayor"),AND(K18="Muy Alta",O18="Leve"),AND(K18="Muy Alta",O18="Menor"),AND(K18="Muy Alta",O18="Moderado"),AND(K18="Muy Alta",O18="Mayor")),"Alto",IF(OR(AND(K18="Muy Baja",O18="Catastrófico"),AND(K18="Baja",O18="Catastrófico"),AND(K18="Media",O18="Catastrófico"),AND(K18="Alta",O18="Catastrófico"),AND(K18="Muy Alta",O18="Catastrófico")),"Extremo",""))))</f>
        <v>Moderado</v>
      </c>
      <c r="R18" s="105">
        <v>1</v>
      </c>
      <c r="S18" s="477"/>
      <c r="T18" s="483"/>
      <c r="U18" s="480"/>
      <c r="V18" s="480"/>
      <c r="W18" s="486"/>
      <c r="X18" s="480"/>
      <c r="Y18" s="480"/>
      <c r="Z18" s="480"/>
      <c r="AA18" s="494"/>
      <c r="AB18" s="497"/>
      <c r="AC18" s="486"/>
      <c r="AD18" s="497"/>
      <c r="AE18" s="486"/>
      <c r="AF18" s="489"/>
      <c r="AG18" s="480"/>
      <c r="AH18" s="464"/>
      <c r="AI18" s="464"/>
      <c r="AJ18" s="491"/>
      <c r="AK18" s="491"/>
      <c r="AL18" s="464"/>
      <c r="AM18" s="500"/>
      <c r="AN18" s="370"/>
      <c r="AO18" s="370"/>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row>
    <row r="19" spans="1:71" ht="26.25" customHeight="1" x14ac:dyDescent="0.25">
      <c r="A19" s="397"/>
      <c r="B19" s="464"/>
      <c r="C19" s="418"/>
      <c r="D19" s="471"/>
      <c r="E19" s="474"/>
      <c r="F19" s="467"/>
      <c r="G19" s="410"/>
      <c r="H19" s="467"/>
      <c r="I19" s="412"/>
      <c r="J19" s="415"/>
      <c r="K19" s="391"/>
      <c r="L19" s="388"/>
      <c r="M19" s="394"/>
      <c r="N19" s="388">
        <f>IF(NOT(ISERROR(MATCH(M19,_xlfn.ANCHORARRAY(F30),0))),L32&amp;"Por favor no seleccionar los criterios de impacto",M19)</f>
        <v>0</v>
      </c>
      <c r="O19" s="391"/>
      <c r="P19" s="388"/>
      <c r="Q19" s="385"/>
      <c r="R19" s="105">
        <v>2</v>
      </c>
      <c r="S19" s="477"/>
      <c r="T19" s="483"/>
      <c r="U19" s="480"/>
      <c r="V19" s="480"/>
      <c r="W19" s="486"/>
      <c r="X19" s="480"/>
      <c r="Y19" s="480"/>
      <c r="Z19" s="480"/>
      <c r="AA19" s="494"/>
      <c r="AB19" s="497"/>
      <c r="AC19" s="486"/>
      <c r="AD19" s="497"/>
      <c r="AE19" s="486"/>
      <c r="AF19" s="489"/>
      <c r="AG19" s="480"/>
      <c r="AH19" s="464"/>
      <c r="AI19" s="464"/>
      <c r="AJ19" s="491"/>
      <c r="AK19" s="491"/>
      <c r="AL19" s="464"/>
      <c r="AM19" s="500"/>
      <c r="AN19" s="370"/>
      <c r="AO19" s="370"/>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row>
    <row r="20" spans="1:71" ht="26.25" customHeight="1" x14ac:dyDescent="0.25">
      <c r="A20" s="397"/>
      <c r="B20" s="464"/>
      <c r="C20" s="418"/>
      <c r="D20" s="471"/>
      <c r="E20" s="474"/>
      <c r="F20" s="467"/>
      <c r="G20" s="410"/>
      <c r="H20" s="467"/>
      <c r="I20" s="412"/>
      <c r="J20" s="415"/>
      <c r="K20" s="391"/>
      <c r="L20" s="388"/>
      <c r="M20" s="394"/>
      <c r="N20" s="388">
        <f>IF(NOT(ISERROR(MATCH(M20,_xlfn.ANCHORARRAY(F31),0))),L33&amp;"Por favor no seleccionar los criterios de impacto",M20)</f>
        <v>0</v>
      </c>
      <c r="O20" s="391"/>
      <c r="P20" s="388"/>
      <c r="Q20" s="385"/>
      <c r="R20" s="105">
        <v>3</v>
      </c>
      <c r="S20" s="478"/>
      <c r="T20" s="484"/>
      <c r="U20" s="481"/>
      <c r="V20" s="481"/>
      <c r="W20" s="487"/>
      <c r="X20" s="481"/>
      <c r="Y20" s="481"/>
      <c r="Z20" s="481"/>
      <c r="AA20" s="495"/>
      <c r="AB20" s="498"/>
      <c r="AC20" s="487"/>
      <c r="AD20" s="498"/>
      <c r="AE20" s="487"/>
      <c r="AF20" s="490"/>
      <c r="AG20" s="481"/>
      <c r="AH20" s="465"/>
      <c r="AI20" s="465"/>
      <c r="AJ20" s="492"/>
      <c r="AK20" s="492"/>
      <c r="AL20" s="465"/>
      <c r="AM20" s="501"/>
      <c r="AN20" s="370"/>
      <c r="AO20" s="370"/>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row>
    <row r="21" spans="1:71" ht="26.25" customHeight="1" x14ac:dyDescent="0.25">
      <c r="A21" s="397"/>
      <c r="B21" s="464"/>
      <c r="C21" s="418"/>
      <c r="D21" s="471"/>
      <c r="E21" s="474"/>
      <c r="F21" s="467"/>
      <c r="G21" s="410"/>
      <c r="H21" s="467"/>
      <c r="I21" s="412"/>
      <c r="J21" s="415"/>
      <c r="K21" s="391"/>
      <c r="L21" s="388"/>
      <c r="M21" s="394"/>
      <c r="N21" s="388">
        <f>IF(NOT(ISERROR(MATCH(M21,_xlfn.ANCHORARRAY(F32),0))),L34&amp;"Por favor no seleccionar los criterios de impacto",M21)</f>
        <v>0</v>
      </c>
      <c r="O21" s="391"/>
      <c r="P21" s="388"/>
      <c r="Q21" s="385"/>
      <c r="R21" s="105">
        <v>4</v>
      </c>
      <c r="S21" s="476" t="s">
        <v>380</v>
      </c>
      <c r="T21" s="482" t="str">
        <f t="shared" ref="T21" si="8">IF(OR(U21="Preventivo",U21="Detectivo"),"Probabilidad",IF(U21="Correctivo","Impacto",""))</f>
        <v>Probabilidad</v>
      </c>
      <c r="U21" s="479" t="s">
        <v>14</v>
      </c>
      <c r="V21" s="479" t="s">
        <v>9</v>
      </c>
      <c r="W21" s="485" t="str">
        <f t="shared" ref="W21" si="9">IF(AND(U21="Preventivo",V21="Automático"),"50%",IF(AND(U21="Preventivo",V21="Manual"),"40%",IF(AND(U21="Detectivo",V21="Automático"),"40%",IF(AND(U21="Detectivo",V21="Manual"),"30%",IF(AND(U21="Correctivo",V21="Automático"),"35%",IF(AND(U21="Correctivo",V21="Manual"),"25%",""))))))</f>
        <v>40%</v>
      </c>
      <c r="X21" s="479" t="s">
        <v>20</v>
      </c>
      <c r="Y21" s="479" t="s">
        <v>22</v>
      </c>
      <c r="Z21" s="479" t="s">
        <v>114</v>
      </c>
      <c r="AA21" s="493">
        <v>0.24</v>
      </c>
      <c r="AB21" s="496" t="str">
        <f t="shared" ref="AB21:AB23" si="10">IFERROR(IF(AA21="","",IF(AA21&lt;=0.2,"Muy Baja",IF(AA21&lt;=0.4,"Baja",IF(AA21&lt;=0.6,"Media",IF(AA21&lt;=0.8,"Alta","Muy Alta"))))),"")</f>
        <v>Baja</v>
      </c>
      <c r="AC21" s="485">
        <f t="shared" ref="AC21" si="11">+AA21</f>
        <v>0.24</v>
      </c>
      <c r="AD21" s="496" t="str">
        <f>IFERROR(IF(AE21="","",IF(AE21&lt;=0.2,"Leve",IF(AE21&lt;=0.4,"Menor",IF(AE21&lt;=0.6,"Moderado",IF(AE21&lt;=0.8,"Mayor","Catastrófico"))))),"")</f>
        <v>Moderado</v>
      </c>
      <c r="AE21" s="485">
        <v>0.6</v>
      </c>
      <c r="AF21" s="488" t="str">
        <f t="shared" ref="AF21" si="12">IFERROR(IF(OR(AND(AB21="Muy Baja",AD21="Leve"),AND(AB21="Muy Baja",AD21="Menor"),AND(AB21="Baja",AD21="Leve")),"Bajo",IF(OR(AND(AB21="Muy baja",AD21="Moderado"),AND(AB21="Baja",AD21="Menor"),AND(AB21="Baja",AD21="Moderado"),AND(AB21="Media",AD21="Leve"),AND(AB21="Media",AD21="Menor"),AND(AB21="Media",AD21="Moderado"),AND(AB21="Alta",AD21="Leve"),AND(AB21="Alta",AD21="Menor")),"Moderado",IF(OR(AND(AB21="Muy Baja",AD21="Mayor"),AND(AB21="Baja",AD21="Mayor"),AND(AB21="Media",AD21="Mayor"),AND(AB21="Alta",AD21="Moderado"),AND(AB21="Alta",AD21="Mayor"),AND(AB21="Muy Alta",AD21="Leve"),AND(AB21="Muy Alta",AD21="Menor"),AND(AB21="Muy Alta",AD21="Moderado"),AND(AB21="Muy Alta",AD21="Mayor")),"Alto",IF(OR(AND(AB21="Muy Baja",AD21="Catastrófico"),AND(AB21="Baja",AD21="Catastrófico"),AND(AB21="Media",AD21="Catastrófico"),AND(AB21="Alta",AD21="Catastrófico"),AND(AB21="Muy Alta",AD21="Catastrófico")),"Extremo","")))),"")</f>
        <v>Moderado</v>
      </c>
      <c r="AG21" s="479" t="s">
        <v>131</v>
      </c>
      <c r="AH21" s="463" t="s">
        <v>384</v>
      </c>
      <c r="AI21" s="463" t="s">
        <v>385</v>
      </c>
      <c r="AJ21" s="452" t="s">
        <v>368</v>
      </c>
      <c r="AK21" s="452" t="s">
        <v>369</v>
      </c>
      <c r="AL21" s="463" t="s">
        <v>386</v>
      </c>
      <c r="AM21" s="499" t="s">
        <v>41</v>
      </c>
      <c r="AN21" s="370" t="s">
        <v>391</v>
      </c>
      <c r="AO21" s="370"/>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row>
    <row r="22" spans="1:71" ht="26.25" customHeight="1" x14ac:dyDescent="0.25">
      <c r="A22" s="397"/>
      <c r="B22" s="464"/>
      <c r="C22" s="418"/>
      <c r="D22" s="471"/>
      <c r="E22" s="474"/>
      <c r="F22" s="467"/>
      <c r="G22" s="410"/>
      <c r="H22" s="467"/>
      <c r="I22" s="412"/>
      <c r="J22" s="415"/>
      <c r="K22" s="391"/>
      <c r="L22" s="388"/>
      <c r="M22" s="394"/>
      <c r="N22" s="388">
        <f>IF(NOT(ISERROR(MATCH(M22,_xlfn.ANCHORARRAY(F33),0))),L35&amp;"Por favor no seleccionar los criterios de impacto",M22)</f>
        <v>0</v>
      </c>
      <c r="O22" s="391"/>
      <c r="P22" s="388"/>
      <c r="Q22" s="385"/>
      <c r="R22" s="105">
        <v>5</v>
      </c>
      <c r="S22" s="477"/>
      <c r="T22" s="483"/>
      <c r="U22" s="480"/>
      <c r="V22" s="480"/>
      <c r="W22" s="486"/>
      <c r="X22" s="480"/>
      <c r="Y22" s="480"/>
      <c r="Z22" s="480"/>
      <c r="AA22" s="494"/>
      <c r="AB22" s="497" t="str">
        <f t="shared" si="10"/>
        <v/>
      </c>
      <c r="AC22" s="486"/>
      <c r="AD22" s="497"/>
      <c r="AE22" s="486"/>
      <c r="AF22" s="489"/>
      <c r="AG22" s="480"/>
      <c r="AH22" s="464"/>
      <c r="AI22" s="464"/>
      <c r="AJ22" s="491"/>
      <c r="AK22" s="491"/>
      <c r="AL22" s="464"/>
      <c r="AM22" s="500"/>
      <c r="AN22" s="370"/>
      <c r="AO22" s="370"/>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row>
    <row r="23" spans="1:71" ht="26.25" customHeight="1" x14ac:dyDescent="0.25">
      <c r="A23" s="397"/>
      <c r="B23" s="464"/>
      <c r="C23" s="419"/>
      <c r="D23" s="471"/>
      <c r="E23" s="475"/>
      <c r="F23" s="467"/>
      <c r="G23" s="410"/>
      <c r="H23" s="467"/>
      <c r="I23" s="413"/>
      <c r="J23" s="416"/>
      <c r="K23" s="392"/>
      <c r="L23" s="389"/>
      <c r="M23" s="395"/>
      <c r="N23" s="389">
        <f>IF(NOT(ISERROR(MATCH(M23,_xlfn.ANCHORARRAY(F34),0))),L36&amp;"Por favor no seleccionar los criterios de impacto",M23)</f>
        <v>0</v>
      </c>
      <c r="O23" s="392"/>
      <c r="P23" s="389"/>
      <c r="Q23" s="386"/>
      <c r="R23" s="105">
        <v>6</v>
      </c>
      <c r="S23" s="477"/>
      <c r="T23" s="483"/>
      <c r="U23" s="480"/>
      <c r="V23" s="480"/>
      <c r="W23" s="486"/>
      <c r="X23" s="480"/>
      <c r="Y23" s="480"/>
      <c r="Z23" s="480"/>
      <c r="AA23" s="494"/>
      <c r="AB23" s="497" t="str">
        <f t="shared" si="10"/>
        <v/>
      </c>
      <c r="AC23" s="486"/>
      <c r="AD23" s="497"/>
      <c r="AE23" s="486"/>
      <c r="AF23" s="489"/>
      <c r="AG23" s="480"/>
      <c r="AH23" s="464"/>
      <c r="AI23" s="464"/>
      <c r="AJ23" s="491"/>
      <c r="AK23" s="491"/>
      <c r="AL23" s="464"/>
      <c r="AM23" s="500"/>
      <c r="AN23" s="370"/>
      <c r="AO23" s="370"/>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row>
    <row r="24" spans="1:71" ht="26.25" customHeight="1" x14ac:dyDescent="0.25">
      <c r="A24" s="397"/>
      <c r="B24" s="464"/>
      <c r="C24" s="417" t="s">
        <v>374</v>
      </c>
      <c r="D24" s="471"/>
      <c r="E24" s="473" t="s">
        <v>378</v>
      </c>
      <c r="F24" s="467"/>
      <c r="G24" s="410"/>
      <c r="H24" s="467"/>
      <c r="I24" s="411" t="s">
        <v>118</v>
      </c>
      <c r="J24" s="414">
        <v>12</v>
      </c>
      <c r="K24" s="390" t="str">
        <f t="shared" ref="K24" si="13">IF(J24&lt;=0,"",IF(J24&lt;=2,"Muy Baja",IF(J24&lt;=24,"Baja",IF(J24&lt;=500,"Media",IF(J24&lt;=5000,"Alta","Muy Alta")))))</f>
        <v>Baja</v>
      </c>
      <c r="L24" s="387">
        <f t="shared" ref="L24" si="14">IF(K24="","",IF(K24="Muy Baja",0.2,IF(K24="Baja",0.4,IF(K24="Media",0.6,IF(K24="Alta",0.8,IF(K24="Muy Alta",1,))))))</f>
        <v>0.4</v>
      </c>
      <c r="M24" s="393" t="s">
        <v>145</v>
      </c>
      <c r="N24" s="387" t="str">
        <f>IF(NOT(ISERROR(MATCH(M24,'Tabla Impacto'!$B$221:$B$223,0))),'Tabla Impacto'!$F$223&amp;"Por favor no seleccionar los criterios de impacto(Afectación Económica o presupuestal y Pérdida Reputacional)",M24)</f>
        <v xml:space="preserve">     El riesgo afecta la imagen de la entidad con algunos usuarios de relevancia frente al logro de los objetivos</v>
      </c>
      <c r="O24" s="390" t="str">
        <f>IF(OR(N24='Tabla Impacto'!$C$11,N24='Tabla Impacto'!$D$11),"Leve",IF(OR(N24='Tabla Impacto'!$C$12,N24='Tabla Impacto'!$D$12),"Menor",IF(OR(N24='Tabla Impacto'!$C$13,N24='Tabla Impacto'!$D$13),"Moderado",IF(OR(N24='Tabla Impacto'!$C$14,N24='Tabla Impacto'!$D$14),"Mayor",IF(OR(N24='Tabla Impacto'!$C$15,N24='Tabla Impacto'!$D$15),"Catastrófico","")))))</f>
        <v>Moderado</v>
      </c>
      <c r="P24" s="387">
        <f t="shared" ref="P24" si="15">IF(O24="","",IF(O24="Leve",0.2,IF(O24="Menor",0.4,IF(O24="Moderado",0.6,IF(O24="Mayor",0.8,IF(O24="Catastrófico",1,))))))</f>
        <v>0.6</v>
      </c>
      <c r="Q24" s="384" t="str">
        <f t="shared" ref="Q24" si="16">IF(OR(AND(K24="Muy Baja",O24="Leve"),AND(K24="Muy Baja",O24="Menor"),AND(K24="Baja",O24="Leve")),"Bajo",IF(OR(AND(K24="Muy baja",O24="Moderado"),AND(K24="Baja",O24="Menor"),AND(K24="Baja",O24="Moderado"),AND(K24="Media",O24="Leve"),AND(K24="Media",O24="Menor"),AND(K24="Media",O24="Moderado"),AND(K24="Alta",O24="Leve"),AND(K24="Alta",O24="Menor")),"Moderado",IF(OR(AND(K24="Muy Baja",O24="Mayor"),AND(K24="Baja",O24="Mayor"),AND(K24="Media",O24="Mayor"),AND(K24="Alta",O24="Moderado"),AND(K24="Alta",O24="Mayor"),AND(K24="Muy Alta",O24="Leve"),AND(K24="Muy Alta",O24="Menor"),AND(K24="Muy Alta",O24="Moderado"),AND(K24="Muy Alta",O24="Mayor")),"Alto",IF(OR(AND(K24="Muy Baja",O24="Catastrófico"),AND(K24="Baja",O24="Catastrófico"),AND(K24="Media",O24="Catastrófico"),AND(K24="Alta",O24="Catastrófico"),AND(K24="Muy Alta",O24="Catastrófico")),"Extremo",""))))</f>
        <v>Moderado</v>
      </c>
      <c r="R24" s="105">
        <v>1</v>
      </c>
      <c r="S24" s="477"/>
      <c r="T24" s="483"/>
      <c r="U24" s="480"/>
      <c r="V24" s="480"/>
      <c r="W24" s="486"/>
      <c r="X24" s="480"/>
      <c r="Y24" s="480"/>
      <c r="Z24" s="480"/>
      <c r="AA24" s="494"/>
      <c r="AB24" s="497" t="str">
        <f>IFERROR(IF(AA24="","",IF(AA24&lt;=0.2,"Muy Baja",IF(AA24&lt;=0.4,"Baja",IF(AA24&lt;=0.6,"Media",IF(AA24&lt;=0.8,"Alta","Muy Alta"))))),"")</f>
        <v/>
      </c>
      <c r="AC24" s="486"/>
      <c r="AD24" s="497"/>
      <c r="AE24" s="486"/>
      <c r="AF24" s="489"/>
      <c r="AG24" s="480"/>
      <c r="AH24" s="464"/>
      <c r="AI24" s="464"/>
      <c r="AJ24" s="491"/>
      <c r="AK24" s="491"/>
      <c r="AL24" s="464"/>
      <c r="AM24" s="500"/>
      <c r="AN24" s="370"/>
      <c r="AO24" s="370"/>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row>
    <row r="25" spans="1:71" ht="26.25" customHeight="1" x14ac:dyDescent="0.25">
      <c r="A25" s="397"/>
      <c r="B25" s="464"/>
      <c r="C25" s="418"/>
      <c r="D25" s="471"/>
      <c r="E25" s="474"/>
      <c r="F25" s="467"/>
      <c r="G25" s="410"/>
      <c r="H25" s="467"/>
      <c r="I25" s="412"/>
      <c r="J25" s="415"/>
      <c r="K25" s="391"/>
      <c r="L25" s="388"/>
      <c r="M25" s="394"/>
      <c r="N25" s="388">
        <f>IF(NOT(ISERROR(MATCH(M25,_xlfn.ANCHORARRAY(F36),0))),L38&amp;"Por favor no seleccionar los criterios de impacto",M25)</f>
        <v>0</v>
      </c>
      <c r="O25" s="391"/>
      <c r="P25" s="388"/>
      <c r="Q25" s="385"/>
      <c r="R25" s="105">
        <v>2</v>
      </c>
      <c r="S25" s="477"/>
      <c r="T25" s="483"/>
      <c r="U25" s="480"/>
      <c r="V25" s="480"/>
      <c r="W25" s="486"/>
      <c r="X25" s="480"/>
      <c r="Y25" s="480"/>
      <c r="Z25" s="480"/>
      <c r="AA25" s="494"/>
      <c r="AB25" s="497" t="str">
        <f t="shared" ref="AB25:AB29" si="17">IFERROR(IF(AA25="","",IF(AA25&lt;=0.2,"Muy Baja",IF(AA25&lt;=0.4,"Baja",IF(AA25&lt;=0.6,"Media",IF(AA25&lt;=0.8,"Alta","Muy Alta"))))),"")</f>
        <v/>
      </c>
      <c r="AC25" s="486"/>
      <c r="AD25" s="497"/>
      <c r="AE25" s="486"/>
      <c r="AF25" s="489"/>
      <c r="AG25" s="480"/>
      <c r="AH25" s="464"/>
      <c r="AI25" s="464"/>
      <c r="AJ25" s="491"/>
      <c r="AK25" s="491"/>
      <c r="AL25" s="464"/>
      <c r="AM25" s="500"/>
      <c r="AN25" s="370"/>
      <c r="AO25" s="370"/>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row>
    <row r="26" spans="1:71" ht="26.25" customHeight="1" x14ac:dyDescent="0.25">
      <c r="A26" s="397"/>
      <c r="B26" s="464"/>
      <c r="C26" s="418"/>
      <c r="D26" s="471"/>
      <c r="E26" s="474"/>
      <c r="F26" s="467"/>
      <c r="G26" s="410"/>
      <c r="H26" s="467"/>
      <c r="I26" s="412"/>
      <c r="J26" s="415"/>
      <c r="K26" s="391"/>
      <c r="L26" s="388"/>
      <c r="M26" s="394"/>
      <c r="N26" s="388">
        <f>IF(NOT(ISERROR(MATCH(M26,_xlfn.ANCHORARRAY(F37),0))),L39&amp;"Por favor no seleccionar los criterios de impacto",M26)</f>
        <v>0</v>
      </c>
      <c r="O26" s="391"/>
      <c r="P26" s="388"/>
      <c r="Q26" s="385"/>
      <c r="R26" s="105">
        <v>3</v>
      </c>
      <c r="S26" s="477"/>
      <c r="T26" s="483"/>
      <c r="U26" s="480"/>
      <c r="V26" s="480"/>
      <c r="W26" s="486"/>
      <c r="X26" s="480"/>
      <c r="Y26" s="480"/>
      <c r="Z26" s="480"/>
      <c r="AA26" s="494"/>
      <c r="AB26" s="497" t="str">
        <f t="shared" si="17"/>
        <v/>
      </c>
      <c r="AC26" s="486"/>
      <c r="AD26" s="497"/>
      <c r="AE26" s="486"/>
      <c r="AF26" s="489"/>
      <c r="AG26" s="480"/>
      <c r="AH26" s="464"/>
      <c r="AI26" s="464"/>
      <c r="AJ26" s="491"/>
      <c r="AK26" s="491"/>
      <c r="AL26" s="464"/>
      <c r="AM26" s="500"/>
      <c r="AN26" s="370"/>
      <c r="AO26" s="370"/>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row>
    <row r="27" spans="1:71" ht="26.25" customHeight="1" x14ac:dyDescent="0.25">
      <c r="A27" s="397"/>
      <c r="B27" s="464"/>
      <c r="C27" s="418"/>
      <c r="D27" s="471"/>
      <c r="E27" s="474"/>
      <c r="F27" s="467"/>
      <c r="G27" s="410"/>
      <c r="H27" s="467"/>
      <c r="I27" s="412"/>
      <c r="J27" s="415"/>
      <c r="K27" s="391"/>
      <c r="L27" s="388"/>
      <c r="M27" s="394"/>
      <c r="N27" s="388">
        <f>IF(NOT(ISERROR(MATCH(M27,_xlfn.ANCHORARRAY(F38),0))),L40&amp;"Por favor no seleccionar los criterios de impacto",M27)</f>
        <v>0</v>
      </c>
      <c r="O27" s="391"/>
      <c r="P27" s="388"/>
      <c r="Q27" s="385"/>
      <c r="R27" s="105">
        <v>4</v>
      </c>
      <c r="S27" s="477"/>
      <c r="T27" s="483"/>
      <c r="U27" s="480"/>
      <c r="V27" s="480"/>
      <c r="W27" s="486"/>
      <c r="X27" s="480"/>
      <c r="Y27" s="480"/>
      <c r="Z27" s="480"/>
      <c r="AA27" s="494"/>
      <c r="AB27" s="497" t="str">
        <f t="shared" si="17"/>
        <v/>
      </c>
      <c r="AC27" s="486"/>
      <c r="AD27" s="497"/>
      <c r="AE27" s="486"/>
      <c r="AF27" s="489"/>
      <c r="AG27" s="480"/>
      <c r="AH27" s="464"/>
      <c r="AI27" s="464"/>
      <c r="AJ27" s="491"/>
      <c r="AK27" s="491"/>
      <c r="AL27" s="464"/>
      <c r="AM27" s="500"/>
      <c r="AN27" s="370"/>
      <c r="AO27" s="370"/>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row>
    <row r="28" spans="1:71" ht="26.25" customHeight="1" x14ac:dyDescent="0.25">
      <c r="A28" s="397"/>
      <c r="B28" s="464"/>
      <c r="C28" s="418"/>
      <c r="D28" s="471"/>
      <c r="E28" s="474"/>
      <c r="F28" s="467"/>
      <c r="G28" s="410"/>
      <c r="H28" s="467"/>
      <c r="I28" s="412"/>
      <c r="J28" s="415"/>
      <c r="K28" s="391"/>
      <c r="L28" s="388"/>
      <c r="M28" s="394"/>
      <c r="N28" s="388">
        <f>IF(NOT(ISERROR(MATCH(M28,_xlfn.ANCHORARRAY(F39),0))),L41&amp;"Por favor no seleccionar los criterios de impacto",M28)</f>
        <v>0</v>
      </c>
      <c r="O28" s="391"/>
      <c r="P28" s="388"/>
      <c r="Q28" s="385"/>
      <c r="R28" s="105">
        <v>5</v>
      </c>
      <c r="S28" s="477"/>
      <c r="T28" s="483"/>
      <c r="U28" s="480"/>
      <c r="V28" s="480"/>
      <c r="W28" s="486"/>
      <c r="X28" s="480"/>
      <c r="Y28" s="480"/>
      <c r="Z28" s="480"/>
      <c r="AA28" s="494"/>
      <c r="AB28" s="497" t="str">
        <f t="shared" si="17"/>
        <v/>
      </c>
      <c r="AC28" s="486"/>
      <c r="AD28" s="497"/>
      <c r="AE28" s="486"/>
      <c r="AF28" s="489"/>
      <c r="AG28" s="480"/>
      <c r="AH28" s="464"/>
      <c r="AI28" s="464"/>
      <c r="AJ28" s="491"/>
      <c r="AK28" s="491"/>
      <c r="AL28" s="464"/>
      <c r="AM28" s="500"/>
      <c r="AN28" s="370"/>
      <c r="AO28" s="370"/>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row>
    <row r="29" spans="1:71" ht="26.25" customHeight="1" x14ac:dyDescent="0.25">
      <c r="A29" s="435"/>
      <c r="B29" s="465"/>
      <c r="C29" s="419"/>
      <c r="D29" s="472"/>
      <c r="E29" s="475"/>
      <c r="F29" s="468"/>
      <c r="G29" s="469"/>
      <c r="H29" s="468"/>
      <c r="I29" s="413"/>
      <c r="J29" s="416"/>
      <c r="K29" s="392"/>
      <c r="L29" s="389"/>
      <c r="M29" s="395"/>
      <c r="N29" s="389">
        <f>IF(NOT(ISERROR(MATCH(M29,_xlfn.ANCHORARRAY(F40),0))),L42&amp;"Por favor no seleccionar los criterios de impacto",M29)</f>
        <v>0</v>
      </c>
      <c r="O29" s="392"/>
      <c r="P29" s="389"/>
      <c r="Q29" s="386"/>
      <c r="R29" s="105">
        <v>6</v>
      </c>
      <c r="S29" s="478"/>
      <c r="T29" s="484"/>
      <c r="U29" s="481"/>
      <c r="V29" s="481"/>
      <c r="W29" s="487"/>
      <c r="X29" s="481"/>
      <c r="Y29" s="481"/>
      <c r="Z29" s="481"/>
      <c r="AA29" s="495"/>
      <c r="AB29" s="498" t="str">
        <f t="shared" si="17"/>
        <v/>
      </c>
      <c r="AC29" s="487"/>
      <c r="AD29" s="498"/>
      <c r="AE29" s="487"/>
      <c r="AF29" s="490"/>
      <c r="AG29" s="481"/>
      <c r="AH29" s="465"/>
      <c r="AI29" s="465"/>
      <c r="AJ29" s="492"/>
      <c r="AK29" s="492"/>
      <c r="AL29" s="465"/>
      <c r="AM29" s="501"/>
      <c r="AN29" s="370"/>
      <c r="AO29" s="370"/>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row>
    <row r="30" spans="1:71" ht="26.25" customHeight="1" x14ac:dyDescent="0.25">
      <c r="A30" s="396">
        <v>5</v>
      </c>
      <c r="B30" s="417"/>
      <c r="C30" s="417"/>
      <c r="D30" s="431"/>
      <c r="E30" s="138"/>
      <c r="F30" s="434"/>
      <c r="G30" s="366"/>
      <c r="H30" s="139"/>
      <c r="I30" s="411"/>
      <c r="J30" s="414"/>
      <c r="K30" s="390" t="str">
        <f t="shared" ref="K30" si="18">IF(J30&lt;=0,"",IF(J30&lt;=2,"Muy Baja",IF(J30&lt;=24,"Baja",IF(J30&lt;=500,"Media",IF(J30&lt;=5000,"Alta","Muy Alta")))))</f>
        <v/>
      </c>
      <c r="L30" s="387" t="str">
        <f t="shared" ref="L30" si="19">IF(K30="","",IF(K30="Muy Baja",0.2,IF(K30="Baja",0.4,IF(K30="Media",0.6,IF(K30="Alta",0.8,IF(K30="Muy Alta",1,))))))</f>
        <v/>
      </c>
      <c r="M30" s="393"/>
      <c r="N30" s="387">
        <f>IF(NOT(ISERROR(MATCH(M30,'Tabla Impacto'!$B$221:$B$223,0))),'Tabla Impacto'!$F$223&amp;"Por favor no seleccionar los criterios de impacto(Afectación Económica o presupuestal y Pérdida Reputacional)",M30)</f>
        <v>0</v>
      </c>
      <c r="O30" s="390" t="str">
        <f>IF(OR(N30='Tabla Impacto'!$C$11,N30='Tabla Impacto'!$D$11),"Leve",IF(OR(N30='Tabla Impacto'!$C$12,N30='Tabla Impacto'!$D$12),"Menor",IF(OR(N30='Tabla Impacto'!$C$13,N30='Tabla Impacto'!$D$13),"Moderado",IF(OR(N30='Tabla Impacto'!$C$14,N30='Tabla Impacto'!$D$14),"Mayor",IF(OR(N30='Tabla Impacto'!$C$15,N30='Tabla Impacto'!$D$15),"Catastrófico","")))))</f>
        <v/>
      </c>
      <c r="P30" s="387" t="str">
        <f t="shared" ref="P30" si="20">IF(O30="","",IF(O30="Leve",0.2,IF(O30="Menor",0.4,IF(O30="Moderado",0.6,IF(O30="Mayor",0.8,IF(O30="Catastrófico",1,))))))</f>
        <v/>
      </c>
      <c r="Q30" s="384" t="str">
        <f t="shared" ref="Q30" si="21">IF(OR(AND(K30="Muy Baja",O30="Leve"),AND(K30="Muy Baja",O30="Menor"),AND(K30="Baja",O30="Leve")),"Bajo",IF(OR(AND(K30="Muy baja",O30="Moderado"),AND(K30="Baja",O30="Menor"),AND(K30="Baja",O30="Moderado"),AND(K30="Media",O30="Leve"),AND(K30="Media",O30="Menor"),AND(K30="Media",O30="Moderado"),AND(K30="Alta",O30="Leve"),AND(K30="Alta",O30="Menor")),"Moderado",IF(OR(AND(K30="Muy Baja",O30="Mayor"),AND(K30="Baja",O30="Mayor"),AND(K30="Media",O30="Mayor"),AND(K30="Alta",O30="Moderado"),AND(K30="Alta",O30="Mayor"),AND(K30="Muy Alta",O30="Leve"),AND(K30="Muy Alta",O30="Menor"),AND(K30="Muy Alta",O30="Moderado"),AND(K30="Muy Alta",O30="Mayor")),"Alto",IF(OR(AND(K30="Muy Baja",O30="Catastrófico"),AND(K30="Baja",O30="Catastrófico"),AND(K30="Media",O30="Catastrófico"),AND(K30="Alta",O30="Catastrófico"),AND(K30="Muy Alta",O30="Catastrófico")),"Extremo",""))))</f>
        <v/>
      </c>
      <c r="R30" s="105">
        <v>1</v>
      </c>
      <c r="S30" s="106"/>
      <c r="T30" s="107" t="str">
        <f>IF(OR(U30="Preventivo",U30="Detectivo"),"Probabilidad",IF(U30="Correctivo","Impacto",""))</f>
        <v/>
      </c>
      <c r="U30" s="114"/>
      <c r="V30" s="114"/>
      <c r="W30" s="115" t="str">
        <f>IF(AND(U30="Preventivo",V30="Automático"),"50%",IF(AND(U30="Preventivo",V30="Manual"),"40%",IF(AND(U30="Detectivo",V30="Automático"),"40%",IF(AND(U30="Detectivo",V30="Manual"),"30%",IF(AND(U30="Correctivo",V30="Automático"),"35%",IF(AND(U30="Correctivo",V30="Manual"),"25%",""))))))</f>
        <v/>
      </c>
      <c r="X30" s="114"/>
      <c r="Y30" s="114"/>
      <c r="Z30" s="114"/>
      <c r="AA30" s="108" t="str">
        <f>IFERROR(IF(T30="Probabilidad",(L30-(+L30*W30)),IF(T30="Impacto",L30,"")),"")</f>
        <v/>
      </c>
      <c r="AB30" s="117" t="str">
        <f>IFERROR(IF(AA30="","",IF(AA30&lt;=0.2,"Muy Baja",IF(AA30&lt;=0.4,"Baja",IF(AA30&lt;=0.6,"Media",IF(AA30&lt;=0.8,"Alta","Muy Alta"))))),"")</f>
        <v/>
      </c>
      <c r="AC30" s="118" t="str">
        <f>+AA30</f>
        <v/>
      </c>
      <c r="AD30" s="117" t="str">
        <f>IFERROR(IF(AE30="","",IF(AE30&lt;=0.2,"Leve",IF(AE30&lt;=0.4,"Menor",IF(AE30&lt;=0.6,"Moderado",IF(AE30&lt;=0.8,"Mayor","Catastrófico"))))),"")</f>
        <v/>
      </c>
      <c r="AE30" s="118" t="str">
        <f>IFERROR(IF(T30="Impacto",(P30-(+P30*W30)),IF(T30="Probabilidad",P30,"")),"")</f>
        <v/>
      </c>
      <c r="AF30" s="119" t="str">
        <f>IFERROR(IF(OR(AND(AB30="Muy Baja",AD30="Leve"),AND(AB30="Muy Baja",AD30="Menor"),AND(AB30="Baja",AD30="Leve")),"Bajo",IF(OR(AND(AB30="Muy baja",AD30="Moderado"),AND(AB30="Baja",AD30="Menor"),AND(AB30="Baja",AD30="Moderado"),AND(AB30="Media",AD30="Leve"),AND(AB30="Media",AD30="Menor"),AND(AB30="Media",AD30="Moderado"),AND(AB30="Alta",AD30="Leve"),AND(AB30="Alta",AD30="Menor")),"Moderado",IF(OR(AND(AB30="Muy Baja",AD30="Mayor"),AND(AB30="Baja",AD30="Mayor"),AND(AB30="Media",AD30="Mayor"),AND(AB30="Alta",AD30="Moderado"),AND(AB30="Alta",AD30="Mayor"),AND(AB30="Muy Alta",AD30="Leve"),AND(AB30="Muy Alta",AD30="Menor"),AND(AB30="Muy Alta",AD30="Moderado"),AND(AB30="Muy Alta",AD30="Mayor")),"Alto",IF(OR(AND(AB30="Muy Baja",AD30="Catastrófico"),AND(AB30="Baja",AD30="Catastrófico"),AND(AB30="Media",AD30="Catastrófico"),AND(AB30="Alta",AD30="Catastrófico"),AND(AB30="Muy Alta",AD30="Catastrófico")),"Extremo","")))),"")</f>
        <v/>
      </c>
      <c r="AG30" s="120"/>
      <c r="AH30" s="109"/>
      <c r="AI30" s="110"/>
      <c r="AJ30" s="111"/>
      <c r="AK30" s="111"/>
      <c r="AL30" s="109"/>
      <c r="AM30" s="110"/>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row>
    <row r="31" spans="1:71" ht="26.25" customHeight="1" x14ac:dyDescent="0.25">
      <c r="A31" s="397"/>
      <c r="B31" s="418"/>
      <c r="C31" s="418"/>
      <c r="D31" s="432"/>
      <c r="E31" s="138"/>
      <c r="F31" s="434"/>
      <c r="G31" s="367"/>
      <c r="H31" s="139"/>
      <c r="I31" s="412"/>
      <c r="J31" s="415"/>
      <c r="K31" s="391"/>
      <c r="L31" s="388"/>
      <c r="M31" s="394"/>
      <c r="N31" s="388">
        <f>IF(NOT(ISERROR(MATCH(M31,_xlfn.ANCHORARRAY(F42),0))),L44&amp;"Por favor no seleccionar los criterios de impacto",M31)</f>
        <v>0</v>
      </c>
      <c r="O31" s="391"/>
      <c r="P31" s="388"/>
      <c r="Q31" s="385"/>
      <c r="R31" s="105">
        <v>2</v>
      </c>
      <c r="S31" s="106"/>
      <c r="T31" s="107" t="str">
        <f>IF(OR(U31="Preventivo",U31="Detectivo"),"Probabilidad",IF(U31="Correctivo","Impacto",""))</f>
        <v/>
      </c>
      <c r="U31" s="114"/>
      <c r="V31" s="114"/>
      <c r="W31" s="115" t="str">
        <f t="shared" ref="W31:W35" si="22">IF(AND(U31="Preventivo",V31="Automático"),"50%",IF(AND(U31="Preventivo",V31="Manual"),"40%",IF(AND(U31="Detectivo",V31="Automático"),"40%",IF(AND(U31="Detectivo",V31="Manual"),"30%",IF(AND(U31="Correctivo",V31="Automático"),"35%",IF(AND(U31="Correctivo",V31="Manual"),"25%",""))))))</f>
        <v/>
      </c>
      <c r="X31" s="114"/>
      <c r="Y31" s="114"/>
      <c r="Z31" s="114"/>
      <c r="AA31" s="108" t="str">
        <f>IFERROR(IF(AND(T30="Probabilidad",T31="Probabilidad"),(AC30-(+AC30*W31)),IF(AND(T30="Impacto",T31="Probabilidad"),(L30-(+L30*W31)),IF(T31="Impacto",AC30,""))),"")</f>
        <v/>
      </c>
      <c r="AB31" s="117" t="str">
        <f t="shared" ref="AB31:AB35" si="23">IFERROR(IF(AA31="","",IF(AA31&lt;=0.2,"Muy Baja",IF(AA31&lt;=0.4,"Baja",IF(AA31&lt;=0.6,"Media",IF(AA31&lt;=0.8,"Alta","Muy Alta"))))),"")</f>
        <v/>
      </c>
      <c r="AC31" s="118" t="str">
        <f>+AA31</f>
        <v/>
      </c>
      <c r="AD31" s="117" t="str">
        <f t="shared" ref="AD31:AD35" si="24">IFERROR(IF(AE31="","",IF(AE31&lt;=0.2,"Leve",IF(AE31&lt;=0.4,"Menor",IF(AE31&lt;=0.6,"Moderado",IF(AE31&lt;=0.8,"Mayor","Catastrófico"))))),"")</f>
        <v/>
      </c>
      <c r="AE31" s="118" t="str">
        <f>IFERROR(IF(AND(T30="Impacto",T31="Impacto"),(AE30-(+AE30*W31)),IF(AND(T30="Probabilidad",T31="Impacto"),(P30-(+P30*W31)),IF(T31="Probabilidad",AE30,""))),"")</f>
        <v/>
      </c>
      <c r="AF31" s="119" t="str">
        <f t="shared" ref="AF31:AF35" si="25">IFERROR(IF(OR(AND(AB31="Muy Baja",AD31="Leve"),AND(AB31="Muy Baja",AD31="Menor"),AND(AB31="Baja",AD31="Leve")),"Bajo",IF(OR(AND(AB31="Muy baja",AD31="Moderado"),AND(AB31="Baja",AD31="Menor"),AND(AB31="Baja",AD31="Moderado"),AND(AB31="Media",AD31="Leve"),AND(AB31="Media",AD31="Menor"),AND(AB31="Media",AD31="Moderado"),AND(AB31="Alta",AD31="Leve"),AND(AB31="Alta",AD31="Menor")),"Moderado",IF(OR(AND(AB31="Muy Baja",AD31="Mayor"),AND(AB31="Baja",AD31="Mayor"),AND(AB31="Media",AD31="Mayor"),AND(AB31="Alta",AD31="Moderado"),AND(AB31="Alta",AD31="Mayor"),AND(AB31="Muy Alta",AD31="Leve"),AND(AB31="Muy Alta",AD31="Menor"),AND(AB31="Muy Alta",AD31="Moderado"),AND(AB31="Muy Alta",AD31="Mayor")),"Alto",IF(OR(AND(AB31="Muy Baja",AD31="Catastrófico"),AND(AB31="Baja",AD31="Catastrófico"),AND(AB31="Media",AD31="Catastrófico"),AND(AB31="Alta",AD31="Catastrófico"),AND(AB31="Muy Alta",AD31="Catastrófico")),"Extremo","")))),"")</f>
        <v/>
      </c>
      <c r="AG31" s="120"/>
      <c r="AH31" s="109"/>
      <c r="AI31" s="110"/>
      <c r="AJ31" s="111"/>
      <c r="AK31" s="111"/>
      <c r="AL31" s="109"/>
      <c r="AM31" s="110"/>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row>
    <row r="32" spans="1:71" ht="26.25" customHeight="1" x14ac:dyDescent="0.25">
      <c r="A32" s="397"/>
      <c r="B32" s="418"/>
      <c r="C32" s="418"/>
      <c r="D32" s="432"/>
      <c r="E32" s="138"/>
      <c r="F32" s="434"/>
      <c r="G32" s="367"/>
      <c r="H32" s="139"/>
      <c r="I32" s="412"/>
      <c r="J32" s="415"/>
      <c r="K32" s="391"/>
      <c r="L32" s="388"/>
      <c r="M32" s="394"/>
      <c r="N32" s="388">
        <f>IF(NOT(ISERROR(MATCH(M32,_xlfn.ANCHORARRAY(F43),0))),L45&amp;"Por favor no seleccionar los criterios de impacto",M32)</f>
        <v>0</v>
      </c>
      <c r="O32" s="391"/>
      <c r="P32" s="388"/>
      <c r="Q32" s="385"/>
      <c r="R32" s="105">
        <v>3</v>
      </c>
      <c r="S32" s="112"/>
      <c r="T32" s="107" t="str">
        <f t="shared" ref="T32:T35" si="26">IF(OR(U32="Preventivo",U32="Detectivo"),"Probabilidad",IF(U32="Correctivo","Impacto",""))</f>
        <v/>
      </c>
      <c r="U32" s="114"/>
      <c r="V32" s="114"/>
      <c r="W32" s="115" t="str">
        <f t="shared" si="22"/>
        <v/>
      </c>
      <c r="X32" s="114"/>
      <c r="Y32" s="114"/>
      <c r="Z32" s="114"/>
      <c r="AA32" s="108" t="str">
        <f>IFERROR(IF(AND(T31="Probabilidad",T32="Probabilidad"),(AC31-(+AC31*W32)),IF(AND(T31="Impacto",T32="Probabilidad"),(AC30-(+AC30*W32)),IF(T32="Impacto",AC31,""))),"")</f>
        <v/>
      </c>
      <c r="AB32" s="117" t="str">
        <f t="shared" si="23"/>
        <v/>
      </c>
      <c r="AC32" s="118" t="str">
        <f t="shared" ref="AC32:AC35" si="27">+AA32</f>
        <v/>
      </c>
      <c r="AD32" s="117" t="str">
        <f t="shared" si="24"/>
        <v/>
      </c>
      <c r="AE32" s="118" t="str">
        <f t="shared" ref="AE32:AE35" si="28">IFERROR(IF(AND(T31="Impacto",T32="Impacto"),(AE31-(+AE31*W32)),IF(AND(T31="Probabilidad",T32="Impacto"),(AE30-(+AE30*W32)),IF(T32="Probabilidad",AE31,""))),"")</f>
        <v/>
      </c>
      <c r="AF32" s="119" t="str">
        <f t="shared" si="25"/>
        <v/>
      </c>
      <c r="AG32" s="120"/>
      <c r="AH32" s="109"/>
      <c r="AI32" s="110"/>
      <c r="AJ32" s="111"/>
      <c r="AK32" s="111"/>
      <c r="AL32" s="109"/>
      <c r="AM32" s="110"/>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row>
    <row r="33" spans="1:71" ht="26.25" customHeight="1" x14ac:dyDescent="0.25">
      <c r="A33" s="397"/>
      <c r="B33" s="418"/>
      <c r="C33" s="418"/>
      <c r="D33" s="432"/>
      <c r="E33" s="138"/>
      <c r="F33" s="434"/>
      <c r="G33" s="367"/>
      <c r="H33" s="139"/>
      <c r="I33" s="412"/>
      <c r="J33" s="415"/>
      <c r="K33" s="391"/>
      <c r="L33" s="388"/>
      <c r="M33" s="394"/>
      <c r="N33" s="388">
        <f>IF(NOT(ISERROR(MATCH(M33,_xlfn.ANCHORARRAY(F44),0))),L46&amp;"Por favor no seleccionar los criterios de impacto",M33)</f>
        <v>0</v>
      </c>
      <c r="O33" s="391"/>
      <c r="P33" s="388"/>
      <c r="Q33" s="385"/>
      <c r="R33" s="105">
        <v>4</v>
      </c>
      <c r="S33" s="106"/>
      <c r="T33" s="107" t="str">
        <f t="shared" si="26"/>
        <v/>
      </c>
      <c r="U33" s="114"/>
      <c r="V33" s="114"/>
      <c r="W33" s="115" t="str">
        <f t="shared" si="22"/>
        <v/>
      </c>
      <c r="X33" s="114"/>
      <c r="Y33" s="114"/>
      <c r="Z33" s="114"/>
      <c r="AA33" s="108" t="str">
        <f t="shared" ref="AA33:AA35" si="29">IFERROR(IF(AND(T32="Probabilidad",T33="Probabilidad"),(AC32-(+AC32*W33)),IF(AND(T32="Impacto",T33="Probabilidad"),(AC31-(+AC31*W33)),IF(T33="Impacto",AC32,""))),"")</f>
        <v/>
      </c>
      <c r="AB33" s="117" t="str">
        <f t="shared" si="23"/>
        <v/>
      </c>
      <c r="AC33" s="118" t="str">
        <f t="shared" si="27"/>
        <v/>
      </c>
      <c r="AD33" s="117" t="str">
        <f t="shared" si="24"/>
        <v/>
      </c>
      <c r="AE33" s="118" t="str">
        <f t="shared" si="28"/>
        <v/>
      </c>
      <c r="AF33" s="119" t="str">
        <f t="shared" si="25"/>
        <v/>
      </c>
      <c r="AG33" s="120"/>
      <c r="AH33" s="109"/>
      <c r="AI33" s="110"/>
      <c r="AJ33" s="111"/>
      <c r="AK33" s="111"/>
      <c r="AL33" s="109"/>
      <c r="AM33" s="110"/>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row>
    <row r="34" spans="1:71" ht="26.25" customHeight="1" x14ac:dyDescent="0.25">
      <c r="A34" s="397"/>
      <c r="B34" s="418"/>
      <c r="C34" s="418"/>
      <c r="D34" s="432"/>
      <c r="E34" s="138"/>
      <c r="F34" s="434"/>
      <c r="G34" s="367"/>
      <c r="H34" s="139"/>
      <c r="I34" s="412"/>
      <c r="J34" s="415"/>
      <c r="K34" s="391"/>
      <c r="L34" s="388"/>
      <c r="M34" s="394"/>
      <c r="N34" s="388">
        <f>IF(NOT(ISERROR(MATCH(M34,_xlfn.ANCHORARRAY(F45),0))),L47&amp;"Por favor no seleccionar los criterios de impacto",M34)</f>
        <v>0</v>
      </c>
      <c r="O34" s="391"/>
      <c r="P34" s="388"/>
      <c r="Q34" s="385"/>
      <c r="R34" s="105">
        <v>5</v>
      </c>
      <c r="S34" s="106"/>
      <c r="T34" s="107" t="str">
        <f t="shared" si="26"/>
        <v/>
      </c>
      <c r="U34" s="114"/>
      <c r="V34" s="114"/>
      <c r="W34" s="115" t="str">
        <f t="shared" si="22"/>
        <v/>
      </c>
      <c r="X34" s="114"/>
      <c r="Y34" s="114"/>
      <c r="Z34" s="114"/>
      <c r="AA34" s="108" t="str">
        <f t="shared" si="29"/>
        <v/>
      </c>
      <c r="AB34" s="117" t="str">
        <f t="shared" si="23"/>
        <v/>
      </c>
      <c r="AC34" s="118" t="str">
        <f t="shared" si="27"/>
        <v/>
      </c>
      <c r="AD34" s="117" t="str">
        <f t="shared" si="24"/>
        <v/>
      </c>
      <c r="AE34" s="118" t="str">
        <f t="shared" si="28"/>
        <v/>
      </c>
      <c r="AF34" s="119" t="str">
        <f t="shared" si="25"/>
        <v/>
      </c>
      <c r="AG34" s="120"/>
      <c r="AH34" s="109"/>
      <c r="AI34" s="110"/>
      <c r="AJ34" s="111"/>
      <c r="AK34" s="111"/>
      <c r="AL34" s="109"/>
      <c r="AM34" s="110"/>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row>
    <row r="35" spans="1:71" ht="26.25" customHeight="1" x14ac:dyDescent="0.25">
      <c r="A35" s="435"/>
      <c r="B35" s="419"/>
      <c r="C35" s="419"/>
      <c r="D35" s="433"/>
      <c r="E35" s="138"/>
      <c r="F35" s="434"/>
      <c r="G35" s="368"/>
      <c r="H35" s="139"/>
      <c r="I35" s="413"/>
      <c r="J35" s="416"/>
      <c r="K35" s="392"/>
      <c r="L35" s="389"/>
      <c r="M35" s="395"/>
      <c r="N35" s="389">
        <f>IF(NOT(ISERROR(MATCH(M35,_xlfn.ANCHORARRAY(F46),0))),L48&amp;"Por favor no seleccionar los criterios de impacto",M35)</f>
        <v>0</v>
      </c>
      <c r="O35" s="392"/>
      <c r="P35" s="389"/>
      <c r="Q35" s="386"/>
      <c r="R35" s="105">
        <v>6</v>
      </c>
      <c r="S35" s="106"/>
      <c r="T35" s="107" t="str">
        <f t="shared" si="26"/>
        <v/>
      </c>
      <c r="U35" s="114"/>
      <c r="V35" s="114"/>
      <c r="W35" s="115" t="str">
        <f t="shared" si="22"/>
        <v/>
      </c>
      <c r="X35" s="114"/>
      <c r="Y35" s="114"/>
      <c r="Z35" s="114"/>
      <c r="AA35" s="108" t="str">
        <f t="shared" si="29"/>
        <v/>
      </c>
      <c r="AB35" s="117" t="str">
        <f t="shared" si="23"/>
        <v/>
      </c>
      <c r="AC35" s="118" t="str">
        <f t="shared" si="27"/>
        <v/>
      </c>
      <c r="AD35" s="117" t="str">
        <f t="shared" si="24"/>
        <v/>
      </c>
      <c r="AE35" s="118" t="str">
        <f t="shared" si="28"/>
        <v/>
      </c>
      <c r="AF35" s="119" t="str">
        <f t="shared" si="25"/>
        <v/>
      </c>
      <c r="AG35" s="120"/>
      <c r="AH35" s="109"/>
      <c r="AI35" s="110"/>
      <c r="AJ35" s="111"/>
      <c r="AK35" s="111"/>
      <c r="AL35" s="109"/>
      <c r="AM35" s="110"/>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row>
    <row r="36" spans="1:71" ht="26.25" customHeight="1" x14ac:dyDescent="0.25">
      <c r="A36" s="396">
        <v>6</v>
      </c>
      <c r="B36" s="417"/>
      <c r="C36" s="417"/>
      <c r="D36" s="431"/>
      <c r="E36" s="138"/>
      <c r="F36" s="434"/>
      <c r="G36" s="366"/>
      <c r="H36" s="139"/>
      <c r="I36" s="411"/>
      <c r="J36" s="414"/>
      <c r="K36" s="390" t="str">
        <f t="shared" ref="K36" si="30">IF(J36&lt;=0,"",IF(J36&lt;=2,"Muy Baja",IF(J36&lt;=24,"Baja",IF(J36&lt;=500,"Media",IF(J36&lt;=5000,"Alta","Muy Alta")))))</f>
        <v/>
      </c>
      <c r="L36" s="387" t="str">
        <f t="shared" ref="L36" si="31">IF(K36="","",IF(K36="Muy Baja",0.2,IF(K36="Baja",0.4,IF(K36="Media",0.6,IF(K36="Alta",0.8,IF(K36="Muy Alta",1,))))))</f>
        <v/>
      </c>
      <c r="M36" s="393"/>
      <c r="N36" s="387">
        <f>IF(NOT(ISERROR(MATCH(M36,'Tabla Impacto'!$B$221:$B$223,0))),'Tabla Impacto'!$F$223&amp;"Por favor no seleccionar los criterios de impacto(Afectación Económica o presupuestal y Pérdida Reputacional)",M36)</f>
        <v>0</v>
      </c>
      <c r="O36" s="390" t="str">
        <f>IF(OR(N36='Tabla Impacto'!$C$11,N36='Tabla Impacto'!$D$11),"Leve",IF(OR(N36='Tabla Impacto'!$C$12,N36='Tabla Impacto'!$D$12),"Menor",IF(OR(N36='Tabla Impacto'!$C$13,N36='Tabla Impacto'!$D$13),"Moderado",IF(OR(N36='Tabla Impacto'!$C$14,N36='Tabla Impacto'!$D$14),"Mayor",IF(OR(N36='Tabla Impacto'!$C$15,N36='Tabla Impacto'!$D$15),"Catastrófico","")))))</f>
        <v/>
      </c>
      <c r="P36" s="387" t="str">
        <f t="shared" ref="P36" si="32">IF(O36="","",IF(O36="Leve",0.2,IF(O36="Menor",0.4,IF(O36="Moderado",0.6,IF(O36="Mayor",0.8,IF(O36="Catastrófico",1,))))))</f>
        <v/>
      </c>
      <c r="Q36" s="384" t="str">
        <f t="shared" ref="Q36" si="33">IF(OR(AND(K36="Muy Baja",O36="Leve"),AND(K36="Muy Baja",O36="Menor"),AND(K36="Baja",O36="Leve")),"Bajo",IF(OR(AND(K36="Muy baja",O36="Moderado"),AND(K36="Baja",O36="Menor"),AND(K36="Baja",O36="Moderado"),AND(K36="Media",O36="Leve"),AND(K36="Media",O36="Menor"),AND(K36="Media",O36="Moderado"),AND(K36="Alta",O36="Leve"),AND(K36="Alta",O36="Menor")),"Moderado",IF(OR(AND(K36="Muy Baja",O36="Mayor"),AND(K36="Baja",O36="Mayor"),AND(K36="Media",O36="Mayor"),AND(K36="Alta",O36="Moderado"),AND(K36="Alta",O36="Mayor"),AND(K36="Muy Alta",O36="Leve"),AND(K36="Muy Alta",O36="Menor"),AND(K36="Muy Alta",O36="Moderado"),AND(K36="Muy Alta",O36="Mayor")),"Alto",IF(OR(AND(K36="Muy Baja",O36="Catastrófico"),AND(K36="Baja",O36="Catastrófico"),AND(K36="Media",O36="Catastrófico"),AND(K36="Alta",O36="Catastrófico"),AND(K36="Muy Alta",O36="Catastrófico")),"Extremo",""))))</f>
        <v/>
      </c>
      <c r="R36" s="105">
        <v>1</v>
      </c>
      <c r="S36" s="106"/>
      <c r="T36" s="107" t="str">
        <f>IF(OR(U36="Preventivo",U36="Detectivo"),"Probabilidad",IF(U36="Correctivo","Impacto",""))</f>
        <v/>
      </c>
      <c r="U36" s="114"/>
      <c r="V36" s="114"/>
      <c r="W36" s="115" t="str">
        <f>IF(AND(U36="Preventivo",V36="Automático"),"50%",IF(AND(U36="Preventivo",V36="Manual"),"40%",IF(AND(U36="Detectivo",V36="Automático"),"40%",IF(AND(U36="Detectivo",V36="Manual"),"30%",IF(AND(U36="Correctivo",V36="Automático"),"35%",IF(AND(U36="Correctivo",V36="Manual"),"25%",""))))))</f>
        <v/>
      </c>
      <c r="X36" s="114"/>
      <c r="Y36" s="114"/>
      <c r="Z36" s="114"/>
      <c r="AA36" s="108" t="str">
        <f>IFERROR(IF(T36="Probabilidad",(L36-(+L36*W36)),IF(T36="Impacto",L36,"")),"")</f>
        <v/>
      </c>
      <c r="AB36" s="117" t="str">
        <f>IFERROR(IF(AA36="","",IF(AA36&lt;=0.2,"Muy Baja",IF(AA36&lt;=0.4,"Baja",IF(AA36&lt;=0.6,"Media",IF(AA36&lt;=0.8,"Alta","Muy Alta"))))),"")</f>
        <v/>
      </c>
      <c r="AC36" s="118" t="str">
        <f>+AA36</f>
        <v/>
      </c>
      <c r="AD36" s="117" t="str">
        <f>IFERROR(IF(AE36="","",IF(AE36&lt;=0.2,"Leve",IF(AE36&lt;=0.4,"Menor",IF(AE36&lt;=0.6,"Moderado",IF(AE36&lt;=0.8,"Mayor","Catastrófico"))))),"")</f>
        <v/>
      </c>
      <c r="AE36" s="118" t="str">
        <f>IFERROR(IF(T36="Impacto",(P36-(+P36*W36)),IF(T36="Probabilidad",P36,"")),"")</f>
        <v/>
      </c>
      <c r="AF36" s="119" t="str">
        <f>IFERROR(IF(OR(AND(AB36="Muy Baja",AD36="Leve"),AND(AB36="Muy Baja",AD36="Menor"),AND(AB36="Baja",AD36="Leve")),"Bajo",IF(OR(AND(AB36="Muy baja",AD36="Moderado"),AND(AB36="Baja",AD36="Menor"),AND(AB36="Baja",AD36="Moderado"),AND(AB36="Media",AD36="Leve"),AND(AB36="Media",AD36="Menor"),AND(AB36="Media",AD36="Moderado"),AND(AB36="Alta",AD36="Leve"),AND(AB36="Alta",AD36="Menor")),"Moderado",IF(OR(AND(AB36="Muy Baja",AD36="Mayor"),AND(AB36="Baja",AD36="Mayor"),AND(AB36="Media",AD36="Mayor"),AND(AB36="Alta",AD36="Moderado"),AND(AB36="Alta",AD36="Mayor"),AND(AB36="Muy Alta",AD36="Leve"),AND(AB36="Muy Alta",AD36="Menor"),AND(AB36="Muy Alta",AD36="Moderado"),AND(AB36="Muy Alta",AD36="Mayor")),"Alto",IF(OR(AND(AB36="Muy Baja",AD36="Catastrófico"),AND(AB36="Baja",AD36="Catastrófico"),AND(AB36="Media",AD36="Catastrófico"),AND(AB36="Alta",AD36="Catastrófico"),AND(AB36="Muy Alta",AD36="Catastrófico")),"Extremo","")))),"")</f>
        <v/>
      </c>
      <c r="AG36" s="120"/>
      <c r="AH36" s="109"/>
      <c r="AI36" s="110"/>
      <c r="AJ36" s="111"/>
      <c r="AK36" s="111"/>
      <c r="AL36" s="109"/>
      <c r="AM36" s="110"/>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row>
    <row r="37" spans="1:71" ht="26.25" customHeight="1" x14ac:dyDescent="0.25">
      <c r="A37" s="397"/>
      <c r="B37" s="418"/>
      <c r="C37" s="418"/>
      <c r="D37" s="432"/>
      <c r="E37" s="138"/>
      <c r="F37" s="434"/>
      <c r="G37" s="367"/>
      <c r="H37" s="139"/>
      <c r="I37" s="412"/>
      <c r="J37" s="415"/>
      <c r="K37" s="391"/>
      <c r="L37" s="388"/>
      <c r="M37" s="394"/>
      <c r="N37" s="388">
        <f>IF(NOT(ISERROR(MATCH(M37,_xlfn.ANCHORARRAY(F48),0))),L50&amp;"Por favor no seleccionar los criterios de impacto",M37)</f>
        <v>0</v>
      </c>
      <c r="O37" s="391"/>
      <c r="P37" s="388"/>
      <c r="Q37" s="385"/>
      <c r="R37" s="105">
        <v>2</v>
      </c>
      <c r="S37" s="106"/>
      <c r="T37" s="107" t="str">
        <f>IF(OR(U37="Preventivo",U37="Detectivo"),"Probabilidad",IF(U37="Correctivo","Impacto",""))</f>
        <v/>
      </c>
      <c r="U37" s="114"/>
      <c r="V37" s="114"/>
      <c r="W37" s="115" t="str">
        <f t="shared" ref="W37:W41" si="34">IF(AND(U37="Preventivo",V37="Automático"),"50%",IF(AND(U37="Preventivo",V37="Manual"),"40%",IF(AND(U37="Detectivo",V37="Automático"),"40%",IF(AND(U37="Detectivo",V37="Manual"),"30%",IF(AND(U37="Correctivo",V37="Automático"),"35%",IF(AND(U37="Correctivo",V37="Manual"),"25%",""))))))</f>
        <v/>
      </c>
      <c r="X37" s="114"/>
      <c r="Y37" s="114"/>
      <c r="Z37" s="114"/>
      <c r="AA37" s="108" t="str">
        <f>IFERROR(IF(AND(T36="Probabilidad",T37="Probabilidad"),(AC36-(+AC36*W37)),IF(AND(T36="Impacto",T37="Probabilidad"),(L36-(+L36*W37)),IF(T37="Impacto",AC36,""))),"")</f>
        <v/>
      </c>
      <c r="AB37" s="117" t="str">
        <f t="shared" ref="AB37:AB41" si="35">IFERROR(IF(AA37="","",IF(AA37&lt;=0.2,"Muy Baja",IF(AA37&lt;=0.4,"Baja",IF(AA37&lt;=0.6,"Media",IF(AA37&lt;=0.8,"Alta","Muy Alta"))))),"")</f>
        <v/>
      </c>
      <c r="AC37" s="118" t="str">
        <f>+AA37</f>
        <v/>
      </c>
      <c r="AD37" s="117" t="str">
        <f t="shared" ref="AD37:AD41" si="36">IFERROR(IF(AE37="","",IF(AE37&lt;=0.2,"Leve",IF(AE37&lt;=0.4,"Menor",IF(AE37&lt;=0.6,"Moderado",IF(AE37&lt;=0.8,"Mayor","Catastrófico"))))),"")</f>
        <v/>
      </c>
      <c r="AE37" s="118" t="str">
        <f>IFERROR(IF(AND(T36="Impacto",T37="Impacto"),(AE36-(+AE36*W37)),IF(AND(T36="Probabilidad",T37="Impacto"),(P36-(+P36*W37)),IF(T37="Probabilidad",AE36,""))),"")</f>
        <v/>
      </c>
      <c r="AF37" s="119" t="str">
        <f t="shared" ref="AF37:AF41" si="37">IFERROR(IF(OR(AND(AB37="Muy Baja",AD37="Leve"),AND(AB37="Muy Baja",AD37="Menor"),AND(AB37="Baja",AD37="Leve")),"Bajo",IF(OR(AND(AB37="Muy baja",AD37="Moderado"),AND(AB37="Baja",AD37="Menor"),AND(AB37="Baja",AD37="Moderado"),AND(AB37="Media",AD37="Leve"),AND(AB37="Media",AD37="Menor"),AND(AB37="Media",AD37="Moderado"),AND(AB37="Alta",AD37="Leve"),AND(AB37="Alta",AD37="Menor")),"Moderado",IF(OR(AND(AB37="Muy Baja",AD37="Mayor"),AND(AB37="Baja",AD37="Mayor"),AND(AB37="Media",AD37="Mayor"),AND(AB37="Alta",AD37="Moderado"),AND(AB37="Alta",AD37="Mayor"),AND(AB37="Muy Alta",AD37="Leve"),AND(AB37="Muy Alta",AD37="Menor"),AND(AB37="Muy Alta",AD37="Moderado"),AND(AB37="Muy Alta",AD37="Mayor")),"Alto",IF(OR(AND(AB37="Muy Baja",AD37="Catastrófico"),AND(AB37="Baja",AD37="Catastrófico"),AND(AB37="Media",AD37="Catastrófico"),AND(AB37="Alta",AD37="Catastrófico"),AND(AB37="Muy Alta",AD37="Catastrófico")),"Extremo","")))),"")</f>
        <v/>
      </c>
      <c r="AG37" s="120"/>
      <c r="AH37" s="109"/>
      <c r="AI37" s="110"/>
      <c r="AJ37" s="111"/>
      <c r="AK37" s="111"/>
      <c r="AL37" s="109"/>
      <c r="AM37" s="110"/>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row>
    <row r="38" spans="1:71" ht="26.25" customHeight="1" x14ac:dyDescent="0.25">
      <c r="A38" s="397"/>
      <c r="B38" s="418"/>
      <c r="C38" s="418"/>
      <c r="D38" s="432"/>
      <c r="E38" s="138"/>
      <c r="F38" s="434"/>
      <c r="G38" s="367"/>
      <c r="H38" s="139"/>
      <c r="I38" s="412"/>
      <c r="J38" s="415"/>
      <c r="K38" s="391"/>
      <c r="L38" s="388"/>
      <c r="M38" s="394"/>
      <c r="N38" s="388">
        <f>IF(NOT(ISERROR(MATCH(M38,_xlfn.ANCHORARRAY(F49),0))),L51&amp;"Por favor no seleccionar los criterios de impacto",M38)</f>
        <v>0</v>
      </c>
      <c r="O38" s="391"/>
      <c r="P38" s="388"/>
      <c r="Q38" s="385"/>
      <c r="R38" s="105">
        <v>3</v>
      </c>
      <c r="S38" s="112"/>
      <c r="T38" s="107" t="str">
        <f t="shared" ref="T38:T41" si="38">IF(OR(U38="Preventivo",U38="Detectivo"),"Probabilidad",IF(U38="Correctivo","Impacto",""))</f>
        <v/>
      </c>
      <c r="U38" s="114"/>
      <c r="V38" s="114"/>
      <c r="W38" s="115" t="str">
        <f t="shared" si="34"/>
        <v/>
      </c>
      <c r="X38" s="114"/>
      <c r="Y38" s="114"/>
      <c r="Z38" s="114"/>
      <c r="AA38" s="108" t="str">
        <f>IFERROR(IF(AND(T37="Probabilidad",T38="Probabilidad"),(AC37-(+AC37*W38)),IF(AND(T37="Impacto",T38="Probabilidad"),(AC36-(+AC36*W38)),IF(T38="Impacto",AC37,""))),"")</f>
        <v/>
      </c>
      <c r="AB38" s="117" t="str">
        <f t="shared" si="35"/>
        <v/>
      </c>
      <c r="AC38" s="118" t="str">
        <f t="shared" ref="AC38:AC41" si="39">+AA38</f>
        <v/>
      </c>
      <c r="AD38" s="117" t="str">
        <f t="shared" si="36"/>
        <v/>
      </c>
      <c r="AE38" s="118" t="str">
        <f t="shared" ref="AE38:AE41" si="40">IFERROR(IF(AND(T37="Impacto",T38="Impacto"),(AE37-(+AE37*W38)),IF(AND(T37="Probabilidad",T38="Impacto"),(AE36-(+AE36*W38)),IF(T38="Probabilidad",AE37,""))),"")</f>
        <v/>
      </c>
      <c r="AF38" s="119" t="str">
        <f t="shared" si="37"/>
        <v/>
      </c>
      <c r="AG38" s="120"/>
      <c r="AH38" s="109"/>
      <c r="AI38" s="110"/>
      <c r="AJ38" s="111"/>
      <c r="AK38" s="111"/>
      <c r="AL38" s="109"/>
      <c r="AM38" s="110"/>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row>
    <row r="39" spans="1:71" ht="26.25" customHeight="1" x14ac:dyDescent="0.25">
      <c r="A39" s="397"/>
      <c r="B39" s="418"/>
      <c r="C39" s="418"/>
      <c r="D39" s="432"/>
      <c r="E39" s="138"/>
      <c r="F39" s="434"/>
      <c r="G39" s="367"/>
      <c r="H39" s="139"/>
      <c r="I39" s="412"/>
      <c r="J39" s="415"/>
      <c r="K39" s="391"/>
      <c r="L39" s="388"/>
      <c r="M39" s="394"/>
      <c r="N39" s="388">
        <f>IF(NOT(ISERROR(MATCH(M39,_xlfn.ANCHORARRAY(F50),0))),L52&amp;"Por favor no seleccionar los criterios de impacto",M39)</f>
        <v>0</v>
      </c>
      <c r="O39" s="391"/>
      <c r="P39" s="388"/>
      <c r="Q39" s="385"/>
      <c r="R39" s="105">
        <v>4</v>
      </c>
      <c r="S39" s="106"/>
      <c r="T39" s="107" t="str">
        <f t="shared" si="38"/>
        <v/>
      </c>
      <c r="U39" s="114"/>
      <c r="V39" s="114"/>
      <c r="W39" s="115" t="str">
        <f t="shared" si="34"/>
        <v/>
      </c>
      <c r="X39" s="114"/>
      <c r="Y39" s="114"/>
      <c r="Z39" s="114"/>
      <c r="AA39" s="108" t="str">
        <f t="shared" ref="AA39:AA41" si="41">IFERROR(IF(AND(T38="Probabilidad",T39="Probabilidad"),(AC38-(+AC38*W39)),IF(AND(T38="Impacto",T39="Probabilidad"),(AC37-(+AC37*W39)),IF(T39="Impacto",AC38,""))),"")</f>
        <v/>
      </c>
      <c r="AB39" s="117" t="str">
        <f t="shared" si="35"/>
        <v/>
      </c>
      <c r="AC39" s="118" t="str">
        <f t="shared" si="39"/>
        <v/>
      </c>
      <c r="AD39" s="117" t="str">
        <f t="shared" si="36"/>
        <v/>
      </c>
      <c r="AE39" s="118" t="str">
        <f t="shared" si="40"/>
        <v/>
      </c>
      <c r="AF39" s="119" t="str">
        <f t="shared" si="37"/>
        <v/>
      </c>
      <c r="AG39" s="120"/>
      <c r="AH39" s="109"/>
      <c r="AI39" s="110"/>
      <c r="AJ39" s="111"/>
      <c r="AK39" s="111"/>
      <c r="AL39" s="109"/>
      <c r="AM39" s="110"/>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row>
    <row r="40" spans="1:71" ht="26.25" customHeight="1" x14ac:dyDescent="0.25">
      <c r="A40" s="397"/>
      <c r="B40" s="418"/>
      <c r="C40" s="418"/>
      <c r="D40" s="432"/>
      <c r="E40" s="138"/>
      <c r="F40" s="434"/>
      <c r="G40" s="367"/>
      <c r="H40" s="139"/>
      <c r="I40" s="412"/>
      <c r="J40" s="415"/>
      <c r="K40" s="391"/>
      <c r="L40" s="388"/>
      <c r="M40" s="394"/>
      <c r="N40" s="388">
        <f>IF(NOT(ISERROR(MATCH(M40,_xlfn.ANCHORARRAY(F51),0))),L53&amp;"Por favor no seleccionar los criterios de impacto",M40)</f>
        <v>0</v>
      </c>
      <c r="O40" s="391"/>
      <c r="P40" s="388"/>
      <c r="Q40" s="385"/>
      <c r="R40" s="105">
        <v>5</v>
      </c>
      <c r="S40" s="106"/>
      <c r="T40" s="107" t="str">
        <f t="shared" si="38"/>
        <v/>
      </c>
      <c r="U40" s="114"/>
      <c r="V40" s="114"/>
      <c r="W40" s="115" t="str">
        <f t="shared" si="34"/>
        <v/>
      </c>
      <c r="X40" s="114"/>
      <c r="Y40" s="114"/>
      <c r="Z40" s="114"/>
      <c r="AA40" s="108" t="str">
        <f t="shared" si="41"/>
        <v/>
      </c>
      <c r="AB40" s="117" t="str">
        <f t="shared" si="35"/>
        <v/>
      </c>
      <c r="AC40" s="118" t="str">
        <f t="shared" si="39"/>
        <v/>
      </c>
      <c r="AD40" s="117" t="str">
        <f t="shared" si="36"/>
        <v/>
      </c>
      <c r="AE40" s="118" t="str">
        <f t="shared" si="40"/>
        <v/>
      </c>
      <c r="AF40" s="119" t="str">
        <f t="shared" si="37"/>
        <v/>
      </c>
      <c r="AG40" s="120"/>
      <c r="AH40" s="109"/>
      <c r="AI40" s="110"/>
      <c r="AJ40" s="111"/>
      <c r="AK40" s="111"/>
      <c r="AL40" s="109"/>
      <c r="AM40" s="110"/>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row>
    <row r="41" spans="1:71" ht="26.25" customHeight="1" x14ac:dyDescent="0.25">
      <c r="A41" s="435"/>
      <c r="B41" s="419"/>
      <c r="C41" s="419"/>
      <c r="D41" s="433"/>
      <c r="E41" s="138"/>
      <c r="F41" s="434"/>
      <c r="G41" s="368"/>
      <c r="H41" s="139"/>
      <c r="I41" s="413"/>
      <c r="J41" s="416"/>
      <c r="K41" s="392"/>
      <c r="L41" s="389"/>
      <c r="M41" s="395"/>
      <c r="N41" s="389">
        <f>IF(NOT(ISERROR(MATCH(M41,_xlfn.ANCHORARRAY(F52),0))),L54&amp;"Por favor no seleccionar los criterios de impacto",M41)</f>
        <v>0</v>
      </c>
      <c r="O41" s="392"/>
      <c r="P41" s="389"/>
      <c r="Q41" s="386"/>
      <c r="R41" s="105">
        <v>6</v>
      </c>
      <c r="S41" s="106"/>
      <c r="T41" s="107" t="str">
        <f t="shared" si="38"/>
        <v/>
      </c>
      <c r="U41" s="114"/>
      <c r="V41" s="114"/>
      <c r="W41" s="115" t="str">
        <f t="shared" si="34"/>
        <v/>
      </c>
      <c r="X41" s="114"/>
      <c r="Y41" s="114"/>
      <c r="Z41" s="114"/>
      <c r="AA41" s="108" t="str">
        <f t="shared" si="41"/>
        <v/>
      </c>
      <c r="AB41" s="117" t="str">
        <f t="shared" si="35"/>
        <v/>
      </c>
      <c r="AC41" s="118" t="str">
        <f t="shared" si="39"/>
        <v/>
      </c>
      <c r="AD41" s="117" t="str">
        <f t="shared" si="36"/>
        <v/>
      </c>
      <c r="AE41" s="118" t="str">
        <f t="shared" si="40"/>
        <v/>
      </c>
      <c r="AF41" s="119" t="str">
        <f t="shared" si="37"/>
        <v/>
      </c>
      <c r="AG41" s="120"/>
      <c r="AH41" s="109"/>
      <c r="AI41" s="110"/>
      <c r="AJ41" s="111"/>
      <c r="AK41" s="111"/>
      <c r="AL41" s="109"/>
      <c r="AM41" s="110"/>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row>
    <row r="42" spans="1:71" ht="26.25" customHeight="1" x14ac:dyDescent="0.25">
      <c r="A42" s="396">
        <v>7</v>
      </c>
      <c r="B42" s="417"/>
      <c r="C42" s="417"/>
      <c r="D42" s="417"/>
      <c r="E42" s="122"/>
      <c r="F42" s="437"/>
      <c r="G42" s="366"/>
      <c r="H42" s="125"/>
      <c r="I42" s="417"/>
      <c r="J42" s="414"/>
      <c r="K42" s="390" t="str">
        <f t="shared" ref="K42" si="42">IF(J42&lt;=0,"",IF(J42&lt;=2,"Muy Baja",IF(J42&lt;=24,"Baja",IF(J42&lt;=500,"Media",IF(J42&lt;=5000,"Alta","Muy Alta")))))</f>
        <v/>
      </c>
      <c r="L42" s="387" t="str">
        <f t="shared" ref="L42" si="43">IF(K42="","",IF(K42="Muy Baja",0.2,IF(K42="Baja",0.4,IF(K42="Media",0.6,IF(K42="Alta",0.8,IF(K42="Muy Alta",1,))))))</f>
        <v/>
      </c>
      <c r="M42" s="393"/>
      <c r="N42" s="387">
        <f>IF(NOT(ISERROR(MATCH(M42,'Tabla Impacto'!$B$221:$B$223,0))),'Tabla Impacto'!$F$223&amp;"Por favor no seleccionar los criterios de impacto(Afectación Económica o presupuestal y Pérdida Reputacional)",M42)</f>
        <v>0</v>
      </c>
      <c r="O42" s="390" t="str">
        <f>IF(OR(N42='Tabla Impacto'!$C$11,N42='Tabla Impacto'!$D$11),"Leve",IF(OR(N42='Tabla Impacto'!$C$12,N42='Tabla Impacto'!$D$12),"Menor",IF(OR(N42='Tabla Impacto'!$C$13,N42='Tabla Impacto'!$D$13),"Moderado",IF(OR(N42='Tabla Impacto'!$C$14,N42='Tabla Impacto'!$D$14),"Mayor",IF(OR(N42='Tabla Impacto'!$C$15,N42='Tabla Impacto'!$D$15),"Catastrófico","")))))</f>
        <v/>
      </c>
      <c r="P42" s="387" t="str">
        <f t="shared" ref="P42" si="44">IF(O42="","",IF(O42="Leve",0.2,IF(O42="Menor",0.4,IF(O42="Moderado",0.6,IF(O42="Mayor",0.8,IF(O42="Catastrófico",1,))))))</f>
        <v/>
      </c>
      <c r="Q42" s="384" t="str">
        <f t="shared" ref="Q42" si="45">IF(OR(AND(K42="Muy Baja",O42="Leve"),AND(K42="Muy Baja",O42="Menor"),AND(K42="Baja",O42="Leve")),"Bajo",IF(OR(AND(K42="Muy baja",O42="Moderado"),AND(K42="Baja",O42="Menor"),AND(K42="Baja",O42="Moderado"),AND(K42="Media",O42="Leve"),AND(K42="Media",O42="Menor"),AND(K42="Media",O42="Moderado"),AND(K42="Alta",O42="Leve"),AND(K42="Alta",O42="Menor")),"Moderado",IF(OR(AND(K42="Muy Baja",O42="Mayor"),AND(K42="Baja",O42="Mayor"),AND(K42="Media",O42="Mayor"),AND(K42="Alta",O42="Moderado"),AND(K42="Alta",O42="Mayor"),AND(K42="Muy Alta",O42="Leve"),AND(K42="Muy Alta",O42="Menor"),AND(K42="Muy Alta",O42="Moderado"),AND(K42="Muy Alta",O42="Mayor")),"Alto",IF(OR(AND(K42="Muy Baja",O42="Catastrófico"),AND(K42="Baja",O42="Catastrófico"),AND(K42="Media",O42="Catastrófico"),AND(K42="Alta",O42="Catastrófico"),AND(K42="Muy Alta",O42="Catastrófico")),"Extremo",""))))</f>
        <v/>
      </c>
      <c r="R42" s="105">
        <v>1</v>
      </c>
      <c r="S42" s="106"/>
      <c r="T42" s="107" t="str">
        <f>IF(OR(U42="Preventivo",U42="Detectivo"),"Probabilidad",IF(U42="Correctivo","Impacto",""))</f>
        <v/>
      </c>
      <c r="U42" s="114"/>
      <c r="V42" s="114"/>
      <c r="W42" s="115" t="str">
        <f>IF(AND(U42="Preventivo",V42="Automático"),"50%",IF(AND(U42="Preventivo",V42="Manual"),"40%",IF(AND(U42="Detectivo",V42="Automático"),"40%",IF(AND(U42="Detectivo",V42="Manual"),"30%",IF(AND(U42="Correctivo",V42="Automático"),"35%",IF(AND(U42="Correctivo",V42="Manual"),"25%",""))))))</f>
        <v/>
      </c>
      <c r="X42" s="114"/>
      <c r="Y42" s="114"/>
      <c r="Z42" s="114"/>
      <c r="AA42" s="108" t="str">
        <f>IFERROR(IF(T42="Probabilidad",(L42-(+L42*W42)),IF(T42="Impacto",L42,"")),"")</f>
        <v/>
      </c>
      <c r="AB42" s="117" t="str">
        <f>IFERROR(IF(AA42="","",IF(AA42&lt;=0.2,"Muy Baja",IF(AA42&lt;=0.4,"Baja",IF(AA42&lt;=0.6,"Media",IF(AA42&lt;=0.8,"Alta","Muy Alta"))))),"")</f>
        <v/>
      </c>
      <c r="AC42" s="118" t="str">
        <f>+AA42</f>
        <v/>
      </c>
      <c r="AD42" s="117" t="str">
        <f>IFERROR(IF(AE42="","",IF(AE42&lt;=0.2,"Leve",IF(AE42&lt;=0.4,"Menor",IF(AE42&lt;=0.6,"Moderado",IF(AE42&lt;=0.8,"Mayor","Catastrófico"))))),"")</f>
        <v/>
      </c>
      <c r="AE42" s="118" t="str">
        <f>IFERROR(IF(T42="Impacto",(P42-(+P42*W42)),IF(T42="Probabilidad",P42,"")),"")</f>
        <v/>
      </c>
      <c r="AF42" s="119" t="str">
        <f>IFERROR(IF(OR(AND(AB42="Muy Baja",AD42="Leve"),AND(AB42="Muy Baja",AD42="Menor"),AND(AB42="Baja",AD42="Leve")),"Bajo",IF(OR(AND(AB42="Muy baja",AD42="Moderado"),AND(AB42="Baja",AD42="Menor"),AND(AB42="Baja",AD42="Moderado"),AND(AB42="Media",AD42="Leve"),AND(AB42="Media",AD42="Menor"),AND(AB42="Media",AD42="Moderado"),AND(AB42="Alta",AD42="Leve"),AND(AB42="Alta",AD42="Menor")),"Moderado",IF(OR(AND(AB42="Muy Baja",AD42="Mayor"),AND(AB42="Baja",AD42="Mayor"),AND(AB42="Media",AD42="Mayor"),AND(AB42="Alta",AD42="Moderado"),AND(AB42="Alta",AD42="Mayor"),AND(AB42="Muy Alta",AD42="Leve"),AND(AB42="Muy Alta",AD42="Menor"),AND(AB42="Muy Alta",AD42="Moderado"),AND(AB42="Muy Alta",AD42="Mayor")),"Alto",IF(OR(AND(AB42="Muy Baja",AD42="Catastrófico"),AND(AB42="Baja",AD42="Catastrófico"),AND(AB42="Media",AD42="Catastrófico"),AND(AB42="Alta",AD42="Catastrófico"),AND(AB42="Muy Alta",AD42="Catastrófico")),"Extremo","")))),"")</f>
        <v/>
      </c>
      <c r="AG42" s="120"/>
      <c r="AH42" s="109"/>
      <c r="AI42" s="110"/>
      <c r="AJ42" s="111"/>
      <c r="AK42" s="111"/>
      <c r="AL42" s="109"/>
      <c r="AM42" s="110"/>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row>
    <row r="43" spans="1:71" ht="26.25" customHeight="1" x14ac:dyDescent="0.25">
      <c r="A43" s="397"/>
      <c r="B43" s="418"/>
      <c r="C43" s="418"/>
      <c r="D43" s="418"/>
      <c r="E43" s="122"/>
      <c r="F43" s="437"/>
      <c r="G43" s="367"/>
      <c r="H43" s="125"/>
      <c r="I43" s="418"/>
      <c r="J43" s="415"/>
      <c r="K43" s="391"/>
      <c r="L43" s="388"/>
      <c r="M43" s="394"/>
      <c r="N43" s="388">
        <f>IF(NOT(ISERROR(MATCH(M43,_xlfn.ANCHORARRAY(F54),0))),L56&amp;"Por favor no seleccionar los criterios de impacto",M43)</f>
        <v>0</v>
      </c>
      <c r="O43" s="391"/>
      <c r="P43" s="388"/>
      <c r="Q43" s="385"/>
      <c r="R43" s="105">
        <v>2</v>
      </c>
      <c r="S43" s="106"/>
      <c r="T43" s="107" t="str">
        <f>IF(OR(U43="Preventivo",U43="Detectivo"),"Probabilidad",IF(U43="Correctivo","Impacto",""))</f>
        <v/>
      </c>
      <c r="U43" s="114"/>
      <c r="V43" s="114"/>
      <c r="W43" s="115" t="str">
        <f t="shared" ref="W43:W47" si="46">IF(AND(U43="Preventivo",V43="Automático"),"50%",IF(AND(U43="Preventivo",V43="Manual"),"40%",IF(AND(U43="Detectivo",V43="Automático"),"40%",IF(AND(U43="Detectivo",V43="Manual"),"30%",IF(AND(U43="Correctivo",V43="Automático"),"35%",IF(AND(U43="Correctivo",V43="Manual"),"25%",""))))))</f>
        <v/>
      </c>
      <c r="X43" s="114"/>
      <c r="Y43" s="114"/>
      <c r="Z43" s="114"/>
      <c r="AA43" s="108" t="str">
        <f>IFERROR(IF(AND(T42="Probabilidad",T43="Probabilidad"),(AC42-(+AC42*W43)),IF(AND(T42="Impacto",T43="Probabilidad"),(L42-(+L42*W43)),IF(T43="Impacto",AC42,""))),"")</f>
        <v/>
      </c>
      <c r="AB43" s="117" t="str">
        <f t="shared" ref="AB43:AB47" si="47">IFERROR(IF(AA43="","",IF(AA43&lt;=0.2,"Muy Baja",IF(AA43&lt;=0.4,"Baja",IF(AA43&lt;=0.6,"Media",IF(AA43&lt;=0.8,"Alta","Muy Alta"))))),"")</f>
        <v/>
      </c>
      <c r="AC43" s="118" t="str">
        <f>+AA43</f>
        <v/>
      </c>
      <c r="AD43" s="117" t="str">
        <f t="shared" ref="AD43:AD47" si="48">IFERROR(IF(AE43="","",IF(AE43&lt;=0.2,"Leve",IF(AE43&lt;=0.4,"Menor",IF(AE43&lt;=0.6,"Moderado",IF(AE43&lt;=0.8,"Mayor","Catastrófico"))))),"")</f>
        <v/>
      </c>
      <c r="AE43" s="118" t="str">
        <f>IFERROR(IF(AND(T42="Impacto",T43="Impacto"),(AE42-(+AE42*W43)),IF(AND(T42="Probabilidad",T43="Impacto"),(P42-(+P42*W43)),IF(T43="Probabilidad",AE42,""))),"")</f>
        <v/>
      </c>
      <c r="AF43" s="119" t="str">
        <f t="shared" ref="AF43:AF47" si="49">IFERROR(IF(OR(AND(AB43="Muy Baja",AD43="Leve"),AND(AB43="Muy Baja",AD43="Menor"),AND(AB43="Baja",AD43="Leve")),"Bajo",IF(OR(AND(AB43="Muy baja",AD43="Moderado"),AND(AB43="Baja",AD43="Menor"),AND(AB43="Baja",AD43="Moderado"),AND(AB43="Media",AD43="Leve"),AND(AB43="Media",AD43="Menor"),AND(AB43="Media",AD43="Moderado"),AND(AB43="Alta",AD43="Leve"),AND(AB43="Alta",AD43="Menor")),"Moderado",IF(OR(AND(AB43="Muy Baja",AD43="Mayor"),AND(AB43="Baja",AD43="Mayor"),AND(AB43="Media",AD43="Mayor"),AND(AB43="Alta",AD43="Moderado"),AND(AB43="Alta",AD43="Mayor"),AND(AB43="Muy Alta",AD43="Leve"),AND(AB43="Muy Alta",AD43="Menor"),AND(AB43="Muy Alta",AD43="Moderado"),AND(AB43="Muy Alta",AD43="Mayor")),"Alto",IF(OR(AND(AB43="Muy Baja",AD43="Catastrófico"),AND(AB43="Baja",AD43="Catastrófico"),AND(AB43="Media",AD43="Catastrófico"),AND(AB43="Alta",AD43="Catastrófico"),AND(AB43="Muy Alta",AD43="Catastrófico")),"Extremo","")))),"")</f>
        <v/>
      </c>
      <c r="AG43" s="120"/>
      <c r="AH43" s="109"/>
      <c r="AI43" s="110"/>
      <c r="AJ43" s="111"/>
      <c r="AK43" s="111"/>
      <c r="AL43" s="109"/>
      <c r="AM43" s="110"/>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row>
    <row r="44" spans="1:71" ht="26.25" customHeight="1" x14ac:dyDescent="0.25">
      <c r="A44" s="397"/>
      <c r="B44" s="418"/>
      <c r="C44" s="418"/>
      <c r="D44" s="418"/>
      <c r="E44" s="122"/>
      <c r="F44" s="437"/>
      <c r="G44" s="367"/>
      <c r="H44" s="125"/>
      <c r="I44" s="418"/>
      <c r="J44" s="415"/>
      <c r="K44" s="391"/>
      <c r="L44" s="388"/>
      <c r="M44" s="394"/>
      <c r="N44" s="388">
        <f>IF(NOT(ISERROR(MATCH(M44,_xlfn.ANCHORARRAY(F55),0))),L57&amp;"Por favor no seleccionar los criterios de impacto",M44)</f>
        <v>0</v>
      </c>
      <c r="O44" s="391"/>
      <c r="P44" s="388"/>
      <c r="Q44" s="385"/>
      <c r="R44" s="105">
        <v>3</v>
      </c>
      <c r="S44" s="112"/>
      <c r="T44" s="107" t="str">
        <f t="shared" ref="T44:T47" si="50">IF(OR(U44="Preventivo",U44="Detectivo"),"Probabilidad",IF(U44="Correctivo","Impacto",""))</f>
        <v/>
      </c>
      <c r="U44" s="114"/>
      <c r="V44" s="114"/>
      <c r="W44" s="115" t="str">
        <f t="shared" si="46"/>
        <v/>
      </c>
      <c r="X44" s="114"/>
      <c r="Y44" s="114"/>
      <c r="Z44" s="114"/>
      <c r="AA44" s="108" t="str">
        <f>IFERROR(IF(AND(T43="Probabilidad",T44="Probabilidad"),(AC43-(+AC43*W44)),IF(AND(T43="Impacto",T44="Probabilidad"),(AC42-(+AC42*W44)),IF(T44="Impacto",AC43,""))),"")</f>
        <v/>
      </c>
      <c r="AB44" s="117" t="str">
        <f t="shared" si="47"/>
        <v/>
      </c>
      <c r="AC44" s="118" t="str">
        <f t="shared" ref="AC44:AC47" si="51">+AA44</f>
        <v/>
      </c>
      <c r="AD44" s="117" t="str">
        <f t="shared" si="48"/>
        <v/>
      </c>
      <c r="AE44" s="118" t="str">
        <f t="shared" ref="AE44:AE47" si="52">IFERROR(IF(AND(T43="Impacto",T44="Impacto"),(AE43-(+AE43*W44)),IF(AND(T43="Probabilidad",T44="Impacto"),(AE42-(+AE42*W44)),IF(T44="Probabilidad",AE43,""))),"")</f>
        <v/>
      </c>
      <c r="AF44" s="119" t="str">
        <f t="shared" si="49"/>
        <v/>
      </c>
      <c r="AG44" s="120"/>
      <c r="AH44" s="109"/>
      <c r="AI44" s="110"/>
      <c r="AJ44" s="111"/>
      <c r="AK44" s="111"/>
      <c r="AL44" s="109"/>
      <c r="AM44" s="110"/>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row>
    <row r="45" spans="1:71" ht="26.25" customHeight="1" x14ac:dyDescent="0.25">
      <c r="A45" s="397"/>
      <c r="B45" s="418"/>
      <c r="C45" s="418"/>
      <c r="D45" s="418"/>
      <c r="E45" s="122"/>
      <c r="F45" s="437"/>
      <c r="G45" s="367"/>
      <c r="H45" s="125"/>
      <c r="I45" s="418"/>
      <c r="J45" s="415"/>
      <c r="K45" s="391"/>
      <c r="L45" s="388"/>
      <c r="M45" s="394"/>
      <c r="N45" s="388">
        <f>IF(NOT(ISERROR(MATCH(M45,_xlfn.ANCHORARRAY(F56),0))),L58&amp;"Por favor no seleccionar los criterios de impacto",M45)</f>
        <v>0</v>
      </c>
      <c r="O45" s="391"/>
      <c r="P45" s="388"/>
      <c r="Q45" s="385"/>
      <c r="R45" s="105">
        <v>4</v>
      </c>
      <c r="S45" s="106"/>
      <c r="T45" s="107" t="str">
        <f t="shared" si="50"/>
        <v/>
      </c>
      <c r="U45" s="114"/>
      <c r="V45" s="114"/>
      <c r="W45" s="115" t="str">
        <f t="shared" si="46"/>
        <v/>
      </c>
      <c r="X45" s="114"/>
      <c r="Y45" s="114"/>
      <c r="Z45" s="114"/>
      <c r="AA45" s="108" t="str">
        <f t="shared" ref="AA45:AA47" si="53">IFERROR(IF(AND(T44="Probabilidad",T45="Probabilidad"),(AC44-(+AC44*W45)),IF(AND(T44="Impacto",T45="Probabilidad"),(AC43-(+AC43*W45)),IF(T45="Impacto",AC44,""))),"")</f>
        <v/>
      </c>
      <c r="AB45" s="117" t="str">
        <f t="shared" si="47"/>
        <v/>
      </c>
      <c r="AC45" s="118" t="str">
        <f t="shared" si="51"/>
        <v/>
      </c>
      <c r="AD45" s="117" t="str">
        <f t="shared" si="48"/>
        <v/>
      </c>
      <c r="AE45" s="118" t="str">
        <f t="shared" si="52"/>
        <v/>
      </c>
      <c r="AF45" s="119" t="str">
        <f t="shared" si="49"/>
        <v/>
      </c>
      <c r="AG45" s="120"/>
      <c r="AH45" s="109"/>
      <c r="AI45" s="110"/>
      <c r="AJ45" s="111"/>
      <c r="AK45" s="111"/>
      <c r="AL45" s="109"/>
      <c r="AM45" s="110"/>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row>
    <row r="46" spans="1:71" ht="26.25" customHeight="1" x14ac:dyDescent="0.25">
      <c r="A46" s="397"/>
      <c r="B46" s="418"/>
      <c r="C46" s="418"/>
      <c r="D46" s="418"/>
      <c r="E46" s="122"/>
      <c r="F46" s="437"/>
      <c r="G46" s="367"/>
      <c r="H46" s="125"/>
      <c r="I46" s="418"/>
      <c r="J46" s="415"/>
      <c r="K46" s="391"/>
      <c r="L46" s="388"/>
      <c r="M46" s="394"/>
      <c r="N46" s="388">
        <f>IF(NOT(ISERROR(MATCH(M46,_xlfn.ANCHORARRAY(F57),0))),L59&amp;"Por favor no seleccionar los criterios de impacto",M46)</f>
        <v>0</v>
      </c>
      <c r="O46" s="391"/>
      <c r="P46" s="388"/>
      <c r="Q46" s="385"/>
      <c r="R46" s="105">
        <v>5</v>
      </c>
      <c r="S46" s="106"/>
      <c r="T46" s="107" t="str">
        <f t="shared" si="50"/>
        <v/>
      </c>
      <c r="U46" s="114"/>
      <c r="V46" s="114"/>
      <c r="W46" s="115" t="str">
        <f t="shared" si="46"/>
        <v/>
      </c>
      <c r="X46" s="114"/>
      <c r="Y46" s="114"/>
      <c r="Z46" s="114"/>
      <c r="AA46" s="108" t="str">
        <f t="shared" si="53"/>
        <v/>
      </c>
      <c r="AB46" s="117" t="str">
        <f t="shared" si="47"/>
        <v/>
      </c>
      <c r="AC46" s="118" t="str">
        <f t="shared" si="51"/>
        <v/>
      </c>
      <c r="AD46" s="117" t="str">
        <f t="shared" si="48"/>
        <v/>
      </c>
      <c r="AE46" s="118" t="str">
        <f t="shared" si="52"/>
        <v/>
      </c>
      <c r="AF46" s="119" t="str">
        <f t="shared" si="49"/>
        <v/>
      </c>
      <c r="AG46" s="120"/>
      <c r="AH46" s="109"/>
      <c r="AI46" s="110"/>
      <c r="AJ46" s="111"/>
      <c r="AK46" s="111"/>
      <c r="AL46" s="109"/>
      <c r="AM46" s="110"/>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row>
    <row r="47" spans="1:71" ht="26.25" customHeight="1" x14ac:dyDescent="0.25">
      <c r="A47" s="435"/>
      <c r="B47" s="419"/>
      <c r="C47" s="419"/>
      <c r="D47" s="419"/>
      <c r="E47" s="123"/>
      <c r="F47" s="438"/>
      <c r="G47" s="368"/>
      <c r="H47" s="126"/>
      <c r="I47" s="419"/>
      <c r="J47" s="416"/>
      <c r="K47" s="392"/>
      <c r="L47" s="389"/>
      <c r="M47" s="395"/>
      <c r="N47" s="389">
        <f>IF(NOT(ISERROR(MATCH(M47,_xlfn.ANCHORARRAY(F58),0))),L60&amp;"Por favor no seleccionar los criterios de impacto",M47)</f>
        <v>0</v>
      </c>
      <c r="O47" s="392"/>
      <c r="P47" s="389"/>
      <c r="Q47" s="386"/>
      <c r="R47" s="105">
        <v>6</v>
      </c>
      <c r="S47" s="106"/>
      <c r="T47" s="107" t="str">
        <f t="shared" si="50"/>
        <v/>
      </c>
      <c r="U47" s="114"/>
      <c r="V47" s="114"/>
      <c r="W47" s="115" t="str">
        <f t="shared" si="46"/>
        <v/>
      </c>
      <c r="X47" s="114"/>
      <c r="Y47" s="114"/>
      <c r="Z47" s="114"/>
      <c r="AA47" s="108" t="str">
        <f t="shared" si="53"/>
        <v/>
      </c>
      <c r="AB47" s="117" t="str">
        <f t="shared" si="47"/>
        <v/>
      </c>
      <c r="AC47" s="118" t="str">
        <f t="shared" si="51"/>
        <v/>
      </c>
      <c r="AD47" s="117" t="str">
        <f t="shared" si="48"/>
        <v/>
      </c>
      <c r="AE47" s="118" t="str">
        <f t="shared" si="52"/>
        <v/>
      </c>
      <c r="AF47" s="119" t="str">
        <f t="shared" si="49"/>
        <v/>
      </c>
      <c r="AG47" s="120"/>
      <c r="AH47" s="109"/>
      <c r="AI47" s="110"/>
      <c r="AJ47" s="111"/>
      <c r="AK47" s="111"/>
      <c r="AL47" s="109"/>
      <c r="AM47" s="110"/>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row>
    <row r="48" spans="1:71" ht="26.25" customHeight="1" x14ac:dyDescent="0.25">
      <c r="A48" s="396">
        <v>8</v>
      </c>
      <c r="B48" s="417"/>
      <c r="C48" s="417"/>
      <c r="D48" s="417"/>
      <c r="E48" s="121"/>
      <c r="F48" s="436"/>
      <c r="G48" s="366"/>
      <c r="H48" s="124"/>
      <c r="I48" s="417"/>
      <c r="J48" s="414"/>
      <c r="K48" s="390" t="str">
        <f t="shared" ref="K48" si="54">IF(J48&lt;=0,"",IF(J48&lt;=2,"Muy Baja",IF(J48&lt;=24,"Baja",IF(J48&lt;=500,"Media",IF(J48&lt;=5000,"Alta","Muy Alta")))))</f>
        <v/>
      </c>
      <c r="L48" s="387" t="str">
        <f t="shared" ref="L48" si="55">IF(K48="","",IF(K48="Muy Baja",0.2,IF(K48="Baja",0.4,IF(K48="Media",0.6,IF(K48="Alta",0.8,IF(K48="Muy Alta",1,))))))</f>
        <v/>
      </c>
      <c r="M48" s="393"/>
      <c r="N48" s="387">
        <f>IF(NOT(ISERROR(MATCH(M48,'Tabla Impacto'!$B$221:$B$223,0))),'Tabla Impacto'!$F$223&amp;"Por favor no seleccionar los criterios de impacto(Afectación Económica o presupuestal y Pérdida Reputacional)",M48)</f>
        <v>0</v>
      </c>
      <c r="O48" s="390" t="str">
        <f>IF(OR(N48='Tabla Impacto'!$C$11,N48='Tabla Impacto'!$D$11),"Leve",IF(OR(N48='Tabla Impacto'!$C$12,N48='Tabla Impacto'!$D$12),"Menor",IF(OR(N48='Tabla Impacto'!$C$13,N48='Tabla Impacto'!$D$13),"Moderado",IF(OR(N48='Tabla Impacto'!$C$14,N48='Tabla Impacto'!$D$14),"Mayor",IF(OR(N48='Tabla Impacto'!$C$15,N48='Tabla Impacto'!$D$15),"Catastrófico","")))))</f>
        <v/>
      </c>
      <c r="P48" s="387" t="str">
        <f t="shared" ref="P48" si="56">IF(O48="","",IF(O48="Leve",0.2,IF(O48="Menor",0.4,IF(O48="Moderado",0.6,IF(O48="Mayor",0.8,IF(O48="Catastrófico",1,))))))</f>
        <v/>
      </c>
      <c r="Q48" s="384" t="str">
        <f t="shared" ref="Q48" si="57">IF(OR(AND(K48="Muy Baja",O48="Leve"),AND(K48="Muy Baja",O48="Menor"),AND(K48="Baja",O48="Leve")),"Bajo",IF(OR(AND(K48="Muy baja",O48="Moderado"),AND(K48="Baja",O48="Menor"),AND(K48="Baja",O48="Moderado"),AND(K48="Media",O48="Leve"),AND(K48="Media",O48="Menor"),AND(K48="Media",O48="Moderado"),AND(K48="Alta",O48="Leve"),AND(K48="Alta",O48="Menor")),"Moderado",IF(OR(AND(K48="Muy Baja",O48="Mayor"),AND(K48="Baja",O48="Mayor"),AND(K48="Media",O48="Mayor"),AND(K48="Alta",O48="Moderado"),AND(K48="Alta",O48="Mayor"),AND(K48="Muy Alta",O48="Leve"),AND(K48="Muy Alta",O48="Menor"),AND(K48="Muy Alta",O48="Moderado"),AND(K48="Muy Alta",O48="Mayor")),"Alto",IF(OR(AND(K48="Muy Baja",O48="Catastrófico"),AND(K48="Baja",O48="Catastrófico"),AND(K48="Media",O48="Catastrófico"),AND(K48="Alta",O48="Catastrófico"),AND(K48="Muy Alta",O48="Catastrófico")),"Extremo",""))))</f>
        <v/>
      </c>
      <c r="R48" s="105">
        <v>1</v>
      </c>
      <c r="S48" s="106"/>
      <c r="T48" s="107" t="str">
        <f>IF(OR(U48="Preventivo",U48="Detectivo"),"Probabilidad",IF(U48="Correctivo","Impacto",""))</f>
        <v/>
      </c>
      <c r="U48" s="114"/>
      <c r="V48" s="114"/>
      <c r="W48" s="115" t="str">
        <f>IF(AND(U48="Preventivo",V48="Automático"),"50%",IF(AND(U48="Preventivo",V48="Manual"),"40%",IF(AND(U48="Detectivo",V48="Automático"),"40%",IF(AND(U48="Detectivo",V48="Manual"),"30%",IF(AND(U48="Correctivo",V48="Automático"),"35%",IF(AND(U48="Correctivo",V48="Manual"),"25%",""))))))</f>
        <v/>
      </c>
      <c r="X48" s="114"/>
      <c r="Y48" s="114"/>
      <c r="Z48" s="114"/>
      <c r="AA48" s="108" t="str">
        <f>IFERROR(IF(T48="Probabilidad",(L48-(+L48*W48)),IF(T48="Impacto",L48,"")),"")</f>
        <v/>
      </c>
      <c r="AB48" s="117" t="str">
        <f>IFERROR(IF(AA48="","",IF(AA48&lt;=0.2,"Muy Baja",IF(AA48&lt;=0.4,"Baja",IF(AA48&lt;=0.6,"Media",IF(AA48&lt;=0.8,"Alta","Muy Alta"))))),"")</f>
        <v/>
      </c>
      <c r="AC48" s="118" t="str">
        <f>+AA48</f>
        <v/>
      </c>
      <c r="AD48" s="117" t="str">
        <f>IFERROR(IF(AE48="","",IF(AE48&lt;=0.2,"Leve",IF(AE48&lt;=0.4,"Menor",IF(AE48&lt;=0.6,"Moderado",IF(AE48&lt;=0.8,"Mayor","Catastrófico"))))),"")</f>
        <v/>
      </c>
      <c r="AE48" s="118" t="str">
        <f>IFERROR(IF(T48="Impacto",(P48-(+P48*W48)),IF(T48="Probabilidad",P48,"")),"")</f>
        <v/>
      </c>
      <c r="AF48" s="119" t="str">
        <f>IFERROR(IF(OR(AND(AB48="Muy Baja",AD48="Leve"),AND(AB48="Muy Baja",AD48="Menor"),AND(AB48="Baja",AD48="Leve")),"Bajo",IF(OR(AND(AB48="Muy baja",AD48="Moderado"),AND(AB48="Baja",AD48="Menor"),AND(AB48="Baja",AD48="Moderado"),AND(AB48="Media",AD48="Leve"),AND(AB48="Media",AD48="Menor"),AND(AB48="Media",AD48="Moderado"),AND(AB48="Alta",AD48="Leve"),AND(AB48="Alta",AD48="Menor")),"Moderado",IF(OR(AND(AB48="Muy Baja",AD48="Mayor"),AND(AB48="Baja",AD48="Mayor"),AND(AB48="Media",AD48="Mayor"),AND(AB48="Alta",AD48="Moderado"),AND(AB48="Alta",AD48="Mayor"),AND(AB48="Muy Alta",AD48="Leve"),AND(AB48="Muy Alta",AD48="Menor"),AND(AB48="Muy Alta",AD48="Moderado"),AND(AB48="Muy Alta",AD48="Mayor")),"Alto",IF(OR(AND(AB48="Muy Baja",AD48="Catastrófico"),AND(AB48="Baja",AD48="Catastrófico"),AND(AB48="Media",AD48="Catastrófico"),AND(AB48="Alta",AD48="Catastrófico"),AND(AB48="Muy Alta",AD48="Catastrófico")),"Extremo","")))),"")</f>
        <v/>
      </c>
      <c r="AG48" s="120"/>
      <c r="AH48" s="109"/>
      <c r="AI48" s="110"/>
      <c r="AJ48" s="111"/>
      <c r="AK48" s="111"/>
      <c r="AL48" s="109"/>
      <c r="AM48" s="110"/>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row>
    <row r="49" spans="1:71" ht="26.25" customHeight="1" x14ac:dyDescent="0.25">
      <c r="A49" s="397"/>
      <c r="B49" s="418"/>
      <c r="C49" s="418"/>
      <c r="D49" s="418"/>
      <c r="E49" s="122"/>
      <c r="F49" s="437"/>
      <c r="G49" s="367"/>
      <c r="H49" s="125"/>
      <c r="I49" s="418"/>
      <c r="J49" s="415"/>
      <c r="K49" s="391"/>
      <c r="L49" s="388"/>
      <c r="M49" s="394"/>
      <c r="N49" s="388">
        <f>IF(NOT(ISERROR(MATCH(M49,_xlfn.ANCHORARRAY(F60),0))),L62&amp;"Por favor no seleccionar los criterios de impacto",M49)</f>
        <v>0</v>
      </c>
      <c r="O49" s="391"/>
      <c r="P49" s="388"/>
      <c r="Q49" s="385"/>
      <c r="R49" s="105">
        <v>2</v>
      </c>
      <c r="S49" s="106"/>
      <c r="T49" s="107" t="str">
        <f>IF(OR(U49="Preventivo",U49="Detectivo"),"Probabilidad",IF(U49="Correctivo","Impacto",""))</f>
        <v/>
      </c>
      <c r="U49" s="114"/>
      <c r="V49" s="114"/>
      <c r="W49" s="115" t="str">
        <f t="shared" ref="W49:W53" si="58">IF(AND(U49="Preventivo",V49="Automático"),"50%",IF(AND(U49="Preventivo",V49="Manual"),"40%",IF(AND(U49="Detectivo",V49="Automático"),"40%",IF(AND(U49="Detectivo",V49="Manual"),"30%",IF(AND(U49="Correctivo",V49="Automático"),"35%",IF(AND(U49="Correctivo",V49="Manual"),"25%",""))))))</f>
        <v/>
      </c>
      <c r="X49" s="114"/>
      <c r="Y49" s="114"/>
      <c r="Z49" s="114"/>
      <c r="AA49" s="108" t="str">
        <f>IFERROR(IF(AND(T48="Probabilidad",T49="Probabilidad"),(AC48-(+AC48*W49)),IF(AND(T48="Impacto",T49="Probabilidad"),(L48-(+L48*W49)),IF(T49="Impacto",AC48,""))),"")</f>
        <v/>
      </c>
      <c r="AB49" s="117" t="str">
        <f t="shared" ref="AB49:AB53" si="59">IFERROR(IF(AA49="","",IF(AA49&lt;=0.2,"Muy Baja",IF(AA49&lt;=0.4,"Baja",IF(AA49&lt;=0.6,"Media",IF(AA49&lt;=0.8,"Alta","Muy Alta"))))),"")</f>
        <v/>
      </c>
      <c r="AC49" s="118" t="str">
        <f>+AA49</f>
        <v/>
      </c>
      <c r="AD49" s="117" t="str">
        <f t="shared" ref="AD49:AD53" si="60">IFERROR(IF(AE49="","",IF(AE49&lt;=0.2,"Leve",IF(AE49&lt;=0.4,"Menor",IF(AE49&lt;=0.6,"Moderado",IF(AE49&lt;=0.8,"Mayor","Catastrófico"))))),"")</f>
        <v/>
      </c>
      <c r="AE49" s="118" t="str">
        <f>IFERROR(IF(AND(T48="Impacto",T49="Impacto"),(AE48-(+AE48*W49)),IF(AND(T48="Probabilidad",T49="Impacto"),(P48-(+P48*W49)),IF(T49="Probabilidad",AE48,""))),"")</f>
        <v/>
      </c>
      <c r="AF49" s="119" t="str">
        <f t="shared" ref="AF49:AF53" si="61">IFERROR(IF(OR(AND(AB49="Muy Baja",AD49="Leve"),AND(AB49="Muy Baja",AD49="Menor"),AND(AB49="Baja",AD49="Leve")),"Bajo",IF(OR(AND(AB49="Muy baja",AD49="Moderado"),AND(AB49="Baja",AD49="Menor"),AND(AB49="Baja",AD49="Moderado"),AND(AB49="Media",AD49="Leve"),AND(AB49="Media",AD49="Menor"),AND(AB49="Media",AD49="Moderado"),AND(AB49="Alta",AD49="Leve"),AND(AB49="Alta",AD49="Menor")),"Moderado",IF(OR(AND(AB49="Muy Baja",AD49="Mayor"),AND(AB49="Baja",AD49="Mayor"),AND(AB49="Media",AD49="Mayor"),AND(AB49="Alta",AD49="Moderado"),AND(AB49="Alta",AD49="Mayor"),AND(AB49="Muy Alta",AD49="Leve"),AND(AB49="Muy Alta",AD49="Menor"),AND(AB49="Muy Alta",AD49="Moderado"),AND(AB49="Muy Alta",AD49="Mayor")),"Alto",IF(OR(AND(AB49="Muy Baja",AD49="Catastrófico"),AND(AB49="Baja",AD49="Catastrófico"),AND(AB49="Media",AD49="Catastrófico"),AND(AB49="Alta",AD49="Catastrófico"),AND(AB49="Muy Alta",AD49="Catastrófico")),"Extremo","")))),"")</f>
        <v/>
      </c>
      <c r="AG49" s="120"/>
      <c r="AH49" s="109"/>
      <c r="AI49" s="110"/>
      <c r="AJ49" s="111"/>
      <c r="AK49" s="111"/>
      <c r="AL49" s="109"/>
      <c r="AM49" s="110"/>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row>
    <row r="50" spans="1:71" ht="26.25" customHeight="1" x14ac:dyDescent="0.25">
      <c r="A50" s="397"/>
      <c r="B50" s="418"/>
      <c r="C50" s="418"/>
      <c r="D50" s="418"/>
      <c r="E50" s="122"/>
      <c r="F50" s="437"/>
      <c r="G50" s="367"/>
      <c r="H50" s="125"/>
      <c r="I50" s="418"/>
      <c r="J50" s="415"/>
      <c r="K50" s="391"/>
      <c r="L50" s="388"/>
      <c r="M50" s="394"/>
      <c r="N50" s="388">
        <f>IF(NOT(ISERROR(MATCH(M50,_xlfn.ANCHORARRAY(F61),0))),L63&amp;"Por favor no seleccionar los criterios de impacto",M50)</f>
        <v>0</v>
      </c>
      <c r="O50" s="391"/>
      <c r="P50" s="388"/>
      <c r="Q50" s="385"/>
      <c r="R50" s="105">
        <v>3</v>
      </c>
      <c r="S50" s="112"/>
      <c r="T50" s="107" t="str">
        <f t="shared" ref="T50:T53" si="62">IF(OR(U50="Preventivo",U50="Detectivo"),"Probabilidad",IF(U50="Correctivo","Impacto",""))</f>
        <v/>
      </c>
      <c r="U50" s="114"/>
      <c r="V50" s="114"/>
      <c r="W50" s="115" t="str">
        <f t="shared" si="58"/>
        <v/>
      </c>
      <c r="X50" s="114"/>
      <c r="Y50" s="114"/>
      <c r="Z50" s="114"/>
      <c r="AA50" s="108" t="str">
        <f>IFERROR(IF(AND(T49="Probabilidad",T50="Probabilidad"),(AC49-(+AC49*W50)),IF(AND(T49="Impacto",T50="Probabilidad"),(AC48-(+AC48*W50)),IF(T50="Impacto",AC49,""))),"")</f>
        <v/>
      </c>
      <c r="AB50" s="117" t="str">
        <f t="shared" si="59"/>
        <v/>
      </c>
      <c r="AC50" s="118" t="str">
        <f t="shared" ref="AC50:AC53" si="63">+AA50</f>
        <v/>
      </c>
      <c r="AD50" s="117" t="str">
        <f t="shared" si="60"/>
        <v/>
      </c>
      <c r="AE50" s="118" t="str">
        <f t="shared" ref="AE50:AE53" si="64">IFERROR(IF(AND(T49="Impacto",T50="Impacto"),(AE49-(+AE49*W50)),IF(AND(T49="Probabilidad",T50="Impacto"),(AE48-(+AE48*W50)),IF(T50="Probabilidad",AE49,""))),"")</f>
        <v/>
      </c>
      <c r="AF50" s="119" t="str">
        <f t="shared" si="61"/>
        <v/>
      </c>
      <c r="AG50" s="120"/>
      <c r="AH50" s="109"/>
      <c r="AI50" s="110"/>
      <c r="AJ50" s="111"/>
      <c r="AK50" s="111"/>
      <c r="AL50" s="109"/>
      <c r="AM50" s="110"/>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row>
    <row r="51" spans="1:71" ht="26.25" customHeight="1" x14ac:dyDescent="0.25">
      <c r="A51" s="397"/>
      <c r="B51" s="418"/>
      <c r="C51" s="418"/>
      <c r="D51" s="418"/>
      <c r="E51" s="122"/>
      <c r="F51" s="437"/>
      <c r="G51" s="367"/>
      <c r="H51" s="125"/>
      <c r="I51" s="418"/>
      <c r="J51" s="415"/>
      <c r="K51" s="391"/>
      <c r="L51" s="388"/>
      <c r="M51" s="394"/>
      <c r="N51" s="388">
        <f>IF(NOT(ISERROR(MATCH(M51,_xlfn.ANCHORARRAY(F62),0))),L64&amp;"Por favor no seleccionar los criterios de impacto",M51)</f>
        <v>0</v>
      </c>
      <c r="O51" s="391"/>
      <c r="P51" s="388"/>
      <c r="Q51" s="385"/>
      <c r="R51" s="105">
        <v>4</v>
      </c>
      <c r="S51" s="106"/>
      <c r="T51" s="107" t="str">
        <f t="shared" si="62"/>
        <v/>
      </c>
      <c r="U51" s="114"/>
      <c r="V51" s="114"/>
      <c r="W51" s="115" t="str">
        <f t="shared" si="58"/>
        <v/>
      </c>
      <c r="X51" s="114"/>
      <c r="Y51" s="114"/>
      <c r="Z51" s="114"/>
      <c r="AA51" s="108" t="str">
        <f t="shared" ref="AA51:AA53" si="65">IFERROR(IF(AND(T50="Probabilidad",T51="Probabilidad"),(AC50-(+AC50*W51)),IF(AND(T50="Impacto",T51="Probabilidad"),(AC49-(+AC49*W51)),IF(T51="Impacto",AC50,""))),"")</f>
        <v/>
      </c>
      <c r="AB51" s="117" t="str">
        <f t="shared" si="59"/>
        <v/>
      </c>
      <c r="AC51" s="118" t="str">
        <f t="shared" si="63"/>
        <v/>
      </c>
      <c r="AD51" s="117" t="str">
        <f t="shared" si="60"/>
        <v/>
      </c>
      <c r="AE51" s="118" t="str">
        <f t="shared" si="64"/>
        <v/>
      </c>
      <c r="AF51" s="119" t="str">
        <f t="shared" si="61"/>
        <v/>
      </c>
      <c r="AG51" s="120"/>
      <c r="AH51" s="109"/>
      <c r="AI51" s="110"/>
      <c r="AJ51" s="111"/>
      <c r="AK51" s="111"/>
      <c r="AL51" s="109"/>
      <c r="AM51" s="110"/>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row>
    <row r="52" spans="1:71" ht="26.25" customHeight="1" x14ac:dyDescent="0.25">
      <c r="A52" s="397"/>
      <c r="B52" s="418"/>
      <c r="C52" s="418"/>
      <c r="D52" s="418"/>
      <c r="E52" s="122"/>
      <c r="F52" s="437"/>
      <c r="G52" s="367"/>
      <c r="H52" s="125"/>
      <c r="I52" s="418"/>
      <c r="J52" s="415"/>
      <c r="K52" s="391"/>
      <c r="L52" s="388"/>
      <c r="M52" s="394"/>
      <c r="N52" s="388">
        <f>IF(NOT(ISERROR(MATCH(M52,_xlfn.ANCHORARRAY(F63),0))),L65&amp;"Por favor no seleccionar los criterios de impacto",M52)</f>
        <v>0</v>
      </c>
      <c r="O52" s="391"/>
      <c r="P52" s="388"/>
      <c r="Q52" s="385"/>
      <c r="R52" s="105">
        <v>5</v>
      </c>
      <c r="S52" s="106"/>
      <c r="T52" s="107" t="str">
        <f t="shared" si="62"/>
        <v/>
      </c>
      <c r="U52" s="114"/>
      <c r="V52" s="114"/>
      <c r="W52" s="115" t="str">
        <f t="shared" si="58"/>
        <v/>
      </c>
      <c r="X52" s="114"/>
      <c r="Y52" s="114"/>
      <c r="Z52" s="114"/>
      <c r="AA52" s="108" t="str">
        <f t="shared" si="65"/>
        <v/>
      </c>
      <c r="AB52" s="117" t="str">
        <f t="shared" si="59"/>
        <v/>
      </c>
      <c r="AC52" s="118" t="str">
        <f t="shared" si="63"/>
        <v/>
      </c>
      <c r="AD52" s="117" t="str">
        <f t="shared" si="60"/>
        <v/>
      </c>
      <c r="AE52" s="118" t="str">
        <f t="shared" si="64"/>
        <v/>
      </c>
      <c r="AF52" s="119" t="str">
        <f t="shared" si="61"/>
        <v/>
      </c>
      <c r="AG52" s="120"/>
      <c r="AH52" s="109"/>
      <c r="AI52" s="110"/>
      <c r="AJ52" s="111"/>
      <c r="AK52" s="111"/>
      <c r="AL52" s="109"/>
      <c r="AM52" s="110"/>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row>
    <row r="53" spans="1:71" ht="26.25" customHeight="1" x14ac:dyDescent="0.25">
      <c r="A53" s="435"/>
      <c r="B53" s="419"/>
      <c r="C53" s="419"/>
      <c r="D53" s="419"/>
      <c r="E53" s="123"/>
      <c r="F53" s="438"/>
      <c r="G53" s="368"/>
      <c r="H53" s="126"/>
      <c r="I53" s="419"/>
      <c r="J53" s="416"/>
      <c r="K53" s="392"/>
      <c r="L53" s="389"/>
      <c r="M53" s="395"/>
      <c r="N53" s="389">
        <f>IF(NOT(ISERROR(MATCH(M53,_xlfn.ANCHORARRAY(F64),0))),L66&amp;"Por favor no seleccionar los criterios de impacto",M53)</f>
        <v>0</v>
      </c>
      <c r="O53" s="392"/>
      <c r="P53" s="389"/>
      <c r="Q53" s="386"/>
      <c r="R53" s="105">
        <v>6</v>
      </c>
      <c r="S53" s="106"/>
      <c r="T53" s="107" t="str">
        <f t="shared" si="62"/>
        <v/>
      </c>
      <c r="U53" s="114"/>
      <c r="V53" s="114"/>
      <c r="W53" s="115" t="str">
        <f t="shared" si="58"/>
        <v/>
      </c>
      <c r="X53" s="114"/>
      <c r="Y53" s="114"/>
      <c r="Z53" s="114"/>
      <c r="AA53" s="108" t="str">
        <f t="shared" si="65"/>
        <v/>
      </c>
      <c r="AB53" s="117" t="str">
        <f t="shared" si="59"/>
        <v/>
      </c>
      <c r="AC53" s="118" t="str">
        <f t="shared" si="63"/>
        <v/>
      </c>
      <c r="AD53" s="117" t="str">
        <f t="shared" si="60"/>
        <v/>
      </c>
      <c r="AE53" s="118" t="str">
        <f t="shared" si="64"/>
        <v/>
      </c>
      <c r="AF53" s="119" t="str">
        <f t="shared" si="61"/>
        <v/>
      </c>
      <c r="AG53" s="120"/>
      <c r="AH53" s="109"/>
      <c r="AI53" s="110"/>
      <c r="AJ53" s="111"/>
      <c r="AK53" s="111"/>
      <c r="AL53" s="109"/>
      <c r="AM53" s="110"/>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row>
    <row r="54" spans="1:71" ht="26.25" customHeight="1" x14ac:dyDescent="0.25">
      <c r="A54" s="396">
        <v>9</v>
      </c>
      <c r="B54" s="417"/>
      <c r="C54" s="417"/>
      <c r="D54" s="417"/>
      <c r="E54" s="121"/>
      <c r="F54" s="436"/>
      <c r="G54" s="366"/>
      <c r="H54" s="124"/>
      <c r="I54" s="417"/>
      <c r="J54" s="414"/>
      <c r="K54" s="390" t="str">
        <f t="shared" ref="K54" si="66">IF(J54&lt;=0,"",IF(J54&lt;=2,"Muy Baja",IF(J54&lt;=24,"Baja",IF(J54&lt;=500,"Media",IF(J54&lt;=5000,"Alta","Muy Alta")))))</f>
        <v/>
      </c>
      <c r="L54" s="387" t="str">
        <f t="shared" ref="L54" si="67">IF(K54="","",IF(K54="Muy Baja",0.2,IF(K54="Baja",0.4,IF(K54="Media",0.6,IF(K54="Alta",0.8,IF(K54="Muy Alta",1,))))))</f>
        <v/>
      </c>
      <c r="M54" s="393"/>
      <c r="N54" s="387">
        <f>IF(NOT(ISERROR(MATCH(M54,'Tabla Impacto'!$B$221:$B$223,0))),'Tabla Impacto'!$F$223&amp;"Por favor no seleccionar los criterios de impacto(Afectación Económica o presupuestal y Pérdida Reputacional)",M54)</f>
        <v>0</v>
      </c>
      <c r="O54" s="390" t="str">
        <f>IF(OR(N54='Tabla Impacto'!$C$11,N54='Tabla Impacto'!$D$11),"Leve",IF(OR(N54='Tabla Impacto'!$C$12,N54='Tabla Impacto'!$D$12),"Menor",IF(OR(N54='Tabla Impacto'!$C$13,N54='Tabla Impacto'!$D$13),"Moderado",IF(OR(N54='Tabla Impacto'!$C$14,N54='Tabla Impacto'!$D$14),"Mayor",IF(OR(N54='Tabla Impacto'!$C$15,N54='Tabla Impacto'!$D$15),"Catastrófico","")))))</f>
        <v/>
      </c>
      <c r="P54" s="387" t="str">
        <f t="shared" ref="P54" si="68">IF(O54="","",IF(O54="Leve",0.2,IF(O54="Menor",0.4,IF(O54="Moderado",0.6,IF(O54="Mayor",0.8,IF(O54="Catastrófico",1,))))))</f>
        <v/>
      </c>
      <c r="Q54" s="384" t="str">
        <f t="shared" ref="Q54" si="69">IF(OR(AND(K54="Muy Baja",O54="Leve"),AND(K54="Muy Baja",O54="Menor"),AND(K54="Baja",O54="Leve")),"Bajo",IF(OR(AND(K54="Muy baja",O54="Moderado"),AND(K54="Baja",O54="Menor"),AND(K54="Baja",O54="Moderado"),AND(K54="Media",O54="Leve"),AND(K54="Media",O54="Menor"),AND(K54="Media",O54="Moderado"),AND(K54="Alta",O54="Leve"),AND(K54="Alta",O54="Menor")),"Moderado",IF(OR(AND(K54="Muy Baja",O54="Mayor"),AND(K54="Baja",O54="Mayor"),AND(K54="Media",O54="Mayor"),AND(K54="Alta",O54="Moderado"),AND(K54="Alta",O54="Mayor"),AND(K54="Muy Alta",O54="Leve"),AND(K54="Muy Alta",O54="Menor"),AND(K54="Muy Alta",O54="Moderado"),AND(K54="Muy Alta",O54="Mayor")),"Alto",IF(OR(AND(K54="Muy Baja",O54="Catastrófico"),AND(K54="Baja",O54="Catastrófico"),AND(K54="Media",O54="Catastrófico"),AND(K54="Alta",O54="Catastrófico"),AND(K54="Muy Alta",O54="Catastrófico")),"Extremo",""))))</f>
        <v/>
      </c>
      <c r="R54" s="105">
        <v>1</v>
      </c>
      <c r="S54" s="106"/>
      <c r="T54" s="107" t="str">
        <f>IF(OR(U54="Preventivo",U54="Detectivo"),"Probabilidad",IF(U54="Correctivo","Impacto",""))</f>
        <v/>
      </c>
      <c r="U54" s="114"/>
      <c r="V54" s="114"/>
      <c r="W54" s="115" t="str">
        <f>IF(AND(U54="Preventivo",V54="Automático"),"50%",IF(AND(U54="Preventivo",V54="Manual"),"40%",IF(AND(U54="Detectivo",V54="Automático"),"40%",IF(AND(U54="Detectivo",V54="Manual"),"30%",IF(AND(U54="Correctivo",V54="Automático"),"35%",IF(AND(U54="Correctivo",V54="Manual"),"25%",""))))))</f>
        <v/>
      </c>
      <c r="X54" s="114"/>
      <c r="Y54" s="114"/>
      <c r="Z54" s="114"/>
      <c r="AA54" s="108" t="str">
        <f>IFERROR(IF(T54="Probabilidad",(L54-(+L54*W54)),IF(T54="Impacto",L54,"")),"")</f>
        <v/>
      </c>
      <c r="AB54" s="117" t="str">
        <f>IFERROR(IF(AA54="","",IF(AA54&lt;=0.2,"Muy Baja",IF(AA54&lt;=0.4,"Baja",IF(AA54&lt;=0.6,"Media",IF(AA54&lt;=0.8,"Alta","Muy Alta"))))),"")</f>
        <v/>
      </c>
      <c r="AC54" s="118" t="str">
        <f>+AA54</f>
        <v/>
      </c>
      <c r="AD54" s="117" t="str">
        <f>IFERROR(IF(AE54="","",IF(AE54&lt;=0.2,"Leve",IF(AE54&lt;=0.4,"Menor",IF(AE54&lt;=0.6,"Moderado",IF(AE54&lt;=0.8,"Mayor","Catastrófico"))))),"")</f>
        <v/>
      </c>
      <c r="AE54" s="118" t="str">
        <f>IFERROR(IF(T54="Impacto",(P54-(+P54*W54)),IF(T54="Probabilidad",P54,"")),"")</f>
        <v/>
      </c>
      <c r="AF54" s="119" t="str">
        <f>IFERROR(IF(OR(AND(AB54="Muy Baja",AD54="Leve"),AND(AB54="Muy Baja",AD54="Menor"),AND(AB54="Baja",AD54="Leve")),"Bajo",IF(OR(AND(AB54="Muy baja",AD54="Moderado"),AND(AB54="Baja",AD54="Menor"),AND(AB54="Baja",AD54="Moderado"),AND(AB54="Media",AD54="Leve"),AND(AB54="Media",AD54="Menor"),AND(AB54="Media",AD54="Moderado"),AND(AB54="Alta",AD54="Leve"),AND(AB54="Alta",AD54="Menor")),"Moderado",IF(OR(AND(AB54="Muy Baja",AD54="Mayor"),AND(AB54="Baja",AD54="Mayor"),AND(AB54="Media",AD54="Mayor"),AND(AB54="Alta",AD54="Moderado"),AND(AB54="Alta",AD54="Mayor"),AND(AB54="Muy Alta",AD54="Leve"),AND(AB54="Muy Alta",AD54="Menor"),AND(AB54="Muy Alta",AD54="Moderado"),AND(AB54="Muy Alta",AD54="Mayor")),"Alto",IF(OR(AND(AB54="Muy Baja",AD54="Catastrófico"),AND(AB54="Baja",AD54="Catastrófico"),AND(AB54="Media",AD54="Catastrófico"),AND(AB54="Alta",AD54="Catastrófico"),AND(AB54="Muy Alta",AD54="Catastrófico")),"Extremo","")))),"")</f>
        <v/>
      </c>
      <c r="AG54" s="120"/>
      <c r="AH54" s="109"/>
      <c r="AI54" s="110"/>
      <c r="AJ54" s="111"/>
      <c r="AK54" s="111"/>
      <c r="AL54" s="109"/>
      <c r="AM54" s="110"/>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row>
    <row r="55" spans="1:71" ht="26.25" customHeight="1" x14ac:dyDescent="0.25">
      <c r="A55" s="397"/>
      <c r="B55" s="418"/>
      <c r="C55" s="418"/>
      <c r="D55" s="418"/>
      <c r="E55" s="122"/>
      <c r="F55" s="437"/>
      <c r="G55" s="367"/>
      <c r="H55" s="125"/>
      <c r="I55" s="418"/>
      <c r="J55" s="415"/>
      <c r="K55" s="391"/>
      <c r="L55" s="388"/>
      <c r="M55" s="394"/>
      <c r="N55" s="388">
        <f>IF(NOT(ISERROR(MATCH(M55,_xlfn.ANCHORARRAY(F66),0))),L68&amp;"Por favor no seleccionar los criterios de impacto",M55)</f>
        <v>0</v>
      </c>
      <c r="O55" s="391"/>
      <c r="P55" s="388"/>
      <c r="Q55" s="385"/>
      <c r="R55" s="105">
        <v>2</v>
      </c>
      <c r="S55" s="106"/>
      <c r="T55" s="107" t="str">
        <f>IF(OR(U55="Preventivo",U55="Detectivo"),"Probabilidad",IF(U55="Correctivo","Impacto",""))</f>
        <v/>
      </c>
      <c r="U55" s="114"/>
      <c r="V55" s="114"/>
      <c r="W55" s="115" t="str">
        <f t="shared" ref="W55:W59" si="70">IF(AND(U55="Preventivo",V55="Automático"),"50%",IF(AND(U55="Preventivo",V55="Manual"),"40%",IF(AND(U55="Detectivo",V55="Automático"),"40%",IF(AND(U55="Detectivo",V55="Manual"),"30%",IF(AND(U55="Correctivo",V55="Automático"),"35%",IF(AND(U55="Correctivo",V55="Manual"),"25%",""))))))</f>
        <v/>
      </c>
      <c r="X55" s="114"/>
      <c r="Y55" s="114"/>
      <c r="Z55" s="114"/>
      <c r="AA55" s="108" t="str">
        <f>IFERROR(IF(AND(T54="Probabilidad",T55="Probabilidad"),(AC54-(+AC54*W55)),IF(AND(T54="Impacto",T55="Probabilidad"),(L54-(+L54*W55)),IF(T55="Impacto",AC54,""))),"")</f>
        <v/>
      </c>
      <c r="AB55" s="117" t="str">
        <f t="shared" ref="AB55:AB59" si="71">IFERROR(IF(AA55="","",IF(AA55&lt;=0.2,"Muy Baja",IF(AA55&lt;=0.4,"Baja",IF(AA55&lt;=0.6,"Media",IF(AA55&lt;=0.8,"Alta","Muy Alta"))))),"")</f>
        <v/>
      </c>
      <c r="AC55" s="118" t="str">
        <f>+AA55</f>
        <v/>
      </c>
      <c r="AD55" s="117" t="str">
        <f t="shared" ref="AD55:AD59" si="72">IFERROR(IF(AE55="","",IF(AE55&lt;=0.2,"Leve",IF(AE55&lt;=0.4,"Menor",IF(AE55&lt;=0.6,"Moderado",IF(AE55&lt;=0.8,"Mayor","Catastrófico"))))),"")</f>
        <v/>
      </c>
      <c r="AE55" s="118" t="str">
        <f>IFERROR(IF(AND(T54="Impacto",T55="Impacto"),(AE54-(+AE54*W55)),IF(AND(T54="Probabilidad",T55="Impacto"),(P54-(+P54*W55)),IF(T55="Probabilidad",AE54,""))),"")</f>
        <v/>
      </c>
      <c r="AF55" s="119" t="str">
        <f t="shared" ref="AF55:AF59" si="73">IFERROR(IF(OR(AND(AB55="Muy Baja",AD55="Leve"),AND(AB55="Muy Baja",AD55="Menor"),AND(AB55="Baja",AD55="Leve")),"Bajo",IF(OR(AND(AB55="Muy baja",AD55="Moderado"),AND(AB55="Baja",AD55="Menor"),AND(AB55="Baja",AD55="Moderado"),AND(AB55="Media",AD55="Leve"),AND(AB55="Media",AD55="Menor"),AND(AB55="Media",AD55="Moderado"),AND(AB55="Alta",AD55="Leve"),AND(AB55="Alta",AD55="Menor")),"Moderado",IF(OR(AND(AB55="Muy Baja",AD55="Mayor"),AND(AB55="Baja",AD55="Mayor"),AND(AB55="Media",AD55="Mayor"),AND(AB55="Alta",AD55="Moderado"),AND(AB55="Alta",AD55="Mayor"),AND(AB55="Muy Alta",AD55="Leve"),AND(AB55="Muy Alta",AD55="Menor"),AND(AB55="Muy Alta",AD55="Moderado"),AND(AB55="Muy Alta",AD55="Mayor")),"Alto",IF(OR(AND(AB55="Muy Baja",AD55="Catastrófico"),AND(AB55="Baja",AD55="Catastrófico"),AND(AB55="Media",AD55="Catastrófico"),AND(AB55="Alta",AD55="Catastrófico"),AND(AB55="Muy Alta",AD55="Catastrófico")),"Extremo","")))),"")</f>
        <v/>
      </c>
      <c r="AG55" s="120"/>
      <c r="AH55" s="109"/>
      <c r="AI55" s="110"/>
      <c r="AJ55" s="111"/>
      <c r="AK55" s="111"/>
      <c r="AL55" s="109"/>
      <c r="AM55" s="110"/>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row>
    <row r="56" spans="1:71" ht="26.25" customHeight="1" x14ac:dyDescent="0.25">
      <c r="A56" s="397"/>
      <c r="B56" s="418"/>
      <c r="C56" s="418"/>
      <c r="D56" s="418"/>
      <c r="E56" s="122"/>
      <c r="F56" s="437"/>
      <c r="G56" s="367"/>
      <c r="H56" s="125"/>
      <c r="I56" s="418"/>
      <c r="J56" s="415"/>
      <c r="K56" s="391"/>
      <c r="L56" s="388"/>
      <c r="M56" s="394"/>
      <c r="N56" s="388">
        <f>IF(NOT(ISERROR(MATCH(M56,_xlfn.ANCHORARRAY(F67),0))),L69&amp;"Por favor no seleccionar los criterios de impacto",M56)</f>
        <v>0</v>
      </c>
      <c r="O56" s="391"/>
      <c r="P56" s="388"/>
      <c r="Q56" s="385"/>
      <c r="R56" s="105">
        <v>3</v>
      </c>
      <c r="S56" s="112"/>
      <c r="T56" s="107" t="str">
        <f t="shared" ref="T56:T59" si="74">IF(OR(U56="Preventivo",U56="Detectivo"),"Probabilidad",IF(U56="Correctivo","Impacto",""))</f>
        <v/>
      </c>
      <c r="U56" s="114"/>
      <c r="V56" s="114"/>
      <c r="W56" s="115" t="str">
        <f t="shared" si="70"/>
        <v/>
      </c>
      <c r="X56" s="114"/>
      <c r="Y56" s="114"/>
      <c r="Z56" s="114"/>
      <c r="AA56" s="108" t="str">
        <f>IFERROR(IF(AND(T55="Probabilidad",T56="Probabilidad"),(AC55-(+AC55*W56)),IF(AND(T55="Impacto",T56="Probabilidad"),(AC54-(+AC54*W56)),IF(T56="Impacto",AC55,""))),"")</f>
        <v/>
      </c>
      <c r="AB56" s="117" t="str">
        <f t="shared" si="71"/>
        <v/>
      </c>
      <c r="AC56" s="118" t="str">
        <f t="shared" ref="AC56:AC59" si="75">+AA56</f>
        <v/>
      </c>
      <c r="AD56" s="117" t="str">
        <f t="shared" si="72"/>
        <v/>
      </c>
      <c r="AE56" s="118" t="str">
        <f t="shared" ref="AE56:AE59" si="76">IFERROR(IF(AND(T55="Impacto",T56="Impacto"),(AE55-(+AE55*W56)),IF(AND(T55="Probabilidad",T56="Impacto"),(AE54-(+AE54*W56)),IF(T56="Probabilidad",AE55,""))),"")</f>
        <v/>
      </c>
      <c r="AF56" s="119" t="str">
        <f t="shared" si="73"/>
        <v/>
      </c>
      <c r="AG56" s="120"/>
      <c r="AH56" s="109"/>
      <c r="AI56" s="110"/>
      <c r="AJ56" s="111"/>
      <c r="AK56" s="111"/>
      <c r="AL56" s="109"/>
      <c r="AM56" s="110"/>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row>
    <row r="57" spans="1:71" ht="26.25" customHeight="1" x14ac:dyDescent="0.25">
      <c r="A57" s="397"/>
      <c r="B57" s="418"/>
      <c r="C57" s="418"/>
      <c r="D57" s="418"/>
      <c r="E57" s="122"/>
      <c r="F57" s="437"/>
      <c r="G57" s="367"/>
      <c r="H57" s="125"/>
      <c r="I57" s="418"/>
      <c r="J57" s="415"/>
      <c r="K57" s="391"/>
      <c r="L57" s="388"/>
      <c r="M57" s="394"/>
      <c r="N57" s="388">
        <f>IF(NOT(ISERROR(MATCH(M57,_xlfn.ANCHORARRAY(F68),0))),L70&amp;"Por favor no seleccionar los criterios de impacto",M57)</f>
        <v>0</v>
      </c>
      <c r="O57" s="391"/>
      <c r="P57" s="388"/>
      <c r="Q57" s="385"/>
      <c r="R57" s="105">
        <v>4</v>
      </c>
      <c r="S57" s="106"/>
      <c r="T57" s="107" t="str">
        <f t="shared" si="74"/>
        <v/>
      </c>
      <c r="U57" s="114"/>
      <c r="V57" s="114"/>
      <c r="W57" s="115" t="str">
        <f t="shared" si="70"/>
        <v/>
      </c>
      <c r="X57" s="114"/>
      <c r="Y57" s="114"/>
      <c r="Z57" s="114"/>
      <c r="AA57" s="108" t="str">
        <f t="shared" ref="AA57:AA59" si="77">IFERROR(IF(AND(T56="Probabilidad",T57="Probabilidad"),(AC56-(+AC56*W57)),IF(AND(T56="Impacto",T57="Probabilidad"),(AC55-(+AC55*W57)),IF(T57="Impacto",AC56,""))),"")</f>
        <v/>
      </c>
      <c r="AB57" s="117" t="str">
        <f t="shared" si="71"/>
        <v/>
      </c>
      <c r="AC57" s="118" t="str">
        <f t="shared" si="75"/>
        <v/>
      </c>
      <c r="AD57" s="117" t="str">
        <f t="shared" si="72"/>
        <v/>
      </c>
      <c r="AE57" s="118" t="str">
        <f t="shared" si="76"/>
        <v/>
      </c>
      <c r="AF57" s="119" t="str">
        <f t="shared" si="73"/>
        <v/>
      </c>
      <c r="AG57" s="120"/>
      <c r="AH57" s="109"/>
      <c r="AI57" s="110"/>
      <c r="AJ57" s="111"/>
      <c r="AK57" s="111"/>
      <c r="AL57" s="109"/>
      <c r="AM57" s="110"/>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row>
    <row r="58" spans="1:71" ht="26.25" customHeight="1" x14ac:dyDescent="0.25">
      <c r="A58" s="397"/>
      <c r="B58" s="418"/>
      <c r="C58" s="418"/>
      <c r="D58" s="418"/>
      <c r="E58" s="122"/>
      <c r="F58" s="437"/>
      <c r="G58" s="367"/>
      <c r="H58" s="125"/>
      <c r="I58" s="418"/>
      <c r="J58" s="415"/>
      <c r="K58" s="391"/>
      <c r="L58" s="388"/>
      <c r="M58" s="394"/>
      <c r="N58" s="388">
        <f>IF(NOT(ISERROR(MATCH(M58,_xlfn.ANCHORARRAY(F69),0))),L71&amp;"Por favor no seleccionar los criterios de impacto",M58)</f>
        <v>0</v>
      </c>
      <c r="O58" s="391"/>
      <c r="P58" s="388"/>
      <c r="Q58" s="385"/>
      <c r="R58" s="105">
        <v>5</v>
      </c>
      <c r="S58" s="106"/>
      <c r="T58" s="107" t="str">
        <f t="shared" si="74"/>
        <v/>
      </c>
      <c r="U58" s="114"/>
      <c r="V58" s="114"/>
      <c r="W58" s="115" t="str">
        <f t="shared" si="70"/>
        <v/>
      </c>
      <c r="X58" s="114"/>
      <c r="Y58" s="114"/>
      <c r="Z58" s="114"/>
      <c r="AA58" s="108" t="str">
        <f t="shared" si="77"/>
        <v/>
      </c>
      <c r="AB58" s="117" t="str">
        <f t="shared" si="71"/>
        <v/>
      </c>
      <c r="AC58" s="118" t="str">
        <f t="shared" si="75"/>
        <v/>
      </c>
      <c r="AD58" s="117" t="str">
        <f t="shared" si="72"/>
        <v/>
      </c>
      <c r="AE58" s="118" t="str">
        <f t="shared" si="76"/>
        <v/>
      </c>
      <c r="AF58" s="119" t="str">
        <f t="shared" si="73"/>
        <v/>
      </c>
      <c r="AG58" s="120"/>
      <c r="AH58" s="109"/>
      <c r="AI58" s="110"/>
      <c r="AJ58" s="111"/>
      <c r="AK58" s="111"/>
      <c r="AL58" s="109"/>
      <c r="AM58" s="110"/>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row>
    <row r="59" spans="1:71" ht="26.25" customHeight="1" x14ac:dyDescent="0.25">
      <c r="A59" s="435"/>
      <c r="B59" s="419"/>
      <c r="C59" s="419"/>
      <c r="D59" s="419"/>
      <c r="E59" s="123"/>
      <c r="F59" s="438"/>
      <c r="G59" s="368"/>
      <c r="H59" s="126"/>
      <c r="I59" s="419"/>
      <c r="J59" s="416"/>
      <c r="K59" s="392"/>
      <c r="L59" s="389"/>
      <c r="M59" s="395"/>
      <c r="N59" s="389">
        <f>IF(NOT(ISERROR(MATCH(M59,_xlfn.ANCHORARRAY(F70),0))),L72&amp;"Por favor no seleccionar los criterios de impacto",M59)</f>
        <v>0</v>
      </c>
      <c r="O59" s="392"/>
      <c r="P59" s="389"/>
      <c r="Q59" s="386"/>
      <c r="R59" s="105">
        <v>6</v>
      </c>
      <c r="S59" s="106"/>
      <c r="T59" s="107" t="str">
        <f t="shared" si="74"/>
        <v/>
      </c>
      <c r="U59" s="114"/>
      <c r="V59" s="114"/>
      <c r="W59" s="115" t="str">
        <f t="shared" si="70"/>
        <v/>
      </c>
      <c r="X59" s="114"/>
      <c r="Y59" s="114"/>
      <c r="Z59" s="114"/>
      <c r="AA59" s="108" t="str">
        <f t="shared" si="77"/>
        <v/>
      </c>
      <c r="AB59" s="117" t="str">
        <f t="shared" si="71"/>
        <v/>
      </c>
      <c r="AC59" s="118" t="str">
        <f t="shared" si="75"/>
        <v/>
      </c>
      <c r="AD59" s="117" t="str">
        <f t="shared" si="72"/>
        <v/>
      </c>
      <c r="AE59" s="118" t="str">
        <f t="shared" si="76"/>
        <v/>
      </c>
      <c r="AF59" s="119" t="str">
        <f t="shared" si="73"/>
        <v/>
      </c>
      <c r="AG59" s="120"/>
      <c r="AH59" s="109"/>
      <c r="AI59" s="110"/>
      <c r="AJ59" s="111"/>
      <c r="AK59" s="111"/>
      <c r="AL59" s="109"/>
      <c r="AM59" s="110"/>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row>
    <row r="60" spans="1:71" ht="19.5" customHeight="1" x14ac:dyDescent="0.25">
      <c r="A60" s="396">
        <v>10</v>
      </c>
      <c r="B60" s="417"/>
      <c r="C60" s="417"/>
      <c r="D60" s="417"/>
      <c r="E60" s="121"/>
      <c r="F60" s="436"/>
      <c r="G60" s="366"/>
      <c r="H60" s="124"/>
      <c r="I60" s="417"/>
      <c r="J60" s="414"/>
      <c r="K60" s="390" t="str">
        <f t="shared" ref="K60" si="78">IF(J60&lt;=0,"",IF(J60&lt;=2,"Muy Baja",IF(J60&lt;=24,"Baja",IF(J60&lt;=500,"Media",IF(J60&lt;=5000,"Alta","Muy Alta")))))</f>
        <v/>
      </c>
      <c r="L60" s="387" t="str">
        <f t="shared" ref="L60" si="79">IF(K60="","",IF(K60="Muy Baja",0.2,IF(K60="Baja",0.4,IF(K60="Media",0.6,IF(K60="Alta",0.8,IF(K60="Muy Alta",1,))))))</f>
        <v/>
      </c>
      <c r="M60" s="393"/>
      <c r="N60" s="387">
        <f>IF(NOT(ISERROR(MATCH(M60,'Tabla Impacto'!$B$221:$B$223,0))),'Tabla Impacto'!$F$223&amp;"Por favor no seleccionar los criterios de impacto(Afectación Económica o presupuestal y Pérdida Reputacional)",M60)</f>
        <v>0</v>
      </c>
      <c r="O60" s="390" t="str">
        <f>IF(OR(N60='Tabla Impacto'!$C$11,N60='Tabla Impacto'!$D$11),"Leve",IF(OR(N60='Tabla Impacto'!$C$12,N60='Tabla Impacto'!$D$12),"Menor",IF(OR(N60='Tabla Impacto'!$C$13,N60='Tabla Impacto'!$D$13),"Moderado",IF(OR(N60='Tabla Impacto'!$C$14,N60='Tabla Impacto'!$D$14),"Mayor",IF(OR(N60='Tabla Impacto'!$C$15,N60='Tabla Impacto'!$D$15),"Catastrófico","")))))</f>
        <v/>
      </c>
      <c r="P60" s="387" t="str">
        <f t="shared" ref="P60" si="80">IF(O60="","",IF(O60="Leve",0.2,IF(O60="Menor",0.4,IF(O60="Moderado",0.6,IF(O60="Mayor",0.8,IF(O60="Catastrófico",1,))))))</f>
        <v/>
      </c>
      <c r="Q60" s="384" t="str">
        <f t="shared" ref="Q60" si="81">IF(OR(AND(K60="Muy Baja",O60="Leve"),AND(K60="Muy Baja",O60="Menor"),AND(K60="Baja",O60="Leve")),"Bajo",IF(OR(AND(K60="Muy baja",O60="Moderado"),AND(K60="Baja",O60="Menor"),AND(K60="Baja",O60="Moderado"),AND(K60="Media",O60="Leve"),AND(K60="Media",O60="Menor"),AND(K60="Media",O60="Moderado"),AND(K60="Alta",O60="Leve"),AND(K60="Alta",O60="Menor")),"Moderado",IF(OR(AND(K60="Muy Baja",O60="Mayor"),AND(K60="Baja",O60="Mayor"),AND(K60="Media",O60="Mayor"),AND(K60="Alta",O60="Moderado"),AND(K60="Alta",O60="Mayor"),AND(K60="Muy Alta",O60="Leve"),AND(K60="Muy Alta",O60="Menor"),AND(K60="Muy Alta",O60="Moderado"),AND(K60="Muy Alta",O60="Mayor")),"Alto",IF(OR(AND(K60="Muy Baja",O60="Catastrófico"),AND(K60="Baja",O60="Catastrófico"),AND(K60="Media",O60="Catastrófico"),AND(K60="Alta",O60="Catastrófico"),AND(K60="Muy Alta",O60="Catastrófico")),"Extremo",""))))</f>
        <v/>
      </c>
      <c r="R60" s="105">
        <v>1</v>
      </c>
      <c r="S60" s="106"/>
      <c r="T60" s="107" t="str">
        <f>IF(OR(U60="Preventivo",U60="Detectivo"),"Probabilidad",IF(U60="Correctivo","Impacto",""))</f>
        <v/>
      </c>
      <c r="U60" s="114"/>
      <c r="V60" s="114"/>
      <c r="W60" s="115" t="str">
        <f>IF(AND(U60="Preventivo",V60="Automático"),"50%",IF(AND(U60="Preventivo",V60="Manual"),"40%",IF(AND(U60="Detectivo",V60="Automático"),"40%",IF(AND(U60="Detectivo",V60="Manual"),"30%",IF(AND(U60="Correctivo",V60="Automático"),"35%",IF(AND(U60="Correctivo",V60="Manual"),"25%",""))))))</f>
        <v/>
      </c>
      <c r="X60" s="114"/>
      <c r="Y60" s="114"/>
      <c r="Z60" s="114"/>
      <c r="AA60" s="108" t="str">
        <f>IFERROR(IF(T60="Probabilidad",(L60-(+L60*W60)),IF(T60="Impacto",L60,"")),"")</f>
        <v/>
      </c>
      <c r="AB60" s="117" t="str">
        <f>IFERROR(IF(AA60="","",IF(AA60&lt;=0.2,"Muy Baja",IF(AA60&lt;=0.4,"Baja",IF(AA60&lt;=0.6,"Media",IF(AA60&lt;=0.8,"Alta","Muy Alta"))))),"")</f>
        <v/>
      </c>
      <c r="AC60" s="118" t="str">
        <f>+AA60</f>
        <v/>
      </c>
      <c r="AD60" s="117" t="str">
        <f>IFERROR(IF(AE60="","",IF(AE60&lt;=0.2,"Leve",IF(AE60&lt;=0.4,"Menor",IF(AE60&lt;=0.6,"Moderado",IF(AE60&lt;=0.8,"Mayor","Catastrófico"))))),"")</f>
        <v/>
      </c>
      <c r="AE60" s="118" t="str">
        <f>IFERROR(IF(T60="Impacto",(P60-(+P60*W60)),IF(T60="Probabilidad",P60,"")),"")</f>
        <v/>
      </c>
      <c r="AF60" s="119" t="str">
        <f>IFERROR(IF(OR(AND(AB60="Muy Baja",AD60="Leve"),AND(AB60="Muy Baja",AD60="Menor"),AND(AB60="Baja",AD60="Leve")),"Bajo",IF(OR(AND(AB60="Muy baja",AD60="Moderado"),AND(AB60="Baja",AD60="Menor"),AND(AB60="Baja",AD60="Moderado"),AND(AB60="Media",AD60="Leve"),AND(AB60="Media",AD60="Menor"),AND(AB60="Media",AD60="Moderado"),AND(AB60="Alta",AD60="Leve"),AND(AB60="Alta",AD60="Menor")),"Moderado",IF(OR(AND(AB60="Muy Baja",AD60="Mayor"),AND(AB60="Baja",AD60="Mayor"),AND(AB60="Media",AD60="Mayor"),AND(AB60="Alta",AD60="Moderado"),AND(AB60="Alta",AD60="Mayor"),AND(AB60="Muy Alta",AD60="Leve"),AND(AB60="Muy Alta",AD60="Menor"),AND(AB60="Muy Alta",AD60="Moderado"),AND(AB60="Muy Alta",AD60="Mayor")),"Alto",IF(OR(AND(AB60="Muy Baja",AD60="Catastrófico"),AND(AB60="Baja",AD60="Catastrófico"),AND(AB60="Media",AD60="Catastrófico"),AND(AB60="Alta",AD60="Catastrófico"),AND(AB60="Muy Alta",AD60="Catastrófico")),"Extremo","")))),"")</f>
        <v/>
      </c>
      <c r="AG60" s="120"/>
      <c r="AH60" s="109"/>
      <c r="AI60" s="110"/>
      <c r="AJ60" s="111"/>
      <c r="AK60" s="111"/>
      <c r="AL60" s="109"/>
      <c r="AM60" s="110"/>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row>
    <row r="61" spans="1:71" ht="19.5" customHeight="1" x14ac:dyDescent="0.25">
      <c r="A61" s="397"/>
      <c r="B61" s="418"/>
      <c r="C61" s="418"/>
      <c r="D61" s="418"/>
      <c r="E61" s="122"/>
      <c r="F61" s="437"/>
      <c r="G61" s="367"/>
      <c r="H61" s="125"/>
      <c r="I61" s="418"/>
      <c r="J61" s="415"/>
      <c r="K61" s="391"/>
      <c r="L61" s="388"/>
      <c r="M61" s="394"/>
      <c r="N61" s="388">
        <f>IF(NOT(ISERROR(MATCH(M61,_xlfn.ANCHORARRAY(F72),0))),L74&amp;"Por favor no seleccionar los criterios de impacto",M61)</f>
        <v>0</v>
      </c>
      <c r="O61" s="391"/>
      <c r="P61" s="388"/>
      <c r="Q61" s="385"/>
      <c r="R61" s="105">
        <v>2</v>
      </c>
      <c r="S61" s="106"/>
      <c r="T61" s="107" t="str">
        <f>IF(OR(U61="Preventivo",U61="Detectivo"),"Probabilidad",IF(U61="Correctivo","Impacto",""))</f>
        <v/>
      </c>
      <c r="U61" s="114"/>
      <c r="V61" s="114"/>
      <c r="W61" s="115" t="str">
        <f t="shared" ref="W61:W65" si="82">IF(AND(U61="Preventivo",V61="Automático"),"50%",IF(AND(U61="Preventivo",V61="Manual"),"40%",IF(AND(U61="Detectivo",V61="Automático"),"40%",IF(AND(U61="Detectivo",V61="Manual"),"30%",IF(AND(U61="Correctivo",V61="Automático"),"35%",IF(AND(U61="Correctivo",V61="Manual"),"25%",""))))))</f>
        <v/>
      </c>
      <c r="X61" s="114"/>
      <c r="Y61" s="114"/>
      <c r="Z61" s="114"/>
      <c r="AA61" s="108" t="str">
        <f>IFERROR(IF(AND(T60="Probabilidad",T61="Probabilidad"),(AC60-(+AC60*W61)),IF(AND(T60="Impacto",T61="Probabilidad"),(L60-(+L60*W61)),IF(T61="Impacto",AC60,""))),"")</f>
        <v/>
      </c>
      <c r="AB61" s="117" t="str">
        <f t="shared" ref="AB61:AB65" si="83">IFERROR(IF(AA61="","",IF(AA61&lt;=0.2,"Muy Baja",IF(AA61&lt;=0.4,"Baja",IF(AA61&lt;=0.6,"Media",IF(AA61&lt;=0.8,"Alta","Muy Alta"))))),"")</f>
        <v/>
      </c>
      <c r="AC61" s="118" t="str">
        <f>+AA61</f>
        <v/>
      </c>
      <c r="AD61" s="117" t="str">
        <f t="shared" ref="AD61:AD65" si="84">IFERROR(IF(AE61="","",IF(AE61&lt;=0.2,"Leve",IF(AE61&lt;=0.4,"Menor",IF(AE61&lt;=0.6,"Moderado",IF(AE61&lt;=0.8,"Mayor","Catastrófico"))))),"")</f>
        <v/>
      </c>
      <c r="AE61" s="118" t="str">
        <f>IFERROR(IF(AND(T60="Impacto",T61="Impacto"),(AE60-(+AE60*W61)),IF(AND(T60="Probabilidad",T61="Impacto"),(P60-(+P60*W61)),IF(T61="Probabilidad",AE60,""))),"")</f>
        <v/>
      </c>
      <c r="AF61" s="119" t="str">
        <f t="shared" ref="AF61:AF65" si="85">IFERROR(IF(OR(AND(AB61="Muy Baja",AD61="Leve"),AND(AB61="Muy Baja",AD61="Menor"),AND(AB61="Baja",AD61="Leve")),"Bajo",IF(OR(AND(AB61="Muy baja",AD61="Moderado"),AND(AB61="Baja",AD61="Menor"),AND(AB61="Baja",AD61="Moderado"),AND(AB61="Media",AD61="Leve"),AND(AB61="Media",AD61="Menor"),AND(AB61="Media",AD61="Moderado"),AND(AB61="Alta",AD61="Leve"),AND(AB61="Alta",AD61="Menor")),"Moderado",IF(OR(AND(AB61="Muy Baja",AD61="Mayor"),AND(AB61="Baja",AD61="Mayor"),AND(AB61="Media",AD61="Mayor"),AND(AB61="Alta",AD61="Moderado"),AND(AB61="Alta",AD61="Mayor"),AND(AB61="Muy Alta",AD61="Leve"),AND(AB61="Muy Alta",AD61="Menor"),AND(AB61="Muy Alta",AD61="Moderado"),AND(AB61="Muy Alta",AD61="Mayor")),"Alto",IF(OR(AND(AB61="Muy Baja",AD61="Catastrófico"),AND(AB61="Baja",AD61="Catastrófico"),AND(AB61="Media",AD61="Catastrófico"),AND(AB61="Alta",AD61="Catastrófico"),AND(AB61="Muy Alta",AD61="Catastrófico")),"Extremo","")))),"")</f>
        <v/>
      </c>
      <c r="AG61" s="120"/>
      <c r="AH61" s="109"/>
      <c r="AI61" s="110"/>
      <c r="AJ61" s="111"/>
      <c r="AK61" s="111"/>
      <c r="AL61" s="109"/>
      <c r="AM61" s="110"/>
    </row>
    <row r="62" spans="1:71" ht="19.5" customHeight="1" x14ac:dyDescent="0.25">
      <c r="A62" s="397"/>
      <c r="B62" s="418"/>
      <c r="C62" s="418"/>
      <c r="D62" s="418"/>
      <c r="E62" s="122"/>
      <c r="F62" s="437"/>
      <c r="G62" s="367"/>
      <c r="H62" s="125"/>
      <c r="I62" s="418"/>
      <c r="J62" s="415"/>
      <c r="K62" s="391"/>
      <c r="L62" s="388"/>
      <c r="M62" s="394"/>
      <c r="N62" s="388">
        <f>IF(NOT(ISERROR(MATCH(M62,_xlfn.ANCHORARRAY(F73),0))),L75&amp;"Por favor no seleccionar los criterios de impacto",M62)</f>
        <v>0</v>
      </c>
      <c r="O62" s="391"/>
      <c r="P62" s="388"/>
      <c r="Q62" s="385"/>
      <c r="R62" s="105">
        <v>3</v>
      </c>
      <c r="S62" s="112"/>
      <c r="T62" s="107" t="str">
        <f t="shared" ref="T62:T65" si="86">IF(OR(U62="Preventivo",U62="Detectivo"),"Probabilidad",IF(U62="Correctivo","Impacto",""))</f>
        <v/>
      </c>
      <c r="U62" s="114"/>
      <c r="V62" s="114"/>
      <c r="W62" s="115" t="str">
        <f t="shared" si="82"/>
        <v/>
      </c>
      <c r="X62" s="114"/>
      <c r="Y62" s="114"/>
      <c r="Z62" s="114"/>
      <c r="AA62" s="108" t="str">
        <f>IFERROR(IF(AND(T61="Probabilidad",T62="Probabilidad"),(AC61-(+AC61*W62)),IF(AND(T61="Impacto",T62="Probabilidad"),(AC60-(+AC60*W62)),IF(T62="Impacto",AC61,""))),"")</f>
        <v/>
      </c>
      <c r="AB62" s="117" t="str">
        <f t="shared" si="83"/>
        <v/>
      </c>
      <c r="AC62" s="118" t="str">
        <f t="shared" ref="AC62:AC65" si="87">+AA62</f>
        <v/>
      </c>
      <c r="AD62" s="117" t="str">
        <f t="shared" si="84"/>
        <v/>
      </c>
      <c r="AE62" s="118" t="str">
        <f t="shared" ref="AE62:AE65" si="88">IFERROR(IF(AND(T61="Impacto",T62="Impacto"),(AE61-(+AE61*W62)),IF(AND(T61="Probabilidad",T62="Impacto"),(AE60-(+AE60*W62)),IF(T62="Probabilidad",AE61,""))),"")</f>
        <v/>
      </c>
      <c r="AF62" s="119" t="str">
        <f t="shared" si="85"/>
        <v/>
      </c>
      <c r="AG62" s="120"/>
      <c r="AH62" s="109"/>
      <c r="AI62" s="110"/>
      <c r="AJ62" s="111"/>
      <c r="AK62" s="111"/>
      <c r="AL62" s="109"/>
      <c r="AM62" s="110"/>
    </row>
    <row r="63" spans="1:71" ht="19.5" customHeight="1" x14ac:dyDescent="0.25">
      <c r="A63" s="397"/>
      <c r="B63" s="418"/>
      <c r="C63" s="418"/>
      <c r="D63" s="418"/>
      <c r="E63" s="122"/>
      <c r="F63" s="437"/>
      <c r="G63" s="367"/>
      <c r="H63" s="125"/>
      <c r="I63" s="418"/>
      <c r="J63" s="415"/>
      <c r="K63" s="391"/>
      <c r="L63" s="388"/>
      <c r="M63" s="394"/>
      <c r="N63" s="388">
        <f>IF(NOT(ISERROR(MATCH(M63,_xlfn.ANCHORARRAY(F74),0))),L76&amp;"Por favor no seleccionar los criterios de impacto",M63)</f>
        <v>0</v>
      </c>
      <c r="O63" s="391"/>
      <c r="P63" s="388"/>
      <c r="Q63" s="385"/>
      <c r="R63" s="105">
        <v>4</v>
      </c>
      <c r="S63" s="106"/>
      <c r="T63" s="107" t="str">
        <f t="shared" si="86"/>
        <v/>
      </c>
      <c r="U63" s="114"/>
      <c r="V63" s="114"/>
      <c r="W63" s="115" t="str">
        <f t="shared" si="82"/>
        <v/>
      </c>
      <c r="X63" s="114"/>
      <c r="Y63" s="114"/>
      <c r="Z63" s="114"/>
      <c r="AA63" s="108" t="str">
        <f t="shared" ref="AA63:AA65" si="89">IFERROR(IF(AND(T62="Probabilidad",T63="Probabilidad"),(AC62-(+AC62*W63)),IF(AND(T62="Impacto",T63="Probabilidad"),(AC61-(+AC61*W63)),IF(T63="Impacto",AC62,""))),"")</f>
        <v/>
      </c>
      <c r="AB63" s="117" t="str">
        <f t="shared" si="83"/>
        <v/>
      </c>
      <c r="AC63" s="118" t="str">
        <f t="shared" si="87"/>
        <v/>
      </c>
      <c r="AD63" s="117" t="str">
        <f t="shared" si="84"/>
        <v/>
      </c>
      <c r="AE63" s="118" t="str">
        <f t="shared" si="88"/>
        <v/>
      </c>
      <c r="AF63" s="119" t="str">
        <f t="shared" si="85"/>
        <v/>
      </c>
      <c r="AG63" s="120"/>
      <c r="AH63" s="109"/>
      <c r="AI63" s="110"/>
      <c r="AJ63" s="111"/>
      <c r="AK63" s="111"/>
      <c r="AL63" s="109"/>
      <c r="AM63" s="110"/>
    </row>
    <row r="64" spans="1:71" ht="19.5" customHeight="1" x14ac:dyDescent="0.25">
      <c r="A64" s="397"/>
      <c r="B64" s="418"/>
      <c r="C64" s="418"/>
      <c r="D64" s="418"/>
      <c r="E64" s="122"/>
      <c r="F64" s="437"/>
      <c r="G64" s="367"/>
      <c r="H64" s="125"/>
      <c r="I64" s="418"/>
      <c r="J64" s="415"/>
      <c r="K64" s="391"/>
      <c r="L64" s="388"/>
      <c r="M64" s="394"/>
      <c r="N64" s="388">
        <f>IF(NOT(ISERROR(MATCH(M64,_xlfn.ANCHORARRAY(F75),0))),L77&amp;"Por favor no seleccionar los criterios de impacto",M64)</f>
        <v>0</v>
      </c>
      <c r="O64" s="391"/>
      <c r="P64" s="388"/>
      <c r="Q64" s="385"/>
      <c r="R64" s="105">
        <v>5</v>
      </c>
      <c r="S64" s="106"/>
      <c r="T64" s="107" t="str">
        <f t="shared" si="86"/>
        <v/>
      </c>
      <c r="U64" s="114"/>
      <c r="V64" s="114"/>
      <c r="W64" s="115" t="str">
        <f t="shared" si="82"/>
        <v/>
      </c>
      <c r="X64" s="114"/>
      <c r="Y64" s="114"/>
      <c r="Z64" s="114"/>
      <c r="AA64" s="108" t="str">
        <f t="shared" si="89"/>
        <v/>
      </c>
      <c r="AB64" s="117" t="str">
        <f t="shared" si="83"/>
        <v/>
      </c>
      <c r="AC64" s="118" t="str">
        <f t="shared" si="87"/>
        <v/>
      </c>
      <c r="AD64" s="117" t="str">
        <f t="shared" si="84"/>
        <v/>
      </c>
      <c r="AE64" s="118" t="str">
        <f t="shared" si="88"/>
        <v/>
      </c>
      <c r="AF64" s="119" t="str">
        <f t="shared" si="85"/>
        <v/>
      </c>
      <c r="AG64" s="120"/>
      <c r="AH64" s="109"/>
      <c r="AI64" s="110"/>
      <c r="AJ64" s="111"/>
      <c r="AK64" s="111"/>
      <c r="AL64" s="109"/>
      <c r="AM64" s="110"/>
    </row>
    <row r="65" spans="1:39" ht="19.5" customHeight="1" x14ac:dyDescent="0.25">
      <c r="A65" s="435"/>
      <c r="B65" s="419"/>
      <c r="C65" s="419"/>
      <c r="D65" s="419"/>
      <c r="E65" s="123"/>
      <c r="F65" s="438"/>
      <c r="G65" s="368"/>
      <c r="H65" s="126"/>
      <c r="I65" s="419"/>
      <c r="J65" s="416"/>
      <c r="K65" s="392"/>
      <c r="L65" s="389"/>
      <c r="M65" s="395"/>
      <c r="N65" s="389">
        <f>IF(NOT(ISERROR(MATCH(M65,_xlfn.ANCHORARRAY(F76),0))),L78&amp;"Por favor no seleccionar los criterios de impacto",M65)</f>
        <v>0</v>
      </c>
      <c r="O65" s="392"/>
      <c r="P65" s="389"/>
      <c r="Q65" s="386"/>
      <c r="R65" s="105">
        <v>6</v>
      </c>
      <c r="S65" s="106"/>
      <c r="T65" s="107" t="str">
        <f t="shared" si="86"/>
        <v/>
      </c>
      <c r="U65" s="114"/>
      <c r="V65" s="114"/>
      <c r="W65" s="115" t="str">
        <f t="shared" si="82"/>
        <v/>
      </c>
      <c r="X65" s="114"/>
      <c r="Y65" s="114"/>
      <c r="Z65" s="114"/>
      <c r="AA65" s="108" t="str">
        <f t="shared" si="89"/>
        <v/>
      </c>
      <c r="AB65" s="117" t="str">
        <f t="shared" si="83"/>
        <v/>
      </c>
      <c r="AC65" s="118" t="str">
        <f t="shared" si="87"/>
        <v/>
      </c>
      <c r="AD65" s="117" t="str">
        <f t="shared" si="84"/>
        <v/>
      </c>
      <c r="AE65" s="118" t="str">
        <f t="shared" si="88"/>
        <v/>
      </c>
      <c r="AF65" s="119" t="str">
        <f t="shared" si="85"/>
        <v/>
      </c>
      <c r="AG65" s="120"/>
      <c r="AH65" s="109"/>
      <c r="AI65" s="110"/>
      <c r="AJ65" s="111"/>
      <c r="AK65" s="111"/>
      <c r="AL65" s="109"/>
      <c r="AM65" s="110"/>
    </row>
    <row r="66" spans="1:39" ht="49.5" customHeight="1" x14ac:dyDescent="0.25">
      <c r="A66" s="6"/>
      <c r="B66" s="439" t="s">
        <v>126</v>
      </c>
      <c r="C66" s="440"/>
      <c r="D66" s="440"/>
      <c r="E66" s="440"/>
      <c r="F66" s="440"/>
      <c r="G66" s="440"/>
      <c r="H66" s="440"/>
      <c r="I66" s="440"/>
      <c r="J66" s="440"/>
      <c r="K66" s="440"/>
      <c r="L66" s="440"/>
      <c r="M66" s="440"/>
      <c r="N66" s="440"/>
      <c r="O66" s="440"/>
      <c r="P66" s="440"/>
      <c r="Q66" s="440"/>
      <c r="R66" s="440"/>
      <c r="S66" s="440"/>
      <c r="T66" s="440"/>
      <c r="U66" s="440"/>
      <c r="V66" s="440"/>
      <c r="W66" s="440"/>
      <c r="X66" s="440"/>
      <c r="Y66" s="440"/>
      <c r="Z66" s="440"/>
      <c r="AA66" s="440"/>
      <c r="AB66" s="440"/>
      <c r="AC66" s="440"/>
      <c r="AD66" s="440"/>
      <c r="AE66" s="440"/>
      <c r="AF66" s="440"/>
      <c r="AG66" s="440"/>
      <c r="AH66" s="440"/>
      <c r="AI66" s="440"/>
      <c r="AJ66" s="440"/>
      <c r="AK66" s="440"/>
      <c r="AL66" s="440"/>
      <c r="AM66" s="441"/>
    </row>
    <row r="68" spans="1:39" x14ac:dyDescent="0.25">
      <c r="A68" s="1"/>
      <c r="B68" s="24" t="s">
        <v>138</v>
      </c>
      <c r="C68" s="1"/>
      <c r="D68" s="1"/>
      <c r="E68" s="1"/>
      <c r="I68" s="1"/>
    </row>
  </sheetData>
  <dataConsolidate/>
  <mergeCells count="241">
    <mergeCell ref="AK21:AK29"/>
    <mergeCell ref="AL21:AL29"/>
    <mergeCell ref="AM21:AM29"/>
    <mergeCell ref="AH12:AH20"/>
    <mergeCell ref="AI12:AI20"/>
    <mergeCell ref="AJ12:AJ20"/>
    <mergeCell ref="AK12:AK20"/>
    <mergeCell ref="AL12:AL20"/>
    <mergeCell ref="AM12:AM20"/>
    <mergeCell ref="AE21:AE29"/>
    <mergeCell ref="AF21:AF29"/>
    <mergeCell ref="AG21:AG29"/>
    <mergeCell ref="AH21:AH29"/>
    <mergeCell ref="AI21:AI29"/>
    <mergeCell ref="AJ21:AJ29"/>
    <mergeCell ref="Y12:Y20"/>
    <mergeCell ref="Z12:Z20"/>
    <mergeCell ref="AA12:AA20"/>
    <mergeCell ref="AB12:AB20"/>
    <mergeCell ref="AC12:AC20"/>
    <mergeCell ref="AD12:AD20"/>
    <mergeCell ref="AE12:AE20"/>
    <mergeCell ref="AF12:AF20"/>
    <mergeCell ref="AG12:AG20"/>
    <mergeCell ref="Y21:Y29"/>
    <mergeCell ref="Z21:Z29"/>
    <mergeCell ref="AA21:AA29"/>
    <mergeCell ref="AB21:AB29"/>
    <mergeCell ref="AD21:AD29"/>
    <mergeCell ref="AC21:AC29"/>
    <mergeCell ref="S21:S29"/>
    <mergeCell ref="S12:S20"/>
    <mergeCell ref="U12:U20"/>
    <mergeCell ref="U21:U29"/>
    <mergeCell ref="T12:T20"/>
    <mergeCell ref="V12:V20"/>
    <mergeCell ref="W12:W20"/>
    <mergeCell ref="X12:X20"/>
    <mergeCell ref="P18:P23"/>
    <mergeCell ref="Q18:Q23"/>
    <mergeCell ref="T21:T29"/>
    <mergeCell ref="V21:V29"/>
    <mergeCell ref="W21:W29"/>
    <mergeCell ref="X21:X29"/>
    <mergeCell ref="A12:A29"/>
    <mergeCell ref="B12:B29"/>
    <mergeCell ref="F12:F29"/>
    <mergeCell ref="G12:G29"/>
    <mergeCell ref="D12:D29"/>
    <mergeCell ref="E24:E29"/>
    <mergeCell ref="E12:E16"/>
    <mergeCell ref="E17:E23"/>
    <mergeCell ref="H12:H29"/>
    <mergeCell ref="C24:C29"/>
    <mergeCell ref="A1:AM2"/>
    <mergeCell ref="A7:J7"/>
    <mergeCell ref="K7:Q7"/>
    <mergeCell ref="R7:Z7"/>
    <mergeCell ref="AA7:AG7"/>
    <mergeCell ref="AH7:AM7"/>
    <mergeCell ref="AJ10:AJ11"/>
    <mergeCell ref="AK10:AK11"/>
    <mergeCell ref="AM10:AM11"/>
    <mergeCell ref="AL10:AL11"/>
    <mergeCell ref="AI10:AI11"/>
    <mergeCell ref="AG8:AG9"/>
    <mergeCell ref="R8:R9"/>
    <mergeCell ref="AF8:AF9"/>
    <mergeCell ref="AE8:AE9"/>
    <mergeCell ref="AA8:AA9"/>
    <mergeCell ref="S8:S9"/>
    <mergeCell ref="AD8:AD9"/>
    <mergeCell ref="AB8:AB9"/>
    <mergeCell ref="AC8:AC9"/>
    <mergeCell ref="AM8:AM9"/>
    <mergeCell ref="AL8:AL9"/>
    <mergeCell ref="AK8:AK9"/>
    <mergeCell ref="AJ8:AJ9"/>
    <mergeCell ref="B66:AM66"/>
    <mergeCell ref="P54:P59"/>
    <mergeCell ref="Q54:Q59"/>
    <mergeCell ref="A60:A65"/>
    <mergeCell ref="B60:B65"/>
    <mergeCell ref="C60:C65"/>
    <mergeCell ref="D60:D65"/>
    <mergeCell ref="F60:F65"/>
    <mergeCell ref="I60:I65"/>
    <mergeCell ref="J60:J65"/>
    <mergeCell ref="K60:K65"/>
    <mergeCell ref="L60:L65"/>
    <mergeCell ref="M60:M65"/>
    <mergeCell ref="N60:N65"/>
    <mergeCell ref="O60:O65"/>
    <mergeCell ref="P60:P65"/>
    <mergeCell ref="Q60:Q65"/>
    <mergeCell ref="M54:M59"/>
    <mergeCell ref="N54:N59"/>
    <mergeCell ref="O54:O59"/>
    <mergeCell ref="A54:A59"/>
    <mergeCell ref="B54:B59"/>
    <mergeCell ref="C54:C59"/>
    <mergeCell ref="D54:D59"/>
    <mergeCell ref="F54:F59"/>
    <mergeCell ref="I54:I59"/>
    <mergeCell ref="J54:J59"/>
    <mergeCell ref="K54:K59"/>
    <mergeCell ref="L54:L59"/>
    <mergeCell ref="P42:P47"/>
    <mergeCell ref="Q42:Q47"/>
    <mergeCell ref="I48:I53"/>
    <mergeCell ref="J48:J53"/>
    <mergeCell ref="K48:K53"/>
    <mergeCell ref="L48:L53"/>
    <mergeCell ref="M48:M53"/>
    <mergeCell ref="I42:I47"/>
    <mergeCell ref="J42:J47"/>
    <mergeCell ref="K42:K47"/>
    <mergeCell ref="L42:L47"/>
    <mergeCell ref="N48:N53"/>
    <mergeCell ref="O48:O53"/>
    <mergeCell ref="P48:P53"/>
    <mergeCell ref="Q48:Q53"/>
    <mergeCell ref="G54:G59"/>
    <mergeCell ref="G42:G47"/>
    <mergeCell ref="G48:G53"/>
    <mergeCell ref="N42:N47"/>
    <mergeCell ref="O42:O47"/>
    <mergeCell ref="A30:A35"/>
    <mergeCell ref="B30:B35"/>
    <mergeCell ref="C30:C35"/>
    <mergeCell ref="A36:A41"/>
    <mergeCell ref="B36:B41"/>
    <mergeCell ref="C36:C41"/>
    <mergeCell ref="A48:A53"/>
    <mergeCell ref="B48:B53"/>
    <mergeCell ref="C48:C53"/>
    <mergeCell ref="D48:D53"/>
    <mergeCell ref="F48:F53"/>
    <mergeCell ref="A42:A47"/>
    <mergeCell ref="B42:B47"/>
    <mergeCell ref="C42:C47"/>
    <mergeCell ref="D42:D47"/>
    <mergeCell ref="F42:F47"/>
    <mergeCell ref="D36:D41"/>
    <mergeCell ref="F36:F41"/>
    <mergeCell ref="I36:I41"/>
    <mergeCell ref="D30:D35"/>
    <mergeCell ref="F30:F35"/>
    <mergeCell ref="M36:M41"/>
    <mergeCell ref="N36:N41"/>
    <mergeCell ref="O36:O41"/>
    <mergeCell ref="I30:I35"/>
    <mergeCell ref="J30:J35"/>
    <mergeCell ref="K30:K35"/>
    <mergeCell ref="L30:L35"/>
    <mergeCell ref="M30:M35"/>
    <mergeCell ref="J36:J41"/>
    <mergeCell ref="K36:K41"/>
    <mergeCell ref="L36:L41"/>
    <mergeCell ref="N30:N35"/>
    <mergeCell ref="O30:O35"/>
    <mergeCell ref="G30:G35"/>
    <mergeCell ref="G36:G41"/>
    <mergeCell ref="I24:I29"/>
    <mergeCell ref="J24:J29"/>
    <mergeCell ref="K24:K29"/>
    <mergeCell ref="L24:L29"/>
    <mergeCell ref="M24:M29"/>
    <mergeCell ref="N24:N29"/>
    <mergeCell ref="O24:O29"/>
    <mergeCell ref="P24:P29"/>
    <mergeCell ref="C18:C23"/>
    <mergeCell ref="I18:I23"/>
    <mergeCell ref="J18:J23"/>
    <mergeCell ref="K18:K23"/>
    <mergeCell ref="L18:L23"/>
    <mergeCell ref="M18:M23"/>
    <mergeCell ref="N18:N23"/>
    <mergeCell ref="O18:O23"/>
    <mergeCell ref="I12:I17"/>
    <mergeCell ref="J12:J17"/>
    <mergeCell ref="K12:K17"/>
    <mergeCell ref="L12:L17"/>
    <mergeCell ref="M12:M17"/>
    <mergeCell ref="C12:C17"/>
    <mergeCell ref="A4:B4"/>
    <mergeCell ref="A5:B5"/>
    <mergeCell ref="A6:B6"/>
    <mergeCell ref="A8:A9"/>
    <mergeCell ref="I8:I9"/>
    <mergeCell ref="F8:F9"/>
    <mergeCell ref="D8:D9"/>
    <mergeCell ref="C8:C9"/>
    <mergeCell ref="J8:J9"/>
    <mergeCell ref="C4:AM4"/>
    <mergeCell ref="C5:AM5"/>
    <mergeCell ref="C6:AM6"/>
    <mergeCell ref="B8:B9"/>
    <mergeCell ref="Q8:Q9"/>
    <mergeCell ref="M8:M9"/>
    <mergeCell ref="N8:N9"/>
    <mergeCell ref="T8:T9"/>
    <mergeCell ref="AH8:AH9"/>
    <mergeCell ref="AI8:AI9"/>
    <mergeCell ref="A10:A11"/>
    <mergeCell ref="B10:B11"/>
    <mergeCell ref="C10:C11"/>
    <mergeCell ref="D10:D11"/>
    <mergeCell ref="F10:F11"/>
    <mergeCell ref="Q10:Q11"/>
    <mergeCell ref="L10:L11"/>
    <mergeCell ref="M10:M11"/>
    <mergeCell ref="N10:N11"/>
    <mergeCell ref="O10:O11"/>
    <mergeCell ref="P10:P11"/>
    <mergeCell ref="H10:H11"/>
    <mergeCell ref="G10:G11"/>
    <mergeCell ref="G60:G65"/>
    <mergeCell ref="AN8:AO9"/>
    <mergeCell ref="AN10:AO11"/>
    <mergeCell ref="AN12:AO20"/>
    <mergeCell ref="AN21:AO29"/>
    <mergeCell ref="U8:Z8"/>
    <mergeCell ref="E8:E9"/>
    <mergeCell ref="I10:I11"/>
    <mergeCell ref="J10:J11"/>
    <mergeCell ref="K10:K11"/>
    <mergeCell ref="K8:K9"/>
    <mergeCell ref="L8:L9"/>
    <mergeCell ref="O8:O9"/>
    <mergeCell ref="P8:P9"/>
    <mergeCell ref="Q24:Q29"/>
    <mergeCell ref="N12:N17"/>
    <mergeCell ref="O12:O17"/>
    <mergeCell ref="P12:P17"/>
    <mergeCell ref="Q12:Q17"/>
    <mergeCell ref="P30:P35"/>
    <mergeCell ref="Q30:Q35"/>
    <mergeCell ref="P36:P41"/>
    <mergeCell ref="Q36:Q41"/>
    <mergeCell ref="M42:M47"/>
  </mergeCells>
  <conditionalFormatting sqref="K10 AB10:AB12 K12 K18 K24 K30 AB30:AB65 K36 K42 K48 K54 K60">
    <cfRule type="cellIs" dxfId="28" priority="651" operator="equal">
      <formula>"Muy Alta"</formula>
    </cfRule>
    <cfRule type="cellIs" dxfId="27" priority="652" operator="equal">
      <formula>"Alta"</formula>
    </cfRule>
    <cfRule type="cellIs" dxfId="26" priority="653" operator="equal">
      <formula>"Media"</formula>
    </cfRule>
    <cfRule type="cellIs" dxfId="25" priority="654" operator="equal">
      <formula>"Baja"</formula>
    </cfRule>
    <cfRule type="cellIs" dxfId="24" priority="655" operator="equal">
      <formula>"Muy Baja"</formula>
    </cfRule>
  </conditionalFormatting>
  <conditionalFormatting sqref="N10:N65">
    <cfRule type="containsText" dxfId="23" priority="333" operator="containsText" text="❌">
      <formula>NOT(ISERROR(SEARCH("❌",N10)))</formula>
    </cfRule>
  </conditionalFormatting>
  <conditionalFormatting sqref="O10 AD10:AD12 O12 O18 O24 O30 AD30:AD65 O36 O42 O48 O54 O60">
    <cfRule type="cellIs" dxfId="22" priority="646" operator="equal">
      <formula>"Catastrófico"</formula>
    </cfRule>
    <cfRule type="cellIs" dxfId="21" priority="647" operator="equal">
      <formula>"Mayor"</formula>
    </cfRule>
    <cfRule type="cellIs" dxfId="20" priority="648" operator="equal">
      <formula>"Moderado"</formula>
    </cfRule>
    <cfRule type="cellIs" dxfId="19" priority="649" operator="equal">
      <formula>"Menor"</formula>
    </cfRule>
    <cfRule type="cellIs" dxfId="18" priority="650" operator="equal">
      <formula>"Leve"</formula>
    </cfRule>
  </conditionalFormatting>
  <conditionalFormatting sqref="Q10 AF10:AF12 AF21 AF30:AF65">
    <cfRule type="cellIs" dxfId="17" priority="642" operator="equal">
      <formula>"Extremo"</formula>
    </cfRule>
    <cfRule type="cellIs" dxfId="16" priority="643" operator="equal">
      <formula>"Alto"</formula>
    </cfRule>
    <cfRule type="cellIs" dxfId="15" priority="644" operator="equal">
      <formula>"Moderado"</formula>
    </cfRule>
    <cfRule type="cellIs" dxfId="14" priority="645" operator="equal">
      <formula>"Bajo"</formula>
    </cfRule>
  </conditionalFormatting>
  <conditionalFormatting sqref="Q12 Q18 Q24 Q30 Q36 Q42 Q48 Q54 Q60">
    <cfRule type="cellIs" dxfId="13" priority="572" operator="equal">
      <formula>"Extremo"</formula>
    </cfRule>
    <cfRule type="cellIs" dxfId="12" priority="573" operator="equal">
      <formula>"Alto"</formula>
    </cfRule>
    <cfRule type="cellIs" dxfId="11" priority="574" operator="equal">
      <formula>"Moderado"</formula>
    </cfRule>
    <cfRule type="cellIs" dxfId="10" priority="575" operator="equal">
      <formula>"Bajo"</formula>
    </cfRule>
  </conditionalFormatting>
  <conditionalFormatting sqref="AB21">
    <cfRule type="cellIs" dxfId="9" priority="6" operator="equal">
      <formula>"Muy Alta"</formula>
    </cfRule>
    <cfRule type="cellIs" dxfId="8" priority="7" operator="equal">
      <formula>"Alta"</formula>
    </cfRule>
    <cfRule type="cellIs" dxfId="7" priority="8" operator="equal">
      <formula>"Media"</formula>
    </cfRule>
    <cfRule type="cellIs" dxfId="6" priority="9" operator="equal">
      <formula>"Baja"</formula>
    </cfRule>
    <cfRule type="cellIs" dxfId="5" priority="10" operator="equal">
      <formula>"Muy Baja"</formula>
    </cfRule>
  </conditionalFormatting>
  <conditionalFormatting sqref="AD21">
    <cfRule type="cellIs" dxfId="4" priority="1" operator="equal">
      <formula>"Catastrófico"</formula>
    </cfRule>
    <cfRule type="cellIs" dxfId="3" priority="2" operator="equal">
      <formula>"Mayor"</formula>
    </cfRule>
    <cfRule type="cellIs" dxfId="2" priority="3" operator="equal">
      <formula>"Moderado"</formula>
    </cfRule>
    <cfRule type="cellIs" dxfId="1" priority="4" operator="equal">
      <formula>"Menor"</formula>
    </cfRule>
    <cfRule type="cellIs" dxfId="0" priority="5" operator="equal">
      <formula>"Leve"</formula>
    </cfRule>
  </conditionalFormatting>
  <dataValidations count="1">
    <dataValidation type="list" allowBlank="1" showInputMessage="1" showErrorMessage="1" sqref="G10:G12 G30:G65" xr:uid="{00000000-0002-0000-0400-000000000000}">
      <formula1>"Gestión, FISCAL,"</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400-000001000000}">
          <x14:formula1>
            <xm:f>'Opciones Tratamiento'!$B$9:$B$10</xm:f>
          </x14:formula1>
          <xm:sqref>AM63:AM64 AM10 AM12 AM54:AM55 AM57:AM58 AM60:AM61 AM30:AM31 AM33:AM34 AM36:AM37 AM39:AM40 AM42:AM43 AM45:AM46 AM48:AM49 AM51:AM52 AM21</xm:sqref>
        </x14:dataValidation>
        <x14:dataValidation type="list" allowBlank="1" showInputMessage="1" showErrorMessage="1" xr:uid="{00000000-0002-0000-0400-000002000000}">
          <x14:formula1>
            <xm:f>'Opciones Tratamiento'!$B$2:$B$5</xm:f>
          </x14:formula1>
          <xm:sqref>AG30 AG10:AG12 AG62:AG65 AG32:AG36 AG38:AG42 AG44:AG48 AG50:AG54 AG56:AG60 AG21</xm:sqref>
        </x14:dataValidation>
        <x14:dataValidation type="list" allowBlank="1" showInputMessage="1" showErrorMessage="1" xr:uid="{00000000-0002-0000-0400-000003000000}">
          <x14:formula1>
            <xm:f>'C:\Users\HOME\Downloads\[Formato Matriz de Riesgos 2021 (1).xlsx]Opciones Tratamiento'!#REF!</xm:f>
          </x14:formula1>
          <xm:sqref>AG61 AG49 AG55 AG43 AG31 AG37</xm:sqref>
        </x14:dataValidation>
        <x14:dataValidation type="list" allowBlank="1" showInputMessage="1" showErrorMessage="1" xr:uid="{00000000-0002-0000-0400-000004000000}">
          <x14:formula1>
            <xm:f>'Tabla Valoración controles'!$D$4:$D$6</xm:f>
          </x14:formula1>
          <xm:sqref>U10:U12 U21 U30:U65</xm:sqref>
        </x14:dataValidation>
        <x14:dataValidation type="list" allowBlank="1" showInputMessage="1" showErrorMessage="1" xr:uid="{00000000-0002-0000-0400-000005000000}">
          <x14:formula1>
            <xm:f>'Tabla Valoración controles'!$D$7:$D$8</xm:f>
          </x14:formula1>
          <xm:sqref>V10:V12 V21 V30:V65</xm:sqref>
        </x14:dataValidation>
        <x14:dataValidation type="list" allowBlank="1" showInputMessage="1" showErrorMessage="1" xr:uid="{00000000-0002-0000-0400-000006000000}">
          <x14:formula1>
            <xm:f>'Tabla Valoración controles'!$D$9:$D$10</xm:f>
          </x14:formula1>
          <xm:sqref>X10:X12 X21 X30:X65</xm:sqref>
        </x14:dataValidation>
        <x14:dataValidation type="list" allowBlank="1" showInputMessage="1" showErrorMessage="1" xr:uid="{00000000-0002-0000-0400-000007000000}">
          <x14:formula1>
            <xm:f>'Tabla Valoración controles'!$D$11:$D$12</xm:f>
          </x14:formula1>
          <xm:sqref>Y10:Y12 Y21 Y30:Y65</xm:sqref>
        </x14:dataValidation>
        <x14:dataValidation type="list" allowBlank="1" showInputMessage="1" showErrorMessage="1" xr:uid="{00000000-0002-0000-0400-000008000000}">
          <x14:formula1>
            <xm:f>'Tabla Valoración controles'!$D$13:$D$14</xm:f>
          </x14:formula1>
          <xm:sqref>Z10:Z12 Z21 Z30:Z65</xm:sqref>
        </x14:dataValidation>
        <x14:dataValidation type="list" allowBlank="1" showInputMessage="1" showErrorMessage="1" xr:uid="{00000000-0002-0000-0400-000009000000}">
          <x14:formula1>
            <xm:f>'Opciones Tratamiento'!$B$13:$B$19</xm:f>
          </x14:formula1>
          <xm:sqref>I10:I65</xm:sqref>
        </x14:dataValidation>
        <x14:dataValidation type="list" allowBlank="1" showInputMessage="1" showErrorMessage="1" xr:uid="{00000000-0002-0000-0400-00000A000000}">
          <x14:formula1>
            <xm:f>'Opciones Tratamiento'!$E$2:$E$4</xm:f>
          </x14:formula1>
          <xm:sqref>B10:B12 B30:B65</xm:sqref>
        </x14:dataValidation>
        <x14:dataValidation type="list" allowBlank="1" showInputMessage="1" showErrorMessage="1" xr:uid="{00000000-0002-0000-0400-00000B000000}">
          <x14:formula1>
            <xm:f>'Tabla Impacto'!$F$210:$F$221</xm:f>
          </x14:formula1>
          <xm:sqref>M10:M65</xm:sqref>
        </x14:dataValidation>
        <x14:dataValidation type="custom" allowBlank="1" showInputMessage="1" showErrorMessage="1" error="Recuerde que las acciones se generan bajo la medida de mitigar el riesgo" xr:uid="{00000000-0002-0000-0400-00000C000000}">
          <x14:formula1>
            <xm:f>IF(OR(AG10='Opciones Tratamiento'!$B$2,AG10='Opciones Tratamiento'!$B$3,AG10='Opciones Tratamiento'!$B$4),ISBLANK(AG10),ISTEXT(AG10))</xm:f>
          </x14:formula1>
          <xm:sqref>AH10:AH12 AH21 AH30:AH65</xm:sqref>
        </x14:dataValidation>
        <x14:dataValidation type="custom" allowBlank="1" showInputMessage="1" showErrorMessage="1" error="Recuerde que las acciones se generan bajo la medida de mitigar el riesgo" xr:uid="{00000000-0002-0000-0400-00000D000000}">
          <x14:formula1>
            <xm:f>IF(OR(AG10='Opciones Tratamiento'!$B$2,AG10='Opciones Tratamiento'!$B$3,AG10='Opciones Tratamiento'!$B$4),ISBLANK(AG10),ISTEXT(AG10))</xm:f>
          </x14:formula1>
          <xm:sqref>AI10 AI12 AI21 AI30:AI65</xm:sqref>
        </x14:dataValidation>
        <x14:dataValidation type="custom" allowBlank="1" showInputMessage="1" showErrorMessage="1" error="Recuerde que las acciones se generan bajo la medida de mitigar el riesgo" xr:uid="{00000000-0002-0000-0400-00000E000000}">
          <x14:formula1>
            <xm:f>IF(OR(AG30='Opciones Tratamiento'!$B$2,AG30='Opciones Tratamiento'!$B$3,AG30='Opciones Tratamiento'!$B$4),ISBLANK(AG30),ISTEXT(AG30))</xm:f>
          </x14:formula1>
          <xm:sqref>AJ30:AJ65</xm:sqref>
        </x14:dataValidation>
        <x14:dataValidation type="custom" allowBlank="1" showInputMessage="1" showErrorMessage="1" error="Recuerde que las acciones se generan bajo la medida de mitigar el riesgo" xr:uid="{00000000-0002-0000-0400-00000F000000}">
          <x14:formula1>
            <xm:f>IF(OR(AG30='Opciones Tratamiento'!$B$2,AG30='Opciones Tratamiento'!$B$3,AG30='Opciones Tratamiento'!$B$4),ISBLANK(AG30),ISTEXT(AG30))</xm:f>
          </x14:formula1>
          <xm:sqref>AK30:AK65</xm:sqref>
        </x14:dataValidation>
        <x14:dataValidation type="custom" allowBlank="1" showInputMessage="1" showErrorMessage="1" error="Recuerde que las acciones se generan bajo la medida de mitigar el riesgo" xr:uid="{00000000-0002-0000-0400-000010000000}">
          <x14:formula1>
            <xm:f>IF(OR(AG10='Opciones Tratamiento'!$B$2,AG10='Opciones Tratamiento'!$B$3,AG10='Opciones Tratamiento'!$B$4),ISBLANK(AG10),ISTEXT(AG10))</xm:f>
          </x14:formula1>
          <xm:sqref>AL10 AL12 AL21 AL30:AL65</xm:sqref>
        </x14:dataValidation>
        <x14:dataValidation type="custom" allowBlank="1" showInputMessage="1" showErrorMessage="1" error="Recuerde que las acciones se generan bajo la medida de mitigar el riesgo" xr:uid="{00000000-0002-0000-0400-000011000000}">
          <x14:formula1>
            <xm:f>IF(OR(AG10='H:\CLAUDIA INFRA 2020-2023\2023\INFORMES\PLANEACION\SIGAMI\MAPA DE RIESGOS\GESTION\[MAPA DE RIESGOS DE GESTION - SEGUIMIENTO NOV-DIC 2023  - 09012024.xlsx]Opciones Tratamiento'!#REF!,AG10='H:\CLAUDIA INFRA 2020-2023\2023\INFORMES\PLANEACION\SIGAMI\MAPA DE RIESGOS\GESTION\[MAPA DE RIESGOS DE GESTION - SEGUIMIENTO NOV-DIC 2023  - 09012024.xlsx]Opciones Tratamiento'!#REF!,AG10='H:\CLAUDIA INFRA 2020-2023\2023\INFORMES\PLANEACION\SIGAMI\MAPA DE RIESGOS\GESTION\[MAPA DE RIESGOS DE GESTION - SEGUIMIENTO NOV-DIC 2023  - 09012024.xlsx]Opciones Tratamiento'!#REF!),ISBLANK(AG10),ISTEXT(AG10))</xm:f>
          </x14:formula1>
          <xm:sqref>AK10 AK12 AK21</xm:sqref>
        </x14:dataValidation>
        <x14:dataValidation type="custom" allowBlank="1" showInputMessage="1" showErrorMessage="1" error="Recuerde que las acciones se generan bajo la medida de mitigar el riesgo" xr:uid="{00000000-0002-0000-0400-000012000000}">
          <x14:formula1>
            <xm:f>IF(OR(AG10='H:\CLAUDIA INFRA 2020-2023\2023\INFORMES\PLANEACION\SIGAMI\MAPA DE RIESGOS\GESTION\[MAPA DE RIESGOS DE GESTION - SEGUIMIENTO NOV-DIC 2023  - 09012024.xlsx]Opciones Tratamiento'!#REF!,AG10='H:\CLAUDIA INFRA 2020-2023\2023\INFORMES\PLANEACION\SIGAMI\MAPA DE RIESGOS\GESTION\[MAPA DE RIESGOS DE GESTION - SEGUIMIENTO NOV-DIC 2023  - 09012024.xlsx]Opciones Tratamiento'!#REF!,AG10='H:\CLAUDIA INFRA 2020-2023\2023\INFORMES\PLANEACION\SIGAMI\MAPA DE RIESGOS\GESTION\[MAPA DE RIESGOS DE GESTION - SEGUIMIENTO NOV-DIC 2023  - 09012024.xlsx]Opciones Tratamiento'!#REF!),ISBLANK(AG10),ISTEXT(AG10))</xm:f>
          </x14:formula1>
          <xm:sqref>AJ10 AJ12 AJ21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140"/>
  <sheetViews>
    <sheetView zoomScale="40" zoomScaleNormal="40" workbookViewId="0">
      <selection activeCell="V32" sqref="V32:W33"/>
    </sheetView>
  </sheetViews>
  <sheetFormatPr baseColWidth="10" defaultRowHeight="14.4" x14ac:dyDescent="0.3"/>
  <cols>
    <col min="2" max="39" width="5.6640625" customWidth="1"/>
    <col min="41" max="46" width="5.6640625" customWidth="1"/>
  </cols>
  <sheetData>
    <row r="1" spans="1:99"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row>
    <row r="2" spans="1:99" ht="18" customHeight="1" x14ac:dyDescent="0.3">
      <c r="A2" s="67"/>
      <c r="B2" s="502" t="s">
        <v>150</v>
      </c>
      <c r="C2" s="502"/>
      <c r="D2" s="502"/>
      <c r="E2" s="502"/>
      <c r="F2" s="502"/>
      <c r="G2" s="502"/>
      <c r="H2" s="502"/>
      <c r="I2" s="502"/>
      <c r="J2" s="539" t="s">
        <v>2</v>
      </c>
      <c r="K2" s="539"/>
      <c r="L2" s="539"/>
      <c r="M2" s="539"/>
      <c r="N2" s="539"/>
      <c r="O2" s="539"/>
      <c r="P2" s="539"/>
      <c r="Q2" s="539"/>
      <c r="R2" s="539"/>
      <c r="S2" s="539"/>
      <c r="T2" s="539"/>
      <c r="U2" s="539"/>
      <c r="V2" s="539"/>
      <c r="W2" s="539"/>
      <c r="X2" s="539"/>
      <c r="Y2" s="539"/>
      <c r="Z2" s="539"/>
      <c r="AA2" s="539"/>
      <c r="AB2" s="539"/>
      <c r="AC2" s="539"/>
      <c r="AD2" s="539"/>
      <c r="AE2" s="539"/>
      <c r="AF2" s="539"/>
      <c r="AG2" s="539"/>
      <c r="AH2" s="539"/>
      <c r="AI2" s="539"/>
      <c r="AJ2" s="539"/>
      <c r="AK2" s="539"/>
      <c r="AL2" s="539"/>
      <c r="AM2" s="539"/>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row>
    <row r="3" spans="1:99" ht="18.75" customHeight="1" x14ac:dyDescent="0.3">
      <c r="A3" s="67"/>
      <c r="B3" s="502"/>
      <c r="C3" s="502"/>
      <c r="D3" s="502"/>
      <c r="E3" s="502"/>
      <c r="F3" s="502"/>
      <c r="G3" s="502"/>
      <c r="H3" s="502"/>
      <c r="I3" s="502"/>
      <c r="J3" s="539"/>
      <c r="K3" s="539"/>
      <c r="L3" s="539"/>
      <c r="M3" s="539"/>
      <c r="N3" s="539"/>
      <c r="O3" s="539"/>
      <c r="P3" s="539"/>
      <c r="Q3" s="539"/>
      <c r="R3" s="539"/>
      <c r="S3" s="539"/>
      <c r="T3" s="539"/>
      <c r="U3" s="539"/>
      <c r="V3" s="539"/>
      <c r="W3" s="539"/>
      <c r="X3" s="539"/>
      <c r="Y3" s="539"/>
      <c r="Z3" s="539"/>
      <c r="AA3" s="539"/>
      <c r="AB3" s="539"/>
      <c r="AC3" s="539"/>
      <c r="AD3" s="539"/>
      <c r="AE3" s="539"/>
      <c r="AF3" s="539"/>
      <c r="AG3" s="539"/>
      <c r="AH3" s="539"/>
      <c r="AI3" s="539"/>
      <c r="AJ3" s="539"/>
      <c r="AK3" s="539"/>
      <c r="AL3" s="539"/>
      <c r="AM3" s="539"/>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row>
    <row r="4" spans="1:99" ht="15" customHeight="1" x14ac:dyDescent="0.3">
      <c r="A4" s="67"/>
      <c r="B4" s="502"/>
      <c r="C4" s="502"/>
      <c r="D4" s="502"/>
      <c r="E4" s="502"/>
      <c r="F4" s="502"/>
      <c r="G4" s="502"/>
      <c r="H4" s="502"/>
      <c r="I4" s="502"/>
      <c r="J4" s="539"/>
      <c r="K4" s="539"/>
      <c r="L4" s="539"/>
      <c r="M4" s="539"/>
      <c r="N4" s="539"/>
      <c r="O4" s="539"/>
      <c r="P4" s="539"/>
      <c r="Q4" s="539"/>
      <c r="R4" s="539"/>
      <c r="S4" s="539"/>
      <c r="T4" s="539"/>
      <c r="U4" s="539"/>
      <c r="V4" s="539"/>
      <c r="W4" s="539"/>
      <c r="X4" s="539"/>
      <c r="Y4" s="539"/>
      <c r="Z4" s="539"/>
      <c r="AA4" s="539"/>
      <c r="AB4" s="539"/>
      <c r="AC4" s="539"/>
      <c r="AD4" s="539"/>
      <c r="AE4" s="539"/>
      <c r="AF4" s="539"/>
      <c r="AG4" s="539"/>
      <c r="AH4" s="539"/>
      <c r="AI4" s="539"/>
      <c r="AJ4" s="539"/>
      <c r="AK4" s="539"/>
      <c r="AL4" s="539"/>
      <c r="AM4" s="539"/>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row>
    <row r="5" spans="1:99"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row>
    <row r="6" spans="1:99" ht="15" customHeight="1" x14ac:dyDescent="0.3">
      <c r="A6" s="67"/>
      <c r="B6" s="550" t="s">
        <v>4</v>
      </c>
      <c r="C6" s="550"/>
      <c r="D6" s="551"/>
      <c r="E6" s="540" t="s">
        <v>111</v>
      </c>
      <c r="F6" s="541"/>
      <c r="G6" s="541"/>
      <c r="H6" s="541"/>
      <c r="I6" s="542"/>
      <c r="J6" s="536" t="str">
        <f>IF(AND('Mapa final'!$K$10="Muy Alta",'Mapa final'!$O$10="Leve"),CONCATENATE("R",'Mapa final'!$A$10),"")</f>
        <v/>
      </c>
      <c r="K6" s="537"/>
      <c r="L6" s="537" t="str">
        <f>IF(AND('Mapa final'!$K$12="Muy Alta",'Mapa final'!$O$12="Leve"),CONCATENATE("R",'Mapa final'!$A$12),"")</f>
        <v/>
      </c>
      <c r="M6" s="537"/>
      <c r="N6" s="537" t="str">
        <f>IF(AND('Mapa final'!$K$18="Muy Alta",'Mapa final'!$O$18="Leve"),CONCATENATE("R",'Mapa final'!$A$18),"")</f>
        <v/>
      </c>
      <c r="O6" s="538"/>
      <c r="P6" s="536" t="str">
        <f>IF(AND('Mapa final'!$K$10="Muy Alta",'Mapa final'!$O$10="Menor"),CONCATENATE("R",'Mapa final'!$A$10),"")</f>
        <v/>
      </c>
      <c r="Q6" s="537"/>
      <c r="R6" s="537" t="str">
        <f>IF(AND('Mapa final'!$K$12="Muy Alta",'Mapa final'!$O$12="Menor"),CONCATENATE("R",'Mapa final'!$A$12),"")</f>
        <v/>
      </c>
      <c r="S6" s="537"/>
      <c r="T6" s="537" t="str">
        <f>IF(AND('Mapa final'!$K$18="Muy Alta",'Mapa final'!$O$18="Menor"),CONCATENATE("R",'Mapa final'!$A$18),"")</f>
        <v/>
      </c>
      <c r="U6" s="538"/>
      <c r="V6" s="536" t="str">
        <f>IF(AND('Mapa final'!$K$10="Muy Alta",'Mapa final'!$O$10="Moderado"),CONCATENATE("R",'Mapa final'!$A$10),"")</f>
        <v/>
      </c>
      <c r="W6" s="537"/>
      <c r="X6" s="537" t="str">
        <f>IF(AND('Mapa final'!$K$12="Muy Alta",'Mapa final'!$O$12="Moderado"),CONCATENATE("R",'Mapa final'!$A$12),"")</f>
        <v/>
      </c>
      <c r="Y6" s="537"/>
      <c r="Z6" s="537" t="str">
        <f>IF(AND('Mapa final'!$K$18="Muy Alta",'Mapa final'!$O$18="Moderado"),CONCATENATE("R",'Mapa final'!$A$18),"")</f>
        <v/>
      </c>
      <c r="AA6" s="538"/>
      <c r="AB6" s="536" t="str">
        <f>IF(AND('Mapa final'!$K$10="Muy Alta",'Mapa final'!$O$10="Mayor"),CONCATENATE("R",'Mapa final'!$A$10),"")</f>
        <v/>
      </c>
      <c r="AC6" s="537"/>
      <c r="AD6" s="537" t="str">
        <f>IF(AND('Mapa final'!$K$12="Muy Alta",'Mapa final'!$O$12="Mayor"),CONCATENATE("R",'Mapa final'!$A$12),"")</f>
        <v/>
      </c>
      <c r="AE6" s="537"/>
      <c r="AF6" s="537" t="str">
        <f>IF(AND('Mapa final'!$K$18="Muy Alta",'Mapa final'!$O$18="Mayor"),CONCATENATE("R",'Mapa final'!$A$18),"")</f>
        <v/>
      </c>
      <c r="AG6" s="538"/>
      <c r="AH6" s="527" t="str">
        <f>IF(AND('Mapa final'!$K$10="Muy Alta",'Mapa final'!$O$10="Catastrófico"),CONCATENATE("R",'Mapa final'!$A$10),"")</f>
        <v/>
      </c>
      <c r="AI6" s="528"/>
      <c r="AJ6" s="528" t="str">
        <f>IF(AND('Mapa final'!$K$12="Muy Alta",'Mapa final'!$O$12="Catastrófico"),CONCATENATE("R",'Mapa final'!$A$12),"")</f>
        <v/>
      </c>
      <c r="AK6" s="528"/>
      <c r="AL6" s="528" t="str">
        <f>IF(AND('Mapa final'!$K$18="Muy Alta",'Mapa final'!$O$18="Catastrófico"),CONCATENATE("R",'Mapa final'!$A$18),"")</f>
        <v/>
      </c>
      <c r="AM6" s="529"/>
      <c r="AO6" s="552" t="s">
        <v>78</v>
      </c>
      <c r="AP6" s="553"/>
      <c r="AQ6" s="553"/>
      <c r="AR6" s="553"/>
      <c r="AS6" s="553"/>
      <c r="AT6" s="554"/>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row>
    <row r="7" spans="1:99" ht="15" customHeight="1" x14ac:dyDescent="0.3">
      <c r="A7" s="67"/>
      <c r="B7" s="550"/>
      <c r="C7" s="550"/>
      <c r="D7" s="551"/>
      <c r="E7" s="543"/>
      <c r="F7" s="544"/>
      <c r="G7" s="544"/>
      <c r="H7" s="544"/>
      <c r="I7" s="545"/>
      <c r="J7" s="530"/>
      <c r="K7" s="531"/>
      <c r="L7" s="531"/>
      <c r="M7" s="531"/>
      <c r="N7" s="531"/>
      <c r="O7" s="532"/>
      <c r="P7" s="530"/>
      <c r="Q7" s="531"/>
      <c r="R7" s="531"/>
      <c r="S7" s="531"/>
      <c r="T7" s="531"/>
      <c r="U7" s="532"/>
      <c r="V7" s="530"/>
      <c r="W7" s="531"/>
      <c r="X7" s="531"/>
      <c r="Y7" s="531"/>
      <c r="Z7" s="531"/>
      <c r="AA7" s="532"/>
      <c r="AB7" s="530"/>
      <c r="AC7" s="531"/>
      <c r="AD7" s="531"/>
      <c r="AE7" s="531"/>
      <c r="AF7" s="531"/>
      <c r="AG7" s="532"/>
      <c r="AH7" s="521"/>
      <c r="AI7" s="522"/>
      <c r="AJ7" s="522"/>
      <c r="AK7" s="522"/>
      <c r="AL7" s="522"/>
      <c r="AM7" s="523"/>
      <c r="AN7" s="67"/>
      <c r="AO7" s="555"/>
      <c r="AP7" s="556"/>
      <c r="AQ7" s="556"/>
      <c r="AR7" s="556"/>
      <c r="AS7" s="556"/>
      <c r="AT7" s="55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row>
    <row r="8" spans="1:99" ht="15" customHeight="1" x14ac:dyDescent="0.3">
      <c r="A8" s="67"/>
      <c r="B8" s="550"/>
      <c r="C8" s="550"/>
      <c r="D8" s="551"/>
      <c r="E8" s="543"/>
      <c r="F8" s="544"/>
      <c r="G8" s="544"/>
      <c r="H8" s="544"/>
      <c r="I8" s="545"/>
      <c r="J8" s="530" t="str">
        <f>IF(AND('Mapa final'!$K$24="Muy Alta",'Mapa final'!$O$24="Leve"),CONCATENATE("R",'Mapa final'!$A$24),"")</f>
        <v/>
      </c>
      <c r="K8" s="531"/>
      <c r="L8" s="531" t="str">
        <f>IF(AND('Mapa final'!$K$30="Muy Alta",'Mapa final'!$O$30="Leve"),CONCATENATE("R",'Mapa final'!$A$30),"")</f>
        <v/>
      </c>
      <c r="M8" s="531"/>
      <c r="N8" s="531" t="str">
        <f>IF(AND('Mapa final'!$K$36="Muy Alta",'Mapa final'!$O$36="Leve"),CONCATENATE("R",'Mapa final'!$A$36),"")</f>
        <v/>
      </c>
      <c r="O8" s="532"/>
      <c r="P8" s="530" t="str">
        <f>IF(AND('Mapa final'!$K$24="Muy Alta",'Mapa final'!$O$24="Menor"),CONCATENATE("R",'Mapa final'!$A$24),"")</f>
        <v/>
      </c>
      <c r="Q8" s="531"/>
      <c r="R8" s="531" t="str">
        <f>IF(AND('Mapa final'!$K$30="Muy Alta",'Mapa final'!$O$30="Menor"),CONCATENATE("R",'Mapa final'!$A$30),"")</f>
        <v/>
      </c>
      <c r="S8" s="531"/>
      <c r="T8" s="531" t="str">
        <f>IF(AND('Mapa final'!$K$36="Muy Alta",'Mapa final'!$O$36="Menor"),CONCATENATE("R",'Mapa final'!$A$36),"")</f>
        <v/>
      </c>
      <c r="U8" s="532"/>
      <c r="V8" s="530" t="str">
        <f>IF(AND('Mapa final'!$K$24="Muy Alta",'Mapa final'!$O$24="Moderado"),CONCATENATE("R",'Mapa final'!$A$24),"")</f>
        <v/>
      </c>
      <c r="W8" s="531"/>
      <c r="X8" s="531" t="str">
        <f>IF(AND('Mapa final'!$K$30="Muy Alta",'Mapa final'!$O$30="Moderado"),CONCATENATE("R",'Mapa final'!$A$30),"")</f>
        <v/>
      </c>
      <c r="Y8" s="531"/>
      <c r="Z8" s="531" t="str">
        <f>IF(AND('Mapa final'!$K$36="Muy Alta",'Mapa final'!$O$36="Moderado"),CONCATENATE("R",'Mapa final'!$A$36),"")</f>
        <v/>
      </c>
      <c r="AA8" s="532"/>
      <c r="AB8" s="530" t="str">
        <f>IF(AND('Mapa final'!$K$24="Muy Alta",'Mapa final'!$O$24="Mayor"),CONCATENATE("R",'Mapa final'!$A$24),"")</f>
        <v/>
      </c>
      <c r="AC8" s="531"/>
      <c r="AD8" s="531" t="str">
        <f>IF(AND('Mapa final'!$K$30="Muy Alta",'Mapa final'!$O$30="Mayor"),CONCATENATE("R",'Mapa final'!$A$30),"")</f>
        <v/>
      </c>
      <c r="AE8" s="531"/>
      <c r="AF8" s="531" t="str">
        <f>IF(AND('Mapa final'!$K$36="Muy Alta",'Mapa final'!$O$36="Mayor"),CONCATENATE("R",'Mapa final'!$A$36),"")</f>
        <v/>
      </c>
      <c r="AG8" s="532"/>
      <c r="AH8" s="521" t="str">
        <f>IF(AND('Mapa final'!$K$24="Muy Alta",'Mapa final'!$O$24="Catastrófico"),CONCATENATE("R",'Mapa final'!$A$24),"")</f>
        <v/>
      </c>
      <c r="AI8" s="522"/>
      <c r="AJ8" s="522" t="str">
        <f>IF(AND('Mapa final'!$K$30="Muy Alta",'Mapa final'!$O$30="Catastrófico"),CONCATENATE("R",'Mapa final'!$A$30),"")</f>
        <v/>
      </c>
      <c r="AK8" s="522"/>
      <c r="AL8" s="522" t="str">
        <f>IF(AND('Mapa final'!$K$36="Muy Alta",'Mapa final'!$O$36="Catastrófico"),CONCATENATE("R",'Mapa final'!$A$36),"")</f>
        <v/>
      </c>
      <c r="AM8" s="523"/>
      <c r="AN8" s="67"/>
      <c r="AO8" s="555"/>
      <c r="AP8" s="556"/>
      <c r="AQ8" s="556"/>
      <c r="AR8" s="556"/>
      <c r="AS8" s="556"/>
      <c r="AT8" s="55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row>
    <row r="9" spans="1:99" ht="15" customHeight="1" x14ac:dyDescent="0.3">
      <c r="A9" s="67"/>
      <c r="B9" s="550"/>
      <c r="C9" s="550"/>
      <c r="D9" s="551"/>
      <c r="E9" s="543"/>
      <c r="F9" s="544"/>
      <c r="G9" s="544"/>
      <c r="H9" s="544"/>
      <c r="I9" s="545"/>
      <c r="J9" s="530"/>
      <c r="K9" s="531"/>
      <c r="L9" s="531"/>
      <c r="M9" s="531"/>
      <c r="N9" s="531"/>
      <c r="O9" s="532"/>
      <c r="P9" s="530"/>
      <c r="Q9" s="531"/>
      <c r="R9" s="531"/>
      <c r="S9" s="531"/>
      <c r="T9" s="531"/>
      <c r="U9" s="532"/>
      <c r="V9" s="530"/>
      <c r="W9" s="531"/>
      <c r="X9" s="531"/>
      <c r="Y9" s="531"/>
      <c r="Z9" s="531"/>
      <c r="AA9" s="532"/>
      <c r="AB9" s="530"/>
      <c r="AC9" s="531"/>
      <c r="AD9" s="531"/>
      <c r="AE9" s="531"/>
      <c r="AF9" s="531"/>
      <c r="AG9" s="532"/>
      <c r="AH9" s="521"/>
      <c r="AI9" s="522"/>
      <c r="AJ9" s="522"/>
      <c r="AK9" s="522"/>
      <c r="AL9" s="522"/>
      <c r="AM9" s="523"/>
      <c r="AN9" s="67"/>
      <c r="AO9" s="555"/>
      <c r="AP9" s="556"/>
      <c r="AQ9" s="556"/>
      <c r="AR9" s="556"/>
      <c r="AS9" s="556"/>
      <c r="AT9" s="55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row>
    <row r="10" spans="1:99" ht="15" customHeight="1" x14ac:dyDescent="0.3">
      <c r="A10" s="67"/>
      <c r="B10" s="550"/>
      <c r="C10" s="550"/>
      <c r="D10" s="551"/>
      <c r="E10" s="543"/>
      <c r="F10" s="544"/>
      <c r="G10" s="544"/>
      <c r="H10" s="544"/>
      <c r="I10" s="545"/>
      <c r="J10" s="530" t="str">
        <f>IF(AND('Mapa final'!$K$42="Muy Alta",'Mapa final'!$O$42="Leve"),CONCATENATE("R",'Mapa final'!$A$42),"")</f>
        <v/>
      </c>
      <c r="K10" s="531"/>
      <c r="L10" s="531" t="str">
        <f>IF(AND('Mapa final'!$K$48="Muy Alta",'Mapa final'!$O$48="Leve"),CONCATENATE("R",'Mapa final'!$A$48),"")</f>
        <v/>
      </c>
      <c r="M10" s="531"/>
      <c r="N10" s="531" t="str">
        <f>IF(AND('Mapa final'!$K$54="Muy Alta",'Mapa final'!$O$54="Leve"),CONCATENATE("R",'Mapa final'!$A$54),"")</f>
        <v/>
      </c>
      <c r="O10" s="532"/>
      <c r="P10" s="530" t="str">
        <f>IF(AND('Mapa final'!$K$42="Muy Alta",'Mapa final'!$O$42="Menor"),CONCATENATE("R",'Mapa final'!$A$42),"")</f>
        <v/>
      </c>
      <c r="Q10" s="531"/>
      <c r="R10" s="531" t="str">
        <f>IF(AND('Mapa final'!$K$48="Muy Alta",'Mapa final'!$O$48="Menor"),CONCATENATE("R",'Mapa final'!$A$48),"")</f>
        <v/>
      </c>
      <c r="S10" s="531"/>
      <c r="T10" s="531" t="str">
        <f>IF(AND('Mapa final'!$K$54="Muy Alta",'Mapa final'!$O$54="Menor"),CONCATENATE("R",'Mapa final'!$A$54),"")</f>
        <v/>
      </c>
      <c r="U10" s="532"/>
      <c r="V10" s="530" t="str">
        <f>IF(AND('Mapa final'!$K$42="Muy Alta",'Mapa final'!$O$42="Moderado"),CONCATENATE("R",'Mapa final'!$A$42),"")</f>
        <v/>
      </c>
      <c r="W10" s="531"/>
      <c r="X10" s="531" t="str">
        <f>IF(AND('Mapa final'!$K$48="Muy Alta",'Mapa final'!$O$48="Moderado"),CONCATENATE("R",'Mapa final'!$A$48),"")</f>
        <v/>
      </c>
      <c r="Y10" s="531"/>
      <c r="Z10" s="531" t="str">
        <f>IF(AND('Mapa final'!$K$54="Muy Alta",'Mapa final'!$O$54="Moderado"),CONCATENATE("R",'Mapa final'!$A$54),"")</f>
        <v/>
      </c>
      <c r="AA10" s="532"/>
      <c r="AB10" s="530" t="str">
        <f>IF(AND('Mapa final'!$K$42="Muy Alta",'Mapa final'!$O$42="Mayor"),CONCATENATE("R",'Mapa final'!$A$42),"")</f>
        <v/>
      </c>
      <c r="AC10" s="531"/>
      <c r="AD10" s="531" t="str">
        <f>IF(AND('Mapa final'!$K$48="Muy Alta",'Mapa final'!$O$48="Mayor"),CONCATENATE("R",'Mapa final'!$A$48),"")</f>
        <v/>
      </c>
      <c r="AE10" s="531"/>
      <c r="AF10" s="531" t="str">
        <f>IF(AND('Mapa final'!$K$54="Muy Alta",'Mapa final'!$O$54="Mayor"),CONCATENATE("R",'Mapa final'!$A$54),"")</f>
        <v/>
      </c>
      <c r="AG10" s="532"/>
      <c r="AH10" s="521" t="str">
        <f>IF(AND('Mapa final'!$K$42="Muy Alta",'Mapa final'!$O$42="Catastrófico"),CONCATENATE("R",'Mapa final'!$A$42),"")</f>
        <v/>
      </c>
      <c r="AI10" s="522"/>
      <c r="AJ10" s="522" t="str">
        <f>IF(AND('Mapa final'!$K$48="Muy Alta",'Mapa final'!$O$48="Catastrófico"),CONCATENATE("R",'Mapa final'!$A$48),"")</f>
        <v/>
      </c>
      <c r="AK10" s="522"/>
      <c r="AL10" s="522" t="str">
        <f>IF(AND('Mapa final'!$K$54="Muy Alta",'Mapa final'!$O$54="Catastrófico"),CONCATENATE("R",'Mapa final'!$A$54),"")</f>
        <v/>
      </c>
      <c r="AM10" s="523"/>
      <c r="AN10" s="67"/>
      <c r="AO10" s="555"/>
      <c r="AP10" s="556"/>
      <c r="AQ10" s="556"/>
      <c r="AR10" s="556"/>
      <c r="AS10" s="556"/>
      <c r="AT10" s="55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row>
    <row r="11" spans="1:99" ht="15" customHeight="1" x14ac:dyDescent="0.3">
      <c r="A11" s="67"/>
      <c r="B11" s="550"/>
      <c r="C11" s="550"/>
      <c r="D11" s="551"/>
      <c r="E11" s="543"/>
      <c r="F11" s="544"/>
      <c r="G11" s="544"/>
      <c r="H11" s="544"/>
      <c r="I11" s="545"/>
      <c r="J11" s="530"/>
      <c r="K11" s="531"/>
      <c r="L11" s="531"/>
      <c r="M11" s="531"/>
      <c r="N11" s="531"/>
      <c r="O11" s="532"/>
      <c r="P11" s="530"/>
      <c r="Q11" s="531"/>
      <c r="R11" s="531"/>
      <c r="S11" s="531"/>
      <c r="T11" s="531"/>
      <c r="U11" s="532"/>
      <c r="V11" s="530"/>
      <c r="W11" s="531"/>
      <c r="X11" s="531"/>
      <c r="Y11" s="531"/>
      <c r="Z11" s="531"/>
      <c r="AA11" s="532"/>
      <c r="AB11" s="530"/>
      <c r="AC11" s="531"/>
      <c r="AD11" s="531"/>
      <c r="AE11" s="531"/>
      <c r="AF11" s="531"/>
      <c r="AG11" s="532"/>
      <c r="AH11" s="521"/>
      <c r="AI11" s="522"/>
      <c r="AJ11" s="522"/>
      <c r="AK11" s="522"/>
      <c r="AL11" s="522"/>
      <c r="AM11" s="523"/>
      <c r="AN11" s="67"/>
      <c r="AO11" s="555"/>
      <c r="AP11" s="556"/>
      <c r="AQ11" s="556"/>
      <c r="AR11" s="556"/>
      <c r="AS11" s="556"/>
      <c r="AT11" s="55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row>
    <row r="12" spans="1:99" ht="15" customHeight="1" x14ac:dyDescent="0.3">
      <c r="A12" s="67"/>
      <c r="B12" s="550"/>
      <c r="C12" s="550"/>
      <c r="D12" s="551"/>
      <c r="E12" s="543"/>
      <c r="F12" s="544"/>
      <c r="G12" s="544"/>
      <c r="H12" s="544"/>
      <c r="I12" s="545"/>
      <c r="J12" s="530" t="str">
        <f>IF(AND('Mapa final'!$K$60="Muy Alta",'Mapa final'!$O$60="Leve"),CONCATENATE("R",'Mapa final'!$A$60),"")</f>
        <v/>
      </c>
      <c r="K12" s="531"/>
      <c r="L12" s="531" t="str">
        <f>IF(AND('Mapa final'!$K$66="Muy Alta",'Mapa final'!$O$66="Leve"),CONCATENATE("R",'Mapa final'!$A$66),"")</f>
        <v/>
      </c>
      <c r="M12" s="531"/>
      <c r="N12" s="531" t="str">
        <f>IF(AND('Mapa final'!$K$72="Muy Alta",'Mapa final'!$O$72="Leve"),CONCATENATE("R",'Mapa final'!$A$72),"")</f>
        <v/>
      </c>
      <c r="O12" s="532"/>
      <c r="P12" s="530" t="str">
        <f>IF(AND('Mapa final'!$K$60="Muy Alta",'Mapa final'!$O$60="Menor"),CONCATENATE("R",'Mapa final'!$A$60),"")</f>
        <v/>
      </c>
      <c r="Q12" s="531"/>
      <c r="R12" s="531" t="str">
        <f>IF(AND('Mapa final'!$K$66="Muy Alta",'Mapa final'!$O$66="Menor"),CONCATENATE("R",'Mapa final'!$A$66),"")</f>
        <v/>
      </c>
      <c r="S12" s="531"/>
      <c r="T12" s="531" t="str">
        <f>IF(AND('Mapa final'!$K$72="Muy Alta",'Mapa final'!$O$72="Menor"),CONCATENATE("R",'Mapa final'!$A$72),"")</f>
        <v/>
      </c>
      <c r="U12" s="532"/>
      <c r="V12" s="530" t="str">
        <f>IF(AND('Mapa final'!$K$60="Muy Alta",'Mapa final'!$O$60="Moderado"),CONCATENATE("R",'Mapa final'!$A$60),"")</f>
        <v/>
      </c>
      <c r="W12" s="531"/>
      <c r="X12" s="531" t="str">
        <f>IF(AND('Mapa final'!$K$66="Muy Alta",'Mapa final'!$O$66="Moderado"),CONCATENATE("R",'Mapa final'!$A$66),"")</f>
        <v/>
      </c>
      <c r="Y12" s="531"/>
      <c r="Z12" s="531" t="str">
        <f>IF(AND('Mapa final'!$K$72="Muy Alta",'Mapa final'!$O$72="Moderado"),CONCATENATE("R",'Mapa final'!$A$72),"")</f>
        <v/>
      </c>
      <c r="AA12" s="532"/>
      <c r="AB12" s="530" t="str">
        <f>IF(AND('Mapa final'!$K$60="Muy Alta",'Mapa final'!$O$60="Mayor"),CONCATENATE("R",'Mapa final'!$A$60),"")</f>
        <v/>
      </c>
      <c r="AC12" s="531"/>
      <c r="AD12" s="531" t="str">
        <f>IF(AND('Mapa final'!$K$66="Muy Alta",'Mapa final'!$O$66="Mayor"),CONCATENATE("R",'Mapa final'!$A$66),"")</f>
        <v/>
      </c>
      <c r="AE12" s="531"/>
      <c r="AF12" s="531" t="str">
        <f>IF(AND('Mapa final'!$K$72="Muy Alta",'Mapa final'!$O$72="Mayor"),CONCATENATE("R",'Mapa final'!$A$72),"")</f>
        <v/>
      </c>
      <c r="AG12" s="532"/>
      <c r="AH12" s="521" t="str">
        <f>IF(AND('Mapa final'!$K$60="Muy Alta",'Mapa final'!$O$60="Catastrófico"),CONCATENATE("R",'Mapa final'!$A$60),"")</f>
        <v/>
      </c>
      <c r="AI12" s="522"/>
      <c r="AJ12" s="522" t="str">
        <f>IF(AND('Mapa final'!$K$66="Muy Alta",'Mapa final'!$O$66="Catastrófico"),CONCATENATE("R",'Mapa final'!$A$66),"")</f>
        <v/>
      </c>
      <c r="AK12" s="522"/>
      <c r="AL12" s="522" t="str">
        <f>IF(AND('Mapa final'!$K$72="Muy Alta",'Mapa final'!$O$72="Catastrófico"),CONCATENATE("R",'Mapa final'!$A$72),"")</f>
        <v/>
      </c>
      <c r="AM12" s="523"/>
      <c r="AN12" s="67"/>
      <c r="AO12" s="555"/>
      <c r="AP12" s="556"/>
      <c r="AQ12" s="556"/>
      <c r="AR12" s="556"/>
      <c r="AS12" s="556"/>
      <c r="AT12" s="55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row>
    <row r="13" spans="1:99" ht="15.75" customHeight="1" thickBot="1" x14ac:dyDescent="0.35">
      <c r="A13" s="67"/>
      <c r="B13" s="550"/>
      <c r="C13" s="550"/>
      <c r="D13" s="551"/>
      <c r="E13" s="546"/>
      <c r="F13" s="547"/>
      <c r="G13" s="547"/>
      <c r="H13" s="547"/>
      <c r="I13" s="548"/>
      <c r="J13" s="530"/>
      <c r="K13" s="531"/>
      <c r="L13" s="531"/>
      <c r="M13" s="531"/>
      <c r="N13" s="531"/>
      <c r="O13" s="532"/>
      <c r="P13" s="530"/>
      <c r="Q13" s="531"/>
      <c r="R13" s="531"/>
      <c r="S13" s="531"/>
      <c r="T13" s="531"/>
      <c r="U13" s="532"/>
      <c r="V13" s="530"/>
      <c r="W13" s="531"/>
      <c r="X13" s="531"/>
      <c r="Y13" s="531"/>
      <c r="Z13" s="531"/>
      <c r="AA13" s="532"/>
      <c r="AB13" s="530"/>
      <c r="AC13" s="531"/>
      <c r="AD13" s="531"/>
      <c r="AE13" s="531"/>
      <c r="AF13" s="531"/>
      <c r="AG13" s="532"/>
      <c r="AH13" s="524"/>
      <c r="AI13" s="525"/>
      <c r="AJ13" s="525"/>
      <c r="AK13" s="525"/>
      <c r="AL13" s="525"/>
      <c r="AM13" s="526"/>
      <c r="AN13" s="67"/>
      <c r="AO13" s="558"/>
      <c r="AP13" s="559"/>
      <c r="AQ13" s="559"/>
      <c r="AR13" s="559"/>
      <c r="AS13" s="559"/>
      <c r="AT13" s="560"/>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row>
    <row r="14" spans="1:99" ht="15" customHeight="1" x14ac:dyDescent="0.3">
      <c r="A14" s="67"/>
      <c r="B14" s="550"/>
      <c r="C14" s="550"/>
      <c r="D14" s="551"/>
      <c r="E14" s="540" t="s">
        <v>110</v>
      </c>
      <c r="F14" s="541"/>
      <c r="G14" s="541"/>
      <c r="H14" s="541"/>
      <c r="I14" s="541"/>
      <c r="J14" s="518" t="str">
        <f>IF(AND('Mapa final'!$K$10="Alta",'Mapa final'!$O$10="Leve"),CONCATENATE("R",'Mapa final'!$A$10),"")</f>
        <v/>
      </c>
      <c r="K14" s="519"/>
      <c r="L14" s="519" t="str">
        <f>IF(AND('Mapa final'!$K$12="Alta",'Mapa final'!$O$12="Leve"),CONCATENATE("R",'Mapa final'!$A$12),"")</f>
        <v/>
      </c>
      <c r="M14" s="519"/>
      <c r="N14" s="519" t="str">
        <f>IF(AND('Mapa final'!$K$18="Alta",'Mapa final'!$O$18="Leve"),CONCATENATE("R",'Mapa final'!$A$18),"")</f>
        <v/>
      </c>
      <c r="O14" s="520"/>
      <c r="P14" s="518" t="str">
        <f>IF(AND('Mapa final'!$K$10="Alta",'Mapa final'!$O$10="Menor"),CONCATENATE("R",'Mapa final'!$A$10),"")</f>
        <v/>
      </c>
      <c r="Q14" s="519"/>
      <c r="R14" s="519" t="str">
        <f>IF(AND('Mapa final'!$K$12="Alta",'Mapa final'!$O$12="Menor"),CONCATENATE("R",'Mapa final'!$A$12),"")</f>
        <v/>
      </c>
      <c r="S14" s="519"/>
      <c r="T14" s="519" t="str">
        <f>IF(AND('Mapa final'!$K$18="Alta",'Mapa final'!$O$18="Menor"),CONCATENATE("R",'Mapa final'!$A$18),"")</f>
        <v/>
      </c>
      <c r="U14" s="520"/>
      <c r="V14" s="536" t="str">
        <f>IF(AND('Mapa final'!$K$10="Alta",'Mapa final'!$O$10="Moderado"),CONCATENATE("R",'Mapa final'!$A$10),"")</f>
        <v/>
      </c>
      <c r="W14" s="537"/>
      <c r="X14" s="537" t="str">
        <f>IF(AND('Mapa final'!$K$12="Alta",'Mapa final'!$O$12="Moderado"),CONCATENATE("R",'Mapa final'!$A$12),"")</f>
        <v/>
      </c>
      <c r="Y14" s="537"/>
      <c r="Z14" s="537" t="str">
        <f>IF(AND('Mapa final'!$K$18="Alta",'Mapa final'!$O$18="Moderado"),CONCATENATE("R",'Mapa final'!$A$18),"")</f>
        <v/>
      </c>
      <c r="AA14" s="538"/>
      <c r="AB14" s="536" t="str">
        <f>IF(AND('Mapa final'!$K$10="Alta",'Mapa final'!$O$10="Mayor"),CONCATENATE("R",'Mapa final'!$A$10),"")</f>
        <v/>
      </c>
      <c r="AC14" s="537"/>
      <c r="AD14" s="537" t="str">
        <f>IF(AND('Mapa final'!$K$12="Alta",'Mapa final'!$O$12="Mayor"),CONCATENATE("R",'Mapa final'!$A$12),"")</f>
        <v/>
      </c>
      <c r="AE14" s="537"/>
      <c r="AF14" s="537" t="str">
        <f>IF(AND('Mapa final'!$K$18="Alta",'Mapa final'!$O$18="Mayor"),CONCATENATE("R",'Mapa final'!$A$18),"")</f>
        <v/>
      </c>
      <c r="AG14" s="538"/>
      <c r="AH14" s="527" t="str">
        <f>IF(AND('Mapa final'!$K$10="Alta",'Mapa final'!$O$10="Catastrófico"),CONCATENATE("R",'Mapa final'!$A$10),"")</f>
        <v/>
      </c>
      <c r="AI14" s="528"/>
      <c r="AJ14" s="528" t="str">
        <f>IF(AND('Mapa final'!$K$12="Alta",'Mapa final'!$O$12="Catastrófico"),CONCATENATE("R",'Mapa final'!$A$12),"")</f>
        <v/>
      </c>
      <c r="AK14" s="528"/>
      <c r="AL14" s="528" t="str">
        <f>IF(AND('Mapa final'!$K$18="Alta",'Mapa final'!$O$18="Catastrófico"),CONCATENATE("R",'Mapa final'!$A$18),"")</f>
        <v/>
      </c>
      <c r="AM14" s="529"/>
      <c r="AN14" s="67"/>
      <c r="AO14" s="561" t="s">
        <v>79</v>
      </c>
      <c r="AP14" s="562"/>
      <c r="AQ14" s="562"/>
      <c r="AR14" s="562"/>
      <c r="AS14" s="562"/>
      <c r="AT14" s="563"/>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row>
    <row r="15" spans="1:99" ht="15" customHeight="1" x14ac:dyDescent="0.3">
      <c r="A15" s="67"/>
      <c r="B15" s="550"/>
      <c r="C15" s="550"/>
      <c r="D15" s="551"/>
      <c r="E15" s="543"/>
      <c r="F15" s="544"/>
      <c r="G15" s="544"/>
      <c r="H15" s="544"/>
      <c r="I15" s="544"/>
      <c r="J15" s="512"/>
      <c r="K15" s="513"/>
      <c r="L15" s="513"/>
      <c r="M15" s="513"/>
      <c r="N15" s="513"/>
      <c r="O15" s="514"/>
      <c r="P15" s="512"/>
      <c r="Q15" s="513"/>
      <c r="R15" s="513"/>
      <c r="S15" s="513"/>
      <c r="T15" s="513"/>
      <c r="U15" s="514"/>
      <c r="V15" s="530"/>
      <c r="W15" s="531"/>
      <c r="X15" s="531"/>
      <c r="Y15" s="531"/>
      <c r="Z15" s="531"/>
      <c r="AA15" s="532"/>
      <c r="AB15" s="530"/>
      <c r="AC15" s="531"/>
      <c r="AD15" s="531"/>
      <c r="AE15" s="531"/>
      <c r="AF15" s="531"/>
      <c r="AG15" s="532"/>
      <c r="AH15" s="521"/>
      <c r="AI15" s="522"/>
      <c r="AJ15" s="522"/>
      <c r="AK15" s="522"/>
      <c r="AL15" s="522"/>
      <c r="AM15" s="523"/>
      <c r="AN15" s="67"/>
      <c r="AO15" s="564"/>
      <c r="AP15" s="565"/>
      <c r="AQ15" s="565"/>
      <c r="AR15" s="565"/>
      <c r="AS15" s="565"/>
      <c r="AT15" s="566"/>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row>
    <row r="16" spans="1:99" ht="15" customHeight="1" x14ac:dyDescent="0.3">
      <c r="A16" s="67"/>
      <c r="B16" s="550"/>
      <c r="C16" s="550"/>
      <c r="D16" s="551"/>
      <c r="E16" s="543"/>
      <c r="F16" s="544"/>
      <c r="G16" s="544"/>
      <c r="H16" s="544"/>
      <c r="I16" s="544"/>
      <c r="J16" s="512" t="str">
        <f>IF(AND('Mapa final'!$K$24="Alta",'Mapa final'!$O$24="Leve"),CONCATENATE("R",'Mapa final'!$A$24),"")</f>
        <v/>
      </c>
      <c r="K16" s="513"/>
      <c r="L16" s="513" t="str">
        <f>IF(AND('Mapa final'!$K$30="Alta",'Mapa final'!$O$30="Leve"),CONCATENATE("R",'Mapa final'!$A$30),"")</f>
        <v/>
      </c>
      <c r="M16" s="513"/>
      <c r="N16" s="513" t="str">
        <f>IF(AND('Mapa final'!$K$36="Alta",'Mapa final'!$O$36="Leve"),CONCATENATE("R",'Mapa final'!$A$36),"")</f>
        <v/>
      </c>
      <c r="O16" s="514"/>
      <c r="P16" s="512" t="str">
        <f>IF(AND('Mapa final'!$K$24="Alta",'Mapa final'!$O$24="Menor"),CONCATENATE("R",'Mapa final'!$A$24),"")</f>
        <v/>
      </c>
      <c r="Q16" s="513"/>
      <c r="R16" s="513" t="str">
        <f>IF(AND('Mapa final'!$K$30="Alta",'Mapa final'!$O$30="Menor"),CONCATENATE("R",'Mapa final'!$A$30),"")</f>
        <v/>
      </c>
      <c r="S16" s="513"/>
      <c r="T16" s="513" t="str">
        <f>IF(AND('Mapa final'!$K$36="Alta",'Mapa final'!$O$36="Menor"),CONCATENATE("R",'Mapa final'!$A$36),"")</f>
        <v/>
      </c>
      <c r="U16" s="514"/>
      <c r="V16" s="530" t="str">
        <f>IF(AND('Mapa final'!$K$24="Alta",'Mapa final'!$O$24="Moderado"),CONCATENATE("R",'Mapa final'!$A$24),"")</f>
        <v/>
      </c>
      <c r="W16" s="531"/>
      <c r="X16" s="531" t="str">
        <f>IF(AND('Mapa final'!$K$30="Alta",'Mapa final'!$O$30="Moderado"),CONCATENATE("R",'Mapa final'!$A$30),"")</f>
        <v/>
      </c>
      <c r="Y16" s="531"/>
      <c r="Z16" s="531" t="str">
        <f>IF(AND('Mapa final'!$K$36="Alta",'Mapa final'!$O$36="Moderado"),CONCATENATE("R",'Mapa final'!$A$36),"")</f>
        <v/>
      </c>
      <c r="AA16" s="532"/>
      <c r="AB16" s="530" t="str">
        <f>IF(AND('Mapa final'!$K$24="Alta",'Mapa final'!$O$24="Mayor"),CONCATENATE("R",'Mapa final'!$A$24),"")</f>
        <v/>
      </c>
      <c r="AC16" s="531"/>
      <c r="AD16" s="531" t="str">
        <f>IF(AND('Mapa final'!$K$30="Alta",'Mapa final'!$O$30="Mayor"),CONCATENATE("R",'Mapa final'!$A$30),"")</f>
        <v/>
      </c>
      <c r="AE16" s="531"/>
      <c r="AF16" s="531" t="str">
        <f>IF(AND('Mapa final'!$K$36="Alta",'Mapa final'!$O$36="Mayor"),CONCATENATE("R",'Mapa final'!$A$36),"")</f>
        <v/>
      </c>
      <c r="AG16" s="532"/>
      <c r="AH16" s="521" t="str">
        <f>IF(AND('Mapa final'!$K$24="Alta",'Mapa final'!$O$24="Catastrófico"),CONCATENATE("R",'Mapa final'!$A$24),"")</f>
        <v/>
      </c>
      <c r="AI16" s="522"/>
      <c r="AJ16" s="522" t="str">
        <f>IF(AND('Mapa final'!$K$30="Alta",'Mapa final'!$O$30="Catastrófico"),CONCATENATE("R",'Mapa final'!$A$30),"")</f>
        <v/>
      </c>
      <c r="AK16" s="522"/>
      <c r="AL16" s="522" t="str">
        <f>IF(AND('Mapa final'!$K$36="Alta",'Mapa final'!$O$36="Catastrófico"),CONCATENATE("R",'Mapa final'!$A$36),"")</f>
        <v/>
      </c>
      <c r="AM16" s="523"/>
      <c r="AN16" s="67"/>
      <c r="AO16" s="564"/>
      <c r="AP16" s="565"/>
      <c r="AQ16" s="565"/>
      <c r="AR16" s="565"/>
      <c r="AS16" s="565"/>
      <c r="AT16" s="566"/>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row>
    <row r="17" spans="1:80" ht="15" customHeight="1" x14ac:dyDescent="0.3">
      <c r="A17" s="67"/>
      <c r="B17" s="550"/>
      <c r="C17" s="550"/>
      <c r="D17" s="551"/>
      <c r="E17" s="543"/>
      <c r="F17" s="544"/>
      <c r="G17" s="544"/>
      <c r="H17" s="544"/>
      <c r="I17" s="544"/>
      <c r="J17" s="512"/>
      <c r="K17" s="513"/>
      <c r="L17" s="513"/>
      <c r="M17" s="513"/>
      <c r="N17" s="513"/>
      <c r="O17" s="514"/>
      <c r="P17" s="512"/>
      <c r="Q17" s="513"/>
      <c r="R17" s="513"/>
      <c r="S17" s="513"/>
      <c r="T17" s="513"/>
      <c r="U17" s="514"/>
      <c r="V17" s="530"/>
      <c r="W17" s="531"/>
      <c r="X17" s="531"/>
      <c r="Y17" s="531"/>
      <c r="Z17" s="531"/>
      <c r="AA17" s="532"/>
      <c r="AB17" s="530"/>
      <c r="AC17" s="531"/>
      <c r="AD17" s="531"/>
      <c r="AE17" s="531"/>
      <c r="AF17" s="531"/>
      <c r="AG17" s="532"/>
      <c r="AH17" s="521"/>
      <c r="AI17" s="522"/>
      <c r="AJ17" s="522"/>
      <c r="AK17" s="522"/>
      <c r="AL17" s="522"/>
      <c r="AM17" s="523"/>
      <c r="AN17" s="67"/>
      <c r="AO17" s="564"/>
      <c r="AP17" s="565"/>
      <c r="AQ17" s="565"/>
      <c r="AR17" s="565"/>
      <c r="AS17" s="565"/>
      <c r="AT17" s="566"/>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row>
    <row r="18" spans="1:80" ht="15" customHeight="1" x14ac:dyDescent="0.3">
      <c r="A18" s="67"/>
      <c r="B18" s="550"/>
      <c r="C18" s="550"/>
      <c r="D18" s="551"/>
      <c r="E18" s="543"/>
      <c r="F18" s="544"/>
      <c r="G18" s="544"/>
      <c r="H18" s="544"/>
      <c r="I18" s="544"/>
      <c r="J18" s="512" t="str">
        <f>IF(AND('Mapa final'!$K$42="Alta",'Mapa final'!$O$42="Leve"),CONCATENATE("R",'Mapa final'!$A$42),"")</f>
        <v/>
      </c>
      <c r="K18" s="513"/>
      <c r="L18" s="513" t="str">
        <f>IF(AND('Mapa final'!$K$48="Alta",'Mapa final'!$O$48="Leve"),CONCATENATE("R",'Mapa final'!$A$48),"")</f>
        <v/>
      </c>
      <c r="M18" s="513"/>
      <c r="N18" s="513" t="str">
        <f>IF(AND('Mapa final'!$K$54="Alta",'Mapa final'!$O$54="Leve"),CONCATENATE("R",'Mapa final'!$A$54),"")</f>
        <v/>
      </c>
      <c r="O18" s="514"/>
      <c r="P18" s="512" t="str">
        <f>IF(AND('Mapa final'!$K$42="Alta",'Mapa final'!$O$42="Menor"),CONCATENATE("R",'Mapa final'!$A$42),"")</f>
        <v/>
      </c>
      <c r="Q18" s="513"/>
      <c r="R18" s="513" t="str">
        <f>IF(AND('Mapa final'!$K$48="Alta",'Mapa final'!$O$48="Menor"),CONCATENATE("R",'Mapa final'!$A$48),"")</f>
        <v/>
      </c>
      <c r="S18" s="513"/>
      <c r="T18" s="513" t="str">
        <f>IF(AND('Mapa final'!$K$54="Alta",'Mapa final'!$O$54="Menor"),CONCATENATE("R",'Mapa final'!$A$54),"")</f>
        <v/>
      </c>
      <c r="U18" s="514"/>
      <c r="V18" s="530" t="str">
        <f>IF(AND('Mapa final'!$K$42="Alta",'Mapa final'!$O$42="Moderado"),CONCATENATE("R",'Mapa final'!$A$42),"")</f>
        <v/>
      </c>
      <c r="W18" s="531"/>
      <c r="X18" s="531" t="str">
        <f>IF(AND('Mapa final'!$K$48="Alta",'Mapa final'!$O$48="Moderado"),CONCATENATE("R",'Mapa final'!$A$48),"")</f>
        <v/>
      </c>
      <c r="Y18" s="531"/>
      <c r="Z18" s="531" t="str">
        <f>IF(AND('Mapa final'!$K$54="Alta",'Mapa final'!$O$54="Moderado"),CONCATENATE("R",'Mapa final'!$A$54),"")</f>
        <v/>
      </c>
      <c r="AA18" s="532"/>
      <c r="AB18" s="530" t="str">
        <f>IF(AND('Mapa final'!$K$42="Alta",'Mapa final'!$O$42="Mayor"),CONCATENATE("R",'Mapa final'!$A$42),"")</f>
        <v/>
      </c>
      <c r="AC18" s="531"/>
      <c r="AD18" s="531" t="str">
        <f>IF(AND('Mapa final'!$K$48="Alta",'Mapa final'!$O$48="Mayor"),CONCATENATE("R",'Mapa final'!$A$48),"")</f>
        <v/>
      </c>
      <c r="AE18" s="531"/>
      <c r="AF18" s="531" t="str">
        <f>IF(AND('Mapa final'!$K$54="Alta",'Mapa final'!$O$54="Mayor"),CONCATENATE("R",'Mapa final'!$A$54),"")</f>
        <v/>
      </c>
      <c r="AG18" s="532"/>
      <c r="AH18" s="521" t="str">
        <f>IF(AND('Mapa final'!$K$42="Alta",'Mapa final'!$O$42="Catastrófico"),CONCATENATE("R",'Mapa final'!$A$42),"")</f>
        <v/>
      </c>
      <c r="AI18" s="522"/>
      <c r="AJ18" s="522" t="str">
        <f>IF(AND('Mapa final'!$K$48="Alta",'Mapa final'!$O$48="Catastrófico"),CONCATENATE("R",'Mapa final'!$A$48),"")</f>
        <v/>
      </c>
      <c r="AK18" s="522"/>
      <c r="AL18" s="522" t="str">
        <f>IF(AND('Mapa final'!$K$54="Alta",'Mapa final'!$O$54="Catastrófico"),CONCATENATE("R",'Mapa final'!$A$54),"")</f>
        <v/>
      </c>
      <c r="AM18" s="523"/>
      <c r="AN18" s="67"/>
      <c r="AO18" s="564"/>
      <c r="AP18" s="565"/>
      <c r="AQ18" s="565"/>
      <c r="AR18" s="565"/>
      <c r="AS18" s="565"/>
      <c r="AT18" s="566"/>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row>
    <row r="19" spans="1:80" ht="15" customHeight="1" x14ac:dyDescent="0.3">
      <c r="A19" s="67"/>
      <c r="B19" s="550"/>
      <c r="C19" s="550"/>
      <c r="D19" s="551"/>
      <c r="E19" s="543"/>
      <c r="F19" s="544"/>
      <c r="G19" s="544"/>
      <c r="H19" s="544"/>
      <c r="I19" s="544"/>
      <c r="J19" s="512"/>
      <c r="K19" s="513"/>
      <c r="L19" s="513"/>
      <c r="M19" s="513"/>
      <c r="N19" s="513"/>
      <c r="O19" s="514"/>
      <c r="P19" s="512"/>
      <c r="Q19" s="513"/>
      <c r="R19" s="513"/>
      <c r="S19" s="513"/>
      <c r="T19" s="513"/>
      <c r="U19" s="514"/>
      <c r="V19" s="530"/>
      <c r="W19" s="531"/>
      <c r="X19" s="531"/>
      <c r="Y19" s="531"/>
      <c r="Z19" s="531"/>
      <c r="AA19" s="532"/>
      <c r="AB19" s="530"/>
      <c r="AC19" s="531"/>
      <c r="AD19" s="531"/>
      <c r="AE19" s="531"/>
      <c r="AF19" s="531"/>
      <c r="AG19" s="532"/>
      <c r="AH19" s="521"/>
      <c r="AI19" s="522"/>
      <c r="AJ19" s="522"/>
      <c r="AK19" s="522"/>
      <c r="AL19" s="522"/>
      <c r="AM19" s="523"/>
      <c r="AN19" s="67"/>
      <c r="AO19" s="564"/>
      <c r="AP19" s="565"/>
      <c r="AQ19" s="565"/>
      <c r="AR19" s="565"/>
      <c r="AS19" s="565"/>
      <c r="AT19" s="566"/>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row>
    <row r="20" spans="1:80" ht="15" customHeight="1" x14ac:dyDescent="0.3">
      <c r="A20" s="67"/>
      <c r="B20" s="550"/>
      <c r="C20" s="550"/>
      <c r="D20" s="551"/>
      <c r="E20" s="543"/>
      <c r="F20" s="544"/>
      <c r="G20" s="544"/>
      <c r="H20" s="544"/>
      <c r="I20" s="544"/>
      <c r="J20" s="512" t="str">
        <f>IF(AND('Mapa final'!$K$60="Alta",'Mapa final'!$O$60="Leve"),CONCATENATE("R",'Mapa final'!$A$60),"")</f>
        <v/>
      </c>
      <c r="K20" s="513"/>
      <c r="L20" s="513" t="str">
        <f>IF(AND('Mapa final'!$K$66="Alta",'Mapa final'!$O$66="Leve"),CONCATENATE("R",'Mapa final'!$A$66),"")</f>
        <v/>
      </c>
      <c r="M20" s="513"/>
      <c r="N20" s="513" t="str">
        <f>IF(AND('Mapa final'!$K$72="Alta",'Mapa final'!$O$72="Leve"),CONCATENATE("R",'Mapa final'!$A$72),"")</f>
        <v/>
      </c>
      <c r="O20" s="514"/>
      <c r="P20" s="512" t="str">
        <f>IF(AND('Mapa final'!$K$60="Alta",'Mapa final'!$O$60="Menor"),CONCATENATE("R",'Mapa final'!$A$60),"")</f>
        <v/>
      </c>
      <c r="Q20" s="513"/>
      <c r="R20" s="513" t="str">
        <f>IF(AND('Mapa final'!$K$66="Alta",'Mapa final'!$O$66="Menor"),CONCATENATE("R",'Mapa final'!$A$66),"")</f>
        <v/>
      </c>
      <c r="S20" s="513"/>
      <c r="T20" s="513" t="str">
        <f>IF(AND('Mapa final'!$K$72="Alta",'Mapa final'!$O$72="Menor"),CONCATENATE("R",'Mapa final'!$A$72),"")</f>
        <v/>
      </c>
      <c r="U20" s="514"/>
      <c r="V20" s="530" t="str">
        <f>IF(AND('Mapa final'!$K$60="Alta",'Mapa final'!$O$60="Moderado"),CONCATENATE("R",'Mapa final'!$A$60),"")</f>
        <v/>
      </c>
      <c r="W20" s="531"/>
      <c r="X20" s="531" t="str">
        <f>IF(AND('Mapa final'!$K$66="Alta",'Mapa final'!$O$66="Moderado"),CONCATENATE("R",'Mapa final'!$A$66),"")</f>
        <v/>
      </c>
      <c r="Y20" s="531"/>
      <c r="Z20" s="531" t="str">
        <f>IF(AND('Mapa final'!$K$72="Alta",'Mapa final'!$O$72="Moderado"),CONCATENATE("R",'Mapa final'!$A$72),"")</f>
        <v/>
      </c>
      <c r="AA20" s="532"/>
      <c r="AB20" s="530" t="str">
        <f>IF(AND('Mapa final'!$K$60="Alta",'Mapa final'!$O$60="Mayor"),CONCATENATE("R",'Mapa final'!$A$60),"")</f>
        <v/>
      </c>
      <c r="AC20" s="531"/>
      <c r="AD20" s="531" t="str">
        <f>IF(AND('Mapa final'!$K$66="Alta",'Mapa final'!$O$66="Mayor"),CONCATENATE("R",'Mapa final'!$A$66),"")</f>
        <v/>
      </c>
      <c r="AE20" s="531"/>
      <c r="AF20" s="531" t="str">
        <f>IF(AND('Mapa final'!$K$72="Alta",'Mapa final'!$O$72="Mayor"),CONCATENATE("R",'Mapa final'!$A$72),"")</f>
        <v/>
      </c>
      <c r="AG20" s="532"/>
      <c r="AH20" s="521" t="str">
        <f>IF(AND('Mapa final'!$K$60="Alta",'Mapa final'!$O$60="Catastrófico"),CONCATENATE("R",'Mapa final'!$A$60),"")</f>
        <v/>
      </c>
      <c r="AI20" s="522"/>
      <c r="AJ20" s="522" t="str">
        <f>IF(AND('Mapa final'!$K$66="Alta",'Mapa final'!$O$66="Catastrófico"),CONCATENATE("R",'Mapa final'!$A$66),"")</f>
        <v/>
      </c>
      <c r="AK20" s="522"/>
      <c r="AL20" s="522" t="str">
        <f>IF(AND('Mapa final'!$K$72="Alta",'Mapa final'!$O$72="Catastrófico"),CONCATENATE("R",'Mapa final'!$A$72),"")</f>
        <v/>
      </c>
      <c r="AM20" s="523"/>
      <c r="AN20" s="67"/>
      <c r="AO20" s="564"/>
      <c r="AP20" s="565"/>
      <c r="AQ20" s="565"/>
      <c r="AR20" s="565"/>
      <c r="AS20" s="565"/>
      <c r="AT20" s="566"/>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row>
    <row r="21" spans="1:80" ht="15.75" customHeight="1" thickBot="1" x14ac:dyDescent="0.35">
      <c r="A21" s="67"/>
      <c r="B21" s="550"/>
      <c r="C21" s="550"/>
      <c r="D21" s="551"/>
      <c r="E21" s="546"/>
      <c r="F21" s="547"/>
      <c r="G21" s="547"/>
      <c r="H21" s="547"/>
      <c r="I21" s="547"/>
      <c r="J21" s="515"/>
      <c r="K21" s="516"/>
      <c r="L21" s="516"/>
      <c r="M21" s="516"/>
      <c r="N21" s="516"/>
      <c r="O21" s="517"/>
      <c r="P21" s="515"/>
      <c r="Q21" s="516"/>
      <c r="R21" s="516"/>
      <c r="S21" s="516"/>
      <c r="T21" s="516"/>
      <c r="U21" s="517"/>
      <c r="V21" s="533"/>
      <c r="W21" s="534"/>
      <c r="X21" s="534"/>
      <c r="Y21" s="534"/>
      <c r="Z21" s="534"/>
      <c r="AA21" s="535"/>
      <c r="AB21" s="533"/>
      <c r="AC21" s="534"/>
      <c r="AD21" s="534"/>
      <c r="AE21" s="534"/>
      <c r="AF21" s="534"/>
      <c r="AG21" s="535"/>
      <c r="AH21" s="524"/>
      <c r="AI21" s="525"/>
      <c r="AJ21" s="525"/>
      <c r="AK21" s="525"/>
      <c r="AL21" s="525"/>
      <c r="AM21" s="526"/>
      <c r="AN21" s="67"/>
      <c r="AO21" s="567"/>
      <c r="AP21" s="568"/>
      <c r="AQ21" s="568"/>
      <c r="AR21" s="568"/>
      <c r="AS21" s="568"/>
      <c r="AT21" s="569"/>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row>
    <row r="22" spans="1:80" x14ac:dyDescent="0.3">
      <c r="A22" s="67"/>
      <c r="B22" s="550"/>
      <c r="C22" s="550"/>
      <c r="D22" s="551"/>
      <c r="E22" s="540" t="s">
        <v>112</v>
      </c>
      <c r="F22" s="541"/>
      <c r="G22" s="541"/>
      <c r="H22" s="541"/>
      <c r="I22" s="542"/>
      <c r="J22" s="518" t="str">
        <f>IF(AND('Mapa final'!$K$10="Media",'Mapa final'!$O$10="Leve"),CONCATENATE("R",'Mapa final'!$A$10),"")</f>
        <v/>
      </c>
      <c r="K22" s="519"/>
      <c r="L22" s="519" t="str">
        <f>IF(AND('Mapa final'!$K$12="Media",'Mapa final'!$O$12="Leve"),CONCATENATE("R",'Mapa final'!$A$12),"")</f>
        <v/>
      </c>
      <c r="M22" s="519"/>
      <c r="N22" s="519" t="str">
        <f>IF(AND('Mapa final'!$K$18="Media",'Mapa final'!$O$18="Leve"),CONCATENATE("R",'Mapa final'!$A$18),"")</f>
        <v/>
      </c>
      <c r="O22" s="520"/>
      <c r="P22" s="518" t="str">
        <f>IF(AND('Mapa final'!$K$10="Media",'Mapa final'!$O$10="Menor"),CONCATENATE("R",'Mapa final'!$A$10),"")</f>
        <v/>
      </c>
      <c r="Q22" s="519"/>
      <c r="R22" s="519" t="str">
        <f>IF(AND('Mapa final'!$K$12="Media",'Mapa final'!$O$12="Menor"),CONCATENATE("R",'Mapa final'!$A$12),"")</f>
        <v/>
      </c>
      <c r="S22" s="519"/>
      <c r="T22" s="519" t="str">
        <f>IF(AND('Mapa final'!$K$18="Media",'Mapa final'!$O$18="Menor"),CONCATENATE("R",'Mapa final'!$A$18),"")</f>
        <v/>
      </c>
      <c r="U22" s="520"/>
      <c r="V22" s="518" t="str">
        <f>IF(AND('Mapa final'!$K$10="Media",'Mapa final'!$O$10="Moderado"),CONCATENATE("R",'Mapa final'!$A$10),"")</f>
        <v/>
      </c>
      <c r="W22" s="519"/>
      <c r="X22" s="519" t="str">
        <f>IF(AND('Mapa final'!$K$12="Media",'Mapa final'!$O$12="Moderado"),CONCATENATE("R",'Mapa final'!$A$12),"")</f>
        <v/>
      </c>
      <c r="Y22" s="519"/>
      <c r="Z22" s="519" t="str">
        <f>IF(AND('Mapa final'!$K$18="Media",'Mapa final'!$O$18="Moderado"),CONCATENATE("R",'Mapa final'!$A$18),"")</f>
        <v/>
      </c>
      <c r="AA22" s="520"/>
      <c r="AB22" s="536" t="str">
        <f>IF(AND('Mapa final'!$K$10="Media",'Mapa final'!$O$10="Mayor"),CONCATENATE("R",'Mapa final'!$A$10),"")</f>
        <v/>
      </c>
      <c r="AC22" s="537"/>
      <c r="AD22" s="537" t="str">
        <f>IF(AND('Mapa final'!$K$12="Media",'Mapa final'!$O$12="Mayor"),CONCATENATE("R",'Mapa final'!$A$12),"")</f>
        <v/>
      </c>
      <c r="AE22" s="537"/>
      <c r="AF22" s="537" t="str">
        <f>IF(AND('Mapa final'!$K$18="Media",'Mapa final'!$O$18="Mayor"),CONCATENATE("R",'Mapa final'!$A$18),"")</f>
        <v/>
      </c>
      <c r="AG22" s="538"/>
      <c r="AH22" s="527" t="str">
        <f>IF(AND('Mapa final'!$K$10="Media",'Mapa final'!$O$10="Catastrófico"),CONCATENATE("R",'Mapa final'!$A$10),"")</f>
        <v/>
      </c>
      <c r="AI22" s="528"/>
      <c r="AJ22" s="528" t="str">
        <f>IF(AND('Mapa final'!$K$12="Media",'Mapa final'!$O$12="Catastrófico"),CONCATENATE("R",'Mapa final'!$A$12),"")</f>
        <v/>
      </c>
      <c r="AK22" s="528"/>
      <c r="AL22" s="528" t="str">
        <f>IF(AND('Mapa final'!$K$18="Media",'Mapa final'!$O$18="Catastrófico"),CONCATENATE("R",'Mapa final'!$A$18),"")</f>
        <v/>
      </c>
      <c r="AM22" s="529"/>
      <c r="AN22" s="67"/>
      <c r="AO22" s="570" t="s">
        <v>80</v>
      </c>
      <c r="AP22" s="571"/>
      <c r="AQ22" s="571"/>
      <c r="AR22" s="571"/>
      <c r="AS22" s="571"/>
      <c r="AT22" s="572"/>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row>
    <row r="23" spans="1:80" x14ac:dyDescent="0.3">
      <c r="A23" s="67"/>
      <c r="B23" s="550"/>
      <c r="C23" s="550"/>
      <c r="D23" s="551"/>
      <c r="E23" s="543"/>
      <c r="F23" s="544"/>
      <c r="G23" s="544"/>
      <c r="H23" s="544"/>
      <c r="I23" s="545"/>
      <c r="J23" s="512"/>
      <c r="K23" s="513"/>
      <c r="L23" s="513"/>
      <c r="M23" s="513"/>
      <c r="N23" s="513"/>
      <c r="O23" s="514"/>
      <c r="P23" s="512"/>
      <c r="Q23" s="513"/>
      <c r="R23" s="513"/>
      <c r="S23" s="513"/>
      <c r="T23" s="513"/>
      <c r="U23" s="514"/>
      <c r="V23" s="512"/>
      <c r="W23" s="513"/>
      <c r="X23" s="513"/>
      <c r="Y23" s="513"/>
      <c r="Z23" s="513"/>
      <c r="AA23" s="514"/>
      <c r="AB23" s="530"/>
      <c r="AC23" s="531"/>
      <c r="AD23" s="531"/>
      <c r="AE23" s="531"/>
      <c r="AF23" s="531"/>
      <c r="AG23" s="532"/>
      <c r="AH23" s="521"/>
      <c r="AI23" s="522"/>
      <c r="AJ23" s="522"/>
      <c r="AK23" s="522"/>
      <c r="AL23" s="522"/>
      <c r="AM23" s="523"/>
      <c r="AN23" s="67"/>
      <c r="AO23" s="573"/>
      <c r="AP23" s="574"/>
      <c r="AQ23" s="574"/>
      <c r="AR23" s="574"/>
      <c r="AS23" s="574"/>
      <c r="AT23" s="575"/>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row>
    <row r="24" spans="1:80" x14ac:dyDescent="0.3">
      <c r="A24" s="67"/>
      <c r="B24" s="550"/>
      <c r="C24" s="550"/>
      <c r="D24" s="551"/>
      <c r="E24" s="543"/>
      <c r="F24" s="544"/>
      <c r="G24" s="544"/>
      <c r="H24" s="544"/>
      <c r="I24" s="545"/>
      <c r="J24" s="512" t="str">
        <f>IF(AND('Mapa final'!$K$24="Media",'Mapa final'!$O$24="Leve"),CONCATENATE("R",'Mapa final'!$A$24),"")</f>
        <v/>
      </c>
      <c r="K24" s="513"/>
      <c r="L24" s="513" t="str">
        <f>IF(AND('Mapa final'!$K$30="Media",'Mapa final'!$O$30="Leve"),CONCATENATE("R",'Mapa final'!$A$30),"")</f>
        <v/>
      </c>
      <c r="M24" s="513"/>
      <c r="N24" s="513" t="str">
        <f>IF(AND('Mapa final'!$K$36="Media",'Mapa final'!$O$36="Leve"),CONCATENATE("R",'Mapa final'!$A$36),"")</f>
        <v/>
      </c>
      <c r="O24" s="514"/>
      <c r="P24" s="512" t="str">
        <f>IF(AND('Mapa final'!$K$24="Media",'Mapa final'!$O$24="Menor"),CONCATENATE("R",'Mapa final'!$A$24),"")</f>
        <v/>
      </c>
      <c r="Q24" s="513"/>
      <c r="R24" s="513" t="str">
        <f>IF(AND('Mapa final'!$K$30="Media",'Mapa final'!$O$30="Menor"),CONCATENATE("R",'Mapa final'!$A$30),"")</f>
        <v/>
      </c>
      <c r="S24" s="513"/>
      <c r="T24" s="513" t="str">
        <f>IF(AND('Mapa final'!$K$36="Media",'Mapa final'!$O$36="Menor"),CONCATENATE("R",'Mapa final'!$A$36),"")</f>
        <v/>
      </c>
      <c r="U24" s="514"/>
      <c r="V24" s="512" t="str">
        <f>IF(AND('Mapa final'!$K$24="Media",'Mapa final'!$O$24="Moderado"),CONCATENATE("R",'Mapa final'!$A$24),"")</f>
        <v/>
      </c>
      <c r="W24" s="513"/>
      <c r="X24" s="513" t="str">
        <f>IF(AND('Mapa final'!$K$30="Media",'Mapa final'!$O$30="Moderado"),CONCATENATE("R",'Mapa final'!$A$30),"")</f>
        <v/>
      </c>
      <c r="Y24" s="513"/>
      <c r="Z24" s="513" t="str">
        <f>IF(AND('Mapa final'!$K$36="Media",'Mapa final'!$O$36="Moderado"),CONCATENATE("R",'Mapa final'!$A$36),"")</f>
        <v/>
      </c>
      <c r="AA24" s="514"/>
      <c r="AB24" s="530" t="str">
        <f>IF(AND('Mapa final'!$K$24="Media",'Mapa final'!$O$24="Mayor"),CONCATENATE("R",'Mapa final'!$A$24),"")</f>
        <v/>
      </c>
      <c r="AC24" s="531"/>
      <c r="AD24" s="531" t="str">
        <f>IF(AND('Mapa final'!$K$30="Media",'Mapa final'!$O$30="Mayor"),CONCATENATE("R",'Mapa final'!$A$30),"")</f>
        <v/>
      </c>
      <c r="AE24" s="531"/>
      <c r="AF24" s="531" t="str">
        <f>IF(AND('Mapa final'!$K$36="Media",'Mapa final'!$O$36="Mayor"),CONCATENATE("R",'Mapa final'!$A$36),"")</f>
        <v/>
      </c>
      <c r="AG24" s="532"/>
      <c r="AH24" s="521" t="str">
        <f>IF(AND('Mapa final'!$K$24="Media",'Mapa final'!$O$24="Catastrófico"),CONCATENATE("R",'Mapa final'!$A$24),"")</f>
        <v/>
      </c>
      <c r="AI24" s="522"/>
      <c r="AJ24" s="522" t="str">
        <f>IF(AND('Mapa final'!$K$30="Media",'Mapa final'!$O$30="Catastrófico"),CONCATENATE("R",'Mapa final'!$A$30),"")</f>
        <v/>
      </c>
      <c r="AK24" s="522"/>
      <c r="AL24" s="522" t="str">
        <f>IF(AND('Mapa final'!$K$36="Media",'Mapa final'!$O$36="Catastrófico"),CONCATENATE("R",'Mapa final'!$A$36),"")</f>
        <v/>
      </c>
      <c r="AM24" s="523"/>
      <c r="AN24" s="67"/>
      <c r="AO24" s="573"/>
      <c r="AP24" s="574"/>
      <c r="AQ24" s="574"/>
      <c r="AR24" s="574"/>
      <c r="AS24" s="574"/>
      <c r="AT24" s="575"/>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row>
    <row r="25" spans="1:80" x14ac:dyDescent="0.3">
      <c r="A25" s="67"/>
      <c r="B25" s="550"/>
      <c r="C25" s="550"/>
      <c r="D25" s="551"/>
      <c r="E25" s="543"/>
      <c r="F25" s="544"/>
      <c r="G25" s="544"/>
      <c r="H25" s="544"/>
      <c r="I25" s="545"/>
      <c r="J25" s="512"/>
      <c r="K25" s="513"/>
      <c r="L25" s="513"/>
      <c r="M25" s="513"/>
      <c r="N25" s="513"/>
      <c r="O25" s="514"/>
      <c r="P25" s="512"/>
      <c r="Q25" s="513"/>
      <c r="R25" s="513"/>
      <c r="S25" s="513"/>
      <c r="T25" s="513"/>
      <c r="U25" s="514"/>
      <c r="V25" s="512"/>
      <c r="W25" s="513"/>
      <c r="X25" s="513"/>
      <c r="Y25" s="513"/>
      <c r="Z25" s="513"/>
      <c r="AA25" s="514"/>
      <c r="AB25" s="530"/>
      <c r="AC25" s="531"/>
      <c r="AD25" s="531"/>
      <c r="AE25" s="531"/>
      <c r="AF25" s="531"/>
      <c r="AG25" s="532"/>
      <c r="AH25" s="521"/>
      <c r="AI25" s="522"/>
      <c r="AJ25" s="522"/>
      <c r="AK25" s="522"/>
      <c r="AL25" s="522"/>
      <c r="AM25" s="523"/>
      <c r="AN25" s="67"/>
      <c r="AO25" s="573"/>
      <c r="AP25" s="574"/>
      <c r="AQ25" s="574"/>
      <c r="AR25" s="574"/>
      <c r="AS25" s="574"/>
      <c r="AT25" s="575"/>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row>
    <row r="26" spans="1:80" x14ac:dyDescent="0.3">
      <c r="A26" s="67"/>
      <c r="B26" s="550"/>
      <c r="C26" s="550"/>
      <c r="D26" s="551"/>
      <c r="E26" s="543"/>
      <c r="F26" s="544"/>
      <c r="G26" s="544"/>
      <c r="H26" s="544"/>
      <c r="I26" s="545"/>
      <c r="J26" s="512" t="str">
        <f>IF(AND('Mapa final'!$K$42="Media",'Mapa final'!$O$42="Leve"),CONCATENATE("R",'Mapa final'!$A$42),"")</f>
        <v/>
      </c>
      <c r="K26" s="513"/>
      <c r="L26" s="513" t="str">
        <f>IF(AND('Mapa final'!$K$48="Media",'Mapa final'!$O$48="Leve"),CONCATENATE("R",'Mapa final'!$A$48),"")</f>
        <v/>
      </c>
      <c r="M26" s="513"/>
      <c r="N26" s="513" t="str">
        <f>IF(AND('Mapa final'!$K$54="Media",'Mapa final'!$O$54="Leve"),CONCATENATE("R",'Mapa final'!$A$54),"")</f>
        <v/>
      </c>
      <c r="O26" s="514"/>
      <c r="P26" s="512" t="str">
        <f>IF(AND('Mapa final'!$K$42="Media",'Mapa final'!$O$42="Menor"),CONCATENATE("R",'Mapa final'!$A$42),"")</f>
        <v/>
      </c>
      <c r="Q26" s="513"/>
      <c r="R26" s="513" t="str">
        <f>IF(AND('Mapa final'!$K$48="Media",'Mapa final'!$O$48="Menor"),CONCATENATE("R",'Mapa final'!$A$48),"")</f>
        <v/>
      </c>
      <c r="S26" s="513"/>
      <c r="T26" s="513" t="str">
        <f>IF(AND('Mapa final'!$K$54="Media",'Mapa final'!$O$54="Menor"),CONCATENATE("R",'Mapa final'!$A$54),"")</f>
        <v/>
      </c>
      <c r="U26" s="514"/>
      <c r="V26" s="512" t="str">
        <f>IF(AND('Mapa final'!$K$42="Media",'Mapa final'!$O$42="Moderado"),CONCATENATE("R",'Mapa final'!$A$42),"")</f>
        <v/>
      </c>
      <c r="W26" s="513"/>
      <c r="X26" s="513" t="str">
        <f>IF(AND('Mapa final'!$K$48="Media",'Mapa final'!$O$48="Moderado"),CONCATENATE("R",'Mapa final'!$A$48),"")</f>
        <v/>
      </c>
      <c r="Y26" s="513"/>
      <c r="Z26" s="513" t="str">
        <f>IF(AND('Mapa final'!$K$54="Media",'Mapa final'!$O$54="Moderado"),CONCATENATE("R",'Mapa final'!$A$54),"")</f>
        <v/>
      </c>
      <c r="AA26" s="514"/>
      <c r="AB26" s="530" t="str">
        <f>IF(AND('Mapa final'!$K$42="Media",'Mapa final'!$O$42="Mayor"),CONCATENATE("R",'Mapa final'!$A$42),"")</f>
        <v/>
      </c>
      <c r="AC26" s="531"/>
      <c r="AD26" s="531" t="str">
        <f>IF(AND('Mapa final'!$K$48="Media",'Mapa final'!$O$48="Mayor"),CONCATENATE("R",'Mapa final'!$A$48),"")</f>
        <v/>
      </c>
      <c r="AE26" s="531"/>
      <c r="AF26" s="531" t="str">
        <f>IF(AND('Mapa final'!$K$54="Media",'Mapa final'!$O$54="Mayor"),CONCATENATE("R",'Mapa final'!$A$54),"")</f>
        <v/>
      </c>
      <c r="AG26" s="532"/>
      <c r="AH26" s="521" t="str">
        <f>IF(AND('Mapa final'!$K$42="Media",'Mapa final'!$O$42="Catastrófico"),CONCATENATE("R",'Mapa final'!$A$42),"")</f>
        <v/>
      </c>
      <c r="AI26" s="522"/>
      <c r="AJ26" s="522" t="str">
        <f>IF(AND('Mapa final'!$K$48="Media",'Mapa final'!$O$48="Catastrófico"),CONCATENATE("R",'Mapa final'!$A$48),"")</f>
        <v/>
      </c>
      <c r="AK26" s="522"/>
      <c r="AL26" s="522" t="str">
        <f>IF(AND('Mapa final'!$K$54="Media",'Mapa final'!$O$54="Catastrófico"),CONCATENATE("R",'Mapa final'!$A$54),"")</f>
        <v/>
      </c>
      <c r="AM26" s="523"/>
      <c r="AN26" s="67"/>
      <c r="AO26" s="573"/>
      <c r="AP26" s="574"/>
      <c r="AQ26" s="574"/>
      <c r="AR26" s="574"/>
      <c r="AS26" s="574"/>
      <c r="AT26" s="575"/>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row>
    <row r="27" spans="1:80" x14ac:dyDescent="0.3">
      <c r="A27" s="67"/>
      <c r="B27" s="550"/>
      <c r="C27" s="550"/>
      <c r="D27" s="551"/>
      <c r="E27" s="543"/>
      <c r="F27" s="544"/>
      <c r="G27" s="544"/>
      <c r="H27" s="544"/>
      <c r="I27" s="545"/>
      <c r="J27" s="512"/>
      <c r="K27" s="513"/>
      <c r="L27" s="513"/>
      <c r="M27" s="513"/>
      <c r="N27" s="513"/>
      <c r="O27" s="514"/>
      <c r="P27" s="512"/>
      <c r="Q27" s="513"/>
      <c r="R27" s="513"/>
      <c r="S27" s="513"/>
      <c r="T27" s="513"/>
      <c r="U27" s="514"/>
      <c r="V27" s="512"/>
      <c r="W27" s="513"/>
      <c r="X27" s="513"/>
      <c r="Y27" s="513"/>
      <c r="Z27" s="513"/>
      <c r="AA27" s="514"/>
      <c r="AB27" s="530"/>
      <c r="AC27" s="531"/>
      <c r="AD27" s="531"/>
      <c r="AE27" s="531"/>
      <c r="AF27" s="531"/>
      <c r="AG27" s="532"/>
      <c r="AH27" s="521"/>
      <c r="AI27" s="522"/>
      <c r="AJ27" s="522"/>
      <c r="AK27" s="522"/>
      <c r="AL27" s="522"/>
      <c r="AM27" s="523"/>
      <c r="AN27" s="67"/>
      <c r="AO27" s="573"/>
      <c r="AP27" s="574"/>
      <c r="AQ27" s="574"/>
      <c r="AR27" s="574"/>
      <c r="AS27" s="574"/>
      <c r="AT27" s="575"/>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row>
    <row r="28" spans="1:80" x14ac:dyDescent="0.3">
      <c r="A28" s="67"/>
      <c r="B28" s="550"/>
      <c r="C28" s="550"/>
      <c r="D28" s="551"/>
      <c r="E28" s="543"/>
      <c r="F28" s="544"/>
      <c r="G28" s="544"/>
      <c r="H28" s="544"/>
      <c r="I28" s="545"/>
      <c r="J28" s="512" t="str">
        <f>IF(AND('Mapa final'!$K$60="Media",'Mapa final'!$O$60="Leve"),CONCATENATE("R",'Mapa final'!$A$60),"")</f>
        <v/>
      </c>
      <c r="K28" s="513"/>
      <c r="L28" s="513" t="str">
        <f>IF(AND('Mapa final'!$K$66="Media",'Mapa final'!$O$66="Leve"),CONCATENATE("R",'Mapa final'!$A$66),"")</f>
        <v/>
      </c>
      <c r="M28" s="513"/>
      <c r="N28" s="513" t="str">
        <f>IF(AND('Mapa final'!$K$72="Media",'Mapa final'!$O$72="Leve"),CONCATENATE("R",'Mapa final'!$A$72),"")</f>
        <v/>
      </c>
      <c r="O28" s="514"/>
      <c r="P28" s="512" t="str">
        <f>IF(AND('Mapa final'!$K$60="Media",'Mapa final'!$O$60="Menor"),CONCATENATE("R",'Mapa final'!$A$60),"")</f>
        <v/>
      </c>
      <c r="Q28" s="513"/>
      <c r="R28" s="513" t="str">
        <f>IF(AND('Mapa final'!$K$66="Media",'Mapa final'!$O$66="Menor"),CONCATENATE("R",'Mapa final'!$A$66),"")</f>
        <v/>
      </c>
      <c r="S28" s="513"/>
      <c r="T28" s="513" t="str">
        <f>IF(AND('Mapa final'!$K$72="Media",'Mapa final'!$O$72="Menor"),CONCATENATE("R",'Mapa final'!$A$72),"")</f>
        <v/>
      </c>
      <c r="U28" s="514"/>
      <c r="V28" s="512" t="str">
        <f>IF(AND('Mapa final'!$K$60="Media",'Mapa final'!$O$60="Moderado"),CONCATENATE("R",'Mapa final'!$A$60),"")</f>
        <v/>
      </c>
      <c r="W28" s="513"/>
      <c r="X28" s="513" t="str">
        <f>IF(AND('Mapa final'!$K$66="Media",'Mapa final'!$O$66="Moderado"),CONCATENATE("R",'Mapa final'!$A$66),"")</f>
        <v/>
      </c>
      <c r="Y28" s="513"/>
      <c r="Z28" s="513" t="str">
        <f>IF(AND('Mapa final'!$K$72="Media",'Mapa final'!$O$72="Moderado"),CONCATENATE("R",'Mapa final'!$A$72),"")</f>
        <v/>
      </c>
      <c r="AA28" s="514"/>
      <c r="AB28" s="530" t="str">
        <f>IF(AND('Mapa final'!$K$60="Media",'Mapa final'!$O$60="Mayor"),CONCATENATE("R",'Mapa final'!$A$60),"")</f>
        <v/>
      </c>
      <c r="AC28" s="531"/>
      <c r="AD28" s="531" t="str">
        <f>IF(AND('Mapa final'!$K$66="Media",'Mapa final'!$O$66="Mayor"),CONCATENATE("R",'Mapa final'!$A$66),"")</f>
        <v/>
      </c>
      <c r="AE28" s="531"/>
      <c r="AF28" s="531" t="str">
        <f>IF(AND('Mapa final'!$K$72="Media",'Mapa final'!$O$72="Mayor"),CONCATENATE("R",'Mapa final'!$A$72),"")</f>
        <v/>
      </c>
      <c r="AG28" s="532"/>
      <c r="AH28" s="521" t="str">
        <f>IF(AND('Mapa final'!$K$60="Media",'Mapa final'!$O$60="Catastrófico"),CONCATENATE("R",'Mapa final'!$A$60),"")</f>
        <v/>
      </c>
      <c r="AI28" s="522"/>
      <c r="AJ28" s="522" t="str">
        <f>IF(AND('Mapa final'!$K$66="Media",'Mapa final'!$O$66="Catastrófico"),CONCATENATE("R",'Mapa final'!$A$66),"")</f>
        <v/>
      </c>
      <c r="AK28" s="522"/>
      <c r="AL28" s="522" t="str">
        <f>IF(AND('Mapa final'!$K$72="Media",'Mapa final'!$O$72="Catastrófico"),CONCATENATE("R",'Mapa final'!$A$72),"")</f>
        <v/>
      </c>
      <c r="AM28" s="523"/>
      <c r="AN28" s="67"/>
      <c r="AO28" s="573"/>
      <c r="AP28" s="574"/>
      <c r="AQ28" s="574"/>
      <c r="AR28" s="574"/>
      <c r="AS28" s="574"/>
      <c r="AT28" s="575"/>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row>
    <row r="29" spans="1:80" ht="15" thickBot="1" x14ac:dyDescent="0.35">
      <c r="A29" s="67"/>
      <c r="B29" s="550"/>
      <c r="C29" s="550"/>
      <c r="D29" s="551"/>
      <c r="E29" s="546"/>
      <c r="F29" s="547"/>
      <c r="G29" s="547"/>
      <c r="H29" s="547"/>
      <c r="I29" s="548"/>
      <c r="J29" s="512"/>
      <c r="K29" s="513"/>
      <c r="L29" s="513"/>
      <c r="M29" s="513"/>
      <c r="N29" s="513"/>
      <c r="O29" s="514"/>
      <c r="P29" s="515"/>
      <c r="Q29" s="516"/>
      <c r="R29" s="516"/>
      <c r="S29" s="516"/>
      <c r="T29" s="516"/>
      <c r="U29" s="517"/>
      <c r="V29" s="515"/>
      <c r="W29" s="516"/>
      <c r="X29" s="516"/>
      <c r="Y29" s="516"/>
      <c r="Z29" s="516"/>
      <c r="AA29" s="517"/>
      <c r="AB29" s="533"/>
      <c r="AC29" s="534"/>
      <c r="AD29" s="534"/>
      <c r="AE29" s="534"/>
      <c r="AF29" s="534"/>
      <c r="AG29" s="535"/>
      <c r="AH29" s="524"/>
      <c r="AI29" s="525"/>
      <c r="AJ29" s="525"/>
      <c r="AK29" s="525"/>
      <c r="AL29" s="525"/>
      <c r="AM29" s="526"/>
      <c r="AN29" s="67"/>
      <c r="AO29" s="576"/>
      <c r="AP29" s="577"/>
      <c r="AQ29" s="577"/>
      <c r="AR29" s="577"/>
      <c r="AS29" s="577"/>
      <c r="AT29" s="578"/>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row>
    <row r="30" spans="1:80" x14ac:dyDescent="0.3">
      <c r="A30" s="67"/>
      <c r="B30" s="550"/>
      <c r="C30" s="550"/>
      <c r="D30" s="551"/>
      <c r="E30" s="540" t="s">
        <v>109</v>
      </c>
      <c r="F30" s="541"/>
      <c r="G30" s="541"/>
      <c r="H30" s="541"/>
      <c r="I30" s="541"/>
      <c r="J30" s="509" t="str">
        <f>IF(AND('Mapa final'!$K$10="Baja",'Mapa final'!$O$10="Leve"),CONCATENATE("R",'Mapa final'!$A$10),"")</f>
        <v/>
      </c>
      <c r="K30" s="510"/>
      <c r="L30" s="510" t="str">
        <f>IF(AND('Mapa final'!$K$12="Baja",'Mapa final'!$O$12="Leve"),CONCATENATE("R",'Mapa final'!$A$12),"")</f>
        <v/>
      </c>
      <c r="M30" s="510"/>
      <c r="N30" s="510" t="str">
        <f>IF(AND('Mapa final'!$K$18="Baja",'Mapa final'!$O$18="Leve"),CONCATENATE("R",'Mapa final'!$A$18),"")</f>
        <v/>
      </c>
      <c r="O30" s="511"/>
      <c r="P30" s="519" t="str">
        <f>IF(AND('Mapa final'!$K$10="Baja",'Mapa final'!$O$10="Menor"),CONCATENATE("R",'Mapa final'!$A$10),"")</f>
        <v/>
      </c>
      <c r="Q30" s="519"/>
      <c r="R30" s="519" t="str">
        <f>IF(AND('Mapa final'!$K$12="Baja",'Mapa final'!$O$12="Menor"),CONCATENATE("R",'Mapa final'!$A$12),"")</f>
        <v/>
      </c>
      <c r="S30" s="519"/>
      <c r="T30" s="519" t="str">
        <f>IF(AND('Mapa final'!$K$18="Baja",'Mapa final'!$O$18="Menor"),CONCATENATE("R",'Mapa final'!$A$18),"")</f>
        <v/>
      </c>
      <c r="U30" s="520"/>
      <c r="V30" s="518" t="str">
        <f>IF(AND('Mapa final'!$K$10="Baja",'Mapa final'!$O$10="Moderado"),CONCATENATE("R",'Mapa final'!$A$10),"")</f>
        <v>R1</v>
      </c>
      <c r="W30" s="519"/>
      <c r="X30" s="519" t="str">
        <f>IF(AND('Mapa final'!$K$12="Baja",'Mapa final'!$O$12="Moderado"),CONCATENATE("R",'Mapa final'!$A$12),"")</f>
        <v>R2</v>
      </c>
      <c r="Y30" s="519"/>
      <c r="Z30" s="519" t="str">
        <f>IF(AND('Mapa final'!$K$18="Baja",'Mapa final'!$O$18="Moderado"),CONCATENATE("R",'Mapa final'!$A$18),"")</f>
        <v>R</v>
      </c>
      <c r="AA30" s="520"/>
      <c r="AB30" s="536" t="str">
        <f>IF(AND('Mapa final'!$K$10="Baja",'Mapa final'!$O$10="Mayor"),CONCATENATE("R",'Mapa final'!$A$10),"")</f>
        <v/>
      </c>
      <c r="AC30" s="537"/>
      <c r="AD30" s="537" t="str">
        <f>IF(AND('Mapa final'!$K$12="Baja",'Mapa final'!$O$12="Mayor"),CONCATENATE("R",'Mapa final'!$A$12),"")</f>
        <v/>
      </c>
      <c r="AE30" s="537"/>
      <c r="AF30" s="537" t="str">
        <f>IF(AND('Mapa final'!$K$18="Baja",'Mapa final'!$O$18="Mayor"),CONCATENATE("R",'Mapa final'!$A$18),"")</f>
        <v/>
      </c>
      <c r="AG30" s="538"/>
      <c r="AH30" s="527" t="str">
        <f>IF(AND('Mapa final'!$K$10="Baja",'Mapa final'!$O$10="Catastrófico"),CONCATENATE("R",'Mapa final'!$A$10),"")</f>
        <v/>
      </c>
      <c r="AI30" s="528"/>
      <c r="AJ30" s="528" t="str">
        <f>IF(AND('Mapa final'!$K$12="Baja",'Mapa final'!$O$12="Catastrófico"),CONCATENATE("R",'Mapa final'!$A$12),"")</f>
        <v/>
      </c>
      <c r="AK30" s="528"/>
      <c r="AL30" s="528" t="str">
        <f>IF(AND('Mapa final'!$K$18="Baja",'Mapa final'!$O$18="Catastrófico"),CONCATENATE("R",'Mapa final'!$A$18),"")</f>
        <v/>
      </c>
      <c r="AM30" s="529"/>
      <c r="AN30" s="67"/>
      <c r="AO30" s="579" t="s">
        <v>81</v>
      </c>
      <c r="AP30" s="580"/>
      <c r="AQ30" s="580"/>
      <c r="AR30" s="580"/>
      <c r="AS30" s="580"/>
      <c r="AT30" s="581"/>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row>
    <row r="31" spans="1:80" x14ac:dyDescent="0.3">
      <c r="A31" s="67"/>
      <c r="B31" s="550"/>
      <c r="C31" s="550"/>
      <c r="D31" s="551"/>
      <c r="E31" s="543"/>
      <c r="F31" s="544"/>
      <c r="G31" s="544"/>
      <c r="H31" s="544"/>
      <c r="I31" s="544"/>
      <c r="J31" s="503"/>
      <c r="K31" s="504"/>
      <c r="L31" s="504"/>
      <c r="M31" s="504"/>
      <c r="N31" s="504"/>
      <c r="O31" s="505"/>
      <c r="P31" s="513"/>
      <c r="Q31" s="513"/>
      <c r="R31" s="513"/>
      <c r="S31" s="513"/>
      <c r="T31" s="513"/>
      <c r="U31" s="514"/>
      <c r="V31" s="512"/>
      <c r="W31" s="513"/>
      <c r="X31" s="513"/>
      <c r="Y31" s="513"/>
      <c r="Z31" s="513"/>
      <c r="AA31" s="514"/>
      <c r="AB31" s="530"/>
      <c r="AC31" s="531"/>
      <c r="AD31" s="531"/>
      <c r="AE31" s="531"/>
      <c r="AF31" s="531"/>
      <c r="AG31" s="532"/>
      <c r="AH31" s="521"/>
      <c r="AI31" s="522"/>
      <c r="AJ31" s="522"/>
      <c r="AK31" s="522"/>
      <c r="AL31" s="522"/>
      <c r="AM31" s="523"/>
      <c r="AN31" s="67"/>
      <c r="AO31" s="582"/>
      <c r="AP31" s="583"/>
      <c r="AQ31" s="583"/>
      <c r="AR31" s="583"/>
      <c r="AS31" s="583"/>
      <c r="AT31" s="584"/>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row>
    <row r="32" spans="1:80" x14ac:dyDescent="0.3">
      <c r="A32" s="67"/>
      <c r="B32" s="550"/>
      <c r="C32" s="550"/>
      <c r="D32" s="551"/>
      <c r="E32" s="543"/>
      <c r="F32" s="544"/>
      <c r="G32" s="544"/>
      <c r="H32" s="544"/>
      <c r="I32" s="544"/>
      <c r="J32" s="503" t="str">
        <f>IF(AND('Mapa final'!$K$24="Baja",'Mapa final'!$O$24="Leve"),CONCATENATE("R",'Mapa final'!$A$24),"")</f>
        <v/>
      </c>
      <c r="K32" s="504"/>
      <c r="L32" s="504" t="str">
        <f>IF(AND('Mapa final'!$K$30="Baja",'Mapa final'!$O$30="Leve"),CONCATENATE("R",'Mapa final'!$A$30),"")</f>
        <v/>
      </c>
      <c r="M32" s="504"/>
      <c r="N32" s="504" t="str">
        <f>IF(AND('Mapa final'!$K$36="Baja",'Mapa final'!$O$36="Leve"),CONCATENATE("R",'Mapa final'!$A$36),"")</f>
        <v/>
      </c>
      <c r="O32" s="505"/>
      <c r="P32" s="513" t="str">
        <f>IF(AND('Mapa final'!$K$24="Baja",'Mapa final'!$O$24="Menor"),CONCATENATE("R",'Mapa final'!$A$24),"")</f>
        <v/>
      </c>
      <c r="Q32" s="513"/>
      <c r="R32" s="513" t="str">
        <f>IF(AND('Mapa final'!$K$30="Baja",'Mapa final'!$O$30="Menor"),CONCATENATE("R",'Mapa final'!$A$30),"")</f>
        <v/>
      </c>
      <c r="S32" s="513"/>
      <c r="T32" s="513" t="str">
        <f>IF(AND('Mapa final'!$K$36="Baja",'Mapa final'!$O$36="Menor"),CONCATENATE("R",'Mapa final'!$A$36),"")</f>
        <v/>
      </c>
      <c r="U32" s="514"/>
      <c r="V32" s="512" t="str">
        <f>IF(AND('Mapa final'!$K$24="Baja",'Mapa final'!$O$24="Moderado"),CONCATENATE("R",'Mapa final'!$A$24),"")</f>
        <v>R</v>
      </c>
      <c r="W32" s="513"/>
      <c r="X32" s="513" t="str">
        <f>IF(AND('Mapa final'!$K$30="Baja",'Mapa final'!$O$30="Moderado"),CONCATENATE("R",'Mapa final'!$A$30),"")</f>
        <v/>
      </c>
      <c r="Y32" s="513"/>
      <c r="Z32" s="513" t="str">
        <f>IF(AND('Mapa final'!$K$36="Baja",'Mapa final'!$O$36="Moderado"),CONCATENATE("R",'Mapa final'!$A$36),"")</f>
        <v/>
      </c>
      <c r="AA32" s="514"/>
      <c r="AB32" s="530" t="str">
        <f>IF(AND('Mapa final'!$K$24="Baja",'Mapa final'!$O$24="Mayor"),CONCATENATE("R",'Mapa final'!$A$24),"")</f>
        <v/>
      </c>
      <c r="AC32" s="531"/>
      <c r="AD32" s="531" t="str">
        <f>IF(AND('Mapa final'!$K$30="Baja",'Mapa final'!$O$30="Mayor"),CONCATENATE("R",'Mapa final'!$A$30),"")</f>
        <v/>
      </c>
      <c r="AE32" s="531"/>
      <c r="AF32" s="531" t="str">
        <f>IF(AND('Mapa final'!$K$36="Baja",'Mapa final'!$O$36="Mayor"),CONCATENATE("R",'Mapa final'!$A$36),"")</f>
        <v/>
      </c>
      <c r="AG32" s="532"/>
      <c r="AH32" s="521" t="str">
        <f>IF(AND('Mapa final'!$K$24="Baja",'Mapa final'!$O$24="Catastrófico"),CONCATENATE("R",'Mapa final'!$A$24),"")</f>
        <v/>
      </c>
      <c r="AI32" s="522"/>
      <c r="AJ32" s="522" t="str">
        <f>IF(AND('Mapa final'!$K$30="Baja",'Mapa final'!$O$30="Catastrófico"),CONCATENATE("R",'Mapa final'!$A$30),"")</f>
        <v/>
      </c>
      <c r="AK32" s="522"/>
      <c r="AL32" s="522" t="str">
        <f>IF(AND('Mapa final'!$K$36="Baja",'Mapa final'!$O$36="Catastrófico"),CONCATENATE("R",'Mapa final'!$A$36),"")</f>
        <v/>
      </c>
      <c r="AM32" s="523"/>
      <c r="AN32" s="67"/>
      <c r="AO32" s="582"/>
      <c r="AP32" s="583"/>
      <c r="AQ32" s="583"/>
      <c r="AR32" s="583"/>
      <c r="AS32" s="583"/>
      <c r="AT32" s="584"/>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row>
    <row r="33" spans="1:80" x14ac:dyDescent="0.3">
      <c r="A33" s="67"/>
      <c r="B33" s="550"/>
      <c r="C33" s="550"/>
      <c r="D33" s="551"/>
      <c r="E33" s="543"/>
      <c r="F33" s="544"/>
      <c r="G33" s="544"/>
      <c r="H33" s="544"/>
      <c r="I33" s="544"/>
      <c r="J33" s="503"/>
      <c r="K33" s="504"/>
      <c r="L33" s="504"/>
      <c r="M33" s="504"/>
      <c r="N33" s="504"/>
      <c r="O33" s="505"/>
      <c r="P33" s="513"/>
      <c r="Q33" s="513"/>
      <c r="R33" s="513"/>
      <c r="S33" s="513"/>
      <c r="T33" s="513"/>
      <c r="U33" s="514"/>
      <c r="V33" s="512"/>
      <c r="W33" s="513"/>
      <c r="X33" s="513"/>
      <c r="Y33" s="513"/>
      <c r="Z33" s="513"/>
      <c r="AA33" s="514"/>
      <c r="AB33" s="530"/>
      <c r="AC33" s="531"/>
      <c r="AD33" s="531"/>
      <c r="AE33" s="531"/>
      <c r="AF33" s="531"/>
      <c r="AG33" s="532"/>
      <c r="AH33" s="521"/>
      <c r="AI33" s="522"/>
      <c r="AJ33" s="522"/>
      <c r="AK33" s="522"/>
      <c r="AL33" s="522"/>
      <c r="AM33" s="523"/>
      <c r="AN33" s="67"/>
      <c r="AO33" s="582"/>
      <c r="AP33" s="583"/>
      <c r="AQ33" s="583"/>
      <c r="AR33" s="583"/>
      <c r="AS33" s="583"/>
      <c r="AT33" s="584"/>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row>
    <row r="34" spans="1:80" x14ac:dyDescent="0.3">
      <c r="A34" s="67"/>
      <c r="B34" s="550"/>
      <c r="C34" s="550"/>
      <c r="D34" s="551"/>
      <c r="E34" s="543"/>
      <c r="F34" s="544"/>
      <c r="G34" s="544"/>
      <c r="H34" s="544"/>
      <c r="I34" s="544"/>
      <c r="J34" s="503" t="str">
        <f>IF(AND('Mapa final'!$K$42="Baja",'Mapa final'!$O$42="Leve"),CONCATENATE("R",'Mapa final'!$A$42),"")</f>
        <v/>
      </c>
      <c r="K34" s="504"/>
      <c r="L34" s="504" t="str">
        <f>IF(AND('Mapa final'!$K$48="Baja",'Mapa final'!$O$48="Leve"),CONCATENATE("R",'Mapa final'!$A$48),"")</f>
        <v/>
      </c>
      <c r="M34" s="504"/>
      <c r="N34" s="504" t="str">
        <f>IF(AND('Mapa final'!$K$54="Baja",'Mapa final'!$O$54="Leve"),CONCATENATE("R",'Mapa final'!$A$54),"")</f>
        <v/>
      </c>
      <c r="O34" s="505"/>
      <c r="P34" s="513" t="str">
        <f>IF(AND('Mapa final'!$K$42="Baja",'Mapa final'!$O$42="Menor"),CONCATENATE("R",'Mapa final'!$A$42),"")</f>
        <v/>
      </c>
      <c r="Q34" s="513"/>
      <c r="R34" s="513" t="str">
        <f>IF(AND('Mapa final'!$K$48="Baja",'Mapa final'!$O$48="Menor"),CONCATENATE("R",'Mapa final'!$A$48),"")</f>
        <v/>
      </c>
      <c r="S34" s="513"/>
      <c r="T34" s="513" t="str">
        <f>IF(AND('Mapa final'!$K$54="Baja",'Mapa final'!$O$54="Menor"),CONCATENATE("R",'Mapa final'!$A$54),"")</f>
        <v/>
      </c>
      <c r="U34" s="514"/>
      <c r="V34" s="512" t="str">
        <f>IF(AND('Mapa final'!$K$42="Baja",'Mapa final'!$O$42="Moderado"),CONCATENATE("R",'Mapa final'!$A$42),"")</f>
        <v/>
      </c>
      <c r="W34" s="513"/>
      <c r="X34" s="513" t="str">
        <f>IF(AND('Mapa final'!$K$48="Baja",'Mapa final'!$O$48="Moderado"),CONCATENATE("R",'Mapa final'!$A$48),"")</f>
        <v/>
      </c>
      <c r="Y34" s="513"/>
      <c r="Z34" s="513" t="str">
        <f>IF(AND('Mapa final'!$K$54="Baja",'Mapa final'!$O$54="Moderado"),CONCATENATE("R",'Mapa final'!$A$54),"")</f>
        <v/>
      </c>
      <c r="AA34" s="514"/>
      <c r="AB34" s="530" t="str">
        <f>IF(AND('Mapa final'!$K$42="Baja",'Mapa final'!$O$42="Mayor"),CONCATENATE("R",'Mapa final'!$A$42),"")</f>
        <v/>
      </c>
      <c r="AC34" s="531"/>
      <c r="AD34" s="531" t="str">
        <f>IF(AND('Mapa final'!$K$48="Baja",'Mapa final'!$O$48="Mayor"),CONCATENATE("R",'Mapa final'!$A$48),"")</f>
        <v/>
      </c>
      <c r="AE34" s="531"/>
      <c r="AF34" s="531" t="str">
        <f>IF(AND('Mapa final'!$K$54="Baja",'Mapa final'!$O$54="Mayor"),CONCATENATE("R",'Mapa final'!$A$54),"")</f>
        <v/>
      </c>
      <c r="AG34" s="532"/>
      <c r="AH34" s="521" t="str">
        <f>IF(AND('Mapa final'!$K$42="Baja",'Mapa final'!$O$42="Catastrófico"),CONCATENATE("R",'Mapa final'!$A$42),"")</f>
        <v/>
      </c>
      <c r="AI34" s="522"/>
      <c r="AJ34" s="522" t="str">
        <f>IF(AND('Mapa final'!$K$48="Baja",'Mapa final'!$O$48="Catastrófico"),CONCATENATE("R",'Mapa final'!$A$48),"")</f>
        <v/>
      </c>
      <c r="AK34" s="522"/>
      <c r="AL34" s="522" t="str">
        <f>IF(AND('Mapa final'!$K$54="Baja",'Mapa final'!$O$54="Catastrófico"),CONCATENATE("R",'Mapa final'!$A$54),"")</f>
        <v/>
      </c>
      <c r="AM34" s="523"/>
      <c r="AN34" s="67"/>
      <c r="AO34" s="582"/>
      <c r="AP34" s="583"/>
      <c r="AQ34" s="583"/>
      <c r="AR34" s="583"/>
      <c r="AS34" s="583"/>
      <c r="AT34" s="584"/>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row>
    <row r="35" spans="1:80" x14ac:dyDescent="0.3">
      <c r="A35" s="67"/>
      <c r="B35" s="550"/>
      <c r="C35" s="550"/>
      <c r="D35" s="551"/>
      <c r="E35" s="543"/>
      <c r="F35" s="544"/>
      <c r="G35" s="544"/>
      <c r="H35" s="544"/>
      <c r="I35" s="544"/>
      <c r="J35" s="503"/>
      <c r="K35" s="504"/>
      <c r="L35" s="504"/>
      <c r="M35" s="504"/>
      <c r="N35" s="504"/>
      <c r="O35" s="505"/>
      <c r="P35" s="513"/>
      <c r="Q35" s="513"/>
      <c r="R35" s="513"/>
      <c r="S35" s="513"/>
      <c r="T35" s="513"/>
      <c r="U35" s="514"/>
      <c r="V35" s="512"/>
      <c r="W35" s="513"/>
      <c r="X35" s="513"/>
      <c r="Y35" s="513"/>
      <c r="Z35" s="513"/>
      <c r="AA35" s="514"/>
      <c r="AB35" s="530"/>
      <c r="AC35" s="531"/>
      <c r="AD35" s="531"/>
      <c r="AE35" s="531"/>
      <c r="AF35" s="531"/>
      <c r="AG35" s="532"/>
      <c r="AH35" s="521"/>
      <c r="AI35" s="522"/>
      <c r="AJ35" s="522"/>
      <c r="AK35" s="522"/>
      <c r="AL35" s="522"/>
      <c r="AM35" s="523"/>
      <c r="AN35" s="67"/>
      <c r="AO35" s="582"/>
      <c r="AP35" s="583"/>
      <c r="AQ35" s="583"/>
      <c r="AR35" s="583"/>
      <c r="AS35" s="583"/>
      <c r="AT35" s="584"/>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row>
    <row r="36" spans="1:80" x14ac:dyDescent="0.3">
      <c r="A36" s="67"/>
      <c r="B36" s="550"/>
      <c r="C36" s="550"/>
      <c r="D36" s="551"/>
      <c r="E36" s="543"/>
      <c r="F36" s="544"/>
      <c r="G36" s="544"/>
      <c r="H36" s="544"/>
      <c r="I36" s="544"/>
      <c r="J36" s="503" t="str">
        <f>IF(AND('Mapa final'!$K$60="Baja",'Mapa final'!$O$60="Leve"),CONCATENATE("R",'Mapa final'!$A$60),"")</f>
        <v/>
      </c>
      <c r="K36" s="504"/>
      <c r="L36" s="504" t="str">
        <f>IF(AND('Mapa final'!$K$66="Baja",'Mapa final'!$O$66="Leve"),CONCATENATE("R",'Mapa final'!$A$66),"")</f>
        <v/>
      </c>
      <c r="M36" s="504"/>
      <c r="N36" s="504" t="str">
        <f>IF(AND('Mapa final'!$K$72="Baja",'Mapa final'!$O$72="Leve"),CONCATENATE("R",'Mapa final'!$A$72),"")</f>
        <v/>
      </c>
      <c r="O36" s="505"/>
      <c r="P36" s="513" t="str">
        <f>IF(AND('Mapa final'!$K$60="Baja",'Mapa final'!$O$60="Menor"),CONCATENATE("R",'Mapa final'!$A$60),"")</f>
        <v/>
      </c>
      <c r="Q36" s="513"/>
      <c r="R36" s="513" t="str">
        <f>IF(AND('Mapa final'!$K$66="Baja",'Mapa final'!$O$66="Menor"),CONCATENATE("R",'Mapa final'!$A$66),"")</f>
        <v/>
      </c>
      <c r="S36" s="513"/>
      <c r="T36" s="513" t="str">
        <f>IF(AND('Mapa final'!$K$72="Baja",'Mapa final'!$O$72="Menor"),CONCATENATE("R",'Mapa final'!$A$72),"")</f>
        <v/>
      </c>
      <c r="U36" s="514"/>
      <c r="V36" s="512" t="str">
        <f>IF(AND('Mapa final'!$K$60="Baja",'Mapa final'!$O$60="Moderado"),CONCATENATE("R",'Mapa final'!$A$60),"")</f>
        <v/>
      </c>
      <c r="W36" s="513"/>
      <c r="X36" s="513" t="str">
        <f>IF(AND('Mapa final'!$K$66="Baja",'Mapa final'!$O$66="Moderado"),CONCATENATE("R",'Mapa final'!$A$66),"")</f>
        <v/>
      </c>
      <c r="Y36" s="513"/>
      <c r="Z36" s="513" t="str">
        <f>IF(AND('Mapa final'!$K$72="Baja",'Mapa final'!$O$72="Moderado"),CONCATENATE("R",'Mapa final'!$A$72),"")</f>
        <v/>
      </c>
      <c r="AA36" s="514"/>
      <c r="AB36" s="530" t="str">
        <f>IF(AND('Mapa final'!$K$60="Baja",'Mapa final'!$O$60="Mayor"),CONCATENATE("R",'Mapa final'!$A$60),"")</f>
        <v/>
      </c>
      <c r="AC36" s="531"/>
      <c r="AD36" s="531" t="str">
        <f>IF(AND('Mapa final'!$K$66="Baja",'Mapa final'!$O$66="Mayor"),CONCATENATE("R",'Mapa final'!$A$66),"")</f>
        <v/>
      </c>
      <c r="AE36" s="531"/>
      <c r="AF36" s="531" t="str">
        <f>IF(AND('Mapa final'!$K$72="Baja",'Mapa final'!$O$72="Mayor"),CONCATENATE("R",'Mapa final'!$A$72),"")</f>
        <v/>
      </c>
      <c r="AG36" s="532"/>
      <c r="AH36" s="521" t="str">
        <f>IF(AND('Mapa final'!$K$60="Baja",'Mapa final'!$O$60="Catastrófico"),CONCATENATE("R",'Mapa final'!$A$60),"")</f>
        <v/>
      </c>
      <c r="AI36" s="522"/>
      <c r="AJ36" s="522" t="str">
        <f>IF(AND('Mapa final'!$K$66="Baja",'Mapa final'!$O$66="Catastrófico"),CONCATENATE("R",'Mapa final'!$A$66),"")</f>
        <v/>
      </c>
      <c r="AK36" s="522"/>
      <c r="AL36" s="522" t="str">
        <f>IF(AND('Mapa final'!$K$72="Baja",'Mapa final'!$O$72="Catastrófico"),CONCATENATE("R",'Mapa final'!$A$72),"")</f>
        <v/>
      </c>
      <c r="AM36" s="523"/>
      <c r="AN36" s="67"/>
      <c r="AO36" s="582"/>
      <c r="AP36" s="583"/>
      <c r="AQ36" s="583"/>
      <c r="AR36" s="583"/>
      <c r="AS36" s="583"/>
      <c r="AT36" s="584"/>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row>
    <row r="37" spans="1:80" ht="15" thickBot="1" x14ac:dyDescent="0.35">
      <c r="A37" s="67"/>
      <c r="B37" s="550"/>
      <c r="C37" s="550"/>
      <c r="D37" s="551"/>
      <c r="E37" s="546"/>
      <c r="F37" s="547"/>
      <c r="G37" s="547"/>
      <c r="H37" s="547"/>
      <c r="I37" s="547"/>
      <c r="J37" s="506"/>
      <c r="K37" s="507"/>
      <c r="L37" s="507"/>
      <c r="M37" s="507"/>
      <c r="N37" s="507"/>
      <c r="O37" s="508"/>
      <c r="P37" s="516"/>
      <c r="Q37" s="516"/>
      <c r="R37" s="516"/>
      <c r="S37" s="516"/>
      <c r="T37" s="516"/>
      <c r="U37" s="517"/>
      <c r="V37" s="515"/>
      <c r="W37" s="516"/>
      <c r="X37" s="516"/>
      <c r="Y37" s="516"/>
      <c r="Z37" s="516"/>
      <c r="AA37" s="517"/>
      <c r="AB37" s="533"/>
      <c r="AC37" s="534"/>
      <c r="AD37" s="534"/>
      <c r="AE37" s="534"/>
      <c r="AF37" s="534"/>
      <c r="AG37" s="535"/>
      <c r="AH37" s="524"/>
      <c r="AI37" s="525"/>
      <c r="AJ37" s="525"/>
      <c r="AK37" s="525"/>
      <c r="AL37" s="525"/>
      <c r="AM37" s="526"/>
      <c r="AN37" s="67"/>
      <c r="AO37" s="585"/>
      <c r="AP37" s="586"/>
      <c r="AQ37" s="586"/>
      <c r="AR37" s="586"/>
      <c r="AS37" s="586"/>
      <c r="AT37" s="587"/>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row>
    <row r="38" spans="1:80" x14ac:dyDescent="0.3">
      <c r="A38" s="67"/>
      <c r="B38" s="550"/>
      <c r="C38" s="550"/>
      <c r="D38" s="551"/>
      <c r="E38" s="540" t="s">
        <v>108</v>
      </c>
      <c r="F38" s="541"/>
      <c r="G38" s="541"/>
      <c r="H38" s="541"/>
      <c r="I38" s="542"/>
      <c r="J38" s="509" t="str">
        <f>IF(AND('Mapa final'!$K$10="Muy Baja",'Mapa final'!$O$10="Leve"),CONCATENATE("R",'Mapa final'!$A$10),"")</f>
        <v/>
      </c>
      <c r="K38" s="510"/>
      <c r="L38" s="510" t="str">
        <f>IF(AND('Mapa final'!$K$12="Muy Baja",'Mapa final'!$O$12="Leve"),CONCATENATE("R",'Mapa final'!$A$12),"")</f>
        <v/>
      </c>
      <c r="M38" s="510"/>
      <c r="N38" s="510" t="str">
        <f>IF(AND('Mapa final'!$K$18="Muy Baja",'Mapa final'!$O$18="Leve"),CONCATENATE("R",'Mapa final'!$A$18),"")</f>
        <v/>
      </c>
      <c r="O38" s="511"/>
      <c r="P38" s="509" t="str">
        <f>IF(AND('Mapa final'!$K$10="Muy Baja",'Mapa final'!$O$10="Menor"),CONCATENATE("R",'Mapa final'!$A$10),"")</f>
        <v/>
      </c>
      <c r="Q38" s="510"/>
      <c r="R38" s="510" t="str">
        <f>IF(AND('Mapa final'!$K$12="Muy Baja",'Mapa final'!$O$12="Menor"),CONCATENATE("R",'Mapa final'!$A$12),"")</f>
        <v/>
      </c>
      <c r="S38" s="510"/>
      <c r="T38" s="510" t="str">
        <f>IF(AND('Mapa final'!$K$18="Muy Baja",'Mapa final'!$O$18="Menor"),CONCATENATE("R",'Mapa final'!$A$18),"")</f>
        <v/>
      </c>
      <c r="U38" s="511"/>
      <c r="V38" s="518" t="str">
        <f>IF(AND('Mapa final'!$K$10="Muy Baja",'Mapa final'!$O$10="Moderado"),CONCATENATE("R",'Mapa final'!$A$10),"")</f>
        <v/>
      </c>
      <c r="W38" s="519"/>
      <c r="X38" s="519" t="str">
        <f>IF(AND('Mapa final'!$K$12="Muy Baja",'Mapa final'!$O$12="Moderado"),CONCATENATE("R",'Mapa final'!$A$12),"")</f>
        <v/>
      </c>
      <c r="Y38" s="519"/>
      <c r="Z38" s="519" t="str">
        <f>IF(AND('Mapa final'!$K$18="Muy Baja",'Mapa final'!$O$18="Moderado"),CONCATENATE("R",'Mapa final'!$A$18),"")</f>
        <v/>
      </c>
      <c r="AA38" s="520"/>
      <c r="AB38" s="536" t="str">
        <f>IF(AND('Mapa final'!$K$10="Muy Baja",'Mapa final'!$O$10="Mayor"),CONCATENATE("R",'Mapa final'!$A$10),"")</f>
        <v/>
      </c>
      <c r="AC38" s="537"/>
      <c r="AD38" s="537" t="str">
        <f>IF(AND('Mapa final'!$K$12="Muy Baja",'Mapa final'!$O$12="Mayor"),CONCATENATE("R",'Mapa final'!$A$12),"")</f>
        <v/>
      </c>
      <c r="AE38" s="537"/>
      <c r="AF38" s="537" t="str">
        <f>IF(AND('Mapa final'!$K$18="Muy Baja",'Mapa final'!$O$18="Mayor"),CONCATENATE("R",'Mapa final'!$A$18),"")</f>
        <v/>
      </c>
      <c r="AG38" s="538"/>
      <c r="AH38" s="527" t="str">
        <f>IF(AND('Mapa final'!$K$10="Muy Baja",'Mapa final'!$O$10="Catastrófico"),CONCATENATE("R",'Mapa final'!$A$10),"")</f>
        <v/>
      </c>
      <c r="AI38" s="528"/>
      <c r="AJ38" s="528" t="str">
        <f>IF(AND('Mapa final'!$K$12="Muy Baja",'Mapa final'!$O$12="Catastrófico"),CONCATENATE("R",'Mapa final'!$A$12),"")</f>
        <v/>
      </c>
      <c r="AK38" s="528"/>
      <c r="AL38" s="528" t="str">
        <f>IF(AND('Mapa final'!$K$18="Muy Baja",'Mapa final'!$O$18="Catastrófico"),CONCATENATE("R",'Mapa final'!$A$18),"")</f>
        <v/>
      </c>
      <c r="AM38" s="529"/>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row>
    <row r="39" spans="1:80" x14ac:dyDescent="0.3">
      <c r="A39" s="67"/>
      <c r="B39" s="550"/>
      <c r="C39" s="550"/>
      <c r="D39" s="551"/>
      <c r="E39" s="543"/>
      <c r="F39" s="544"/>
      <c r="G39" s="544"/>
      <c r="H39" s="544"/>
      <c r="I39" s="545"/>
      <c r="J39" s="503"/>
      <c r="K39" s="504"/>
      <c r="L39" s="504"/>
      <c r="M39" s="504"/>
      <c r="N39" s="504"/>
      <c r="O39" s="505"/>
      <c r="P39" s="503"/>
      <c r="Q39" s="504"/>
      <c r="R39" s="504"/>
      <c r="S39" s="504"/>
      <c r="T39" s="504"/>
      <c r="U39" s="505"/>
      <c r="V39" s="512"/>
      <c r="W39" s="513"/>
      <c r="X39" s="513"/>
      <c r="Y39" s="513"/>
      <c r="Z39" s="513"/>
      <c r="AA39" s="514"/>
      <c r="AB39" s="530"/>
      <c r="AC39" s="531"/>
      <c r="AD39" s="531"/>
      <c r="AE39" s="531"/>
      <c r="AF39" s="531"/>
      <c r="AG39" s="532"/>
      <c r="AH39" s="521"/>
      <c r="AI39" s="522"/>
      <c r="AJ39" s="522"/>
      <c r="AK39" s="522"/>
      <c r="AL39" s="522"/>
      <c r="AM39" s="523"/>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row>
    <row r="40" spans="1:80" x14ac:dyDescent="0.3">
      <c r="A40" s="67"/>
      <c r="B40" s="550"/>
      <c r="C40" s="550"/>
      <c r="D40" s="551"/>
      <c r="E40" s="543"/>
      <c r="F40" s="544"/>
      <c r="G40" s="544"/>
      <c r="H40" s="544"/>
      <c r="I40" s="545"/>
      <c r="J40" s="503" t="str">
        <f>IF(AND('Mapa final'!$K$24="Muy Baja",'Mapa final'!$O$24="Leve"),CONCATENATE("R",'Mapa final'!$A$24),"")</f>
        <v/>
      </c>
      <c r="K40" s="504"/>
      <c r="L40" s="504" t="str">
        <f>IF(AND('Mapa final'!$K$30="Muy Baja",'Mapa final'!$O$30="Leve"),CONCATENATE("R",'Mapa final'!$A$30),"")</f>
        <v/>
      </c>
      <c r="M40" s="504"/>
      <c r="N40" s="504" t="str">
        <f>IF(AND('Mapa final'!$K$36="Muy Baja",'Mapa final'!$O$36="Leve"),CONCATENATE("R",'Mapa final'!$A$36),"")</f>
        <v/>
      </c>
      <c r="O40" s="505"/>
      <c r="P40" s="503" t="str">
        <f>IF(AND('Mapa final'!$K$24="Muy Baja",'Mapa final'!$O$24="Menor"),CONCATENATE("R",'Mapa final'!$A$24),"")</f>
        <v/>
      </c>
      <c r="Q40" s="504"/>
      <c r="R40" s="504" t="str">
        <f>IF(AND('Mapa final'!$K$30="Muy Baja",'Mapa final'!$O$30="Menor"),CONCATENATE("R",'Mapa final'!$A$30),"")</f>
        <v/>
      </c>
      <c r="S40" s="504"/>
      <c r="T40" s="504" t="str">
        <f>IF(AND('Mapa final'!$K$36="Muy Baja",'Mapa final'!$O$36="Menor"),CONCATENATE("R",'Mapa final'!$A$36),"")</f>
        <v/>
      </c>
      <c r="U40" s="505"/>
      <c r="V40" s="512" t="str">
        <f>IF(AND('Mapa final'!$K$24="Muy Baja",'Mapa final'!$O$24="Moderado"),CONCATENATE("R",'Mapa final'!$A$24),"")</f>
        <v/>
      </c>
      <c r="W40" s="513"/>
      <c r="X40" s="513" t="str">
        <f>IF(AND('Mapa final'!$K$30="Muy Baja",'Mapa final'!$O$30="Moderado"),CONCATENATE("R",'Mapa final'!$A$30),"")</f>
        <v/>
      </c>
      <c r="Y40" s="513"/>
      <c r="Z40" s="513" t="str">
        <f>IF(AND('Mapa final'!$K$36="Muy Baja",'Mapa final'!$O$36="Moderado"),CONCATENATE("R",'Mapa final'!$A$36),"")</f>
        <v/>
      </c>
      <c r="AA40" s="514"/>
      <c r="AB40" s="530" t="str">
        <f>IF(AND('Mapa final'!$K$24="Muy Baja",'Mapa final'!$O$24="Mayor"),CONCATENATE("R",'Mapa final'!$A$24),"")</f>
        <v/>
      </c>
      <c r="AC40" s="531"/>
      <c r="AD40" s="531" t="str">
        <f>IF(AND('Mapa final'!$K$30="Muy Baja",'Mapa final'!$O$30="Mayor"),CONCATENATE("R",'Mapa final'!$A$30),"")</f>
        <v/>
      </c>
      <c r="AE40" s="531"/>
      <c r="AF40" s="531" t="str">
        <f>IF(AND('Mapa final'!$K$36="Muy Baja",'Mapa final'!$O$36="Mayor"),CONCATENATE("R",'Mapa final'!$A$36),"")</f>
        <v/>
      </c>
      <c r="AG40" s="532"/>
      <c r="AH40" s="521" t="str">
        <f>IF(AND('Mapa final'!$K$24="Muy Baja",'Mapa final'!$O$24="Catastrófico"),CONCATENATE("R",'Mapa final'!$A$24),"")</f>
        <v/>
      </c>
      <c r="AI40" s="522"/>
      <c r="AJ40" s="522" t="str">
        <f>IF(AND('Mapa final'!$K$30="Muy Baja",'Mapa final'!$O$30="Catastrófico"),CONCATENATE("R",'Mapa final'!$A$30),"")</f>
        <v/>
      </c>
      <c r="AK40" s="522"/>
      <c r="AL40" s="522" t="str">
        <f>IF(AND('Mapa final'!$K$36="Muy Baja",'Mapa final'!$O$36="Catastrófico"),CONCATENATE("R",'Mapa final'!$A$36),"")</f>
        <v/>
      </c>
      <c r="AM40" s="523"/>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row>
    <row r="41" spans="1:80" x14ac:dyDescent="0.3">
      <c r="A41" s="67"/>
      <c r="B41" s="550"/>
      <c r="C41" s="550"/>
      <c r="D41" s="551"/>
      <c r="E41" s="543"/>
      <c r="F41" s="544"/>
      <c r="G41" s="544"/>
      <c r="H41" s="544"/>
      <c r="I41" s="545"/>
      <c r="J41" s="503"/>
      <c r="K41" s="504"/>
      <c r="L41" s="504"/>
      <c r="M41" s="504"/>
      <c r="N41" s="504"/>
      <c r="O41" s="505"/>
      <c r="P41" s="503"/>
      <c r="Q41" s="504"/>
      <c r="R41" s="504"/>
      <c r="S41" s="504"/>
      <c r="T41" s="504"/>
      <c r="U41" s="505"/>
      <c r="V41" s="512"/>
      <c r="W41" s="513"/>
      <c r="X41" s="513"/>
      <c r="Y41" s="513"/>
      <c r="Z41" s="513"/>
      <c r="AA41" s="514"/>
      <c r="AB41" s="530"/>
      <c r="AC41" s="531"/>
      <c r="AD41" s="531"/>
      <c r="AE41" s="531"/>
      <c r="AF41" s="531"/>
      <c r="AG41" s="532"/>
      <c r="AH41" s="521"/>
      <c r="AI41" s="522"/>
      <c r="AJ41" s="522"/>
      <c r="AK41" s="522"/>
      <c r="AL41" s="522"/>
      <c r="AM41" s="523"/>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row>
    <row r="42" spans="1:80" x14ac:dyDescent="0.3">
      <c r="A42" s="67"/>
      <c r="B42" s="550"/>
      <c r="C42" s="550"/>
      <c r="D42" s="551"/>
      <c r="E42" s="543"/>
      <c r="F42" s="544"/>
      <c r="G42" s="544"/>
      <c r="H42" s="544"/>
      <c r="I42" s="545"/>
      <c r="J42" s="503" t="str">
        <f>IF(AND('Mapa final'!$K$42="Muy Baja",'Mapa final'!$O$42="Leve"),CONCATENATE("R",'Mapa final'!$A$42),"")</f>
        <v/>
      </c>
      <c r="K42" s="504"/>
      <c r="L42" s="504" t="str">
        <f>IF(AND('Mapa final'!$K$48="Muy Baja",'Mapa final'!$O$48="Leve"),CONCATENATE("R",'Mapa final'!$A$48),"")</f>
        <v/>
      </c>
      <c r="M42" s="504"/>
      <c r="N42" s="504" t="str">
        <f>IF(AND('Mapa final'!$K$54="Muy Baja",'Mapa final'!$O$54="Leve"),CONCATENATE("R",'Mapa final'!$A$54),"")</f>
        <v/>
      </c>
      <c r="O42" s="505"/>
      <c r="P42" s="503" t="str">
        <f>IF(AND('Mapa final'!$K$42="Muy Baja",'Mapa final'!$O$42="Menor"),CONCATENATE("R",'Mapa final'!$A$42),"")</f>
        <v/>
      </c>
      <c r="Q42" s="504"/>
      <c r="R42" s="504" t="str">
        <f>IF(AND('Mapa final'!$K$48="Muy Baja",'Mapa final'!$O$48="Menor"),CONCATENATE("R",'Mapa final'!$A$48),"")</f>
        <v/>
      </c>
      <c r="S42" s="504"/>
      <c r="T42" s="504" t="str">
        <f>IF(AND('Mapa final'!$K$54="Muy Baja",'Mapa final'!$O$54="Menor"),CONCATENATE("R",'Mapa final'!$A$54),"")</f>
        <v/>
      </c>
      <c r="U42" s="505"/>
      <c r="V42" s="512" t="str">
        <f>IF(AND('Mapa final'!$K$42="Muy Baja",'Mapa final'!$O$42="Moderado"),CONCATENATE("R",'Mapa final'!$A$42),"")</f>
        <v/>
      </c>
      <c r="W42" s="513"/>
      <c r="X42" s="513" t="str">
        <f>IF(AND('Mapa final'!$K$48="Muy Baja",'Mapa final'!$O$48="Moderado"),CONCATENATE("R",'Mapa final'!$A$48),"")</f>
        <v/>
      </c>
      <c r="Y42" s="513"/>
      <c r="Z42" s="513" t="str">
        <f>IF(AND('Mapa final'!$K$54="Muy Baja",'Mapa final'!$O$54="Moderado"),CONCATENATE("R",'Mapa final'!$A$54),"")</f>
        <v/>
      </c>
      <c r="AA42" s="514"/>
      <c r="AB42" s="530" t="str">
        <f>IF(AND('Mapa final'!$K$42="Muy Baja",'Mapa final'!$O$42="Mayor"),CONCATENATE("R",'Mapa final'!$A$42),"")</f>
        <v/>
      </c>
      <c r="AC42" s="531"/>
      <c r="AD42" s="531" t="str">
        <f>IF(AND('Mapa final'!$K$48="Muy Baja",'Mapa final'!$O$48="Mayor"),CONCATENATE("R",'Mapa final'!$A$48),"")</f>
        <v/>
      </c>
      <c r="AE42" s="531"/>
      <c r="AF42" s="531" t="str">
        <f>IF(AND('Mapa final'!$K$54="Muy Baja",'Mapa final'!$O$54="Mayor"),CONCATENATE("R",'Mapa final'!$A$54),"")</f>
        <v/>
      </c>
      <c r="AG42" s="532"/>
      <c r="AH42" s="521" t="str">
        <f>IF(AND('Mapa final'!$K$42="Muy Baja",'Mapa final'!$O$42="Catastrófico"),CONCATENATE("R",'Mapa final'!$A$42),"")</f>
        <v/>
      </c>
      <c r="AI42" s="522"/>
      <c r="AJ42" s="522" t="str">
        <f>IF(AND('Mapa final'!$K$48="Muy Baja",'Mapa final'!$O$48="Catastrófico"),CONCATENATE("R",'Mapa final'!$A$48),"")</f>
        <v/>
      </c>
      <c r="AK42" s="522"/>
      <c r="AL42" s="522" t="str">
        <f>IF(AND('Mapa final'!$K$54="Muy Baja",'Mapa final'!$O$54="Catastrófico"),CONCATENATE("R",'Mapa final'!$A$54),"")</f>
        <v/>
      </c>
      <c r="AM42" s="523"/>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row>
    <row r="43" spans="1:80" x14ac:dyDescent="0.3">
      <c r="A43" s="67"/>
      <c r="B43" s="550"/>
      <c r="C43" s="550"/>
      <c r="D43" s="551"/>
      <c r="E43" s="543"/>
      <c r="F43" s="544"/>
      <c r="G43" s="544"/>
      <c r="H43" s="544"/>
      <c r="I43" s="545"/>
      <c r="J43" s="503"/>
      <c r="K43" s="504"/>
      <c r="L43" s="504"/>
      <c r="M43" s="504"/>
      <c r="N43" s="504"/>
      <c r="O43" s="505"/>
      <c r="P43" s="503"/>
      <c r="Q43" s="504"/>
      <c r="R43" s="504"/>
      <c r="S43" s="504"/>
      <c r="T43" s="504"/>
      <c r="U43" s="505"/>
      <c r="V43" s="512"/>
      <c r="W43" s="513"/>
      <c r="X43" s="513"/>
      <c r="Y43" s="513"/>
      <c r="Z43" s="513"/>
      <c r="AA43" s="514"/>
      <c r="AB43" s="530"/>
      <c r="AC43" s="531"/>
      <c r="AD43" s="531"/>
      <c r="AE43" s="531"/>
      <c r="AF43" s="531"/>
      <c r="AG43" s="532"/>
      <c r="AH43" s="521"/>
      <c r="AI43" s="522"/>
      <c r="AJ43" s="522"/>
      <c r="AK43" s="522"/>
      <c r="AL43" s="522"/>
      <c r="AM43" s="523"/>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row>
    <row r="44" spans="1:80" x14ac:dyDescent="0.3">
      <c r="A44" s="67"/>
      <c r="B44" s="550"/>
      <c r="C44" s="550"/>
      <c r="D44" s="551"/>
      <c r="E44" s="543"/>
      <c r="F44" s="544"/>
      <c r="G44" s="544"/>
      <c r="H44" s="544"/>
      <c r="I44" s="545"/>
      <c r="J44" s="503" t="str">
        <f>IF(AND('Mapa final'!$K$60="Muy Baja",'Mapa final'!$O$60="Leve"),CONCATENATE("R",'Mapa final'!$A$60),"")</f>
        <v/>
      </c>
      <c r="K44" s="504"/>
      <c r="L44" s="504" t="str">
        <f>IF(AND('Mapa final'!$K$66="Muy Baja",'Mapa final'!$O$66="Leve"),CONCATENATE("R",'Mapa final'!$A$66),"")</f>
        <v/>
      </c>
      <c r="M44" s="504"/>
      <c r="N44" s="504" t="str">
        <f>IF(AND('Mapa final'!$K$72="Muy Baja",'Mapa final'!$O$72="Leve"),CONCATENATE("R",'Mapa final'!$A$72),"")</f>
        <v/>
      </c>
      <c r="O44" s="505"/>
      <c r="P44" s="503" t="str">
        <f>IF(AND('Mapa final'!$K$60="Muy Baja",'Mapa final'!$O$60="Menor"),CONCATENATE("R",'Mapa final'!$A$60),"")</f>
        <v/>
      </c>
      <c r="Q44" s="504"/>
      <c r="R44" s="504" t="str">
        <f>IF(AND('Mapa final'!$K$66="Muy Baja",'Mapa final'!$O$66="Menor"),CONCATENATE("R",'Mapa final'!$A$66),"")</f>
        <v/>
      </c>
      <c r="S44" s="504"/>
      <c r="T44" s="504" t="str">
        <f>IF(AND('Mapa final'!$K$72="Muy Baja",'Mapa final'!$O$72="Menor"),CONCATENATE("R",'Mapa final'!$A$72),"")</f>
        <v/>
      </c>
      <c r="U44" s="505"/>
      <c r="V44" s="512" t="str">
        <f>IF(AND('Mapa final'!$K$60="Muy Baja",'Mapa final'!$O$60="Moderado"),CONCATENATE("R",'Mapa final'!$A$60),"")</f>
        <v/>
      </c>
      <c r="W44" s="513"/>
      <c r="X44" s="513" t="str">
        <f>IF(AND('Mapa final'!$K$66="Muy Baja",'Mapa final'!$O$66="Moderado"),CONCATENATE("R",'Mapa final'!$A$66),"")</f>
        <v/>
      </c>
      <c r="Y44" s="513"/>
      <c r="Z44" s="513" t="str">
        <f>IF(AND('Mapa final'!$K$72="Muy Baja",'Mapa final'!$O$72="Moderado"),CONCATENATE("R",'Mapa final'!$A$72),"")</f>
        <v/>
      </c>
      <c r="AA44" s="514"/>
      <c r="AB44" s="530" t="str">
        <f>IF(AND('Mapa final'!$K$60="Muy Baja",'Mapa final'!$O$60="Mayor"),CONCATENATE("R",'Mapa final'!$A$60),"")</f>
        <v/>
      </c>
      <c r="AC44" s="531"/>
      <c r="AD44" s="531" t="str">
        <f>IF(AND('Mapa final'!$K$66="Muy Baja",'Mapa final'!$O$66="Mayor"),CONCATENATE("R",'Mapa final'!$A$66),"")</f>
        <v/>
      </c>
      <c r="AE44" s="531"/>
      <c r="AF44" s="531" t="str">
        <f>IF(AND('Mapa final'!$K$72="Muy Baja",'Mapa final'!$O$72="Mayor"),CONCATENATE("R",'Mapa final'!$A$72),"")</f>
        <v/>
      </c>
      <c r="AG44" s="532"/>
      <c r="AH44" s="521" t="str">
        <f>IF(AND('Mapa final'!$K$60="Muy Baja",'Mapa final'!$O$60="Catastrófico"),CONCATENATE("R",'Mapa final'!$A$60),"")</f>
        <v/>
      </c>
      <c r="AI44" s="522"/>
      <c r="AJ44" s="522" t="str">
        <f>IF(AND('Mapa final'!$K$66="Muy Baja",'Mapa final'!$O$66="Catastrófico"),CONCATENATE("R",'Mapa final'!$A$66),"")</f>
        <v/>
      </c>
      <c r="AK44" s="522"/>
      <c r="AL44" s="522" t="str">
        <f>IF(AND('Mapa final'!$K$72="Muy Baja",'Mapa final'!$O$72="Catastrófico"),CONCATENATE("R",'Mapa final'!$A$72),"")</f>
        <v/>
      </c>
      <c r="AM44" s="523"/>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row>
    <row r="45" spans="1:80" ht="15" thickBot="1" x14ac:dyDescent="0.35">
      <c r="A45" s="67"/>
      <c r="B45" s="550"/>
      <c r="C45" s="550"/>
      <c r="D45" s="551"/>
      <c r="E45" s="546"/>
      <c r="F45" s="547"/>
      <c r="G45" s="547"/>
      <c r="H45" s="547"/>
      <c r="I45" s="548"/>
      <c r="J45" s="506"/>
      <c r="K45" s="507"/>
      <c r="L45" s="507"/>
      <c r="M45" s="507"/>
      <c r="N45" s="507"/>
      <c r="O45" s="508"/>
      <c r="P45" s="506"/>
      <c r="Q45" s="507"/>
      <c r="R45" s="507"/>
      <c r="S45" s="507"/>
      <c r="T45" s="507"/>
      <c r="U45" s="508"/>
      <c r="V45" s="515"/>
      <c r="W45" s="516"/>
      <c r="X45" s="516"/>
      <c r="Y45" s="516"/>
      <c r="Z45" s="516"/>
      <c r="AA45" s="517"/>
      <c r="AB45" s="533"/>
      <c r="AC45" s="534"/>
      <c r="AD45" s="534"/>
      <c r="AE45" s="534"/>
      <c r="AF45" s="534"/>
      <c r="AG45" s="535"/>
      <c r="AH45" s="524"/>
      <c r="AI45" s="525"/>
      <c r="AJ45" s="525"/>
      <c r="AK45" s="525"/>
      <c r="AL45" s="525"/>
      <c r="AM45" s="526"/>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row>
    <row r="46" spans="1:80" x14ac:dyDescent="0.3">
      <c r="A46" s="67"/>
      <c r="B46" s="67"/>
      <c r="C46" s="67"/>
      <c r="D46" s="67"/>
      <c r="E46" s="67"/>
      <c r="F46" s="67"/>
      <c r="G46" s="67"/>
      <c r="H46" s="67"/>
      <c r="I46" s="67"/>
      <c r="J46" s="540" t="s">
        <v>107</v>
      </c>
      <c r="K46" s="541"/>
      <c r="L46" s="541"/>
      <c r="M46" s="541"/>
      <c r="N46" s="541"/>
      <c r="O46" s="542"/>
      <c r="P46" s="540" t="s">
        <v>106</v>
      </c>
      <c r="Q46" s="541"/>
      <c r="R46" s="541"/>
      <c r="S46" s="541"/>
      <c r="T46" s="541"/>
      <c r="U46" s="542"/>
      <c r="V46" s="540" t="s">
        <v>105</v>
      </c>
      <c r="W46" s="541"/>
      <c r="X46" s="541"/>
      <c r="Y46" s="541"/>
      <c r="Z46" s="541"/>
      <c r="AA46" s="542"/>
      <c r="AB46" s="540" t="s">
        <v>104</v>
      </c>
      <c r="AC46" s="549"/>
      <c r="AD46" s="541"/>
      <c r="AE46" s="541"/>
      <c r="AF46" s="541"/>
      <c r="AG46" s="542"/>
      <c r="AH46" s="540" t="s">
        <v>103</v>
      </c>
      <c r="AI46" s="541"/>
      <c r="AJ46" s="541"/>
      <c r="AK46" s="541"/>
      <c r="AL46" s="541"/>
      <c r="AM46" s="542"/>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x14ac:dyDescent="0.3">
      <c r="A47" s="67"/>
      <c r="B47" s="67"/>
      <c r="C47" s="67"/>
      <c r="D47" s="67"/>
      <c r="E47" s="67"/>
      <c r="F47" s="67"/>
      <c r="G47" s="67"/>
      <c r="H47" s="67"/>
      <c r="I47" s="67"/>
      <c r="J47" s="543"/>
      <c r="K47" s="544"/>
      <c r="L47" s="544"/>
      <c r="M47" s="544"/>
      <c r="N47" s="544"/>
      <c r="O47" s="545"/>
      <c r="P47" s="543"/>
      <c r="Q47" s="544"/>
      <c r="R47" s="544"/>
      <c r="S47" s="544"/>
      <c r="T47" s="544"/>
      <c r="U47" s="545"/>
      <c r="V47" s="543"/>
      <c r="W47" s="544"/>
      <c r="X47" s="544"/>
      <c r="Y47" s="544"/>
      <c r="Z47" s="544"/>
      <c r="AA47" s="545"/>
      <c r="AB47" s="543"/>
      <c r="AC47" s="544"/>
      <c r="AD47" s="544"/>
      <c r="AE47" s="544"/>
      <c r="AF47" s="544"/>
      <c r="AG47" s="545"/>
      <c r="AH47" s="543"/>
      <c r="AI47" s="544"/>
      <c r="AJ47" s="544"/>
      <c r="AK47" s="544"/>
      <c r="AL47" s="544"/>
      <c r="AM47" s="545"/>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x14ac:dyDescent="0.3">
      <c r="A48" s="67"/>
      <c r="B48" s="67"/>
      <c r="C48" s="67"/>
      <c r="D48" s="67"/>
      <c r="E48" s="67"/>
      <c r="F48" s="67"/>
      <c r="G48" s="67"/>
      <c r="H48" s="67"/>
      <c r="I48" s="67"/>
      <c r="J48" s="543"/>
      <c r="K48" s="544"/>
      <c r="L48" s="544"/>
      <c r="M48" s="544"/>
      <c r="N48" s="544"/>
      <c r="O48" s="545"/>
      <c r="P48" s="543"/>
      <c r="Q48" s="544"/>
      <c r="R48" s="544"/>
      <c r="S48" s="544"/>
      <c r="T48" s="544"/>
      <c r="U48" s="545"/>
      <c r="V48" s="543"/>
      <c r="W48" s="544"/>
      <c r="X48" s="544"/>
      <c r="Y48" s="544"/>
      <c r="Z48" s="544"/>
      <c r="AA48" s="545"/>
      <c r="AB48" s="543"/>
      <c r="AC48" s="544"/>
      <c r="AD48" s="544"/>
      <c r="AE48" s="544"/>
      <c r="AF48" s="544"/>
      <c r="AG48" s="545"/>
      <c r="AH48" s="543"/>
      <c r="AI48" s="544"/>
      <c r="AJ48" s="544"/>
      <c r="AK48" s="544"/>
      <c r="AL48" s="544"/>
      <c r="AM48" s="545"/>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x14ac:dyDescent="0.3">
      <c r="A49" s="67"/>
      <c r="B49" s="67"/>
      <c r="C49" s="67"/>
      <c r="D49" s="67"/>
      <c r="E49" s="67"/>
      <c r="F49" s="67"/>
      <c r="G49" s="67"/>
      <c r="H49" s="67"/>
      <c r="I49" s="67"/>
      <c r="J49" s="543"/>
      <c r="K49" s="544"/>
      <c r="L49" s="544"/>
      <c r="M49" s="544"/>
      <c r="N49" s="544"/>
      <c r="O49" s="545"/>
      <c r="P49" s="543"/>
      <c r="Q49" s="544"/>
      <c r="R49" s="544"/>
      <c r="S49" s="544"/>
      <c r="T49" s="544"/>
      <c r="U49" s="545"/>
      <c r="V49" s="543"/>
      <c r="W49" s="544"/>
      <c r="X49" s="544"/>
      <c r="Y49" s="544"/>
      <c r="Z49" s="544"/>
      <c r="AA49" s="545"/>
      <c r="AB49" s="543"/>
      <c r="AC49" s="544"/>
      <c r="AD49" s="544"/>
      <c r="AE49" s="544"/>
      <c r="AF49" s="544"/>
      <c r="AG49" s="545"/>
      <c r="AH49" s="543"/>
      <c r="AI49" s="544"/>
      <c r="AJ49" s="544"/>
      <c r="AK49" s="544"/>
      <c r="AL49" s="544"/>
      <c r="AM49" s="545"/>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x14ac:dyDescent="0.3">
      <c r="A50" s="67"/>
      <c r="B50" s="67"/>
      <c r="C50" s="67"/>
      <c r="D50" s="67"/>
      <c r="E50" s="67"/>
      <c r="F50" s="67"/>
      <c r="G50" s="67"/>
      <c r="H50" s="67"/>
      <c r="I50" s="67"/>
      <c r="J50" s="543"/>
      <c r="K50" s="544"/>
      <c r="L50" s="544"/>
      <c r="M50" s="544"/>
      <c r="N50" s="544"/>
      <c r="O50" s="545"/>
      <c r="P50" s="543"/>
      <c r="Q50" s="544"/>
      <c r="R50" s="544"/>
      <c r="S50" s="544"/>
      <c r="T50" s="544"/>
      <c r="U50" s="545"/>
      <c r="V50" s="543"/>
      <c r="W50" s="544"/>
      <c r="X50" s="544"/>
      <c r="Y50" s="544"/>
      <c r="Z50" s="544"/>
      <c r="AA50" s="545"/>
      <c r="AB50" s="543"/>
      <c r="AC50" s="544"/>
      <c r="AD50" s="544"/>
      <c r="AE50" s="544"/>
      <c r="AF50" s="544"/>
      <c r="AG50" s="545"/>
      <c r="AH50" s="543"/>
      <c r="AI50" s="544"/>
      <c r="AJ50" s="544"/>
      <c r="AK50" s="544"/>
      <c r="AL50" s="544"/>
      <c r="AM50" s="545"/>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thickBot="1" x14ac:dyDescent="0.35">
      <c r="A51" s="67"/>
      <c r="B51" s="67"/>
      <c r="C51" s="67"/>
      <c r="D51" s="67"/>
      <c r="E51" s="67"/>
      <c r="F51" s="67"/>
      <c r="G51" s="67"/>
      <c r="H51" s="67"/>
      <c r="I51" s="67"/>
      <c r="J51" s="546"/>
      <c r="K51" s="547"/>
      <c r="L51" s="547"/>
      <c r="M51" s="547"/>
      <c r="N51" s="547"/>
      <c r="O51" s="548"/>
      <c r="P51" s="546"/>
      <c r="Q51" s="547"/>
      <c r="R51" s="547"/>
      <c r="S51" s="547"/>
      <c r="T51" s="547"/>
      <c r="U51" s="548"/>
      <c r="V51" s="546"/>
      <c r="W51" s="547"/>
      <c r="X51" s="547"/>
      <c r="Y51" s="547"/>
      <c r="Z51" s="547"/>
      <c r="AA51" s="548"/>
      <c r="AB51" s="546"/>
      <c r="AC51" s="547"/>
      <c r="AD51" s="547"/>
      <c r="AE51" s="547"/>
      <c r="AF51" s="547"/>
      <c r="AG51" s="548"/>
      <c r="AH51" s="546"/>
      <c r="AI51" s="547"/>
      <c r="AJ51" s="547"/>
      <c r="AK51" s="547"/>
      <c r="AL51" s="547"/>
      <c r="AM51" s="548"/>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x14ac:dyDescent="0.3">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x14ac:dyDescent="0.3">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x14ac:dyDescent="0.3">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row>
    <row r="63" spans="1:80" x14ac:dyDescent="0.3">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row>
    <row r="64" spans="1:80" x14ac:dyDescent="0.3">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row>
    <row r="65" spans="1:8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row>
    <row r="66" spans="1:8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row>
    <row r="67" spans="1:8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row>
    <row r="68" spans="1:8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row>
    <row r="69" spans="1:8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row>
    <row r="70" spans="1:8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row>
    <row r="71" spans="1:8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row>
    <row r="72" spans="1:8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row>
    <row r="73" spans="1:8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row>
    <row r="74" spans="1:8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row>
    <row r="75" spans="1:8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row>
    <row r="76" spans="1:8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row>
    <row r="77" spans="1:8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row>
    <row r="78" spans="1:8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row>
    <row r="79" spans="1:8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row>
    <row r="80" spans="1:8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row>
    <row r="81" spans="1:63"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row>
    <row r="82" spans="1:63"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row>
    <row r="83" spans="1:63"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row>
    <row r="84" spans="1:63"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row>
    <row r="85" spans="1:63"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row>
    <row r="86" spans="1:63"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row>
    <row r="87" spans="1:63"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row>
    <row r="88" spans="1:63"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row>
    <row r="89" spans="1:63"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row>
    <row r="90" spans="1:63"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row>
    <row r="91" spans="1:63"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row>
    <row r="92" spans="1:63"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row>
    <row r="93" spans="1:63"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row>
    <row r="94" spans="1:63"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row>
    <row r="95" spans="1:63"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row>
    <row r="96" spans="1:63"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row>
    <row r="97" spans="1:63"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row>
    <row r="98" spans="1:63"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row>
    <row r="99" spans="1:63"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row>
    <row r="100" spans="1:63"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row>
    <row r="101" spans="1:63"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row>
    <row r="102" spans="1:63"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row>
    <row r="103" spans="1:63"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row>
    <row r="104" spans="1:63"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row>
    <row r="105" spans="1:63"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row>
    <row r="106" spans="1:63"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c r="BI106" s="67"/>
      <c r="BJ106" s="67"/>
      <c r="BK106" s="67"/>
    </row>
    <row r="107" spans="1:63"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c r="BI107" s="67"/>
      <c r="BJ107" s="67"/>
      <c r="BK107" s="67"/>
    </row>
    <row r="108" spans="1:63"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7"/>
      <c r="BK108" s="67"/>
    </row>
    <row r="109" spans="1:63"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row>
    <row r="110" spans="1:63"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c r="BI110" s="67"/>
      <c r="BJ110" s="67"/>
      <c r="BK110" s="67"/>
    </row>
    <row r="111" spans="1:63"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c r="BI111" s="67"/>
      <c r="BJ111" s="67"/>
      <c r="BK111" s="67"/>
    </row>
    <row r="112" spans="1:63"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row>
    <row r="113" spans="1:63"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c r="BI113" s="67"/>
      <c r="BJ113" s="67"/>
      <c r="BK113" s="67"/>
    </row>
    <row r="114" spans="1:63"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c r="BI114" s="67"/>
      <c r="BJ114" s="67"/>
      <c r="BK114" s="67"/>
    </row>
    <row r="115" spans="1:63"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row>
    <row r="116" spans="1:63"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67"/>
      <c r="BK116" s="67"/>
    </row>
    <row r="117" spans="1:63"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c r="BI117" s="67"/>
      <c r="BJ117" s="67"/>
      <c r="BK117" s="67"/>
    </row>
    <row r="118" spans="1:63"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row>
    <row r="119" spans="1:63"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row>
    <row r="120" spans="1:63"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row>
    <row r="121" spans="1:63"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row>
    <row r="122" spans="1:63" x14ac:dyDescent="0.3">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c r="BI122" s="67"/>
      <c r="BJ122" s="67"/>
      <c r="BK122" s="67"/>
    </row>
    <row r="123" spans="1:63" x14ac:dyDescent="0.3">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c r="BI123" s="67"/>
      <c r="BJ123" s="67"/>
      <c r="BK123" s="67"/>
    </row>
    <row r="124" spans="1:63" x14ac:dyDescent="0.3">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c r="BI124" s="67"/>
      <c r="BJ124" s="67"/>
      <c r="BK124" s="67"/>
    </row>
    <row r="125" spans="1:63" x14ac:dyDescent="0.3">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c r="BI125" s="67"/>
      <c r="BJ125" s="67"/>
      <c r="BK125" s="67"/>
    </row>
    <row r="126" spans="1:63" x14ac:dyDescent="0.3">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row>
    <row r="127" spans="1:63" x14ac:dyDescent="0.3">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c r="BI127" s="67"/>
      <c r="BJ127" s="67"/>
      <c r="BK127" s="67"/>
    </row>
    <row r="128" spans="1:63" x14ac:dyDescent="0.3">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c r="BI128" s="67"/>
      <c r="BJ128" s="67"/>
      <c r="BK128" s="67"/>
    </row>
    <row r="129" spans="2:63" x14ac:dyDescent="0.3">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row>
    <row r="130" spans="2:63" x14ac:dyDescent="0.3">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row>
    <row r="131" spans="2:63" x14ac:dyDescent="0.3">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row>
    <row r="132" spans="2:63" x14ac:dyDescent="0.3">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c r="BI132" s="67"/>
      <c r="BJ132" s="67"/>
      <c r="BK132" s="67"/>
    </row>
    <row r="133" spans="2:63" x14ac:dyDescent="0.3">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row>
    <row r="134" spans="2:63" x14ac:dyDescent="0.3">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c r="BI134" s="67"/>
      <c r="BJ134" s="67"/>
      <c r="BK134" s="67"/>
    </row>
    <row r="135" spans="2:63" x14ac:dyDescent="0.3">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row>
    <row r="136" spans="2:63" x14ac:dyDescent="0.3">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row>
    <row r="137" spans="2:63" x14ac:dyDescent="0.3">
      <c r="B137" s="67"/>
      <c r="C137" s="67"/>
      <c r="D137" s="67"/>
      <c r="E137" s="67"/>
      <c r="F137" s="67"/>
      <c r="G137" s="67"/>
      <c r="H137" s="67"/>
      <c r="I137" s="67"/>
    </row>
    <row r="138" spans="2:63" x14ac:dyDescent="0.3">
      <c r="B138" s="67"/>
      <c r="C138" s="67"/>
      <c r="D138" s="67"/>
      <c r="E138" s="67"/>
      <c r="F138" s="67"/>
      <c r="G138" s="67"/>
      <c r="H138" s="67"/>
      <c r="I138" s="67"/>
    </row>
    <row r="139" spans="2:63" x14ac:dyDescent="0.3">
      <c r="B139" s="67"/>
      <c r="C139" s="67"/>
      <c r="D139" s="67"/>
      <c r="E139" s="67"/>
      <c r="F139" s="67"/>
      <c r="G139" s="67"/>
      <c r="H139" s="67"/>
      <c r="I139" s="67"/>
    </row>
    <row r="140" spans="2:63" x14ac:dyDescent="0.3">
      <c r="B140" s="67"/>
      <c r="C140" s="67"/>
      <c r="D140" s="67"/>
      <c r="E140" s="67"/>
      <c r="F140" s="67"/>
      <c r="G140" s="67"/>
      <c r="H140" s="67"/>
      <c r="I140" s="67"/>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248"/>
  <sheetViews>
    <sheetView topLeftCell="A17" zoomScale="55" zoomScaleNormal="55" workbookViewId="0">
      <selection activeCell="K6" sqref="K6"/>
    </sheetView>
  </sheetViews>
  <sheetFormatPr baseColWidth="10" defaultRowHeight="14.4" x14ac:dyDescent="0.3"/>
  <cols>
    <col min="2" max="18" width="5.6640625" customWidth="1"/>
    <col min="19" max="19" width="8.44140625" customWidth="1"/>
    <col min="20" max="23" width="5.6640625" customWidth="1"/>
    <col min="24" max="24" width="8.5546875" customWidth="1"/>
    <col min="25" max="26" width="5.6640625" customWidth="1"/>
    <col min="27" max="27" width="10.6640625" customWidth="1"/>
    <col min="28" max="28" width="5.6640625" customWidth="1"/>
    <col min="29" max="29" width="7.44140625" customWidth="1"/>
    <col min="30" max="33" width="5.6640625" customWidth="1"/>
    <col min="34" max="34" width="8.5546875" customWidth="1"/>
    <col min="35" max="39" width="5.6640625" customWidth="1"/>
    <col min="41" max="46" width="5.6640625" customWidth="1"/>
  </cols>
  <sheetData>
    <row r="1" spans="1:91"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row>
    <row r="2" spans="1:91" ht="18" customHeight="1" x14ac:dyDescent="0.3">
      <c r="A2" s="67"/>
      <c r="B2" s="617" t="s">
        <v>149</v>
      </c>
      <c r="C2" s="618"/>
      <c r="D2" s="618"/>
      <c r="E2" s="618"/>
      <c r="F2" s="618"/>
      <c r="G2" s="618"/>
      <c r="H2" s="618"/>
      <c r="I2" s="618"/>
      <c r="J2" s="539" t="s">
        <v>2</v>
      </c>
      <c r="K2" s="539"/>
      <c r="L2" s="539"/>
      <c r="M2" s="539"/>
      <c r="N2" s="539"/>
      <c r="O2" s="539"/>
      <c r="P2" s="539"/>
      <c r="Q2" s="539"/>
      <c r="R2" s="539"/>
      <c r="S2" s="539"/>
      <c r="T2" s="539"/>
      <c r="U2" s="539"/>
      <c r="V2" s="539"/>
      <c r="W2" s="539"/>
      <c r="X2" s="539"/>
      <c r="Y2" s="539"/>
      <c r="Z2" s="539"/>
      <c r="AA2" s="539"/>
      <c r="AB2" s="539"/>
      <c r="AC2" s="539"/>
      <c r="AD2" s="539"/>
      <c r="AE2" s="539"/>
      <c r="AF2" s="539"/>
      <c r="AG2" s="539"/>
      <c r="AH2" s="539"/>
      <c r="AI2" s="539"/>
      <c r="AJ2" s="539"/>
      <c r="AK2" s="539"/>
      <c r="AL2" s="539"/>
      <c r="AM2" s="539"/>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row>
    <row r="3" spans="1:91" ht="18.75" customHeight="1" x14ac:dyDescent="0.3">
      <c r="A3" s="67"/>
      <c r="B3" s="618"/>
      <c r="C3" s="618"/>
      <c r="D3" s="618"/>
      <c r="E3" s="618"/>
      <c r="F3" s="618"/>
      <c r="G3" s="618"/>
      <c r="H3" s="618"/>
      <c r="I3" s="618"/>
      <c r="J3" s="539"/>
      <c r="K3" s="539"/>
      <c r="L3" s="539"/>
      <c r="M3" s="539"/>
      <c r="N3" s="539"/>
      <c r="O3" s="539"/>
      <c r="P3" s="539"/>
      <c r="Q3" s="539"/>
      <c r="R3" s="539"/>
      <c r="S3" s="539"/>
      <c r="T3" s="539"/>
      <c r="U3" s="539"/>
      <c r="V3" s="539"/>
      <c r="W3" s="539"/>
      <c r="X3" s="539"/>
      <c r="Y3" s="539"/>
      <c r="Z3" s="539"/>
      <c r="AA3" s="539"/>
      <c r="AB3" s="539"/>
      <c r="AC3" s="539"/>
      <c r="AD3" s="539"/>
      <c r="AE3" s="539"/>
      <c r="AF3" s="539"/>
      <c r="AG3" s="539"/>
      <c r="AH3" s="539"/>
      <c r="AI3" s="539"/>
      <c r="AJ3" s="539"/>
      <c r="AK3" s="539"/>
      <c r="AL3" s="539"/>
      <c r="AM3" s="539"/>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row>
    <row r="4" spans="1:91" ht="15" customHeight="1" x14ac:dyDescent="0.3">
      <c r="A4" s="67"/>
      <c r="B4" s="618"/>
      <c r="C4" s="618"/>
      <c r="D4" s="618"/>
      <c r="E4" s="618"/>
      <c r="F4" s="618"/>
      <c r="G4" s="618"/>
      <c r="H4" s="618"/>
      <c r="I4" s="618"/>
      <c r="J4" s="539"/>
      <c r="K4" s="539"/>
      <c r="L4" s="539"/>
      <c r="M4" s="539"/>
      <c r="N4" s="539"/>
      <c r="O4" s="539"/>
      <c r="P4" s="539"/>
      <c r="Q4" s="539"/>
      <c r="R4" s="539"/>
      <c r="S4" s="539"/>
      <c r="T4" s="539"/>
      <c r="U4" s="539"/>
      <c r="V4" s="539"/>
      <c r="W4" s="539"/>
      <c r="X4" s="539"/>
      <c r="Y4" s="539"/>
      <c r="Z4" s="539"/>
      <c r="AA4" s="539"/>
      <c r="AB4" s="539"/>
      <c r="AC4" s="539"/>
      <c r="AD4" s="539"/>
      <c r="AE4" s="539"/>
      <c r="AF4" s="539"/>
      <c r="AG4" s="539"/>
      <c r="AH4" s="539"/>
      <c r="AI4" s="539"/>
      <c r="AJ4" s="539"/>
      <c r="AK4" s="539"/>
      <c r="AL4" s="539"/>
      <c r="AM4" s="539"/>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row>
    <row r="5" spans="1:91"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91" ht="15" customHeight="1" x14ac:dyDescent="0.3">
      <c r="A6" s="67"/>
      <c r="B6" s="550" t="s">
        <v>4</v>
      </c>
      <c r="C6" s="550"/>
      <c r="D6" s="551"/>
      <c r="E6" s="588" t="s">
        <v>111</v>
      </c>
      <c r="F6" s="589"/>
      <c r="G6" s="589"/>
      <c r="H6" s="589"/>
      <c r="I6" s="590"/>
      <c r="J6" s="30" t="str">
        <f>IF(AND('Mapa final'!$AB$10="Muy Alta",'Mapa final'!$AD$10="Leve"),CONCATENATE("R1C",'Mapa final'!$R$10),"")</f>
        <v/>
      </c>
      <c r="K6" s="31" t="str">
        <f>IF(AND('Mapa final'!$AB$11="Muy Alta",'Mapa final'!$AD$11="Leve"),CONCATENATE("R1C",'Mapa final'!$R$11),"")</f>
        <v/>
      </c>
      <c r="L6" s="31" t="e">
        <f>IF(AND('Mapa final'!#REF!="Muy Alta",'Mapa final'!#REF!="Leve"),CONCATENATE("R1C",'Mapa final'!#REF!),"")</f>
        <v>#REF!</v>
      </c>
      <c r="M6" s="31" t="e">
        <f>IF(AND('Mapa final'!#REF!="Muy Alta",'Mapa final'!#REF!="Leve"),CONCATENATE("R1C",'Mapa final'!#REF!),"")</f>
        <v>#REF!</v>
      </c>
      <c r="N6" s="31" t="e">
        <f>IF(AND('Mapa final'!#REF!="Muy Alta",'Mapa final'!#REF!="Leve"),CONCATENATE("R1C",'Mapa final'!#REF!),"")</f>
        <v>#REF!</v>
      </c>
      <c r="O6" s="32" t="e">
        <f>IF(AND('Mapa final'!#REF!="Muy Alta",'Mapa final'!#REF!="Leve"),CONCATENATE("R1C",'Mapa final'!#REF!),"")</f>
        <v>#REF!</v>
      </c>
      <c r="P6" s="30" t="str">
        <f>IF(AND('Mapa final'!$AB$10="Muy Alta",'Mapa final'!$AD$10="Menor"),CONCATENATE("R1C",'Mapa final'!$R$10),"")</f>
        <v/>
      </c>
      <c r="Q6" s="31" t="str">
        <f>IF(AND('Mapa final'!$AB$11="Muy Alta",'Mapa final'!$AD$11="Menor"),CONCATENATE("R1C",'Mapa final'!$R$11),"")</f>
        <v/>
      </c>
      <c r="R6" s="31" t="e">
        <f>IF(AND('Mapa final'!#REF!="Muy Alta",'Mapa final'!#REF!="Menor"),CONCATENATE("R1C",'Mapa final'!#REF!),"")</f>
        <v>#REF!</v>
      </c>
      <c r="S6" s="31" t="e">
        <f>IF(AND('Mapa final'!#REF!="Muy Alta",'Mapa final'!#REF!="Menor"),CONCATENATE("R1C",'Mapa final'!#REF!),"")</f>
        <v>#REF!</v>
      </c>
      <c r="T6" s="31" t="e">
        <f>IF(AND('Mapa final'!#REF!="Muy Alta",'Mapa final'!#REF!="Menor"),CONCATENATE("R1C",'Mapa final'!#REF!),"")</f>
        <v>#REF!</v>
      </c>
      <c r="U6" s="32" t="e">
        <f>IF(AND('Mapa final'!#REF!="Muy Alta",'Mapa final'!#REF!="Menor"),CONCATENATE("R1C",'Mapa final'!#REF!),"")</f>
        <v>#REF!</v>
      </c>
      <c r="V6" s="30" t="str">
        <f>IF(AND('Mapa final'!$AB$10="Muy Alta",'Mapa final'!$AD$10="Moderado"),CONCATENATE("R1C",'Mapa final'!$R$10),"")</f>
        <v/>
      </c>
      <c r="W6" s="31" t="str">
        <f>IF(AND('Mapa final'!$AB$11="Muy Alta",'Mapa final'!$AD$11="Moderado"),CONCATENATE("R1C",'Mapa final'!$R$11),"")</f>
        <v/>
      </c>
      <c r="X6" s="31" t="e">
        <f>IF(AND('Mapa final'!#REF!="Muy Alta",'Mapa final'!#REF!="Moderado"),CONCATENATE("R1C",'Mapa final'!#REF!),"")</f>
        <v>#REF!</v>
      </c>
      <c r="Y6" s="31" t="e">
        <f>IF(AND('Mapa final'!#REF!="Muy Alta",'Mapa final'!#REF!="Moderado"),CONCATENATE("R1C",'Mapa final'!#REF!),"")</f>
        <v>#REF!</v>
      </c>
      <c r="Z6" s="31" t="e">
        <f>IF(AND('Mapa final'!#REF!="Muy Alta",'Mapa final'!#REF!="Moderado"),CONCATENATE("R1C",'Mapa final'!#REF!),"")</f>
        <v>#REF!</v>
      </c>
      <c r="AA6" s="32" t="e">
        <f>IF(AND('Mapa final'!#REF!="Muy Alta",'Mapa final'!#REF!="Moderado"),CONCATENATE("R1C",'Mapa final'!#REF!),"")</f>
        <v>#REF!</v>
      </c>
      <c r="AB6" s="30" t="str">
        <f>IF(AND('Mapa final'!$AB$10="Muy Alta",'Mapa final'!$AD$10="Mayor"),CONCATENATE("R1C",'Mapa final'!$R$10),"")</f>
        <v/>
      </c>
      <c r="AC6" s="31" t="str">
        <f>IF(AND('Mapa final'!$AB$11="Muy Alta",'Mapa final'!$AD$11="Mayor"),CONCATENATE("R1C",'Mapa final'!$R$11),"")</f>
        <v/>
      </c>
      <c r="AD6" s="31" t="e">
        <f>IF(AND('Mapa final'!#REF!="Muy Alta",'Mapa final'!#REF!="Mayor"),CONCATENATE("R1C",'Mapa final'!#REF!),"")</f>
        <v>#REF!</v>
      </c>
      <c r="AE6" s="31" t="e">
        <f>IF(AND('Mapa final'!#REF!="Muy Alta",'Mapa final'!#REF!="Mayor"),CONCATENATE("R1C",'Mapa final'!#REF!),"")</f>
        <v>#REF!</v>
      </c>
      <c r="AF6" s="31" t="e">
        <f>IF(AND('Mapa final'!#REF!="Muy Alta",'Mapa final'!#REF!="Mayor"),CONCATENATE("R1C",'Mapa final'!#REF!),"")</f>
        <v>#REF!</v>
      </c>
      <c r="AG6" s="32" t="e">
        <f>IF(AND('Mapa final'!#REF!="Muy Alta",'Mapa final'!#REF!="Mayor"),CONCATENATE("R1C",'Mapa final'!#REF!),"")</f>
        <v>#REF!</v>
      </c>
      <c r="AH6" s="33" t="str">
        <f>IF(AND('Mapa final'!$AB$10="Muy Alta",'Mapa final'!$AD$10="Catastrófico"),CONCATENATE("R1C",'Mapa final'!$R$10),"")</f>
        <v/>
      </c>
      <c r="AI6" s="34" t="str">
        <f>IF(AND('Mapa final'!$AB$11="Muy Alta",'Mapa final'!$AD$11="Catastrófico"),CONCATENATE("R1C",'Mapa final'!$R$11),"")</f>
        <v/>
      </c>
      <c r="AJ6" s="34" t="e">
        <f>IF(AND('Mapa final'!#REF!="Muy Alta",'Mapa final'!#REF!="Catastrófico"),CONCATENATE("R1C",'Mapa final'!#REF!),"")</f>
        <v>#REF!</v>
      </c>
      <c r="AK6" s="34" t="e">
        <f>IF(AND('Mapa final'!#REF!="Muy Alta",'Mapa final'!#REF!="Catastrófico"),CONCATENATE("R1C",'Mapa final'!#REF!),"")</f>
        <v>#REF!</v>
      </c>
      <c r="AL6" s="34" t="e">
        <f>IF(AND('Mapa final'!#REF!="Muy Alta",'Mapa final'!#REF!="Catastrófico"),CONCATENATE("R1C",'Mapa final'!#REF!),"")</f>
        <v>#REF!</v>
      </c>
      <c r="AM6" s="35" t="e">
        <f>IF(AND('Mapa final'!#REF!="Muy Alta",'Mapa final'!#REF!="Catastrófico"),CONCATENATE("R1C",'Mapa final'!#REF!),"")</f>
        <v>#REF!</v>
      </c>
      <c r="AN6" s="67"/>
      <c r="AO6" s="608" t="s">
        <v>78</v>
      </c>
      <c r="AP6" s="609"/>
      <c r="AQ6" s="609"/>
      <c r="AR6" s="609"/>
      <c r="AS6" s="609"/>
      <c r="AT6" s="610"/>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row>
    <row r="7" spans="1:91" ht="15" customHeight="1" x14ac:dyDescent="0.3">
      <c r="A7" s="67"/>
      <c r="B7" s="550"/>
      <c r="C7" s="550"/>
      <c r="D7" s="551"/>
      <c r="E7" s="591"/>
      <c r="F7" s="592"/>
      <c r="G7" s="592"/>
      <c r="H7" s="592"/>
      <c r="I7" s="593"/>
      <c r="J7" s="36" t="str">
        <f>IF(AND('Mapa final'!$AB$12="Muy Alta",'Mapa final'!$AD$12="Leve"),CONCATENATE("R2C",'Mapa final'!$R$12),"")</f>
        <v/>
      </c>
      <c r="K7" s="37" t="str">
        <f>IF(AND('Mapa final'!$AB$13="Muy Alta",'Mapa final'!$AD$13="Leve"),CONCATENATE("R2C",'Mapa final'!$R$13),"")</f>
        <v/>
      </c>
      <c r="L7" s="37" t="str">
        <f>IF(AND('Mapa final'!$AB$14="Muy Alta",'Mapa final'!$AD$14="Leve"),CONCATENATE("R2C",'Mapa final'!$R$14),"")</f>
        <v/>
      </c>
      <c r="M7" s="37" t="str">
        <f>IF(AND('Mapa final'!$AB$15="Muy Alta",'Mapa final'!$AD$15="Leve"),CONCATENATE("R2C",'Mapa final'!$R$15),"")</f>
        <v/>
      </c>
      <c r="N7" s="37" t="str">
        <f>IF(AND('Mapa final'!$AB$16="Muy Alta",'Mapa final'!$AD$16="Leve"),CONCATENATE("R2C",'Mapa final'!$R$16),"")</f>
        <v/>
      </c>
      <c r="O7" s="38" t="str">
        <f>IF(AND('Mapa final'!$AB$17="Muy Alta",'Mapa final'!$AD$17="Leve"),CONCATENATE("R2C",'Mapa final'!$R$17),"")</f>
        <v/>
      </c>
      <c r="P7" s="36" t="str">
        <f>IF(AND('Mapa final'!$AB$12="Muy Alta",'Mapa final'!$AD$12="Menor"),CONCATENATE("R2C",'Mapa final'!$R$12),"")</f>
        <v/>
      </c>
      <c r="Q7" s="37" t="str">
        <f>IF(AND('Mapa final'!$AB$13="Muy Alta",'Mapa final'!$AD$13="Menor"),CONCATENATE("R2C",'Mapa final'!$R$13),"")</f>
        <v/>
      </c>
      <c r="R7" s="37" t="str">
        <f>IF(AND('Mapa final'!$AB$14="Muy Alta",'Mapa final'!$AD$14="Menor"),CONCATENATE("R2C",'Mapa final'!$R$14),"")</f>
        <v/>
      </c>
      <c r="S7" s="37" t="str">
        <f>IF(AND('Mapa final'!$AB$15="Muy Alta",'Mapa final'!$AD$15="Menor"),CONCATENATE("R2C",'Mapa final'!$R$15),"")</f>
        <v/>
      </c>
      <c r="T7" s="37" t="str">
        <f>IF(AND('Mapa final'!$AB$16="Muy Alta",'Mapa final'!$AD$16="Menor"),CONCATENATE("R2C",'Mapa final'!$R$16),"")</f>
        <v/>
      </c>
      <c r="U7" s="38" t="str">
        <f>IF(AND('Mapa final'!$AB$17="Muy Alta",'Mapa final'!$AD$17="Menor"),CONCATENATE("R2C",'Mapa final'!$R$17),"")</f>
        <v/>
      </c>
      <c r="V7" s="36" t="str">
        <f>IF(AND('Mapa final'!$AB$12="Muy Alta",'Mapa final'!$AD$12="Moderado"),CONCATENATE("R2C",'Mapa final'!$R$12),"")</f>
        <v/>
      </c>
      <c r="W7" s="37" t="str">
        <f>IF(AND('Mapa final'!$AB$13="Muy Alta",'Mapa final'!$AD$13="Moderado"),CONCATENATE("R2C",'Mapa final'!$R$13),"")</f>
        <v/>
      </c>
      <c r="X7" s="37" t="str">
        <f>IF(AND('Mapa final'!$AB$14="Muy Alta",'Mapa final'!$AD$14="Moderado"),CONCATENATE("R2C",'Mapa final'!$R$14),"")</f>
        <v/>
      </c>
      <c r="Y7" s="37" t="str">
        <f>IF(AND('Mapa final'!$AB$15="Muy Alta",'Mapa final'!$AD$15="Moderado"),CONCATENATE("R2C",'Mapa final'!$R$15),"")</f>
        <v/>
      </c>
      <c r="Z7" s="37" t="str">
        <f>IF(AND('Mapa final'!$AB$16="Muy Alta",'Mapa final'!$AD$16="Moderado"),CONCATENATE("R2C",'Mapa final'!$R$16),"")</f>
        <v/>
      </c>
      <c r="AA7" s="38" t="str">
        <f>IF(AND('Mapa final'!$AB$17="Muy Alta",'Mapa final'!$AD$17="Moderado"),CONCATENATE("R2C",'Mapa final'!$R$17),"")</f>
        <v/>
      </c>
      <c r="AB7" s="36" t="str">
        <f>IF(AND('Mapa final'!$AB$12="Muy Alta",'Mapa final'!$AD$12="Mayor"),CONCATENATE("R2C",'Mapa final'!$R$12),"")</f>
        <v/>
      </c>
      <c r="AC7" s="37" t="str">
        <f>IF(AND('Mapa final'!$AB$13="Muy Alta",'Mapa final'!$AD$13="Mayor"),CONCATENATE("R2C",'Mapa final'!$R$13),"")</f>
        <v/>
      </c>
      <c r="AD7" s="37" t="str">
        <f>IF(AND('Mapa final'!$AB$14="Muy Alta",'Mapa final'!$AD$14="Mayor"),CONCATENATE("R2C",'Mapa final'!$R$14),"")</f>
        <v/>
      </c>
      <c r="AE7" s="37" t="str">
        <f>IF(AND('Mapa final'!$AB$15="Muy Alta",'Mapa final'!$AD$15="Mayor"),CONCATENATE("R2C",'Mapa final'!$R$15),"")</f>
        <v/>
      </c>
      <c r="AF7" s="37" t="str">
        <f>IF(AND('Mapa final'!$AB$16="Muy Alta",'Mapa final'!$AD$16="Mayor"),CONCATENATE("R2C",'Mapa final'!$R$16),"")</f>
        <v/>
      </c>
      <c r="AG7" s="38" t="str">
        <f>IF(AND('Mapa final'!$AB$17="Muy Alta",'Mapa final'!$AD$17="Mayor"),CONCATENATE("R2C",'Mapa final'!$R$17),"")</f>
        <v/>
      </c>
      <c r="AH7" s="39" t="str">
        <f>IF(AND('Mapa final'!$AB$12="Muy Alta",'Mapa final'!$AD$12="Catastrófico"),CONCATENATE("R2C",'Mapa final'!$R$12),"")</f>
        <v/>
      </c>
      <c r="AI7" s="40" t="str">
        <f>IF(AND('Mapa final'!$AB$13="Muy Alta",'Mapa final'!$AD$13="Catastrófico"),CONCATENATE("R2C",'Mapa final'!$R$13),"")</f>
        <v/>
      </c>
      <c r="AJ7" s="40" t="str">
        <f>IF(AND('Mapa final'!$AB$14="Muy Alta",'Mapa final'!$AD$14="Catastrófico"),CONCATENATE("R2C",'Mapa final'!$R$14),"")</f>
        <v/>
      </c>
      <c r="AK7" s="40" t="str">
        <f>IF(AND('Mapa final'!$AB$15="Muy Alta",'Mapa final'!$AD$15="Catastrófico"),CONCATENATE("R2C",'Mapa final'!$R$15),"")</f>
        <v/>
      </c>
      <c r="AL7" s="40" t="str">
        <f>IF(AND('Mapa final'!$AB$16="Muy Alta",'Mapa final'!$AD$16="Catastrófico"),CONCATENATE("R2C",'Mapa final'!$R$16),"")</f>
        <v/>
      </c>
      <c r="AM7" s="41" t="str">
        <f>IF(AND('Mapa final'!$AB$17="Muy Alta",'Mapa final'!$AD$17="Catastrófico"),CONCATENATE("R2C",'Mapa final'!$R$17),"")</f>
        <v/>
      </c>
      <c r="AN7" s="67"/>
      <c r="AO7" s="611"/>
      <c r="AP7" s="612"/>
      <c r="AQ7" s="612"/>
      <c r="AR7" s="612"/>
      <c r="AS7" s="612"/>
      <c r="AT7" s="613"/>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row>
    <row r="8" spans="1:91" ht="15" customHeight="1" x14ac:dyDescent="0.3">
      <c r="A8" s="67"/>
      <c r="B8" s="550"/>
      <c r="C8" s="550"/>
      <c r="D8" s="551"/>
      <c r="E8" s="591"/>
      <c r="F8" s="592"/>
      <c r="G8" s="592"/>
      <c r="H8" s="592"/>
      <c r="I8" s="593"/>
      <c r="J8" s="36" t="str">
        <f>IF(AND('Mapa final'!$AB$18="Muy Alta",'Mapa final'!$AD$18="Leve"),CONCATENATE("R3C",'Mapa final'!$R$18),"")</f>
        <v/>
      </c>
      <c r="K8" s="37" t="str">
        <f>IF(AND('Mapa final'!$AB$19="Muy Alta",'Mapa final'!$AD$19="Leve"),CONCATENATE("R3C",'Mapa final'!$R$19),"")</f>
        <v/>
      </c>
      <c r="L8" s="37" t="str">
        <f>IF(AND('Mapa final'!$AB$20="Muy Alta",'Mapa final'!$AD$20="Leve"),CONCATENATE("R3C",'Mapa final'!$R$20),"")</f>
        <v/>
      </c>
      <c r="M8" s="37" t="str">
        <f>IF(AND('Mapa final'!$AB$21="Muy Alta",'Mapa final'!$AD$21="Leve"),CONCATENATE("R3C",'Mapa final'!$R$21),"")</f>
        <v/>
      </c>
      <c r="N8" s="37" t="str">
        <f>IF(AND('Mapa final'!$AB$22="Muy Alta",'Mapa final'!$AD$22="Leve"),CONCATENATE("R3C",'Mapa final'!$R$22),"")</f>
        <v/>
      </c>
      <c r="O8" s="38" t="str">
        <f>IF(AND('Mapa final'!$AB$23="Muy Alta",'Mapa final'!$AD$23="Leve"),CONCATENATE("R3C",'Mapa final'!$R$23),"")</f>
        <v/>
      </c>
      <c r="P8" s="36" t="str">
        <f>IF(AND('Mapa final'!$AB$18="Muy Alta",'Mapa final'!$AD$18="Menor"),CONCATENATE("R3C",'Mapa final'!$R$18),"")</f>
        <v/>
      </c>
      <c r="Q8" s="37" t="str">
        <f>IF(AND('Mapa final'!$AB$19="Muy Alta",'Mapa final'!$AD$19="Menor"),CONCATENATE("R3C",'Mapa final'!$R$19),"")</f>
        <v/>
      </c>
      <c r="R8" s="37" t="str">
        <f>IF(AND('Mapa final'!$AB$20="Muy Alta",'Mapa final'!$AD$20="Menor"),CONCATENATE("R3C",'Mapa final'!$R$20),"")</f>
        <v/>
      </c>
      <c r="S8" s="37" t="str">
        <f>IF(AND('Mapa final'!$AB$21="Muy Alta",'Mapa final'!$AD$21="Menor"),CONCATENATE("R3C",'Mapa final'!$R$21),"")</f>
        <v/>
      </c>
      <c r="T8" s="37" t="str">
        <f>IF(AND('Mapa final'!$AB$22="Muy Alta",'Mapa final'!$AD$22="Menor"),CONCATENATE("R3C",'Mapa final'!$R$22),"")</f>
        <v/>
      </c>
      <c r="U8" s="38" t="str">
        <f>IF(AND('Mapa final'!$AB$23="Muy Alta",'Mapa final'!$AD$23="Menor"),CONCATENATE("R3C",'Mapa final'!$R$23),"")</f>
        <v/>
      </c>
      <c r="V8" s="36" t="str">
        <f>IF(AND('Mapa final'!$AB$18="Muy Alta",'Mapa final'!$AD$18="Moderado"),CONCATENATE("R3C",'Mapa final'!$R$18),"")</f>
        <v/>
      </c>
      <c r="W8" s="37" t="str">
        <f>IF(AND('Mapa final'!$AB$19="Muy Alta",'Mapa final'!$AD$19="Moderado"),CONCATENATE("R3C",'Mapa final'!$R$19),"")</f>
        <v/>
      </c>
      <c r="X8" s="37" t="str">
        <f>IF(AND('Mapa final'!$AB$20="Muy Alta",'Mapa final'!$AD$20="Moderado"),CONCATENATE("R3C",'Mapa final'!$R$20),"")</f>
        <v/>
      </c>
      <c r="Y8" s="37" t="str">
        <f>IF(AND('Mapa final'!$AB$21="Muy Alta",'Mapa final'!$AD$21="Moderado"),CONCATENATE("R3C",'Mapa final'!$R$21),"")</f>
        <v/>
      </c>
      <c r="Z8" s="37" t="str">
        <f>IF(AND('Mapa final'!$AB$22="Muy Alta",'Mapa final'!$AD$22="Moderado"),CONCATENATE("R3C",'Mapa final'!$R$22),"")</f>
        <v/>
      </c>
      <c r="AA8" s="38" t="str">
        <f>IF(AND('Mapa final'!$AB$23="Muy Alta",'Mapa final'!$AD$23="Moderado"),CONCATENATE("R3C",'Mapa final'!$R$23),"")</f>
        <v/>
      </c>
      <c r="AB8" s="36" t="str">
        <f>IF(AND('Mapa final'!$AB$18="Muy Alta",'Mapa final'!$AD$18="Mayor"),CONCATENATE("R3C",'Mapa final'!$R$18),"")</f>
        <v/>
      </c>
      <c r="AC8" s="37" t="str">
        <f>IF(AND('Mapa final'!$AB$19="Muy Alta",'Mapa final'!$AD$19="Mayor"),CONCATENATE("R3C",'Mapa final'!$R$19),"")</f>
        <v/>
      </c>
      <c r="AD8" s="37" t="str">
        <f>IF(AND('Mapa final'!$AB$20="Muy Alta",'Mapa final'!$AD$20="Mayor"),CONCATENATE("R3C",'Mapa final'!$R$20),"")</f>
        <v/>
      </c>
      <c r="AE8" s="37" t="str">
        <f>IF(AND('Mapa final'!$AB$21="Muy Alta",'Mapa final'!$AD$21="Mayor"),CONCATENATE("R3C",'Mapa final'!$R$21),"")</f>
        <v/>
      </c>
      <c r="AF8" s="37" t="str">
        <f>IF(AND('Mapa final'!$AB$22="Muy Alta",'Mapa final'!$AD$22="Mayor"),CONCATENATE("R3C",'Mapa final'!$R$22),"")</f>
        <v/>
      </c>
      <c r="AG8" s="38" t="str">
        <f>IF(AND('Mapa final'!$AB$23="Muy Alta",'Mapa final'!$AD$23="Mayor"),CONCATENATE("R3C",'Mapa final'!$R$23),"")</f>
        <v/>
      </c>
      <c r="AH8" s="39" t="str">
        <f>IF(AND('Mapa final'!$AB$18="Muy Alta",'Mapa final'!$AD$18="Catastrófico"),CONCATENATE("R3C",'Mapa final'!$R$18),"")</f>
        <v/>
      </c>
      <c r="AI8" s="40" t="str">
        <f>IF(AND('Mapa final'!$AB$19="Muy Alta",'Mapa final'!$AD$19="Catastrófico"),CONCATENATE("R3C",'Mapa final'!$R$19),"")</f>
        <v/>
      </c>
      <c r="AJ8" s="40" t="str">
        <f>IF(AND('Mapa final'!$AB$20="Muy Alta",'Mapa final'!$AD$20="Catastrófico"),CONCATENATE("R3C",'Mapa final'!$R$20),"")</f>
        <v/>
      </c>
      <c r="AK8" s="40" t="str">
        <f>IF(AND('Mapa final'!$AB$21="Muy Alta",'Mapa final'!$AD$21="Catastrófico"),CONCATENATE("R3C",'Mapa final'!$R$21),"")</f>
        <v/>
      </c>
      <c r="AL8" s="40" t="str">
        <f>IF(AND('Mapa final'!$AB$22="Muy Alta",'Mapa final'!$AD$22="Catastrófico"),CONCATENATE("R3C",'Mapa final'!$R$22),"")</f>
        <v/>
      </c>
      <c r="AM8" s="41" t="str">
        <f>IF(AND('Mapa final'!$AB$23="Muy Alta",'Mapa final'!$AD$23="Catastrófico"),CONCATENATE("R3C",'Mapa final'!$R$23),"")</f>
        <v/>
      </c>
      <c r="AN8" s="67"/>
      <c r="AO8" s="611"/>
      <c r="AP8" s="612"/>
      <c r="AQ8" s="612"/>
      <c r="AR8" s="612"/>
      <c r="AS8" s="612"/>
      <c r="AT8" s="613"/>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row>
    <row r="9" spans="1:91" ht="15" customHeight="1" x14ac:dyDescent="0.3">
      <c r="A9" s="67"/>
      <c r="B9" s="550"/>
      <c r="C9" s="550"/>
      <c r="D9" s="551"/>
      <c r="E9" s="591"/>
      <c r="F9" s="592"/>
      <c r="G9" s="592"/>
      <c r="H9" s="592"/>
      <c r="I9" s="593"/>
      <c r="J9" s="36" t="str">
        <f>IF(AND('Mapa final'!$AB$24="Muy Alta",'Mapa final'!$AD$24="Leve"),CONCATENATE("R4C",'Mapa final'!$R$24),"")</f>
        <v/>
      </c>
      <c r="K9" s="37" t="str">
        <f>IF(AND('Mapa final'!$AB$25="Muy Alta",'Mapa final'!$AD$25="Leve"),CONCATENATE("R4C",'Mapa final'!$R$25),"")</f>
        <v/>
      </c>
      <c r="L9" s="37" t="str">
        <f>IF(AND('Mapa final'!$AB$26="Muy Alta",'Mapa final'!$AD$26="Leve"),CONCATENATE("R4C",'Mapa final'!$R$26),"")</f>
        <v/>
      </c>
      <c r="M9" s="37" t="str">
        <f>IF(AND('Mapa final'!$AB$27="Muy Alta",'Mapa final'!$AD$27="Leve"),CONCATENATE("R4C",'Mapa final'!$R$27),"")</f>
        <v/>
      </c>
      <c r="N9" s="37" t="str">
        <f>IF(AND('Mapa final'!$AB$28="Muy Alta",'Mapa final'!$AD$28="Leve"),CONCATENATE("R4C",'Mapa final'!$R$28),"")</f>
        <v/>
      </c>
      <c r="O9" s="38" t="str">
        <f>IF(AND('Mapa final'!$AB$29="Muy Alta",'Mapa final'!$AD$29="Leve"),CONCATENATE("R4C",'Mapa final'!$R$29),"")</f>
        <v/>
      </c>
      <c r="P9" s="36" t="str">
        <f>IF(AND('Mapa final'!$AB$24="Muy Alta",'Mapa final'!$AD$24="Menor"),CONCATENATE("R4C",'Mapa final'!$R$24),"")</f>
        <v/>
      </c>
      <c r="Q9" s="37" t="str">
        <f>IF(AND('Mapa final'!$AB$25="Muy Alta",'Mapa final'!$AD$25="Menor"),CONCATENATE("R4C",'Mapa final'!$R$25),"")</f>
        <v/>
      </c>
      <c r="R9" s="37" t="str">
        <f>IF(AND('Mapa final'!$AB$26="Muy Alta",'Mapa final'!$AD$26="Menor"),CONCATENATE("R4C",'Mapa final'!$R$26),"")</f>
        <v/>
      </c>
      <c r="S9" s="37" t="str">
        <f>IF(AND('Mapa final'!$AB$27="Muy Alta",'Mapa final'!$AD$27="Menor"),CONCATENATE("R4C",'Mapa final'!$R$27),"")</f>
        <v/>
      </c>
      <c r="T9" s="37" t="str">
        <f>IF(AND('Mapa final'!$AB$28="Muy Alta",'Mapa final'!$AD$28="Menor"),CONCATENATE("R4C",'Mapa final'!$R$28),"")</f>
        <v/>
      </c>
      <c r="U9" s="38" t="str">
        <f>IF(AND('Mapa final'!$AB$29="Muy Alta",'Mapa final'!$AD$29="Menor"),CONCATENATE("R4C",'Mapa final'!$R$29),"")</f>
        <v/>
      </c>
      <c r="V9" s="36" t="str">
        <f>IF(AND('Mapa final'!$AB$24="Muy Alta",'Mapa final'!$AD$24="Moderado"),CONCATENATE("R4C",'Mapa final'!$R$24),"")</f>
        <v/>
      </c>
      <c r="W9" s="37" t="str">
        <f>IF(AND('Mapa final'!$AB$25="Muy Alta",'Mapa final'!$AD$25="Moderado"),CONCATENATE("R4C",'Mapa final'!$R$25),"")</f>
        <v/>
      </c>
      <c r="X9" s="37" t="str">
        <f>IF(AND('Mapa final'!$AB$26="Muy Alta",'Mapa final'!$AD$26="Moderado"),CONCATENATE("R4C",'Mapa final'!$R$26),"")</f>
        <v/>
      </c>
      <c r="Y9" s="37" t="str">
        <f>IF(AND('Mapa final'!$AB$27="Muy Alta",'Mapa final'!$AD$27="Moderado"),CONCATENATE("R4C",'Mapa final'!$R$27),"")</f>
        <v/>
      </c>
      <c r="Z9" s="37" t="str">
        <f>IF(AND('Mapa final'!$AB$28="Muy Alta",'Mapa final'!$AD$28="Moderado"),CONCATENATE("R4C",'Mapa final'!$R$28),"")</f>
        <v/>
      </c>
      <c r="AA9" s="38" t="str">
        <f>IF(AND('Mapa final'!$AB$29="Muy Alta",'Mapa final'!$AD$29="Moderado"),CONCATENATE("R4C",'Mapa final'!$R$29),"")</f>
        <v/>
      </c>
      <c r="AB9" s="36" t="str">
        <f>IF(AND('Mapa final'!$AB$24="Muy Alta",'Mapa final'!$AD$24="Mayor"),CONCATENATE("R4C",'Mapa final'!$R$24),"")</f>
        <v/>
      </c>
      <c r="AC9" s="37" t="str">
        <f>IF(AND('Mapa final'!$AB$25="Muy Alta",'Mapa final'!$AD$25="Mayor"),CONCATENATE("R4C",'Mapa final'!$R$25),"")</f>
        <v/>
      </c>
      <c r="AD9" s="37" t="str">
        <f>IF(AND('Mapa final'!$AB$26="Muy Alta",'Mapa final'!$AD$26="Mayor"),CONCATENATE("R4C",'Mapa final'!$R$26),"")</f>
        <v/>
      </c>
      <c r="AE9" s="37" t="str">
        <f>IF(AND('Mapa final'!$AB$27="Muy Alta",'Mapa final'!$AD$27="Mayor"),CONCATENATE("R4C",'Mapa final'!$R$27),"")</f>
        <v/>
      </c>
      <c r="AF9" s="37" t="str">
        <f>IF(AND('Mapa final'!$AB$28="Muy Alta",'Mapa final'!$AD$28="Mayor"),CONCATENATE("R4C",'Mapa final'!$R$28),"")</f>
        <v/>
      </c>
      <c r="AG9" s="38" t="str">
        <f>IF(AND('Mapa final'!$AB$29="Muy Alta",'Mapa final'!$AD$29="Mayor"),CONCATENATE("R4C",'Mapa final'!$R$29),"")</f>
        <v/>
      </c>
      <c r="AH9" s="39" t="str">
        <f>IF(AND('Mapa final'!$AB$24="Muy Alta",'Mapa final'!$AD$24="Catastrófico"),CONCATENATE("R4C",'Mapa final'!$R$24),"")</f>
        <v/>
      </c>
      <c r="AI9" s="40" t="str">
        <f>IF(AND('Mapa final'!$AB$25="Muy Alta",'Mapa final'!$AD$25="Catastrófico"),CONCATENATE("R4C",'Mapa final'!$R$25),"")</f>
        <v/>
      </c>
      <c r="AJ9" s="40" t="str">
        <f>IF(AND('Mapa final'!$AB$26="Muy Alta",'Mapa final'!$AD$26="Catastrófico"),CONCATENATE("R4C",'Mapa final'!$R$26),"")</f>
        <v/>
      </c>
      <c r="AK9" s="40" t="str">
        <f>IF(AND('Mapa final'!$AB$27="Muy Alta",'Mapa final'!$AD$27="Catastrófico"),CONCATENATE("R4C",'Mapa final'!$R$27),"")</f>
        <v/>
      </c>
      <c r="AL9" s="40" t="str">
        <f>IF(AND('Mapa final'!$AB$28="Muy Alta",'Mapa final'!$AD$28="Catastrófico"),CONCATENATE("R4C",'Mapa final'!$R$28),"")</f>
        <v/>
      </c>
      <c r="AM9" s="41" t="str">
        <f>IF(AND('Mapa final'!$AB$29="Muy Alta",'Mapa final'!$AD$29="Catastrófico"),CONCATENATE("R4C",'Mapa final'!$R$29),"")</f>
        <v/>
      </c>
      <c r="AN9" s="67"/>
      <c r="AO9" s="611"/>
      <c r="AP9" s="612"/>
      <c r="AQ9" s="612"/>
      <c r="AR9" s="612"/>
      <c r="AS9" s="612"/>
      <c r="AT9" s="613"/>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row>
    <row r="10" spans="1:91" ht="15" customHeight="1" x14ac:dyDescent="0.3">
      <c r="A10" s="67"/>
      <c r="B10" s="550"/>
      <c r="C10" s="550"/>
      <c r="D10" s="551"/>
      <c r="E10" s="591"/>
      <c r="F10" s="592"/>
      <c r="G10" s="592"/>
      <c r="H10" s="592"/>
      <c r="I10" s="593"/>
      <c r="J10" s="36" t="str">
        <f>IF(AND('Mapa final'!$AB$30="Muy Alta",'Mapa final'!$AD$30="Leve"),CONCATENATE("R5C",'Mapa final'!$R$30),"")</f>
        <v/>
      </c>
      <c r="K10" s="37" t="str">
        <f>IF(AND('Mapa final'!$AB$31="Muy Alta",'Mapa final'!$AD$31="Leve"),CONCATENATE("R5C",'Mapa final'!$R$31),"")</f>
        <v/>
      </c>
      <c r="L10" s="37" t="str">
        <f>IF(AND('Mapa final'!$AB$32="Muy Alta",'Mapa final'!$AD$32="Leve"),CONCATENATE("R5C",'Mapa final'!$R$32),"")</f>
        <v/>
      </c>
      <c r="M10" s="37" t="str">
        <f>IF(AND('Mapa final'!$AB$33="Muy Alta",'Mapa final'!$AD$33="Leve"),CONCATENATE("R5C",'Mapa final'!$R$33),"")</f>
        <v/>
      </c>
      <c r="N10" s="37" t="str">
        <f>IF(AND('Mapa final'!$AB$34="Muy Alta",'Mapa final'!$AD$34="Leve"),CONCATENATE("R5C",'Mapa final'!$R$34),"")</f>
        <v/>
      </c>
      <c r="O10" s="38" t="str">
        <f>IF(AND('Mapa final'!$AB$35="Muy Alta",'Mapa final'!$AD$35="Leve"),CONCATENATE("R5C",'Mapa final'!$R$35),"")</f>
        <v/>
      </c>
      <c r="P10" s="36" t="str">
        <f>IF(AND('Mapa final'!$AB$30="Muy Alta",'Mapa final'!$AD$30="Menor"),CONCATENATE("R5C",'Mapa final'!$R$30),"")</f>
        <v/>
      </c>
      <c r="Q10" s="37" t="str">
        <f>IF(AND('Mapa final'!$AB$31="Muy Alta",'Mapa final'!$AD$31="Menor"),CONCATENATE("R5C",'Mapa final'!$R$31),"")</f>
        <v/>
      </c>
      <c r="R10" s="37" t="str">
        <f>IF(AND('Mapa final'!$AB$32="Muy Alta",'Mapa final'!$AD$32="Menor"),CONCATENATE("R5C",'Mapa final'!$R$32),"")</f>
        <v/>
      </c>
      <c r="S10" s="37" t="str">
        <f>IF(AND('Mapa final'!$AB$33="Muy Alta",'Mapa final'!$AD$33="Menor"),CONCATENATE("R5C",'Mapa final'!$R$33),"")</f>
        <v/>
      </c>
      <c r="T10" s="37" t="str">
        <f>IF(AND('Mapa final'!$AB$34="Muy Alta",'Mapa final'!$AD$34="Menor"),CONCATENATE("R5C",'Mapa final'!$R$34),"")</f>
        <v/>
      </c>
      <c r="U10" s="38" t="str">
        <f>IF(AND('Mapa final'!$AB$35="Muy Alta",'Mapa final'!$AD$35="Menor"),CONCATENATE("R5C",'Mapa final'!$R$35),"")</f>
        <v/>
      </c>
      <c r="V10" s="36" t="str">
        <f>IF(AND('Mapa final'!$AB$30="Muy Alta",'Mapa final'!$AD$30="Moderado"),CONCATENATE("R5C",'Mapa final'!$R$30),"")</f>
        <v/>
      </c>
      <c r="W10" s="37" t="str">
        <f>IF(AND('Mapa final'!$AB$31="Muy Alta",'Mapa final'!$AD$31="Moderado"),CONCATENATE("R5C",'Mapa final'!$R$31),"")</f>
        <v/>
      </c>
      <c r="X10" s="37" t="str">
        <f>IF(AND('Mapa final'!$AB$32="Muy Alta",'Mapa final'!$AD$32="Moderado"),CONCATENATE("R5C",'Mapa final'!$R$32),"")</f>
        <v/>
      </c>
      <c r="Y10" s="37" t="str">
        <f>IF(AND('Mapa final'!$AB$33="Muy Alta",'Mapa final'!$AD$33="Moderado"),CONCATENATE("R5C",'Mapa final'!$R$33),"")</f>
        <v/>
      </c>
      <c r="Z10" s="37" t="str">
        <f>IF(AND('Mapa final'!$AB$34="Muy Alta",'Mapa final'!$AD$34="Moderado"),CONCATENATE("R5C",'Mapa final'!$R$34),"")</f>
        <v/>
      </c>
      <c r="AA10" s="38" t="str">
        <f>IF(AND('Mapa final'!$AB$35="Muy Alta",'Mapa final'!$AD$35="Moderado"),CONCATENATE("R5C",'Mapa final'!$R$35),"")</f>
        <v/>
      </c>
      <c r="AB10" s="36" t="str">
        <f>IF(AND('Mapa final'!$AB$30="Muy Alta",'Mapa final'!$AD$30="Mayor"),CONCATENATE("R5C",'Mapa final'!$R$30),"")</f>
        <v/>
      </c>
      <c r="AC10" s="37" t="str">
        <f>IF(AND('Mapa final'!$AB$31="Muy Alta",'Mapa final'!$AD$31="Mayor"),CONCATENATE("R5C",'Mapa final'!$R$31),"")</f>
        <v/>
      </c>
      <c r="AD10" s="37" t="str">
        <f>IF(AND('Mapa final'!$AB$32="Muy Alta",'Mapa final'!$AD$32="Mayor"),CONCATENATE("R5C",'Mapa final'!$R$32),"")</f>
        <v/>
      </c>
      <c r="AE10" s="37" t="str">
        <f>IF(AND('Mapa final'!$AB$33="Muy Alta",'Mapa final'!$AD$33="Mayor"),CONCATENATE("R5C",'Mapa final'!$R$33),"")</f>
        <v/>
      </c>
      <c r="AF10" s="37" t="str">
        <f>IF(AND('Mapa final'!$AB$34="Muy Alta",'Mapa final'!$AD$34="Mayor"),CONCATENATE("R5C",'Mapa final'!$R$34),"")</f>
        <v/>
      </c>
      <c r="AG10" s="38" t="str">
        <f>IF(AND('Mapa final'!$AB$35="Muy Alta",'Mapa final'!$AD$35="Mayor"),CONCATENATE("R5C",'Mapa final'!$R$35),"")</f>
        <v/>
      </c>
      <c r="AH10" s="39" t="str">
        <f>IF(AND('Mapa final'!$AB$30="Muy Alta",'Mapa final'!$AD$30="Catastrófico"),CONCATENATE("R5C",'Mapa final'!$R$30),"")</f>
        <v/>
      </c>
      <c r="AI10" s="40" t="str">
        <f>IF(AND('Mapa final'!$AB$31="Muy Alta",'Mapa final'!$AD$31="Catastrófico"),CONCATENATE("R5C",'Mapa final'!$R$31),"")</f>
        <v/>
      </c>
      <c r="AJ10" s="40" t="str">
        <f>IF(AND('Mapa final'!$AB$32="Muy Alta",'Mapa final'!$AD$32="Catastrófico"),CONCATENATE("R5C",'Mapa final'!$R$32),"")</f>
        <v/>
      </c>
      <c r="AK10" s="40" t="str">
        <f>IF(AND('Mapa final'!$AB$33="Muy Alta",'Mapa final'!$AD$33="Catastrófico"),CONCATENATE("R5C",'Mapa final'!$R$33),"")</f>
        <v/>
      </c>
      <c r="AL10" s="40" t="str">
        <f>IF(AND('Mapa final'!$AB$34="Muy Alta",'Mapa final'!$AD$34="Catastrófico"),CONCATENATE("R5C",'Mapa final'!$R$34),"")</f>
        <v/>
      </c>
      <c r="AM10" s="41" t="str">
        <f>IF(AND('Mapa final'!$AB$35="Muy Alta",'Mapa final'!$AD$35="Catastrófico"),CONCATENATE("R5C",'Mapa final'!$R$35),"")</f>
        <v/>
      </c>
      <c r="AN10" s="67"/>
      <c r="AO10" s="611"/>
      <c r="AP10" s="612"/>
      <c r="AQ10" s="612"/>
      <c r="AR10" s="612"/>
      <c r="AS10" s="612"/>
      <c r="AT10" s="613"/>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row>
    <row r="11" spans="1:91" ht="15" customHeight="1" x14ac:dyDescent="0.3">
      <c r="A11" s="67"/>
      <c r="B11" s="550"/>
      <c r="C11" s="550"/>
      <c r="D11" s="551"/>
      <c r="E11" s="591"/>
      <c r="F11" s="592"/>
      <c r="G11" s="592"/>
      <c r="H11" s="592"/>
      <c r="I11" s="593"/>
      <c r="J11" s="36" t="str">
        <f>IF(AND('Mapa final'!$AB$36="Muy Alta",'Mapa final'!$AD$36="Leve"),CONCATENATE("R6C",'Mapa final'!$R$36),"")</f>
        <v/>
      </c>
      <c r="K11" s="37" t="str">
        <f>IF(AND('Mapa final'!$AB$37="Muy Alta",'Mapa final'!$AD$37="Leve"),CONCATENATE("R6C",'Mapa final'!$R$37),"")</f>
        <v/>
      </c>
      <c r="L11" s="37" t="str">
        <f>IF(AND('Mapa final'!$AB$38="Muy Alta",'Mapa final'!$AD$38="Leve"),CONCATENATE("R6C",'Mapa final'!$R$38),"")</f>
        <v/>
      </c>
      <c r="M11" s="37" t="str">
        <f>IF(AND('Mapa final'!$AB$39="Muy Alta",'Mapa final'!$AD$39="Leve"),CONCATENATE("R6C",'Mapa final'!$R$39),"")</f>
        <v/>
      </c>
      <c r="N11" s="37" t="str">
        <f>IF(AND('Mapa final'!$AB$40="Muy Alta",'Mapa final'!$AD$40="Leve"),CONCATENATE("R6C",'Mapa final'!$R$40),"")</f>
        <v/>
      </c>
      <c r="O11" s="38" t="str">
        <f>IF(AND('Mapa final'!$AB$41="Muy Alta",'Mapa final'!$AD$41="Leve"),CONCATENATE("R6C",'Mapa final'!$R$41),"")</f>
        <v/>
      </c>
      <c r="P11" s="36" t="str">
        <f>IF(AND('Mapa final'!$AB$36="Muy Alta",'Mapa final'!$AD$36="Menor"),CONCATENATE("R6C",'Mapa final'!$R$36),"")</f>
        <v/>
      </c>
      <c r="Q11" s="37" t="str">
        <f>IF(AND('Mapa final'!$AB$37="Muy Alta",'Mapa final'!$AD$37="Menor"),CONCATENATE("R6C",'Mapa final'!$R$37),"")</f>
        <v/>
      </c>
      <c r="R11" s="37" t="str">
        <f>IF(AND('Mapa final'!$AB$38="Muy Alta",'Mapa final'!$AD$38="Menor"),CONCATENATE("R6C",'Mapa final'!$R$38),"")</f>
        <v/>
      </c>
      <c r="S11" s="37" t="str">
        <f>IF(AND('Mapa final'!$AB$39="Muy Alta",'Mapa final'!$AD$39="Menor"),CONCATENATE("R6C",'Mapa final'!$R$39),"")</f>
        <v/>
      </c>
      <c r="T11" s="37" t="str">
        <f>IF(AND('Mapa final'!$AB$40="Muy Alta",'Mapa final'!$AD$40="Menor"),CONCATENATE("R6C",'Mapa final'!$R$40),"")</f>
        <v/>
      </c>
      <c r="U11" s="38" t="str">
        <f>IF(AND('Mapa final'!$AB$41="Muy Alta",'Mapa final'!$AD$41="Menor"),CONCATENATE("R6C",'Mapa final'!$R$41),"")</f>
        <v/>
      </c>
      <c r="V11" s="36" t="str">
        <f>IF(AND('Mapa final'!$AB$36="Muy Alta",'Mapa final'!$AD$36="Moderado"),CONCATENATE("R6C",'Mapa final'!$R$36),"")</f>
        <v/>
      </c>
      <c r="W11" s="37" t="str">
        <f>IF(AND('Mapa final'!$AB$37="Muy Alta",'Mapa final'!$AD$37="Moderado"),CONCATENATE("R6C",'Mapa final'!$R$37),"")</f>
        <v/>
      </c>
      <c r="X11" s="37" t="str">
        <f>IF(AND('Mapa final'!$AB$38="Muy Alta",'Mapa final'!$AD$38="Moderado"),CONCATENATE("R6C",'Mapa final'!$R$38),"")</f>
        <v/>
      </c>
      <c r="Y11" s="37" t="str">
        <f>IF(AND('Mapa final'!$AB$39="Muy Alta",'Mapa final'!$AD$39="Moderado"),CONCATENATE("R6C",'Mapa final'!$R$39),"")</f>
        <v/>
      </c>
      <c r="Z11" s="37" t="str">
        <f>IF(AND('Mapa final'!$AB$40="Muy Alta",'Mapa final'!$AD$40="Moderado"),CONCATENATE("R6C",'Mapa final'!$R$40),"")</f>
        <v/>
      </c>
      <c r="AA11" s="38" t="str">
        <f>IF(AND('Mapa final'!$AB$41="Muy Alta",'Mapa final'!$AD$41="Moderado"),CONCATENATE("R6C",'Mapa final'!$R$41),"")</f>
        <v/>
      </c>
      <c r="AB11" s="36" t="str">
        <f>IF(AND('Mapa final'!$AB$36="Muy Alta",'Mapa final'!$AD$36="Mayor"),CONCATENATE("R6C",'Mapa final'!$R$36),"")</f>
        <v/>
      </c>
      <c r="AC11" s="37" t="str">
        <f>IF(AND('Mapa final'!$AB$37="Muy Alta",'Mapa final'!$AD$37="Mayor"),CONCATENATE("R6C",'Mapa final'!$R$37),"")</f>
        <v/>
      </c>
      <c r="AD11" s="37" t="str">
        <f>IF(AND('Mapa final'!$AB$38="Muy Alta",'Mapa final'!$AD$38="Mayor"),CONCATENATE("R6C",'Mapa final'!$R$38),"")</f>
        <v/>
      </c>
      <c r="AE11" s="37" t="str">
        <f>IF(AND('Mapa final'!$AB$39="Muy Alta",'Mapa final'!$AD$39="Mayor"),CONCATENATE("R6C",'Mapa final'!$R$39),"")</f>
        <v/>
      </c>
      <c r="AF11" s="37" t="str">
        <f>IF(AND('Mapa final'!$AB$40="Muy Alta",'Mapa final'!$AD$40="Mayor"),CONCATENATE("R6C",'Mapa final'!$R$40),"")</f>
        <v/>
      </c>
      <c r="AG11" s="38" t="str">
        <f>IF(AND('Mapa final'!$AB$41="Muy Alta",'Mapa final'!$AD$41="Mayor"),CONCATENATE("R6C",'Mapa final'!$R$41),"")</f>
        <v/>
      </c>
      <c r="AH11" s="39" t="str">
        <f>IF(AND('Mapa final'!$AB$36="Muy Alta",'Mapa final'!$AD$36="Catastrófico"),CONCATENATE("R6C",'Mapa final'!$R$36),"")</f>
        <v/>
      </c>
      <c r="AI11" s="40" t="str">
        <f>IF(AND('Mapa final'!$AB$37="Muy Alta",'Mapa final'!$AD$37="Catastrófico"),CONCATENATE("R6C",'Mapa final'!$R$37),"")</f>
        <v/>
      </c>
      <c r="AJ11" s="40" t="str">
        <f>IF(AND('Mapa final'!$AB$38="Muy Alta",'Mapa final'!$AD$38="Catastrófico"),CONCATENATE("R6C",'Mapa final'!$R$38),"")</f>
        <v/>
      </c>
      <c r="AK11" s="40" t="str">
        <f>IF(AND('Mapa final'!$AB$39="Muy Alta",'Mapa final'!$AD$39="Catastrófico"),CONCATENATE("R6C",'Mapa final'!$R$39),"")</f>
        <v/>
      </c>
      <c r="AL11" s="40" t="str">
        <f>IF(AND('Mapa final'!$AB$40="Muy Alta",'Mapa final'!$AD$40="Catastrófico"),CONCATENATE("R6C",'Mapa final'!$R$40),"")</f>
        <v/>
      </c>
      <c r="AM11" s="41" t="str">
        <f>IF(AND('Mapa final'!$AB$41="Muy Alta",'Mapa final'!$AD$41="Catastrófico"),CONCATENATE("R6C",'Mapa final'!$R$41),"")</f>
        <v/>
      </c>
      <c r="AN11" s="67"/>
      <c r="AO11" s="611"/>
      <c r="AP11" s="612"/>
      <c r="AQ11" s="612"/>
      <c r="AR11" s="612"/>
      <c r="AS11" s="612"/>
      <c r="AT11" s="613"/>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row>
    <row r="12" spans="1:91" ht="15" customHeight="1" x14ac:dyDescent="0.3">
      <c r="A12" s="67"/>
      <c r="B12" s="550"/>
      <c r="C12" s="550"/>
      <c r="D12" s="551"/>
      <c r="E12" s="591"/>
      <c r="F12" s="592"/>
      <c r="G12" s="592"/>
      <c r="H12" s="592"/>
      <c r="I12" s="593"/>
      <c r="J12" s="36" t="str">
        <f>IF(AND('Mapa final'!$AB$42="Muy Alta",'Mapa final'!$AD$42="Leve"),CONCATENATE("R7C",'Mapa final'!$R$42),"")</f>
        <v/>
      </c>
      <c r="K12" s="37" t="str">
        <f>IF(AND('Mapa final'!$AB$43="Muy Alta",'Mapa final'!$AD$43="Leve"),CONCATENATE("R7C",'Mapa final'!$R$43),"")</f>
        <v/>
      </c>
      <c r="L12" s="37" t="str">
        <f>IF(AND('Mapa final'!$AB$44="Muy Alta",'Mapa final'!$AD$44="Leve"),CONCATENATE("R7C",'Mapa final'!$R$44),"")</f>
        <v/>
      </c>
      <c r="M12" s="37" t="str">
        <f>IF(AND('Mapa final'!$AB$45="Muy Alta",'Mapa final'!$AD$45="Leve"),CONCATENATE("R7C",'Mapa final'!$R$45),"")</f>
        <v/>
      </c>
      <c r="N12" s="37" t="str">
        <f>IF(AND('Mapa final'!$AB$46="Muy Alta",'Mapa final'!$AD$46="Leve"),CONCATENATE("R7C",'Mapa final'!$R$46),"")</f>
        <v/>
      </c>
      <c r="O12" s="38" t="str">
        <f>IF(AND('Mapa final'!$AB$47="Muy Alta",'Mapa final'!$AD$47="Leve"),CONCATENATE("R7C",'Mapa final'!$R$47),"")</f>
        <v/>
      </c>
      <c r="P12" s="36" t="str">
        <f>IF(AND('Mapa final'!$AB$42="Muy Alta",'Mapa final'!$AD$42="Menor"),CONCATENATE("R7C",'Mapa final'!$R$42),"")</f>
        <v/>
      </c>
      <c r="Q12" s="37" t="str">
        <f>IF(AND('Mapa final'!$AB$43="Muy Alta",'Mapa final'!$AD$43="Menor"),CONCATENATE("R7C",'Mapa final'!$R$43),"")</f>
        <v/>
      </c>
      <c r="R12" s="37" t="str">
        <f>IF(AND('Mapa final'!$AB$44="Muy Alta",'Mapa final'!$AD$44="Menor"),CONCATENATE("R7C",'Mapa final'!$R$44),"")</f>
        <v/>
      </c>
      <c r="S12" s="37" t="str">
        <f>IF(AND('Mapa final'!$AB$45="Muy Alta",'Mapa final'!$AD$45="Menor"),CONCATENATE("R7C",'Mapa final'!$R$45),"")</f>
        <v/>
      </c>
      <c r="T12" s="37" t="str">
        <f>IF(AND('Mapa final'!$AB$46="Muy Alta",'Mapa final'!$AD$46="Menor"),CONCATENATE("R7C",'Mapa final'!$R$46),"")</f>
        <v/>
      </c>
      <c r="U12" s="38" t="str">
        <f>IF(AND('Mapa final'!$AB$47="Muy Alta",'Mapa final'!$AD$47="Menor"),CONCATENATE("R7C",'Mapa final'!$R$47),"")</f>
        <v/>
      </c>
      <c r="V12" s="36" t="str">
        <f>IF(AND('Mapa final'!$AB$42="Muy Alta",'Mapa final'!$AD$42="Moderado"),CONCATENATE("R7C",'Mapa final'!$R$42),"")</f>
        <v/>
      </c>
      <c r="W12" s="37" t="str">
        <f>IF(AND('Mapa final'!$AB$43="Muy Alta",'Mapa final'!$AD$43="Moderado"),CONCATENATE("R7C",'Mapa final'!$R$43),"")</f>
        <v/>
      </c>
      <c r="X12" s="37" t="str">
        <f>IF(AND('Mapa final'!$AB$44="Muy Alta",'Mapa final'!$AD$44="Moderado"),CONCATENATE("R7C",'Mapa final'!$R$44),"")</f>
        <v/>
      </c>
      <c r="Y12" s="37" t="str">
        <f>IF(AND('Mapa final'!$AB$45="Muy Alta",'Mapa final'!$AD$45="Moderado"),CONCATENATE("R7C",'Mapa final'!$R$45),"")</f>
        <v/>
      </c>
      <c r="Z12" s="37" t="str">
        <f>IF(AND('Mapa final'!$AB$46="Muy Alta",'Mapa final'!$AD$46="Moderado"),CONCATENATE("R7C",'Mapa final'!$R$46),"")</f>
        <v/>
      </c>
      <c r="AA12" s="38" t="str">
        <f>IF(AND('Mapa final'!$AB$47="Muy Alta",'Mapa final'!$AD$47="Moderado"),CONCATENATE("R7C",'Mapa final'!$R$47),"")</f>
        <v/>
      </c>
      <c r="AB12" s="36" t="str">
        <f>IF(AND('Mapa final'!$AB$42="Muy Alta",'Mapa final'!$AD$42="Mayor"),CONCATENATE("R7C",'Mapa final'!$R$42),"")</f>
        <v/>
      </c>
      <c r="AC12" s="37" t="str">
        <f>IF(AND('Mapa final'!$AB$43="Muy Alta",'Mapa final'!$AD$43="Mayor"),CONCATENATE("R7C",'Mapa final'!$R$43),"")</f>
        <v/>
      </c>
      <c r="AD12" s="37" t="str">
        <f>IF(AND('Mapa final'!$AB$44="Muy Alta",'Mapa final'!$AD$44="Mayor"),CONCATENATE("R7C",'Mapa final'!$R$44),"")</f>
        <v/>
      </c>
      <c r="AE12" s="37" t="str">
        <f>IF(AND('Mapa final'!$AB$45="Muy Alta",'Mapa final'!$AD$45="Mayor"),CONCATENATE("R7C",'Mapa final'!$R$45),"")</f>
        <v/>
      </c>
      <c r="AF12" s="37" t="str">
        <f>IF(AND('Mapa final'!$AB$46="Muy Alta",'Mapa final'!$AD$46="Mayor"),CONCATENATE("R7C",'Mapa final'!$R$46),"")</f>
        <v/>
      </c>
      <c r="AG12" s="38" t="str">
        <f>IF(AND('Mapa final'!$AB$47="Muy Alta",'Mapa final'!$AD$47="Mayor"),CONCATENATE("R7C",'Mapa final'!$R$47),"")</f>
        <v/>
      </c>
      <c r="AH12" s="39" t="str">
        <f>IF(AND('Mapa final'!$AB$42="Muy Alta",'Mapa final'!$AD$42="Catastrófico"),CONCATENATE("R7C",'Mapa final'!$R$42),"")</f>
        <v/>
      </c>
      <c r="AI12" s="40" t="str">
        <f>IF(AND('Mapa final'!$AB$43="Muy Alta",'Mapa final'!$AD$43="Catastrófico"),CONCATENATE("R7C",'Mapa final'!$R$43),"")</f>
        <v/>
      </c>
      <c r="AJ12" s="40" t="str">
        <f>IF(AND('Mapa final'!$AB$44="Muy Alta",'Mapa final'!$AD$44="Catastrófico"),CONCATENATE("R7C",'Mapa final'!$R$44),"")</f>
        <v/>
      </c>
      <c r="AK12" s="40" t="str">
        <f>IF(AND('Mapa final'!$AB$45="Muy Alta",'Mapa final'!$AD$45="Catastrófico"),CONCATENATE("R7C",'Mapa final'!$R$45),"")</f>
        <v/>
      </c>
      <c r="AL12" s="40" t="str">
        <f>IF(AND('Mapa final'!$AB$46="Muy Alta",'Mapa final'!$AD$46="Catastrófico"),CONCATENATE("R7C",'Mapa final'!$R$46),"")</f>
        <v/>
      </c>
      <c r="AM12" s="41" t="str">
        <f>IF(AND('Mapa final'!$AB$47="Muy Alta",'Mapa final'!$AD$47="Catastrófico"),CONCATENATE("R7C",'Mapa final'!$R$47),"")</f>
        <v/>
      </c>
      <c r="AN12" s="67"/>
      <c r="AO12" s="611"/>
      <c r="AP12" s="612"/>
      <c r="AQ12" s="612"/>
      <c r="AR12" s="612"/>
      <c r="AS12" s="612"/>
      <c r="AT12" s="613"/>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row>
    <row r="13" spans="1:91" ht="15" customHeight="1" x14ac:dyDescent="0.3">
      <c r="A13" s="67"/>
      <c r="B13" s="550"/>
      <c r="C13" s="550"/>
      <c r="D13" s="551"/>
      <c r="E13" s="591"/>
      <c r="F13" s="592"/>
      <c r="G13" s="592"/>
      <c r="H13" s="592"/>
      <c r="I13" s="593"/>
      <c r="J13" s="36" t="str">
        <f>IF(AND('Mapa final'!$AB$48="Muy Alta",'Mapa final'!$AD$48="Leve"),CONCATENATE("R8C",'Mapa final'!$R$48),"")</f>
        <v/>
      </c>
      <c r="K13" s="37" t="str">
        <f>IF(AND('Mapa final'!$AB$49="Muy Alta",'Mapa final'!$AD$49="Leve"),CONCATENATE("R8C",'Mapa final'!$R$49),"")</f>
        <v/>
      </c>
      <c r="L13" s="37" t="str">
        <f>IF(AND('Mapa final'!$AB$50="Muy Alta",'Mapa final'!$AD$50="Leve"),CONCATENATE("R8C",'Mapa final'!$R$50),"")</f>
        <v/>
      </c>
      <c r="M13" s="37" t="str">
        <f>IF(AND('Mapa final'!$AB$51="Muy Alta",'Mapa final'!$AD$51="Leve"),CONCATENATE("R8C",'Mapa final'!$R$51),"")</f>
        <v/>
      </c>
      <c r="N13" s="37" t="str">
        <f>IF(AND('Mapa final'!$AB$52="Muy Alta",'Mapa final'!$AD$52="Leve"),CONCATENATE("R8C",'Mapa final'!$R$52),"")</f>
        <v/>
      </c>
      <c r="O13" s="38" t="str">
        <f>IF(AND('Mapa final'!$AB$53="Muy Alta",'Mapa final'!$AD$53="Leve"),CONCATENATE("R8C",'Mapa final'!$R$53),"")</f>
        <v/>
      </c>
      <c r="P13" s="36" t="str">
        <f>IF(AND('Mapa final'!$AB$48="Muy Alta",'Mapa final'!$AD$48="Menor"),CONCATENATE("R8C",'Mapa final'!$R$48),"")</f>
        <v/>
      </c>
      <c r="Q13" s="37" t="str">
        <f>IF(AND('Mapa final'!$AB$49="Muy Alta",'Mapa final'!$AD$49="Menor"),CONCATENATE("R8C",'Mapa final'!$R$49),"")</f>
        <v/>
      </c>
      <c r="R13" s="37" t="str">
        <f>IF(AND('Mapa final'!$AB$50="Muy Alta",'Mapa final'!$AD$50="Menor"),CONCATENATE("R8C",'Mapa final'!$R$50),"")</f>
        <v/>
      </c>
      <c r="S13" s="37" t="str">
        <f>IF(AND('Mapa final'!$AB$51="Muy Alta",'Mapa final'!$AD$51="Menor"),CONCATENATE("R8C",'Mapa final'!$R$51),"")</f>
        <v/>
      </c>
      <c r="T13" s="37" t="str">
        <f>IF(AND('Mapa final'!$AB$52="Muy Alta",'Mapa final'!$AD$52="Menor"),CONCATENATE("R8C",'Mapa final'!$R$52),"")</f>
        <v/>
      </c>
      <c r="U13" s="38" t="str">
        <f>IF(AND('Mapa final'!$AB$53="Muy Alta",'Mapa final'!$AD$53="Menor"),CONCATENATE("R8C",'Mapa final'!$R$53),"")</f>
        <v/>
      </c>
      <c r="V13" s="36" t="str">
        <f>IF(AND('Mapa final'!$AB$48="Muy Alta",'Mapa final'!$AD$48="Moderado"),CONCATENATE("R8C",'Mapa final'!$R$48),"")</f>
        <v/>
      </c>
      <c r="W13" s="37" t="str">
        <f>IF(AND('Mapa final'!$AB$49="Muy Alta",'Mapa final'!$AD$49="Moderado"),CONCATENATE("R8C",'Mapa final'!$R$49),"")</f>
        <v/>
      </c>
      <c r="X13" s="37" t="str">
        <f>IF(AND('Mapa final'!$AB$50="Muy Alta",'Mapa final'!$AD$50="Moderado"),CONCATENATE("R8C",'Mapa final'!$R$50),"")</f>
        <v/>
      </c>
      <c r="Y13" s="37" t="str">
        <f>IF(AND('Mapa final'!$AB$51="Muy Alta",'Mapa final'!$AD$51="Moderado"),CONCATENATE("R8C",'Mapa final'!$R$51),"")</f>
        <v/>
      </c>
      <c r="Z13" s="37" t="str">
        <f>IF(AND('Mapa final'!$AB$52="Muy Alta",'Mapa final'!$AD$52="Moderado"),CONCATENATE("R8C",'Mapa final'!$R$52),"")</f>
        <v/>
      </c>
      <c r="AA13" s="38" t="str">
        <f>IF(AND('Mapa final'!$AB$53="Muy Alta",'Mapa final'!$AD$53="Moderado"),CONCATENATE("R8C",'Mapa final'!$R$53),"")</f>
        <v/>
      </c>
      <c r="AB13" s="36" t="str">
        <f>IF(AND('Mapa final'!$AB$48="Muy Alta",'Mapa final'!$AD$48="Mayor"),CONCATENATE("R8C",'Mapa final'!$R$48),"")</f>
        <v/>
      </c>
      <c r="AC13" s="37" t="str">
        <f>IF(AND('Mapa final'!$AB$49="Muy Alta",'Mapa final'!$AD$49="Mayor"),CONCATENATE("R8C",'Mapa final'!$R$49),"")</f>
        <v/>
      </c>
      <c r="AD13" s="37" t="str">
        <f>IF(AND('Mapa final'!$AB$50="Muy Alta",'Mapa final'!$AD$50="Mayor"),CONCATENATE("R8C",'Mapa final'!$R$50),"")</f>
        <v/>
      </c>
      <c r="AE13" s="37" t="str">
        <f>IF(AND('Mapa final'!$AB$51="Muy Alta",'Mapa final'!$AD$51="Mayor"),CONCATENATE("R8C",'Mapa final'!$R$51),"")</f>
        <v/>
      </c>
      <c r="AF13" s="37" t="str">
        <f>IF(AND('Mapa final'!$AB$52="Muy Alta",'Mapa final'!$AD$52="Mayor"),CONCATENATE("R8C",'Mapa final'!$R$52),"")</f>
        <v/>
      </c>
      <c r="AG13" s="38" t="str">
        <f>IF(AND('Mapa final'!$AB$53="Muy Alta",'Mapa final'!$AD$53="Mayor"),CONCATENATE("R8C",'Mapa final'!$R$53),"")</f>
        <v/>
      </c>
      <c r="AH13" s="39" t="str">
        <f>IF(AND('Mapa final'!$AB$48="Muy Alta",'Mapa final'!$AD$48="Catastrófico"),CONCATENATE("R8C",'Mapa final'!$R$48),"")</f>
        <v/>
      </c>
      <c r="AI13" s="40" t="str">
        <f>IF(AND('Mapa final'!$AB$49="Muy Alta",'Mapa final'!$AD$49="Catastrófico"),CONCATENATE("R8C",'Mapa final'!$R$49),"")</f>
        <v/>
      </c>
      <c r="AJ13" s="40" t="str">
        <f>IF(AND('Mapa final'!$AB$50="Muy Alta",'Mapa final'!$AD$50="Catastrófico"),CONCATENATE("R8C",'Mapa final'!$R$50),"")</f>
        <v/>
      </c>
      <c r="AK13" s="40" t="str">
        <f>IF(AND('Mapa final'!$AB$51="Muy Alta",'Mapa final'!$AD$51="Catastrófico"),CONCATENATE("R8C",'Mapa final'!$R$51),"")</f>
        <v/>
      </c>
      <c r="AL13" s="40" t="str">
        <f>IF(AND('Mapa final'!$AB$52="Muy Alta",'Mapa final'!$AD$52="Catastrófico"),CONCATENATE("R8C",'Mapa final'!$R$52),"")</f>
        <v/>
      </c>
      <c r="AM13" s="41" t="str">
        <f>IF(AND('Mapa final'!$AB$53="Muy Alta",'Mapa final'!$AD$53="Catastrófico"),CONCATENATE("R8C",'Mapa final'!$R$53),"")</f>
        <v/>
      </c>
      <c r="AN13" s="67"/>
      <c r="AO13" s="611"/>
      <c r="AP13" s="612"/>
      <c r="AQ13" s="612"/>
      <c r="AR13" s="612"/>
      <c r="AS13" s="612"/>
      <c r="AT13" s="613"/>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row>
    <row r="14" spans="1:91" ht="15" customHeight="1" x14ac:dyDescent="0.3">
      <c r="A14" s="67"/>
      <c r="B14" s="550"/>
      <c r="C14" s="550"/>
      <c r="D14" s="551"/>
      <c r="E14" s="591"/>
      <c r="F14" s="592"/>
      <c r="G14" s="592"/>
      <c r="H14" s="592"/>
      <c r="I14" s="593"/>
      <c r="J14" s="36" t="str">
        <f>IF(AND('Mapa final'!$AB$54="Muy Alta",'Mapa final'!$AD$54="Leve"),CONCATENATE("R9C",'Mapa final'!$R$54),"")</f>
        <v/>
      </c>
      <c r="K14" s="37" t="str">
        <f>IF(AND('Mapa final'!$AB$55="Muy Alta",'Mapa final'!$AD$55="Leve"),CONCATENATE("R9C",'Mapa final'!$R$55),"")</f>
        <v/>
      </c>
      <c r="L14" s="37" t="str">
        <f>IF(AND('Mapa final'!$AB$56="Muy Alta",'Mapa final'!$AD$56="Leve"),CONCATENATE("R9C",'Mapa final'!$R$56),"")</f>
        <v/>
      </c>
      <c r="M14" s="37" t="str">
        <f>IF(AND('Mapa final'!$AB$57="Muy Alta",'Mapa final'!$AD$57="Leve"),CONCATENATE("R9C",'Mapa final'!$R$57),"")</f>
        <v/>
      </c>
      <c r="N14" s="37" t="str">
        <f>IF(AND('Mapa final'!$AB$58="Muy Alta",'Mapa final'!$AD$58="Leve"),CONCATENATE("R9C",'Mapa final'!$R$58),"")</f>
        <v/>
      </c>
      <c r="O14" s="38" t="str">
        <f>IF(AND('Mapa final'!$AB$59="Muy Alta",'Mapa final'!$AD$59="Leve"),CONCATENATE("R9C",'Mapa final'!$R$59),"")</f>
        <v/>
      </c>
      <c r="P14" s="36" t="str">
        <f>IF(AND('Mapa final'!$AB$54="Muy Alta",'Mapa final'!$AD$54="Menor"),CONCATENATE("R9C",'Mapa final'!$R$54),"")</f>
        <v/>
      </c>
      <c r="Q14" s="37" t="str">
        <f>IF(AND('Mapa final'!$AB$55="Muy Alta",'Mapa final'!$AD$55="Menor"),CONCATENATE("R9C",'Mapa final'!$R$55),"")</f>
        <v/>
      </c>
      <c r="R14" s="37" t="str">
        <f>IF(AND('Mapa final'!$AB$56="Muy Alta",'Mapa final'!$AD$56="Menor"),CONCATENATE("R9C",'Mapa final'!$R$56),"")</f>
        <v/>
      </c>
      <c r="S14" s="37" t="str">
        <f>IF(AND('Mapa final'!$AB$57="Muy Alta",'Mapa final'!$AD$57="Menor"),CONCATENATE("R9C",'Mapa final'!$R$57),"")</f>
        <v/>
      </c>
      <c r="T14" s="37" t="str">
        <f>IF(AND('Mapa final'!$AB$58="Muy Alta",'Mapa final'!$AD$58="Menor"),CONCATENATE("R9C",'Mapa final'!$R$58),"")</f>
        <v/>
      </c>
      <c r="U14" s="38" t="str">
        <f>IF(AND('Mapa final'!$AB$59="Muy Alta",'Mapa final'!$AD$59="Menor"),CONCATENATE("R9C",'Mapa final'!$R$59),"")</f>
        <v/>
      </c>
      <c r="V14" s="36" t="str">
        <f>IF(AND('Mapa final'!$AB$54="Muy Alta",'Mapa final'!$AD$54="Moderado"),CONCATENATE("R9C",'Mapa final'!$R$54),"")</f>
        <v/>
      </c>
      <c r="W14" s="37" t="str">
        <f>IF(AND('Mapa final'!$AB$55="Muy Alta",'Mapa final'!$AD$55="Moderado"),CONCATENATE("R9C",'Mapa final'!$R$55),"")</f>
        <v/>
      </c>
      <c r="X14" s="37" t="str">
        <f>IF(AND('Mapa final'!$AB$56="Muy Alta",'Mapa final'!$AD$56="Moderado"),CONCATENATE("R9C",'Mapa final'!$R$56),"")</f>
        <v/>
      </c>
      <c r="Y14" s="37" t="str">
        <f>IF(AND('Mapa final'!$AB$57="Muy Alta",'Mapa final'!$AD$57="Moderado"),CONCATENATE("R9C",'Mapa final'!$R$57),"")</f>
        <v/>
      </c>
      <c r="Z14" s="37" t="str">
        <f>IF(AND('Mapa final'!$AB$58="Muy Alta",'Mapa final'!$AD$58="Moderado"),CONCATENATE("R9C",'Mapa final'!$R$58),"")</f>
        <v/>
      </c>
      <c r="AA14" s="38" t="str">
        <f>IF(AND('Mapa final'!$AB$59="Muy Alta",'Mapa final'!$AD$59="Moderado"),CONCATENATE("R9C",'Mapa final'!$R$59),"")</f>
        <v/>
      </c>
      <c r="AB14" s="36" t="str">
        <f>IF(AND('Mapa final'!$AB$54="Muy Alta",'Mapa final'!$AD$54="Mayor"),CONCATENATE("R9C",'Mapa final'!$R$54),"")</f>
        <v/>
      </c>
      <c r="AC14" s="37" t="str">
        <f>IF(AND('Mapa final'!$AB$55="Muy Alta",'Mapa final'!$AD$55="Mayor"),CONCATENATE("R9C",'Mapa final'!$R$55),"")</f>
        <v/>
      </c>
      <c r="AD14" s="37" t="str">
        <f>IF(AND('Mapa final'!$AB$56="Muy Alta",'Mapa final'!$AD$56="Mayor"),CONCATENATE("R9C",'Mapa final'!$R$56),"")</f>
        <v/>
      </c>
      <c r="AE14" s="37" t="str">
        <f>IF(AND('Mapa final'!$AB$57="Muy Alta",'Mapa final'!$AD$57="Mayor"),CONCATENATE("R9C",'Mapa final'!$R$57),"")</f>
        <v/>
      </c>
      <c r="AF14" s="37" t="str">
        <f>IF(AND('Mapa final'!$AB$58="Muy Alta",'Mapa final'!$AD$58="Mayor"),CONCATENATE("R9C",'Mapa final'!$R$58),"")</f>
        <v/>
      </c>
      <c r="AG14" s="38" t="str">
        <f>IF(AND('Mapa final'!$AB$59="Muy Alta",'Mapa final'!$AD$59="Mayor"),CONCATENATE("R9C",'Mapa final'!$R$59),"")</f>
        <v/>
      </c>
      <c r="AH14" s="39" t="str">
        <f>IF(AND('Mapa final'!$AB$54="Muy Alta",'Mapa final'!$AD$54="Catastrófico"),CONCATENATE("R9C",'Mapa final'!$R$54),"")</f>
        <v/>
      </c>
      <c r="AI14" s="40" t="str">
        <f>IF(AND('Mapa final'!$AB$55="Muy Alta",'Mapa final'!$AD$55="Catastrófico"),CONCATENATE("R9C",'Mapa final'!$R$55),"")</f>
        <v/>
      </c>
      <c r="AJ14" s="40" t="str">
        <f>IF(AND('Mapa final'!$AB$56="Muy Alta",'Mapa final'!$AD$56="Catastrófico"),CONCATENATE("R9C",'Mapa final'!$R$56),"")</f>
        <v/>
      </c>
      <c r="AK14" s="40" t="str">
        <f>IF(AND('Mapa final'!$AB$57="Muy Alta",'Mapa final'!$AD$57="Catastrófico"),CONCATENATE("R9C",'Mapa final'!$R$57),"")</f>
        <v/>
      </c>
      <c r="AL14" s="40" t="str">
        <f>IF(AND('Mapa final'!$AB$58="Muy Alta",'Mapa final'!$AD$58="Catastrófico"),CONCATENATE("R9C",'Mapa final'!$R$58),"")</f>
        <v/>
      </c>
      <c r="AM14" s="41" t="str">
        <f>IF(AND('Mapa final'!$AB$59="Muy Alta",'Mapa final'!$AD$59="Catastrófico"),CONCATENATE("R9C",'Mapa final'!$R$59),"")</f>
        <v/>
      </c>
      <c r="AN14" s="67"/>
      <c r="AO14" s="611"/>
      <c r="AP14" s="612"/>
      <c r="AQ14" s="612"/>
      <c r="AR14" s="612"/>
      <c r="AS14" s="612"/>
      <c r="AT14" s="613"/>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row>
    <row r="15" spans="1:91" ht="15.75" customHeight="1" thickBot="1" x14ac:dyDescent="0.35">
      <c r="A15" s="67"/>
      <c r="B15" s="550"/>
      <c r="C15" s="550"/>
      <c r="D15" s="551"/>
      <c r="E15" s="594"/>
      <c r="F15" s="595"/>
      <c r="G15" s="595"/>
      <c r="H15" s="595"/>
      <c r="I15" s="596"/>
      <c r="J15" s="42" t="str">
        <f>IF(AND('Mapa final'!$AB$60="Muy Alta",'Mapa final'!$AD$60="Leve"),CONCATENATE("R10C",'Mapa final'!$R$60),"")</f>
        <v/>
      </c>
      <c r="K15" s="43" t="str">
        <f>IF(AND('Mapa final'!$AB$61="Muy Alta",'Mapa final'!$AD$61="Leve"),CONCATENATE("R10C",'Mapa final'!$R$61),"")</f>
        <v/>
      </c>
      <c r="L15" s="43" t="str">
        <f>IF(AND('Mapa final'!$AB$62="Muy Alta",'Mapa final'!$AD$62="Leve"),CONCATENATE("R10C",'Mapa final'!$R$62),"")</f>
        <v/>
      </c>
      <c r="M15" s="43" t="str">
        <f>IF(AND('Mapa final'!$AB$63="Muy Alta",'Mapa final'!$AD$63="Leve"),CONCATENATE("R10C",'Mapa final'!$R$63),"")</f>
        <v/>
      </c>
      <c r="N15" s="43" t="str">
        <f>IF(AND('Mapa final'!$AB$64="Muy Alta",'Mapa final'!$AD$64="Leve"),CONCATENATE("R10C",'Mapa final'!$R$64),"")</f>
        <v/>
      </c>
      <c r="O15" s="44" t="str">
        <f>IF(AND('Mapa final'!$AB$65="Muy Alta",'Mapa final'!$AD$65="Leve"),CONCATENATE("R10C",'Mapa final'!$R$65),"")</f>
        <v/>
      </c>
      <c r="P15" s="36" t="str">
        <f>IF(AND('Mapa final'!$AB$60="Muy Alta",'Mapa final'!$AD$60="Menor"),CONCATENATE("R10C",'Mapa final'!$R$60),"")</f>
        <v/>
      </c>
      <c r="Q15" s="37" t="str">
        <f>IF(AND('Mapa final'!$AB$61="Muy Alta",'Mapa final'!$AD$61="Menor"),CONCATENATE("R10C",'Mapa final'!$R$61),"")</f>
        <v/>
      </c>
      <c r="R15" s="37" t="str">
        <f>IF(AND('Mapa final'!$AB$62="Muy Alta",'Mapa final'!$AD$62="Menor"),CONCATENATE("R10C",'Mapa final'!$R$62),"")</f>
        <v/>
      </c>
      <c r="S15" s="37" t="str">
        <f>IF(AND('Mapa final'!$AB$63="Muy Alta",'Mapa final'!$AD$63="Menor"),CONCATENATE("R10C",'Mapa final'!$R$63),"")</f>
        <v/>
      </c>
      <c r="T15" s="37" t="str">
        <f>IF(AND('Mapa final'!$AB$64="Muy Alta",'Mapa final'!$AD$64="Menor"),CONCATENATE("R10C",'Mapa final'!$R$64),"")</f>
        <v/>
      </c>
      <c r="U15" s="38" t="str">
        <f>IF(AND('Mapa final'!$AB$65="Muy Alta",'Mapa final'!$AD$65="Menor"),CONCATENATE("R10C",'Mapa final'!$R$65),"")</f>
        <v/>
      </c>
      <c r="V15" s="42" t="str">
        <f>IF(AND('Mapa final'!$AB$60="Muy Alta",'Mapa final'!$AD$60="Moderado"),CONCATENATE("R10C",'Mapa final'!$R$60),"")</f>
        <v/>
      </c>
      <c r="W15" s="43" t="str">
        <f>IF(AND('Mapa final'!$AB$61="Muy Alta",'Mapa final'!$AD$61="Moderado"),CONCATENATE("R10C",'Mapa final'!$R$61),"")</f>
        <v/>
      </c>
      <c r="X15" s="43" t="str">
        <f>IF(AND('Mapa final'!$AB$62="Muy Alta",'Mapa final'!$AD$62="Moderado"),CONCATENATE("R10C",'Mapa final'!$R$62),"")</f>
        <v/>
      </c>
      <c r="Y15" s="43" t="str">
        <f>IF(AND('Mapa final'!$AB$63="Muy Alta",'Mapa final'!$AD$63="Moderado"),CONCATENATE("R10C",'Mapa final'!$R$63),"")</f>
        <v/>
      </c>
      <c r="Z15" s="43" t="str">
        <f>IF(AND('Mapa final'!$AB$64="Muy Alta",'Mapa final'!$AD$64="Moderado"),CONCATENATE("R10C",'Mapa final'!$R$64),"")</f>
        <v/>
      </c>
      <c r="AA15" s="44" t="str">
        <f>IF(AND('Mapa final'!$AB$65="Muy Alta",'Mapa final'!$AD$65="Moderado"),CONCATENATE("R10C",'Mapa final'!$R$65),"")</f>
        <v/>
      </c>
      <c r="AB15" s="36" t="str">
        <f>IF(AND('Mapa final'!$AB$60="Muy Alta",'Mapa final'!$AD$60="Mayor"),CONCATENATE("R10C",'Mapa final'!$R$60),"")</f>
        <v/>
      </c>
      <c r="AC15" s="37" t="str">
        <f>IF(AND('Mapa final'!$AB$61="Muy Alta",'Mapa final'!$AD$61="Mayor"),CONCATENATE("R10C",'Mapa final'!$R$61),"")</f>
        <v/>
      </c>
      <c r="AD15" s="37" t="str">
        <f>IF(AND('Mapa final'!$AB$62="Muy Alta",'Mapa final'!$AD$62="Mayor"),CONCATENATE("R10C",'Mapa final'!$R$62),"")</f>
        <v/>
      </c>
      <c r="AE15" s="37" t="str">
        <f>IF(AND('Mapa final'!$AB$63="Muy Alta",'Mapa final'!$AD$63="Mayor"),CONCATENATE("R10C",'Mapa final'!$R$63),"")</f>
        <v/>
      </c>
      <c r="AF15" s="37" t="str">
        <f>IF(AND('Mapa final'!$AB$64="Muy Alta",'Mapa final'!$AD$64="Mayor"),CONCATENATE("R10C",'Mapa final'!$R$64),"")</f>
        <v/>
      </c>
      <c r="AG15" s="38" t="str">
        <f>IF(AND('Mapa final'!$AB$65="Muy Alta",'Mapa final'!$AD$65="Mayor"),CONCATENATE("R10C",'Mapa final'!$R$65),"")</f>
        <v/>
      </c>
      <c r="AH15" s="45" t="str">
        <f>IF(AND('Mapa final'!$AB$60="Muy Alta",'Mapa final'!$AD$60="Catastrófico"),CONCATENATE("R10C",'Mapa final'!$R$60),"")</f>
        <v/>
      </c>
      <c r="AI15" s="46" t="str">
        <f>IF(AND('Mapa final'!$AB$61="Muy Alta",'Mapa final'!$AD$61="Catastrófico"),CONCATENATE("R10C",'Mapa final'!$R$61),"")</f>
        <v/>
      </c>
      <c r="AJ15" s="46" t="str">
        <f>IF(AND('Mapa final'!$AB$62="Muy Alta",'Mapa final'!$AD$62="Catastrófico"),CONCATENATE("R10C",'Mapa final'!$R$62),"")</f>
        <v/>
      </c>
      <c r="AK15" s="46" t="str">
        <f>IF(AND('Mapa final'!$AB$63="Muy Alta",'Mapa final'!$AD$63="Catastrófico"),CONCATENATE("R10C",'Mapa final'!$R$63),"")</f>
        <v/>
      </c>
      <c r="AL15" s="46" t="str">
        <f>IF(AND('Mapa final'!$AB$64="Muy Alta",'Mapa final'!$AD$64="Catastrófico"),CONCATENATE("R10C",'Mapa final'!$R$64),"")</f>
        <v/>
      </c>
      <c r="AM15" s="47" t="str">
        <f>IF(AND('Mapa final'!$AB$65="Muy Alta",'Mapa final'!$AD$65="Catastrófico"),CONCATENATE("R10C",'Mapa final'!$R$65),"")</f>
        <v/>
      </c>
      <c r="AN15" s="67"/>
      <c r="AO15" s="614"/>
      <c r="AP15" s="615"/>
      <c r="AQ15" s="615"/>
      <c r="AR15" s="615"/>
      <c r="AS15" s="615"/>
      <c r="AT15" s="616"/>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row>
    <row r="16" spans="1:91" ht="15" customHeight="1" x14ac:dyDescent="0.3">
      <c r="A16" s="67"/>
      <c r="B16" s="550"/>
      <c r="C16" s="550"/>
      <c r="D16" s="551"/>
      <c r="E16" s="588" t="s">
        <v>110</v>
      </c>
      <c r="F16" s="589"/>
      <c r="G16" s="589"/>
      <c r="H16" s="589"/>
      <c r="I16" s="589"/>
      <c r="J16" s="48" t="str">
        <f>IF(AND('Mapa final'!$AB$10="Alta",'Mapa final'!$AD$10="Leve"),CONCATENATE("R1C",'Mapa final'!$R$10),"")</f>
        <v/>
      </c>
      <c r="K16" s="49" t="str">
        <f>IF(AND('Mapa final'!$AB$11="Alta",'Mapa final'!$AD$11="Leve"),CONCATENATE("R1C",'Mapa final'!$R$11),"")</f>
        <v/>
      </c>
      <c r="L16" s="49" t="e">
        <f>IF(AND('Mapa final'!#REF!="Alta",'Mapa final'!#REF!="Leve"),CONCATENATE("R1C",'Mapa final'!#REF!),"")</f>
        <v>#REF!</v>
      </c>
      <c r="M16" s="49" t="e">
        <f>IF(AND('Mapa final'!#REF!="Alta",'Mapa final'!#REF!="Leve"),CONCATENATE("R1C",'Mapa final'!#REF!),"")</f>
        <v>#REF!</v>
      </c>
      <c r="N16" s="49" t="e">
        <f>IF(AND('Mapa final'!#REF!="Alta",'Mapa final'!#REF!="Leve"),CONCATENATE("R1C",'Mapa final'!#REF!),"")</f>
        <v>#REF!</v>
      </c>
      <c r="O16" s="50" t="e">
        <f>IF(AND('Mapa final'!#REF!="Alta",'Mapa final'!#REF!="Leve"),CONCATENATE("R1C",'Mapa final'!#REF!),"")</f>
        <v>#REF!</v>
      </c>
      <c r="P16" s="48" t="str">
        <f>IF(AND('Mapa final'!$AB$10="Alta",'Mapa final'!$AD$10="Menor"),CONCATENATE("R1C",'Mapa final'!$R$10),"")</f>
        <v/>
      </c>
      <c r="Q16" s="49" t="str">
        <f>IF(AND('Mapa final'!$AB$11="Alta",'Mapa final'!$AD$11="Menor"),CONCATENATE("R1C",'Mapa final'!$R$11),"")</f>
        <v/>
      </c>
      <c r="R16" s="49" t="e">
        <f>IF(AND('Mapa final'!#REF!="Alta",'Mapa final'!#REF!="Menor"),CONCATENATE("R1C",'Mapa final'!#REF!),"")</f>
        <v>#REF!</v>
      </c>
      <c r="S16" s="49" t="e">
        <f>IF(AND('Mapa final'!#REF!="Alta",'Mapa final'!#REF!="Menor"),CONCATENATE("R1C",'Mapa final'!#REF!),"")</f>
        <v>#REF!</v>
      </c>
      <c r="T16" s="49" t="e">
        <f>IF(AND('Mapa final'!#REF!="Alta",'Mapa final'!#REF!="Menor"),CONCATENATE("R1C",'Mapa final'!#REF!),"")</f>
        <v>#REF!</v>
      </c>
      <c r="U16" s="50" t="e">
        <f>IF(AND('Mapa final'!#REF!="Alta",'Mapa final'!#REF!="Menor"),CONCATENATE("R1C",'Mapa final'!#REF!),"")</f>
        <v>#REF!</v>
      </c>
      <c r="V16" s="30" t="str">
        <f>IF(AND('Mapa final'!$AB$10="Alta",'Mapa final'!$AD$10="Moderado"),CONCATENATE("R1C",'Mapa final'!$R$10),"")</f>
        <v/>
      </c>
      <c r="W16" s="31" t="str">
        <f>IF(AND('Mapa final'!$AB$11="Alta",'Mapa final'!$AD$11="Moderado"),CONCATENATE("R1C",'Mapa final'!$R$11),"")</f>
        <v/>
      </c>
      <c r="X16" s="31" t="e">
        <f>IF(AND('Mapa final'!#REF!="Alta",'Mapa final'!#REF!="Moderado"),CONCATENATE("R1C",'Mapa final'!#REF!),"")</f>
        <v>#REF!</v>
      </c>
      <c r="Y16" s="31" t="e">
        <f>IF(AND('Mapa final'!#REF!="Alta",'Mapa final'!#REF!="Moderado"),CONCATENATE("R1C",'Mapa final'!#REF!),"")</f>
        <v>#REF!</v>
      </c>
      <c r="Z16" s="31" t="e">
        <f>IF(AND('Mapa final'!#REF!="Alta",'Mapa final'!#REF!="Moderado"),CONCATENATE("R1C",'Mapa final'!#REF!),"")</f>
        <v>#REF!</v>
      </c>
      <c r="AA16" s="32" t="e">
        <f>IF(AND('Mapa final'!#REF!="Alta",'Mapa final'!#REF!="Moderado"),CONCATENATE("R1C",'Mapa final'!#REF!),"")</f>
        <v>#REF!</v>
      </c>
      <c r="AB16" s="30" t="str">
        <f>IF(AND('Mapa final'!$AB$10="Alta",'Mapa final'!$AD$10="Mayor"),CONCATENATE("R1C",'Mapa final'!$R$10),"")</f>
        <v/>
      </c>
      <c r="AC16" s="31" t="str">
        <f>IF(AND('Mapa final'!$AB$11="Alta",'Mapa final'!$AD$11="Mayor"),CONCATENATE("R1C",'Mapa final'!$R$11),"")</f>
        <v/>
      </c>
      <c r="AD16" s="31" t="e">
        <f>IF(AND('Mapa final'!#REF!="Alta",'Mapa final'!#REF!="Mayor"),CONCATENATE("R1C",'Mapa final'!#REF!),"")</f>
        <v>#REF!</v>
      </c>
      <c r="AE16" s="31" t="e">
        <f>IF(AND('Mapa final'!#REF!="Alta",'Mapa final'!#REF!="Mayor"),CONCATENATE("R1C",'Mapa final'!#REF!),"")</f>
        <v>#REF!</v>
      </c>
      <c r="AF16" s="31" t="e">
        <f>IF(AND('Mapa final'!#REF!="Alta",'Mapa final'!#REF!="Mayor"),CONCATENATE("R1C",'Mapa final'!#REF!),"")</f>
        <v>#REF!</v>
      </c>
      <c r="AG16" s="32" t="e">
        <f>IF(AND('Mapa final'!#REF!="Alta",'Mapa final'!#REF!="Mayor"),CONCATENATE("R1C",'Mapa final'!#REF!),"")</f>
        <v>#REF!</v>
      </c>
      <c r="AH16" s="33" t="str">
        <f>IF(AND('Mapa final'!$AB$10="Alta",'Mapa final'!$AD$10="Catastrófico"),CONCATENATE("R1C",'Mapa final'!$R$10),"")</f>
        <v/>
      </c>
      <c r="AI16" s="34" t="str">
        <f>IF(AND('Mapa final'!$AB$11="Alta",'Mapa final'!$AD$11="Catastrófico"),CONCATENATE("R1C",'Mapa final'!$R$11),"")</f>
        <v/>
      </c>
      <c r="AJ16" s="34" t="e">
        <f>IF(AND('Mapa final'!#REF!="Alta",'Mapa final'!#REF!="Catastrófico"),CONCATENATE("R1C",'Mapa final'!#REF!),"")</f>
        <v>#REF!</v>
      </c>
      <c r="AK16" s="34" t="e">
        <f>IF(AND('Mapa final'!#REF!="Alta",'Mapa final'!#REF!="Catastrófico"),CONCATENATE("R1C",'Mapa final'!#REF!),"")</f>
        <v>#REF!</v>
      </c>
      <c r="AL16" s="34" t="e">
        <f>IF(AND('Mapa final'!#REF!="Alta",'Mapa final'!#REF!="Catastrófico"),CONCATENATE("R1C",'Mapa final'!#REF!),"")</f>
        <v>#REF!</v>
      </c>
      <c r="AM16" s="35" t="e">
        <f>IF(AND('Mapa final'!#REF!="Alta",'Mapa final'!#REF!="Catastrófico"),CONCATENATE("R1C",'Mapa final'!#REF!),"")</f>
        <v>#REF!</v>
      </c>
      <c r="AN16" s="67"/>
      <c r="AO16" s="598" t="s">
        <v>79</v>
      </c>
      <c r="AP16" s="599"/>
      <c r="AQ16" s="599"/>
      <c r="AR16" s="599"/>
      <c r="AS16" s="599"/>
      <c r="AT16" s="600"/>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row>
    <row r="17" spans="1:76" ht="15" customHeight="1" x14ac:dyDescent="0.3">
      <c r="A17" s="67"/>
      <c r="B17" s="550"/>
      <c r="C17" s="550"/>
      <c r="D17" s="551"/>
      <c r="E17" s="607"/>
      <c r="F17" s="592"/>
      <c r="G17" s="592"/>
      <c r="H17" s="592"/>
      <c r="I17" s="592"/>
      <c r="J17" s="51" t="str">
        <f>IF(AND('Mapa final'!$AB$12="Alta",'Mapa final'!$AD$12="Leve"),CONCATENATE("R2C",'Mapa final'!$R$12),"")</f>
        <v/>
      </c>
      <c r="K17" s="52" t="str">
        <f>IF(AND('Mapa final'!$AB$13="Alta",'Mapa final'!$AD$13="Leve"),CONCATENATE("R2C",'Mapa final'!$R$13),"")</f>
        <v/>
      </c>
      <c r="L17" s="52" t="str">
        <f>IF(AND('Mapa final'!$AB$14="Alta",'Mapa final'!$AD$14="Leve"),CONCATENATE("R2C",'Mapa final'!$R$14),"")</f>
        <v/>
      </c>
      <c r="M17" s="52" t="str">
        <f>IF(AND('Mapa final'!$AB$15="Alta",'Mapa final'!$AD$15="Leve"),CONCATENATE("R2C",'Mapa final'!$R$15),"")</f>
        <v/>
      </c>
      <c r="N17" s="52" t="str">
        <f>IF(AND('Mapa final'!$AB$16="Alta",'Mapa final'!$AD$16="Leve"),CONCATENATE("R2C",'Mapa final'!$R$16),"")</f>
        <v/>
      </c>
      <c r="O17" s="53" t="str">
        <f>IF(AND('Mapa final'!$AB$17="Alta",'Mapa final'!$AD$17="Leve"),CONCATENATE("R2C",'Mapa final'!$R$17),"")</f>
        <v/>
      </c>
      <c r="P17" s="51" t="str">
        <f>IF(AND('Mapa final'!$AB$12="Alta",'Mapa final'!$AD$12="Menor"),CONCATENATE("R2C",'Mapa final'!$R$12),"")</f>
        <v/>
      </c>
      <c r="Q17" s="52" t="str">
        <f>IF(AND('Mapa final'!$AB$13="Alta",'Mapa final'!$AD$13="Menor"),CONCATENATE("R2C",'Mapa final'!$R$13),"")</f>
        <v/>
      </c>
      <c r="R17" s="52" t="str">
        <f>IF(AND('Mapa final'!$AB$14="Alta",'Mapa final'!$AD$14="Menor"),CONCATENATE("R2C",'Mapa final'!$R$14),"")</f>
        <v/>
      </c>
      <c r="S17" s="52" t="str">
        <f>IF(AND('Mapa final'!$AB$15="Alta",'Mapa final'!$AD$15="Menor"),CONCATENATE("R2C",'Mapa final'!$R$15),"")</f>
        <v/>
      </c>
      <c r="T17" s="52" t="str">
        <f>IF(AND('Mapa final'!$AB$16="Alta",'Mapa final'!$AD$16="Menor"),CONCATENATE("R2C",'Mapa final'!$R$16),"")</f>
        <v/>
      </c>
      <c r="U17" s="53" t="str">
        <f>IF(AND('Mapa final'!$AB$17="Alta",'Mapa final'!$AD$17="Menor"),CONCATENATE("R2C",'Mapa final'!$R$17),"")</f>
        <v/>
      </c>
      <c r="V17" s="36" t="str">
        <f>IF(AND('Mapa final'!$AB$12="Alta",'Mapa final'!$AD$12="Moderado"),CONCATENATE("R2C",'Mapa final'!$R$12),"")</f>
        <v/>
      </c>
      <c r="W17" s="37" t="str">
        <f>IF(AND('Mapa final'!$AB$13="Alta",'Mapa final'!$AD$13="Moderado"),CONCATENATE("R2C",'Mapa final'!$R$13),"")</f>
        <v/>
      </c>
      <c r="X17" s="37" t="str">
        <f>IF(AND('Mapa final'!$AB$14="Alta",'Mapa final'!$AD$14="Moderado"),CONCATENATE("R2C",'Mapa final'!$R$14),"")</f>
        <v/>
      </c>
      <c r="Y17" s="37" t="str">
        <f>IF(AND('Mapa final'!$AB$15="Alta",'Mapa final'!$AD$15="Moderado"),CONCATENATE("R2C",'Mapa final'!$R$15),"")</f>
        <v/>
      </c>
      <c r="Z17" s="37" t="str">
        <f>IF(AND('Mapa final'!$AB$16="Alta",'Mapa final'!$AD$16="Moderado"),CONCATENATE("R2C",'Mapa final'!$R$16),"")</f>
        <v/>
      </c>
      <c r="AA17" s="38" t="str">
        <f>IF(AND('Mapa final'!$AB$17="Alta",'Mapa final'!$AD$17="Moderado"),CONCATENATE("R2C",'Mapa final'!$R$17),"")</f>
        <v/>
      </c>
      <c r="AB17" s="36" t="str">
        <f>IF(AND('Mapa final'!$AB$12="Alta",'Mapa final'!$AD$12="Mayor"),CONCATENATE("R2C",'Mapa final'!$R$12),"")</f>
        <v/>
      </c>
      <c r="AC17" s="37" t="str">
        <f>IF(AND('Mapa final'!$AB$13="Alta",'Mapa final'!$AD$13="Mayor"),CONCATENATE("R2C",'Mapa final'!$R$13),"")</f>
        <v/>
      </c>
      <c r="AD17" s="37" t="str">
        <f>IF(AND('Mapa final'!$AB$14="Alta",'Mapa final'!$AD$14="Mayor"),CONCATENATE("R2C",'Mapa final'!$R$14),"")</f>
        <v/>
      </c>
      <c r="AE17" s="37" t="str">
        <f>IF(AND('Mapa final'!$AB$15="Alta",'Mapa final'!$AD$15="Mayor"),CONCATENATE("R2C",'Mapa final'!$R$15),"")</f>
        <v/>
      </c>
      <c r="AF17" s="37" t="str">
        <f>IF(AND('Mapa final'!$AB$16="Alta",'Mapa final'!$AD$16="Mayor"),CONCATENATE("R2C",'Mapa final'!$R$16),"")</f>
        <v/>
      </c>
      <c r="AG17" s="38" t="str">
        <f>IF(AND('Mapa final'!$AB$17="Alta",'Mapa final'!$AD$17="Mayor"),CONCATENATE("R2C",'Mapa final'!$R$17),"")</f>
        <v/>
      </c>
      <c r="AH17" s="39" t="str">
        <f>IF(AND('Mapa final'!$AB$12="Alta",'Mapa final'!$AD$12="Catastrófico"),CONCATENATE("R2C",'Mapa final'!$R$12),"")</f>
        <v/>
      </c>
      <c r="AI17" s="40" t="str">
        <f>IF(AND('Mapa final'!$AB$13="Alta",'Mapa final'!$AD$13="Catastrófico"),CONCATENATE("R2C",'Mapa final'!$R$13),"")</f>
        <v/>
      </c>
      <c r="AJ17" s="40" t="str">
        <f>IF(AND('Mapa final'!$AB$14="Alta",'Mapa final'!$AD$14="Catastrófico"),CONCATENATE("R2C",'Mapa final'!$R$14),"")</f>
        <v/>
      </c>
      <c r="AK17" s="40" t="str">
        <f>IF(AND('Mapa final'!$AB$15="Alta",'Mapa final'!$AD$15="Catastrófico"),CONCATENATE("R2C",'Mapa final'!$R$15),"")</f>
        <v/>
      </c>
      <c r="AL17" s="40" t="str">
        <f>IF(AND('Mapa final'!$AB$16="Alta",'Mapa final'!$AD$16="Catastrófico"),CONCATENATE("R2C",'Mapa final'!$R$16),"")</f>
        <v/>
      </c>
      <c r="AM17" s="41" t="str">
        <f>IF(AND('Mapa final'!$AB$17="Alta",'Mapa final'!$AD$17="Catastrófico"),CONCATENATE("R2C",'Mapa final'!$R$17),"")</f>
        <v/>
      </c>
      <c r="AN17" s="67"/>
      <c r="AO17" s="601"/>
      <c r="AP17" s="602"/>
      <c r="AQ17" s="602"/>
      <c r="AR17" s="602"/>
      <c r="AS17" s="602"/>
      <c r="AT17" s="603"/>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row>
    <row r="18" spans="1:76" ht="15" customHeight="1" x14ac:dyDescent="0.3">
      <c r="A18" s="67"/>
      <c r="B18" s="550"/>
      <c r="C18" s="550"/>
      <c r="D18" s="551"/>
      <c r="E18" s="591"/>
      <c r="F18" s="592"/>
      <c r="G18" s="592"/>
      <c r="H18" s="592"/>
      <c r="I18" s="592"/>
      <c r="J18" s="51" t="str">
        <f>IF(AND('Mapa final'!$AB$18="Alta",'Mapa final'!$AD$18="Leve"),CONCATENATE("R3C",'Mapa final'!$R$18),"")</f>
        <v/>
      </c>
      <c r="K18" s="52" t="str">
        <f>IF(AND('Mapa final'!$AB$19="Alta",'Mapa final'!$AD$19="Leve"),CONCATENATE("R3C",'Mapa final'!$R$19),"")</f>
        <v/>
      </c>
      <c r="L18" s="52" t="str">
        <f>IF(AND('Mapa final'!$AB$20="Alta",'Mapa final'!$AD$20="Leve"),CONCATENATE("R3C",'Mapa final'!$R$20),"")</f>
        <v/>
      </c>
      <c r="M18" s="52" t="str">
        <f>IF(AND('Mapa final'!$AB$21="Alta",'Mapa final'!$AD$21="Leve"),CONCATENATE("R3C",'Mapa final'!$R$21),"")</f>
        <v/>
      </c>
      <c r="N18" s="52" t="str">
        <f>IF(AND('Mapa final'!$AB$22="Alta",'Mapa final'!$AD$22="Leve"),CONCATENATE("R3C",'Mapa final'!$R$22),"")</f>
        <v/>
      </c>
      <c r="O18" s="53" t="str">
        <f>IF(AND('Mapa final'!$AB$23="Alta",'Mapa final'!$AD$23="Leve"),CONCATENATE("R3C",'Mapa final'!$R$23),"")</f>
        <v/>
      </c>
      <c r="P18" s="51" t="str">
        <f>IF(AND('Mapa final'!$AB$18="Alta",'Mapa final'!$AD$18="Menor"),CONCATENATE("R3C",'Mapa final'!$R$18),"")</f>
        <v/>
      </c>
      <c r="Q18" s="52" t="str">
        <f>IF(AND('Mapa final'!$AB$19="Alta",'Mapa final'!$AD$19="Menor"),CONCATENATE("R3C",'Mapa final'!$R$19),"")</f>
        <v/>
      </c>
      <c r="R18" s="52" t="str">
        <f>IF(AND('Mapa final'!$AB$20="Alta",'Mapa final'!$AD$20="Menor"),CONCATENATE("R3C",'Mapa final'!$R$20),"")</f>
        <v/>
      </c>
      <c r="S18" s="52" t="str">
        <f>IF(AND('Mapa final'!$AB$21="Alta",'Mapa final'!$AD$21="Menor"),CONCATENATE("R3C",'Mapa final'!$R$21),"")</f>
        <v/>
      </c>
      <c r="T18" s="52" t="str">
        <f>IF(AND('Mapa final'!$AB$22="Alta",'Mapa final'!$AD$22="Menor"),CONCATENATE("R3C",'Mapa final'!$R$22),"")</f>
        <v/>
      </c>
      <c r="U18" s="53" t="str">
        <f>IF(AND('Mapa final'!$AB$23="Alta",'Mapa final'!$AD$23="Menor"),CONCATENATE("R3C",'Mapa final'!$R$23),"")</f>
        <v/>
      </c>
      <c r="V18" s="36" t="str">
        <f>IF(AND('Mapa final'!$AB$18="Alta",'Mapa final'!$AD$18="Moderado"),CONCATENATE("R3C",'Mapa final'!$R$18),"")</f>
        <v/>
      </c>
      <c r="W18" s="37" t="str">
        <f>IF(AND('Mapa final'!$AB$19="Alta",'Mapa final'!$AD$19="Moderado"),CONCATENATE("R3C",'Mapa final'!$R$19),"")</f>
        <v/>
      </c>
      <c r="X18" s="37" t="str">
        <f>IF(AND('Mapa final'!$AB$20="Alta",'Mapa final'!$AD$20="Moderado"),CONCATENATE("R3C",'Mapa final'!$R$20),"")</f>
        <v/>
      </c>
      <c r="Y18" s="37" t="str">
        <f>IF(AND('Mapa final'!$AB$21="Alta",'Mapa final'!$AD$21="Moderado"),CONCATENATE("R3C",'Mapa final'!$R$21),"")</f>
        <v/>
      </c>
      <c r="Z18" s="37" t="str">
        <f>IF(AND('Mapa final'!$AB$22="Alta",'Mapa final'!$AD$22="Moderado"),CONCATENATE("R3C",'Mapa final'!$R$22),"")</f>
        <v/>
      </c>
      <c r="AA18" s="38" t="str">
        <f>IF(AND('Mapa final'!$AB$23="Alta",'Mapa final'!$AD$23="Moderado"),CONCATENATE("R3C",'Mapa final'!$R$23),"")</f>
        <v/>
      </c>
      <c r="AB18" s="36" t="str">
        <f>IF(AND('Mapa final'!$AB$18="Alta",'Mapa final'!$AD$18="Mayor"),CONCATENATE("R3C",'Mapa final'!$R$18),"")</f>
        <v/>
      </c>
      <c r="AC18" s="37" t="str">
        <f>IF(AND('Mapa final'!$AB$19="Alta",'Mapa final'!$AD$19="Mayor"),CONCATENATE("R3C",'Mapa final'!$R$19),"")</f>
        <v/>
      </c>
      <c r="AD18" s="37" t="str">
        <f>IF(AND('Mapa final'!$AB$20="Alta",'Mapa final'!$AD$20="Mayor"),CONCATENATE("R3C",'Mapa final'!$R$20),"")</f>
        <v/>
      </c>
      <c r="AE18" s="37" t="str">
        <f>IF(AND('Mapa final'!$AB$21="Alta",'Mapa final'!$AD$21="Mayor"),CONCATENATE("R3C",'Mapa final'!$R$21),"")</f>
        <v/>
      </c>
      <c r="AF18" s="37" t="str">
        <f>IF(AND('Mapa final'!$AB$22="Alta",'Mapa final'!$AD$22="Mayor"),CONCATENATE("R3C",'Mapa final'!$R$22),"")</f>
        <v/>
      </c>
      <c r="AG18" s="38" t="str">
        <f>IF(AND('Mapa final'!$AB$23="Alta",'Mapa final'!$AD$23="Mayor"),CONCATENATE("R3C",'Mapa final'!$R$23),"")</f>
        <v/>
      </c>
      <c r="AH18" s="39" t="str">
        <f>IF(AND('Mapa final'!$AB$18="Alta",'Mapa final'!$AD$18="Catastrófico"),CONCATENATE("R3C",'Mapa final'!$R$18),"")</f>
        <v/>
      </c>
      <c r="AI18" s="40" t="str">
        <f>IF(AND('Mapa final'!$AB$19="Alta",'Mapa final'!$AD$19="Catastrófico"),CONCATENATE("R3C",'Mapa final'!$R$19),"")</f>
        <v/>
      </c>
      <c r="AJ18" s="40" t="str">
        <f>IF(AND('Mapa final'!$AB$20="Alta",'Mapa final'!$AD$20="Catastrófico"),CONCATENATE("R3C",'Mapa final'!$R$20),"")</f>
        <v/>
      </c>
      <c r="AK18" s="40" t="str">
        <f>IF(AND('Mapa final'!$AB$21="Alta",'Mapa final'!$AD$21="Catastrófico"),CONCATENATE("R3C",'Mapa final'!$R$21),"")</f>
        <v/>
      </c>
      <c r="AL18" s="40" t="str">
        <f>IF(AND('Mapa final'!$AB$22="Alta",'Mapa final'!$AD$22="Catastrófico"),CONCATENATE("R3C",'Mapa final'!$R$22),"")</f>
        <v/>
      </c>
      <c r="AM18" s="41" t="str">
        <f>IF(AND('Mapa final'!$AB$23="Alta",'Mapa final'!$AD$23="Catastrófico"),CONCATENATE("R3C",'Mapa final'!$R$23),"")</f>
        <v/>
      </c>
      <c r="AN18" s="67"/>
      <c r="AO18" s="601"/>
      <c r="AP18" s="602"/>
      <c r="AQ18" s="602"/>
      <c r="AR18" s="602"/>
      <c r="AS18" s="602"/>
      <c r="AT18" s="603"/>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row>
    <row r="19" spans="1:76" ht="15" customHeight="1" x14ac:dyDescent="0.3">
      <c r="A19" s="67"/>
      <c r="B19" s="550"/>
      <c r="C19" s="550"/>
      <c r="D19" s="551"/>
      <c r="E19" s="591"/>
      <c r="F19" s="592"/>
      <c r="G19" s="592"/>
      <c r="H19" s="592"/>
      <c r="I19" s="592"/>
      <c r="J19" s="51" t="str">
        <f>IF(AND('Mapa final'!$AB$24="Alta",'Mapa final'!$AD$24="Leve"),CONCATENATE("R4C",'Mapa final'!$R$24),"")</f>
        <v/>
      </c>
      <c r="K19" s="52" t="str">
        <f>IF(AND('Mapa final'!$AB$25="Alta",'Mapa final'!$AD$25="Leve"),CONCATENATE("R4C",'Mapa final'!$R$25),"")</f>
        <v/>
      </c>
      <c r="L19" s="52" t="str">
        <f>IF(AND('Mapa final'!$AB$26="Alta",'Mapa final'!$AD$26="Leve"),CONCATENATE("R4C",'Mapa final'!$R$26),"")</f>
        <v/>
      </c>
      <c r="M19" s="52" t="str">
        <f>IF(AND('Mapa final'!$AB$27="Alta",'Mapa final'!$AD$27="Leve"),CONCATENATE("R4C",'Mapa final'!$R$27),"")</f>
        <v/>
      </c>
      <c r="N19" s="52" t="str">
        <f>IF(AND('Mapa final'!$AB$28="Alta",'Mapa final'!$AD$28="Leve"),CONCATENATE("R4C",'Mapa final'!$R$28),"")</f>
        <v/>
      </c>
      <c r="O19" s="53" t="str">
        <f>IF(AND('Mapa final'!$AB$29="Alta",'Mapa final'!$AD$29="Leve"),CONCATENATE("R4C",'Mapa final'!$R$29),"")</f>
        <v/>
      </c>
      <c r="P19" s="51" t="str">
        <f>IF(AND('Mapa final'!$AB$24="Alta",'Mapa final'!$AD$24="Menor"),CONCATENATE("R4C",'Mapa final'!$R$24),"")</f>
        <v/>
      </c>
      <c r="Q19" s="52" t="str">
        <f>IF(AND('Mapa final'!$AB$25="Alta",'Mapa final'!$AD$25="Menor"),CONCATENATE("R4C",'Mapa final'!$R$25),"")</f>
        <v/>
      </c>
      <c r="R19" s="52" t="str">
        <f>IF(AND('Mapa final'!$AB$26="Alta",'Mapa final'!$AD$26="Menor"),CONCATENATE("R4C",'Mapa final'!$R$26),"")</f>
        <v/>
      </c>
      <c r="S19" s="52" t="str">
        <f>IF(AND('Mapa final'!$AB$27="Alta",'Mapa final'!$AD$27="Menor"),CONCATENATE("R4C",'Mapa final'!$R$27),"")</f>
        <v/>
      </c>
      <c r="T19" s="52" t="str">
        <f>IF(AND('Mapa final'!$AB$28="Alta",'Mapa final'!$AD$28="Menor"),CONCATENATE("R4C",'Mapa final'!$R$28),"")</f>
        <v/>
      </c>
      <c r="U19" s="53" t="str">
        <f>IF(AND('Mapa final'!$AB$29="Alta",'Mapa final'!$AD$29="Menor"),CONCATENATE("R4C",'Mapa final'!$R$29),"")</f>
        <v/>
      </c>
      <c r="V19" s="36" t="str">
        <f>IF(AND('Mapa final'!$AB$24="Alta",'Mapa final'!$AD$24="Moderado"),CONCATENATE("R4C",'Mapa final'!$R$24),"")</f>
        <v/>
      </c>
      <c r="W19" s="37" t="str">
        <f>IF(AND('Mapa final'!$AB$25="Alta",'Mapa final'!$AD$25="Moderado"),CONCATENATE("R4C",'Mapa final'!$R$25),"")</f>
        <v/>
      </c>
      <c r="X19" s="37" t="str">
        <f>IF(AND('Mapa final'!$AB$26="Alta",'Mapa final'!$AD$26="Moderado"),CONCATENATE("R4C",'Mapa final'!$R$26),"")</f>
        <v/>
      </c>
      <c r="Y19" s="37" t="str">
        <f>IF(AND('Mapa final'!$AB$27="Alta",'Mapa final'!$AD$27="Moderado"),CONCATENATE("R4C",'Mapa final'!$R$27),"")</f>
        <v/>
      </c>
      <c r="Z19" s="37" t="str">
        <f>IF(AND('Mapa final'!$AB$28="Alta",'Mapa final'!$AD$28="Moderado"),CONCATENATE("R4C",'Mapa final'!$R$28),"")</f>
        <v/>
      </c>
      <c r="AA19" s="38" t="str">
        <f>IF(AND('Mapa final'!$AB$29="Alta",'Mapa final'!$AD$29="Moderado"),CONCATENATE("R4C",'Mapa final'!$R$29),"")</f>
        <v/>
      </c>
      <c r="AB19" s="36" t="str">
        <f>IF(AND('Mapa final'!$AB$24="Alta",'Mapa final'!$AD$24="Mayor"),CONCATENATE("R4C",'Mapa final'!$R$24),"")</f>
        <v/>
      </c>
      <c r="AC19" s="37" t="str">
        <f>IF(AND('Mapa final'!$AB$25="Alta",'Mapa final'!$AD$25="Mayor"),CONCATENATE("R4C",'Mapa final'!$R$25),"")</f>
        <v/>
      </c>
      <c r="AD19" s="37" t="str">
        <f>IF(AND('Mapa final'!$AB$26="Alta",'Mapa final'!$AD$26="Mayor"),CONCATENATE("R4C",'Mapa final'!$R$26),"")</f>
        <v/>
      </c>
      <c r="AE19" s="37" t="str">
        <f>IF(AND('Mapa final'!$AB$27="Alta",'Mapa final'!$AD$27="Mayor"),CONCATENATE("R4C",'Mapa final'!$R$27),"")</f>
        <v/>
      </c>
      <c r="AF19" s="37" t="str">
        <f>IF(AND('Mapa final'!$AB$28="Alta",'Mapa final'!$AD$28="Mayor"),CONCATENATE("R4C",'Mapa final'!$R$28),"")</f>
        <v/>
      </c>
      <c r="AG19" s="38" t="str">
        <f>IF(AND('Mapa final'!$AB$29="Alta",'Mapa final'!$AD$29="Mayor"),CONCATENATE("R4C",'Mapa final'!$R$29),"")</f>
        <v/>
      </c>
      <c r="AH19" s="39" t="str">
        <f>IF(AND('Mapa final'!$AB$24="Alta",'Mapa final'!$AD$24="Catastrófico"),CONCATENATE("R4C",'Mapa final'!$R$24),"")</f>
        <v/>
      </c>
      <c r="AI19" s="40" t="str">
        <f>IF(AND('Mapa final'!$AB$25="Alta",'Mapa final'!$AD$25="Catastrófico"),CONCATENATE("R4C",'Mapa final'!$R$25),"")</f>
        <v/>
      </c>
      <c r="AJ19" s="40" t="str">
        <f>IF(AND('Mapa final'!$AB$26="Alta",'Mapa final'!$AD$26="Catastrófico"),CONCATENATE("R4C",'Mapa final'!$R$26),"")</f>
        <v/>
      </c>
      <c r="AK19" s="40" t="str">
        <f>IF(AND('Mapa final'!$AB$27="Alta",'Mapa final'!$AD$27="Catastrófico"),CONCATENATE("R4C",'Mapa final'!$R$27),"")</f>
        <v/>
      </c>
      <c r="AL19" s="40" t="str">
        <f>IF(AND('Mapa final'!$AB$28="Alta",'Mapa final'!$AD$28="Catastrófico"),CONCATENATE("R4C",'Mapa final'!$R$28),"")</f>
        <v/>
      </c>
      <c r="AM19" s="41" t="str">
        <f>IF(AND('Mapa final'!$AB$29="Alta",'Mapa final'!$AD$29="Catastrófico"),CONCATENATE("R4C",'Mapa final'!$R$29),"")</f>
        <v/>
      </c>
      <c r="AN19" s="67"/>
      <c r="AO19" s="601"/>
      <c r="AP19" s="602"/>
      <c r="AQ19" s="602"/>
      <c r="AR19" s="602"/>
      <c r="AS19" s="602"/>
      <c r="AT19" s="603"/>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row>
    <row r="20" spans="1:76" ht="15" customHeight="1" x14ac:dyDescent="0.3">
      <c r="A20" s="67"/>
      <c r="B20" s="550"/>
      <c r="C20" s="550"/>
      <c r="D20" s="551"/>
      <c r="E20" s="591"/>
      <c r="F20" s="592"/>
      <c r="G20" s="592"/>
      <c r="H20" s="592"/>
      <c r="I20" s="592"/>
      <c r="J20" s="51" t="str">
        <f>IF(AND('Mapa final'!$AB$30="Alta",'Mapa final'!$AD$30="Leve"),CONCATENATE("R5C",'Mapa final'!$R$30),"")</f>
        <v/>
      </c>
      <c r="K20" s="52" t="str">
        <f>IF(AND('Mapa final'!$AB$31="Alta",'Mapa final'!$AD$31="Leve"),CONCATENATE("R5C",'Mapa final'!$R$31),"")</f>
        <v/>
      </c>
      <c r="L20" s="52" t="str">
        <f>IF(AND('Mapa final'!$AB$32="Alta",'Mapa final'!$AD$32="Leve"),CONCATENATE("R5C",'Mapa final'!$R$32),"")</f>
        <v/>
      </c>
      <c r="M20" s="52" t="str">
        <f>IF(AND('Mapa final'!$AB$33="Alta",'Mapa final'!$AD$33="Leve"),CONCATENATE("R5C",'Mapa final'!$R$33),"")</f>
        <v/>
      </c>
      <c r="N20" s="52" t="str">
        <f>IF(AND('Mapa final'!$AB$34="Alta",'Mapa final'!$AD$34="Leve"),CONCATENATE("R5C",'Mapa final'!$R$34),"")</f>
        <v/>
      </c>
      <c r="O20" s="53" t="str">
        <f>IF(AND('Mapa final'!$AB$35="Alta",'Mapa final'!$AD$35="Leve"),CONCATENATE("R5C",'Mapa final'!$R$35),"")</f>
        <v/>
      </c>
      <c r="P20" s="51" t="str">
        <f>IF(AND('Mapa final'!$AB$30="Alta",'Mapa final'!$AD$30="Menor"),CONCATENATE("R5C",'Mapa final'!$R$30),"")</f>
        <v/>
      </c>
      <c r="Q20" s="52" t="str">
        <f>IF(AND('Mapa final'!$AB$31="Alta",'Mapa final'!$AD$31="Menor"),CONCATENATE("R5C",'Mapa final'!$R$31),"")</f>
        <v/>
      </c>
      <c r="R20" s="52" t="str">
        <f>IF(AND('Mapa final'!$AB$32="Alta",'Mapa final'!$AD$32="Menor"),CONCATENATE("R5C",'Mapa final'!$R$32),"")</f>
        <v/>
      </c>
      <c r="S20" s="52" t="str">
        <f>IF(AND('Mapa final'!$AB$33="Alta",'Mapa final'!$AD$33="Menor"),CONCATENATE("R5C",'Mapa final'!$R$33),"")</f>
        <v/>
      </c>
      <c r="T20" s="52" t="str">
        <f>IF(AND('Mapa final'!$AB$34="Alta",'Mapa final'!$AD$34="Menor"),CONCATENATE("R5C",'Mapa final'!$R$34),"")</f>
        <v/>
      </c>
      <c r="U20" s="53" t="str">
        <f>IF(AND('Mapa final'!$AB$35="Alta",'Mapa final'!$AD$35="Menor"),CONCATENATE("R5C",'Mapa final'!$R$35),"")</f>
        <v/>
      </c>
      <c r="V20" s="36" t="str">
        <f>IF(AND('Mapa final'!$AB$30="Alta",'Mapa final'!$AD$30="Moderado"),CONCATENATE("R5C",'Mapa final'!$R$30),"")</f>
        <v/>
      </c>
      <c r="W20" s="37" t="str">
        <f>IF(AND('Mapa final'!$AB$31="Alta",'Mapa final'!$AD$31="Moderado"),CONCATENATE("R5C",'Mapa final'!$R$31),"")</f>
        <v/>
      </c>
      <c r="X20" s="37" t="str">
        <f>IF(AND('Mapa final'!$AB$32="Alta",'Mapa final'!$AD$32="Moderado"),CONCATENATE("R5C",'Mapa final'!$R$32),"")</f>
        <v/>
      </c>
      <c r="Y20" s="37" t="str">
        <f>IF(AND('Mapa final'!$AB$33="Alta",'Mapa final'!$AD$33="Moderado"),CONCATENATE("R5C",'Mapa final'!$R$33),"")</f>
        <v/>
      </c>
      <c r="Z20" s="37" t="str">
        <f>IF(AND('Mapa final'!$AB$34="Alta",'Mapa final'!$AD$34="Moderado"),CONCATENATE("R5C",'Mapa final'!$R$34),"")</f>
        <v/>
      </c>
      <c r="AA20" s="38" t="str">
        <f>IF(AND('Mapa final'!$AB$35="Alta",'Mapa final'!$AD$35="Moderado"),CONCATENATE("R5C",'Mapa final'!$R$35),"")</f>
        <v/>
      </c>
      <c r="AB20" s="36" t="str">
        <f>IF(AND('Mapa final'!$AB$30="Alta",'Mapa final'!$AD$30="Mayor"),CONCATENATE("R5C",'Mapa final'!$R$30),"")</f>
        <v/>
      </c>
      <c r="AC20" s="37" t="str">
        <f>IF(AND('Mapa final'!$AB$31="Alta",'Mapa final'!$AD$31="Mayor"),CONCATENATE("R5C",'Mapa final'!$R$31),"")</f>
        <v/>
      </c>
      <c r="AD20" s="37" t="str">
        <f>IF(AND('Mapa final'!$AB$32="Alta",'Mapa final'!$AD$32="Mayor"),CONCATENATE("R5C",'Mapa final'!$R$32),"")</f>
        <v/>
      </c>
      <c r="AE20" s="37" t="str">
        <f>IF(AND('Mapa final'!$AB$33="Alta",'Mapa final'!$AD$33="Mayor"),CONCATENATE("R5C",'Mapa final'!$R$33),"")</f>
        <v/>
      </c>
      <c r="AF20" s="37" t="str">
        <f>IF(AND('Mapa final'!$AB$34="Alta",'Mapa final'!$AD$34="Mayor"),CONCATENATE("R5C",'Mapa final'!$R$34),"")</f>
        <v/>
      </c>
      <c r="AG20" s="38" t="str">
        <f>IF(AND('Mapa final'!$AB$35="Alta",'Mapa final'!$AD$35="Mayor"),CONCATENATE("R5C",'Mapa final'!$R$35),"")</f>
        <v/>
      </c>
      <c r="AH20" s="39" t="str">
        <f>IF(AND('Mapa final'!$AB$30="Alta",'Mapa final'!$AD$30="Catastrófico"),CONCATENATE("R5C",'Mapa final'!$R$30),"")</f>
        <v/>
      </c>
      <c r="AI20" s="40" t="str">
        <f>IF(AND('Mapa final'!$AB$31="Alta",'Mapa final'!$AD$31="Catastrófico"),CONCATENATE("R5C",'Mapa final'!$R$31),"")</f>
        <v/>
      </c>
      <c r="AJ20" s="40" t="str">
        <f>IF(AND('Mapa final'!$AB$32="Alta",'Mapa final'!$AD$32="Catastrófico"),CONCATENATE("R5C",'Mapa final'!$R$32),"")</f>
        <v/>
      </c>
      <c r="AK20" s="40" t="str">
        <f>IF(AND('Mapa final'!$AB$33="Alta",'Mapa final'!$AD$33="Catastrófico"),CONCATENATE("R5C",'Mapa final'!$R$33),"")</f>
        <v/>
      </c>
      <c r="AL20" s="40" t="str">
        <f>IF(AND('Mapa final'!$AB$34="Alta",'Mapa final'!$AD$34="Catastrófico"),CONCATENATE("R5C",'Mapa final'!$R$34),"")</f>
        <v/>
      </c>
      <c r="AM20" s="41" t="str">
        <f>IF(AND('Mapa final'!$AB$35="Alta",'Mapa final'!$AD$35="Catastrófico"),CONCATENATE("R5C",'Mapa final'!$R$35),"")</f>
        <v/>
      </c>
      <c r="AN20" s="67"/>
      <c r="AO20" s="601"/>
      <c r="AP20" s="602"/>
      <c r="AQ20" s="602"/>
      <c r="AR20" s="602"/>
      <c r="AS20" s="602"/>
      <c r="AT20" s="603"/>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row>
    <row r="21" spans="1:76" ht="15" customHeight="1" x14ac:dyDescent="0.3">
      <c r="A21" s="67"/>
      <c r="B21" s="550"/>
      <c r="C21" s="550"/>
      <c r="D21" s="551"/>
      <c r="E21" s="591"/>
      <c r="F21" s="592"/>
      <c r="G21" s="592"/>
      <c r="H21" s="592"/>
      <c r="I21" s="592"/>
      <c r="J21" s="51" t="str">
        <f>IF(AND('Mapa final'!$AB$36="Alta",'Mapa final'!$AD$36="Leve"),CONCATENATE("R6C",'Mapa final'!$R$36),"")</f>
        <v/>
      </c>
      <c r="K21" s="52" t="str">
        <f>IF(AND('Mapa final'!$AB$37="Alta",'Mapa final'!$AD$37="Leve"),CONCATENATE("R6C",'Mapa final'!$R$37),"")</f>
        <v/>
      </c>
      <c r="L21" s="52" t="str">
        <f>IF(AND('Mapa final'!$AB$38="Alta",'Mapa final'!$AD$38="Leve"),CONCATENATE("R6C",'Mapa final'!$R$38),"")</f>
        <v/>
      </c>
      <c r="M21" s="52" t="str">
        <f>IF(AND('Mapa final'!$AB$39="Alta",'Mapa final'!$AD$39="Leve"),CONCATENATE("R6C",'Mapa final'!$R$39),"")</f>
        <v/>
      </c>
      <c r="N21" s="52" t="str">
        <f>IF(AND('Mapa final'!$AB$40="Alta",'Mapa final'!$AD$40="Leve"),CONCATENATE("R6C",'Mapa final'!$R$40),"")</f>
        <v/>
      </c>
      <c r="O21" s="53" t="str">
        <f>IF(AND('Mapa final'!$AB$41="Alta",'Mapa final'!$AD$41="Leve"),CONCATENATE("R6C",'Mapa final'!$R$41),"")</f>
        <v/>
      </c>
      <c r="P21" s="51" t="str">
        <f>IF(AND('Mapa final'!$AB$36="Alta",'Mapa final'!$AD$36="Menor"),CONCATENATE("R6C",'Mapa final'!$R$36),"")</f>
        <v/>
      </c>
      <c r="Q21" s="52" t="str">
        <f>IF(AND('Mapa final'!$AB$37="Alta",'Mapa final'!$AD$37="Menor"),CONCATENATE("R6C",'Mapa final'!$R$37),"")</f>
        <v/>
      </c>
      <c r="R21" s="52" t="str">
        <f>IF(AND('Mapa final'!$AB$38="Alta",'Mapa final'!$AD$38="Menor"),CONCATENATE("R6C",'Mapa final'!$R$38),"")</f>
        <v/>
      </c>
      <c r="S21" s="52" t="str">
        <f>IF(AND('Mapa final'!$AB$39="Alta",'Mapa final'!$AD$39="Menor"),CONCATENATE("R6C",'Mapa final'!$R$39),"")</f>
        <v/>
      </c>
      <c r="T21" s="52" t="str">
        <f>IF(AND('Mapa final'!$AB$40="Alta",'Mapa final'!$AD$40="Menor"),CONCATENATE("R6C",'Mapa final'!$R$40),"")</f>
        <v/>
      </c>
      <c r="U21" s="53" t="str">
        <f>IF(AND('Mapa final'!$AB$41="Alta",'Mapa final'!$AD$41="Menor"),CONCATENATE("R6C",'Mapa final'!$R$41),"")</f>
        <v/>
      </c>
      <c r="V21" s="36" t="str">
        <f>IF(AND('Mapa final'!$AB$36="Alta",'Mapa final'!$AD$36="Moderado"),CONCATENATE("R6C",'Mapa final'!$R$36),"")</f>
        <v/>
      </c>
      <c r="W21" s="37" t="str">
        <f>IF(AND('Mapa final'!$AB$37="Alta",'Mapa final'!$AD$37="Moderado"),CONCATENATE("R6C",'Mapa final'!$R$37),"")</f>
        <v/>
      </c>
      <c r="X21" s="37" t="str">
        <f>IF(AND('Mapa final'!$AB$38="Alta",'Mapa final'!$AD$38="Moderado"),CONCATENATE("R6C",'Mapa final'!$R$38),"")</f>
        <v/>
      </c>
      <c r="Y21" s="37" t="str">
        <f>IF(AND('Mapa final'!$AB$39="Alta",'Mapa final'!$AD$39="Moderado"),CONCATENATE("R6C",'Mapa final'!$R$39),"")</f>
        <v/>
      </c>
      <c r="Z21" s="37" t="str">
        <f>IF(AND('Mapa final'!$AB$40="Alta",'Mapa final'!$AD$40="Moderado"),CONCATENATE("R6C",'Mapa final'!$R$40),"")</f>
        <v/>
      </c>
      <c r="AA21" s="38" t="str">
        <f>IF(AND('Mapa final'!$AB$41="Alta",'Mapa final'!$AD$41="Moderado"),CONCATENATE("R6C",'Mapa final'!$R$41),"")</f>
        <v/>
      </c>
      <c r="AB21" s="36" t="str">
        <f>IF(AND('Mapa final'!$AB$36="Alta",'Mapa final'!$AD$36="Mayor"),CONCATENATE("R6C",'Mapa final'!$R$36),"")</f>
        <v/>
      </c>
      <c r="AC21" s="37" t="str">
        <f>IF(AND('Mapa final'!$AB$37="Alta",'Mapa final'!$AD$37="Mayor"),CONCATENATE("R6C",'Mapa final'!$R$37),"")</f>
        <v/>
      </c>
      <c r="AD21" s="37" t="str">
        <f>IF(AND('Mapa final'!$AB$38="Alta",'Mapa final'!$AD$38="Mayor"),CONCATENATE("R6C",'Mapa final'!$R$38),"")</f>
        <v/>
      </c>
      <c r="AE21" s="37" t="str">
        <f>IF(AND('Mapa final'!$AB$39="Alta",'Mapa final'!$AD$39="Mayor"),CONCATENATE("R6C",'Mapa final'!$R$39),"")</f>
        <v/>
      </c>
      <c r="AF21" s="37" t="str">
        <f>IF(AND('Mapa final'!$AB$40="Alta",'Mapa final'!$AD$40="Mayor"),CONCATENATE("R6C",'Mapa final'!$R$40),"")</f>
        <v/>
      </c>
      <c r="AG21" s="38" t="str">
        <f>IF(AND('Mapa final'!$AB$41="Alta",'Mapa final'!$AD$41="Mayor"),CONCATENATE("R6C",'Mapa final'!$R$41),"")</f>
        <v/>
      </c>
      <c r="AH21" s="39" t="str">
        <f>IF(AND('Mapa final'!$AB$36="Alta",'Mapa final'!$AD$36="Catastrófico"),CONCATENATE("R6C",'Mapa final'!$R$36),"")</f>
        <v/>
      </c>
      <c r="AI21" s="40" t="str">
        <f>IF(AND('Mapa final'!$AB$37="Alta",'Mapa final'!$AD$37="Catastrófico"),CONCATENATE("R6C",'Mapa final'!$R$37),"")</f>
        <v/>
      </c>
      <c r="AJ21" s="40" t="str">
        <f>IF(AND('Mapa final'!$AB$38="Alta",'Mapa final'!$AD$38="Catastrófico"),CONCATENATE("R6C",'Mapa final'!$R$38),"")</f>
        <v/>
      </c>
      <c r="AK21" s="40" t="str">
        <f>IF(AND('Mapa final'!$AB$39="Alta",'Mapa final'!$AD$39="Catastrófico"),CONCATENATE("R6C",'Mapa final'!$R$39),"")</f>
        <v/>
      </c>
      <c r="AL21" s="40" t="str">
        <f>IF(AND('Mapa final'!$AB$40="Alta",'Mapa final'!$AD$40="Catastrófico"),CONCATENATE("R6C",'Mapa final'!$R$40),"")</f>
        <v/>
      </c>
      <c r="AM21" s="41" t="str">
        <f>IF(AND('Mapa final'!$AB$41="Alta",'Mapa final'!$AD$41="Catastrófico"),CONCATENATE("R6C",'Mapa final'!$R$41),"")</f>
        <v/>
      </c>
      <c r="AN21" s="67"/>
      <c r="AO21" s="601"/>
      <c r="AP21" s="602"/>
      <c r="AQ21" s="602"/>
      <c r="AR21" s="602"/>
      <c r="AS21" s="602"/>
      <c r="AT21" s="603"/>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row>
    <row r="22" spans="1:76" ht="15" customHeight="1" x14ac:dyDescent="0.3">
      <c r="A22" s="67"/>
      <c r="B22" s="550"/>
      <c r="C22" s="550"/>
      <c r="D22" s="551"/>
      <c r="E22" s="591"/>
      <c r="F22" s="592"/>
      <c r="G22" s="592"/>
      <c r="H22" s="592"/>
      <c r="I22" s="592"/>
      <c r="J22" s="51" t="str">
        <f>IF(AND('Mapa final'!$AB$42="Alta",'Mapa final'!$AD$42="Leve"),CONCATENATE("R7C",'Mapa final'!$R$42),"")</f>
        <v/>
      </c>
      <c r="K22" s="52" t="str">
        <f>IF(AND('Mapa final'!$AB$43="Alta",'Mapa final'!$AD$43="Leve"),CONCATENATE("R7C",'Mapa final'!$R$43),"")</f>
        <v/>
      </c>
      <c r="L22" s="52" t="str">
        <f>IF(AND('Mapa final'!$AB$44="Alta",'Mapa final'!$AD$44="Leve"),CONCATENATE("R7C",'Mapa final'!$R$44),"")</f>
        <v/>
      </c>
      <c r="M22" s="52" t="str">
        <f>IF(AND('Mapa final'!$AB$45="Alta",'Mapa final'!$AD$45="Leve"),CONCATENATE("R7C",'Mapa final'!$R$45),"")</f>
        <v/>
      </c>
      <c r="N22" s="52" t="str">
        <f>IF(AND('Mapa final'!$AB$46="Alta",'Mapa final'!$AD$46="Leve"),CONCATENATE("R7C",'Mapa final'!$R$46),"")</f>
        <v/>
      </c>
      <c r="O22" s="53" t="str">
        <f>IF(AND('Mapa final'!$AB$47="Alta",'Mapa final'!$AD$47="Leve"),CONCATENATE("R7C",'Mapa final'!$R$47),"")</f>
        <v/>
      </c>
      <c r="P22" s="51" t="str">
        <f>IF(AND('Mapa final'!$AB$42="Alta",'Mapa final'!$AD$42="Menor"),CONCATENATE("R7C",'Mapa final'!$R$42),"")</f>
        <v/>
      </c>
      <c r="Q22" s="52" t="str">
        <f>IF(AND('Mapa final'!$AB$43="Alta",'Mapa final'!$AD$43="Menor"),CONCATENATE("R7C",'Mapa final'!$R$43),"")</f>
        <v/>
      </c>
      <c r="R22" s="52" t="str">
        <f>IF(AND('Mapa final'!$AB$44="Alta",'Mapa final'!$AD$44="Menor"),CONCATENATE("R7C",'Mapa final'!$R$44),"")</f>
        <v/>
      </c>
      <c r="S22" s="52" t="str">
        <f>IF(AND('Mapa final'!$AB$45="Alta",'Mapa final'!$AD$45="Menor"),CONCATENATE("R7C",'Mapa final'!$R$45),"")</f>
        <v/>
      </c>
      <c r="T22" s="52" t="str">
        <f>IF(AND('Mapa final'!$AB$46="Alta",'Mapa final'!$AD$46="Menor"),CONCATENATE("R7C",'Mapa final'!$R$46),"")</f>
        <v/>
      </c>
      <c r="U22" s="53" t="str">
        <f>IF(AND('Mapa final'!$AB$47="Alta",'Mapa final'!$AD$47="Menor"),CONCATENATE("R7C",'Mapa final'!$R$47),"")</f>
        <v/>
      </c>
      <c r="V22" s="36" t="str">
        <f>IF(AND('Mapa final'!$AB$42="Alta",'Mapa final'!$AD$42="Moderado"),CONCATENATE("R7C",'Mapa final'!$R$42),"")</f>
        <v/>
      </c>
      <c r="W22" s="37" t="str">
        <f>IF(AND('Mapa final'!$AB$43="Alta",'Mapa final'!$AD$43="Moderado"),CONCATENATE("R7C",'Mapa final'!$R$43),"")</f>
        <v/>
      </c>
      <c r="X22" s="37" t="str">
        <f>IF(AND('Mapa final'!$AB$44="Alta",'Mapa final'!$AD$44="Moderado"),CONCATENATE("R7C",'Mapa final'!$R$44),"")</f>
        <v/>
      </c>
      <c r="Y22" s="37" t="str">
        <f>IF(AND('Mapa final'!$AB$45="Alta",'Mapa final'!$AD$45="Moderado"),CONCATENATE("R7C",'Mapa final'!$R$45),"")</f>
        <v/>
      </c>
      <c r="Z22" s="37" t="str">
        <f>IF(AND('Mapa final'!$AB$46="Alta",'Mapa final'!$AD$46="Moderado"),CONCATENATE("R7C",'Mapa final'!$R$46),"")</f>
        <v/>
      </c>
      <c r="AA22" s="38" t="str">
        <f>IF(AND('Mapa final'!$AB$47="Alta",'Mapa final'!$AD$47="Moderado"),CONCATENATE("R7C",'Mapa final'!$R$47),"")</f>
        <v/>
      </c>
      <c r="AB22" s="36" t="str">
        <f>IF(AND('Mapa final'!$AB$42="Alta",'Mapa final'!$AD$42="Mayor"),CONCATENATE("R7C",'Mapa final'!$R$42),"")</f>
        <v/>
      </c>
      <c r="AC22" s="37" t="str">
        <f>IF(AND('Mapa final'!$AB$43="Alta",'Mapa final'!$AD$43="Mayor"),CONCATENATE("R7C",'Mapa final'!$R$43),"")</f>
        <v/>
      </c>
      <c r="AD22" s="37" t="str">
        <f>IF(AND('Mapa final'!$AB$44="Alta",'Mapa final'!$AD$44="Mayor"),CONCATENATE("R7C",'Mapa final'!$R$44),"")</f>
        <v/>
      </c>
      <c r="AE22" s="37" t="str">
        <f>IF(AND('Mapa final'!$AB$45="Alta",'Mapa final'!$AD$45="Mayor"),CONCATENATE("R7C",'Mapa final'!$R$45),"")</f>
        <v/>
      </c>
      <c r="AF22" s="37" t="str">
        <f>IF(AND('Mapa final'!$AB$46="Alta",'Mapa final'!$AD$46="Mayor"),CONCATENATE("R7C",'Mapa final'!$R$46),"")</f>
        <v/>
      </c>
      <c r="AG22" s="38" t="str">
        <f>IF(AND('Mapa final'!$AB$47="Alta",'Mapa final'!$AD$47="Mayor"),CONCATENATE("R7C",'Mapa final'!$R$47),"")</f>
        <v/>
      </c>
      <c r="AH22" s="39" t="str">
        <f>IF(AND('Mapa final'!$AB$42="Alta",'Mapa final'!$AD$42="Catastrófico"),CONCATENATE("R7C",'Mapa final'!$R$42),"")</f>
        <v/>
      </c>
      <c r="AI22" s="40" t="str">
        <f>IF(AND('Mapa final'!$AB$43="Alta",'Mapa final'!$AD$43="Catastrófico"),CONCATENATE("R7C",'Mapa final'!$R$43),"")</f>
        <v/>
      </c>
      <c r="AJ22" s="40" t="str">
        <f>IF(AND('Mapa final'!$AB$44="Alta",'Mapa final'!$AD$44="Catastrófico"),CONCATENATE("R7C",'Mapa final'!$R$44),"")</f>
        <v/>
      </c>
      <c r="AK22" s="40" t="str">
        <f>IF(AND('Mapa final'!$AB$45="Alta",'Mapa final'!$AD$45="Catastrófico"),CONCATENATE("R7C",'Mapa final'!$R$45),"")</f>
        <v/>
      </c>
      <c r="AL22" s="40" t="str">
        <f>IF(AND('Mapa final'!$AB$46="Alta",'Mapa final'!$AD$46="Catastrófico"),CONCATENATE("R7C",'Mapa final'!$R$46),"")</f>
        <v/>
      </c>
      <c r="AM22" s="41" t="str">
        <f>IF(AND('Mapa final'!$AB$47="Alta",'Mapa final'!$AD$47="Catastrófico"),CONCATENATE("R7C",'Mapa final'!$R$47),"")</f>
        <v/>
      </c>
      <c r="AN22" s="67"/>
      <c r="AO22" s="601"/>
      <c r="AP22" s="602"/>
      <c r="AQ22" s="602"/>
      <c r="AR22" s="602"/>
      <c r="AS22" s="602"/>
      <c r="AT22" s="603"/>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row>
    <row r="23" spans="1:76" ht="15" customHeight="1" x14ac:dyDescent="0.3">
      <c r="A23" s="67"/>
      <c r="B23" s="550"/>
      <c r="C23" s="550"/>
      <c r="D23" s="551"/>
      <c r="E23" s="591"/>
      <c r="F23" s="592"/>
      <c r="G23" s="592"/>
      <c r="H23" s="592"/>
      <c r="I23" s="592"/>
      <c r="J23" s="51" t="str">
        <f>IF(AND('Mapa final'!$AB$48="Alta",'Mapa final'!$AD$48="Leve"),CONCATENATE("R8C",'Mapa final'!$R$48),"")</f>
        <v/>
      </c>
      <c r="K23" s="52" t="str">
        <f>IF(AND('Mapa final'!$AB$49="Alta",'Mapa final'!$AD$49="Leve"),CONCATENATE("R8C",'Mapa final'!$R$49),"")</f>
        <v/>
      </c>
      <c r="L23" s="52" t="str">
        <f>IF(AND('Mapa final'!$AB$50="Alta",'Mapa final'!$AD$50="Leve"),CONCATENATE("R8C",'Mapa final'!$R$50),"")</f>
        <v/>
      </c>
      <c r="M23" s="52" t="str">
        <f>IF(AND('Mapa final'!$AB$51="Alta",'Mapa final'!$AD$51="Leve"),CONCATENATE("R8C",'Mapa final'!$R$51),"")</f>
        <v/>
      </c>
      <c r="N23" s="52" t="str">
        <f>IF(AND('Mapa final'!$AB$52="Alta",'Mapa final'!$AD$52="Leve"),CONCATENATE("R8C",'Mapa final'!$R$52),"")</f>
        <v/>
      </c>
      <c r="O23" s="53" t="str">
        <f>IF(AND('Mapa final'!$AB$53="Alta",'Mapa final'!$AD$53="Leve"),CONCATENATE("R8C",'Mapa final'!$R$53),"")</f>
        <v/>
      </c>
      <c r="P23" s="51" t="str">
        <f>IF(AND('Mapa final'!$AB$48="Alta",'Mapa final'!$AD$48="Menor"),CONCATENATE("R8C",'Mapa final'!$R$48),"")</f>
        <v/>
      </c>
      <c r="Q23" s="52" t="str">
        <f>IF(AND('Mapa final'!$AB$49="Alta",'Mapa final'!$AD$49="Menor"),CONCATENATE("R8C",'Mapa final'!$R$49),"")</f>
        <v/>
      </c>
      <c r="R23" s="52" t="str">
        <f>IF(AND('Mapa final'!$AB$50="Alta",'Mapa final'!$AD$50="Menor"),CONCATENATE("R8C",'Mapa final'!$R$50),"")</f>
        <v/>
      </c>
      <c r="S23" s="52" t="str">
        <f>IF(AND('Mapa final'!$AB$51="Alta",'Mapa final'!$AD$51="Menor"),CONCATENATE("R8C",'Mapa final'!$R$51),"")</f>
        <v/>
      </c>
      <c r="T23" s="52" t="str">
        <f>IF(AND('Mapa final'!$AB$52="Alta",'Mapa final'!$AD$52="Menor"),CONCATENATE("R8C",'Mapa final'!$R$52),"")</f>
        <v/>
      </c>
      <c r="U23" s="53" t="str">
        <f>IF(AND('Mapa final'!$AB$53="Alta",'Mapa final'!$AD$53="Menor"),CONCATENATE("R8C",'Mapa final'!$R$53),"")</f>
        <v/>
      </c>
      <c r="V23" s="36" t="str">
        <f>IF(AND('Mapa final'!$AB$48="Alta",'Mapa final'!$AD$48="Moderado"),CONCATENATE("R8C",'Mapa final'!$R$48),"")</f>
        <v/>
      </c>
      <c r="W23" s="37" t="str">
        <f>IF(AND('Mapa final'!$AB$49="Alta",'Mapa final'!$AD$49="Moderado"),CONCATENATE("R8C",'Mapa final'!$R$49),"")</f>
        <v/>
      </c>
      <c r="X23" s="37" t="str">
        <f>IF(AND('Mapa final'!$AB$50="Alta",'Mapa final'!$AD$50="Moderado"),CONCATENATE("R8C",'Mapa final'!$R$50),"")</f>
        <v/>
      </c>
      <c r="Y23" s="37" t="str">
        <f>IF(AND('Mapa final'!$AB$51="Alta",'Mapa final'!$AD$51="Moderado"),CONCATENATE("R8C",'Mapa final'!$R$51),"")</f>
        <v/>
      </c>
      <c r="Z23" s="37" t="str">
        <f>IF(AND('Mapa final'!$AB$52="Alta",'Mapa final'!$AD$52="Moderado"),CONCATENATE("R8C",'Mapa final'!$R$52),"")</f>
        <v/>
      </c>
      <c r="AA23" s="38" t="str">
        <f>IF(AND('Mapa final'!$AB$53="Alta",'Mapa final'!$AD$53="Moderado"),CONCATENATE("R8C",'Mapa final'!$R$53),"")</f>
        <v/>
      </c>
      <c r="AB23" s="36" t="str">
        <f>IF(AND('Mapa final'!$AB$48="Alta",'Mapa final'!$AD$48="Mayor"),CONCATENATE("R8C",'Mapa final'!$R$48),"")</f>
        <v/>
      </c>
      <c r="AC23" s="37" t="str">
        <f>IF(AND('Mapa final'!$AB$49="Alta",'Mapa final'!$AD$49="Mayor"),CONCATENATE("R8C",'Mapa final'!$R$49),"")</f>
        <v/>
      </c>
      <c r="AD23" s="37" t="str">
        <f>IF(AND('Mapa final'!$AB$50="Alta",'Mapa final'!$AD$50="Mayor"),CONCATENATE("R8C",'Mapa final'!$R$50),"")</f>
        <v/>
      </c>
      <c r="AE23" s="37" t="str">
        <f>IF(AND('Mapa final'!$AB$51="Alta",'Mapa final'!$AD$51="Mayor"),CONCATENATE("R8C",'Mapa final'!$R$51),"")</f>
        <v/>
      </c>
      <c r="AF23" s="37" t="str">
        <f>IF(AND('Mapa final'!$AB$52="Alta",'Mapa final'!$AD$52="Mayor"),CONCATENATE("R8C",'Mapa final'!$R$52),"")</f>
        <v/>
      </c>
      <c r="AG23" s="38" t="str">
        <f>IF(AND('Mapa final'!$AB$53="Alta",'Mapa final'!$AD$53="Mayor"),CONCATENATE("R8C",'Mapa final'!$R$53),"")</f>
        <v/>
      </c>
      <c r="AH23" s="39" t="str">
        <f>IF(AND('Mapa final'!$AB$48="Alta",'Mapa final'!$AD$48="Catastrófico"),CONCATENATE("R8C",'Mapa final'!$R$48),"")</f>
        <v/>
      </c>
      <c r="AI23" s="40" t="str">
        <f>IF(AND('Mapa final'!$AB$49="Alta",'Mapa final'!$AD$49="Catastrófico"),CONCATENATE("R8C",'Mapa final'!$R$49),"")</f>
        <v/>
      </c>
      <c r="AJ23" s="40" t="str">
        <f>IF(AND('Mapa final'!$AB$50="Alta",'Mapa final'!$AD$50="Catastrófico"),CONCATENATE("R8C",'Mapa final'!$R$50),"")</f>
        <v/>
      </c>
      <c r="AK23" s="40" t="str">
        <f>IF(AND('Mapa final'!$AB$51="Alta",'Mapa final'!$AD$51="Catastrófico"),CONCATENATE("R8C",'Mapa final'!$R$51),"")</f>
        <v/>
      </c>
      <c r="AL23" s="40" t="str">
        <f>IF(AND('Mapa final'!$AB$52="Alta",'Mapa final'!$AD$52="Catastrófico"),CONCATENATE("R8C",'Mapa final'!$R$52),"")</f>
        <v/>
      </c>
      <c r="AM23" s="41" t="str">
        <f>IF(AND('Mapa final'!$AB$53="Alta",'Mapa final'!$AD$53="Catastrófico"),CONCATENATE("R8C",'Mapa final'!$R$53),"")</f>
        <v/>
      </c>
      <c r="AN23" s="67"/>
      <c r="AO23" s="601"/>
      <c r="AP23" s="602"/>
      <c r="AQ23" s="602"/>
      <c r="AR23" s="602"/>
      <c r="AS23" s="602"/>
      <c r="AT23" s="603"/>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row>
    <row r="24" spans="1:76" ht="15" customHeight="1" x14ac:dyDescent="0.3">
      <c r="A24" s="67"/>
      <c r="B24" s="550"/>
      <c r="C24" s="550"/>
      <c r="D24" s="551"/>
      <c r="E24" s="591"/>
      <c r="F24" s="592"/>
      <c r="G24" s="592"/>
      <c r="H24" s="592"/>
      <c r="I24" s="592"/>
      <c r="J24" s="51" t="str">
        <f>IF(AND('Mapa final'!$AB$54="Alta",'Mapa final'!$AD$54="Leve"),CONCATENATE("R9C",'Mapa final'!$R$54),"")</f>
        <v/>
      </c>
      <c r="K24" s="52" t="str">
        <f>IF(AND('Mapa final'!$AB$55="Alta",'Mapa final'!$AD$55="Leve"),CONCATENATE("R9C",'Mapa final'!$R$55),"")</f>
        <v/>
      </c>
      <c r="L24" s="52" t="str">
        <f>IF(AND('Mapa final'!$AB$56="Alta",'Mapa final'!$AD$56="Leve"),CONCATENATE("R9C",'Mapa final'!$R$56),"")</f>
        <v/>
      </c>
      <c r="M24" s="52" t="str">
        <f>IF(AND('Mapa final'!$AB$57="Alta",'Mapa final'!$AD$57="Leve"),CONCATENATE("R9C",'Mapa final'!$R$57),"")</f>
        <v/>
      </c>
      <c r="N24" s="52" t="str">
        <f>IF(AND('Mapa final'!$AB$58="Alta",'Mapa final'!$AD$58="Leve"),CONCATENATE("R9C",'Mapa final'!$R$58),"")</f>
        <v/>
      </c>
      <c r="O24" s="53" t="str">
        <f>IF(AND('Mapa final'!$AB$59="Alta",'Mapa final'!$AD$59="Leve"),CONCATENATE("R9C",'Mapa final'!$R$59),"")</f>
        <v/>
      </c>
      <c r="P24" s="51" t="str">
        <f>IF(AND('Mapa final'!$AB$54="Alta",'Mapa final'!$AD$54="Menor"),CONCATENATE("R9C",'Mapa final'!$R$54),"")</f>
        <v/>
      </c>
      <c r="Q24" s="52" t="str">
        <f>IF(AND('Mapa final'!$AB$55="Alta",'Mapa final'!$AD$55="Menor"),CONCATENATE("R9C",'Mapa final'!$R$55),"")</f>
        <v/>
      </c>
      <c r="R24" s="52" t="str">
        <f>IF(AND('Mapa final'!$AB$56="Alta",'Mapa final'!$AD$56="Menor"),CONCATENATE("R9C",'Mapa final'!$R$56),"")</f>
        <v/>
      </c>
      <c r="S24" s="52" t="str">
        <f>IF(AND('Mapa final'!$AB$57="Alta",'Mapa final'!$AD$57="Menor"),CONCATENATE("R9C",'Mapa final'!$R$57),"")</f>
        <v/>
      </c>
      <c r="T24" s="52" t="str">
        <f>IF(AND('Mapa final'!$AB$58="Alta",'Mapa final'!$AD$58="Menor"),CONCATENATE("R9C",'Mapa final'!$R$58),"")</f>
        <v/>
      </c>
      <c r="U24" s="53" t="str">
        <f>IF(AND('Mapa final'!$AB$59="Alta",'Mapa final'!$AD$59="Menor"),CONCATENATE("R9C",'Mapa final'!$R$59),"")</f>
        <v/>
      </c>
      <c r="V24" s="36" t="str">
        <f>IF(AND('Mapa final'!$AB$54="Alta",'Mapa final'!$AD$54="Moderado"),CONCATENATE("R9C",'Mapa final'!$R$54),"")</f>
        <v/>
      </c>
      <c r="W24" s="37" t="str">
        <f>IF(AND('Mapa final'!$AB$55="Alta",'Mapa final'!$AD$55="Moderado"),CONCATENATE("R9C",'Mapa final'!$R$55),"")</f>
        <v/>
      </c>
      <c r="X24" s="37" t="str">
        <f>IF(AND('Mapa final'!$AB$56="Alta",'Mapa final'!$AD$56="Moderado"),CONCATENATE("R9C",'Mapa final'!$R$56),"")</f>
        <v/>
      </c>
      <c r="Y24" s="37" t="str">
        <f>IF(AND('Mapa final'!$AB$57="Alta",'Mapa final'!$AD$57="Moderado"),CONCATENATE("R9C",'Mapa final'!$R$57),"")</f>
        <v/>
      </c>
      <c r="Z24" s="37" t="str">
        <f>IF(AND('Mapa final'!$AB$58="Alta",'Mapa final'!$AD$58="Moderado"),CONCATENATE("R9C",'Mapa final'!$R$58),"")</f>
        <v/>
      </c>
      <c r="AA24" s="38" t="str">
        <f>IF(AND('Mapa final'!$AB$59="Alta",'Mapa final'!$AD$59="Moderado"),CONCATENATE("R9C",'Mapa final'!$R$59),"")</f>
        <v/>
      </c>
      <c r="AB24" s="36" t="str">
        <f>IF(AND('Mapa final'!$AB$54="Alta",'Mapa final'!$AD$54="Mayor"),CONCATENATE("R9C",'Mapa final'!$R$54),"")</f>
        <v/>
      </c>
      <c r="AC24" s="37" t="str">
        <f>IF(AND('Mapa final'!$AB$55="Alta",'Mapa final'!$AD$55="Mayor"),CONCATENATE("R9C",'Mapa final'!$R$55),"")</f>
        <v/>
      </c>
      <c r="AD24" s="37" t="str">
        <f>IF(AND('Mapa final'!$AB$56="Alta",'Mapa final'!$AD$56="Mayor"),CONCATENATE("R9C",'Mapa final'!$R$56),"")</f>
        <v/>
      </c>
      <c r="AE24" s="37" t="str">
        <f>IF(AND('Mapa final'!$AB$57="Alta",'Mapa final'!$AD$57="Mayor"),CONCATENATE("R9C",'Mapa final'!$R$57),"")</f>
        <v/>
      </c>
      <c r="AF24" s="37" t="str">
        <f>IF(AND('Mapa final'!$AB$58="Alta",'Mapa final'!$AD$58="Mayor"),CONCATENATE("R9C",'Mapa final'!$R$58),"")</f>
        <v/>
      </c>
      <c r="AG24" s="38" t="str">
        <f>IF(AND('Mapa final'!$AB$59="Alta",'Mapa final'!$AD$59="Mayor"),CONCATENATE("R9C",'Mapa final'!$R$59),"")</f>
        <v/>
      </c>
      <c r="AH24" s="39" t="str">
        <f>IF(AND('Mapa final'!$AB$54="Alta",'Mapa final'!$AD$54="Catastrófico"),CONCATENATE("R9C",'Mapa final'!$R$54),"")</f>
        <v/>
      </c>
      <c r="AI24" s="40" t="str">
        <f>IF(AND('Mapa final'!$AB$55="Alta",'Mapa final'!$AD$55="Catastrófico"),CONCATENATE("R9C",'Mapa final'!$R$55),"")</f>
        <v/>
      </c>
      <c r="AJ24" s="40" t="str">
        <f>IF(AND('Mapa final'!$AB$56="Alta",'Mapa final'!$AD$56="Catastrófico"),CONCATENATE("R9C",'Mapa final'!$R$56),"")</f>
        <v/>
      </c>
      <c r="AK24" s="40" t="str">
        <f>IF(AND('Mapa final'!$AB$57="Alta",'Mapa final'!$AD$57="Catastrófico"),CONCATENATE("R9C",'Mapa final'!$R$57),"")</f>
        <v/>
      </c>
      <c r="AL24" s="40" t="str">
        <f>IF(AND('Mapa final'!$AB$58="Alta",'Mapa final'!$AD$58="Catastrófico"),CONCATENATE("R9C",'Mapa final'!$R$58),"")</f>
        <v/>
      </c>
      <c r="AM24" s="41" t="str">
        <f>IF(AND('Mapa final'!$AB$59="Alta",'Mapa final'!$AD$59="Catastrófico"),CONCATENATE("R9C",'Mapa final'!$R$59),"")</f>
        <v/>
      </c>
      <c r="AN24" s="67"/>
      <c r="AO24" s="601"/>
      <c r="AP24" s="602"/>
      <c r="AQ24" s="602"/>
      <c r="AR24" s="602"/>
      <c r="AS24" s="602"/>
      <c r="AT24" s="603"/>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row>
    <row r="25" spans="1:76" ht="15.75" customHeight="1" thickBot="1" x14ac:dyDescent="0.35">
      <c r="A25" s="67"/>
      <c r="B25" s="550"/>
      <c r="C25" s="550"/>
      <c r="D25" s="551"/>
      <c r="E25" s="594"/>
      <c r="F25" s="595"/>
      <c r="G25" s="595"/>
      <c r="H25" s="595"/>
      <c r="I25" s="595"/>
      <c r="J25" s="54" t="str">
        <f>IF(AND('Mapa final'!$AB$60="Alta",'Mapa final'!$AD$60="Leve"),CONCATENATE("R10C",'Mapa final'!$R$60),"")</f>
        <v/>
      </c>
      <c r="K25" s="55" t="str">
        <f>IF(AND('Mapa final'!$AB$61="Alta",'Mapa final'!$AD$61="Leve"),CONCATENATE("R10C",'Mapa final'!$R$61),"")</f>
        <v/>
      </c>
      <c r="L25" s="55" t="str">
        <f>IF(AND('Mapa final'!$AB$62="Alta",'Mapa final'!$AD$62="Leve"),CONCATENATE("R10C",'Mapa final'!$R$62),"")</f>
        <v/>
      </c>
      <c r="M25" s="55" t="str">
        <f>IF(AND('Mapa final'!$AB$63="Alta",'Mapa final'!$AD$63="Leve"),CONCATENATE("R10C",'Mapa final'!$R$63),"")</f>
        <v/>
      </c>
      <c r="N25" s="55" t="str">
        <f>IF(AND('Mapa final'!$AB$64="Alta",'Mapa final'!$AD$64="Leve"),CONCATENATE("R10C",'Mapa final'!$R$64),"")</f>
        <v/>
      </c>
      <c r="O25" s="56" t="str">
        <f>IF(AND('Mapa final'!$AB$65="Alta",'Mapa final'!$AD$65="Leve"),CONCATENATE("R10C",'Mapa final'!$R$65),"")</f>
        <v/>
      </c>
      <c r="P25" s="54" t="str">
        <f>IF(AND('Mapa final'!$AB$60="Alta",'Mapa final'!$AD$60="Menor"),CONCATENATE("R10C",'Mapa final'!$R$60),"")</f>
        <v/>
      </c>
      <c r="Q25" s="55" t="str">
        <f>IF(AND('Mapa final'!$AB$61="Alta",'Mapa final'!$AD$61="Menor"),CONCATENATE("R10C",'Mapa final'!$R$61),"")</f>
        <v/>
      </c>
      <c r="R25" s="55" t="str">
        <f>IF(AND('Mapa final'!$AB$62="Alta",'Mapa final'!$AD$62="Menor"),CONCATENATE("R10C",'Mapa final'!$R$62),"")</f>
        <v/>
      </c>
      <c r="S25" s="55" t="str">
        <f>IF(AND('Mapa final'!$AB$63="Alta",'Mapa final'!$AD$63="Menor"),CONCATENATE("R10C",'Mapa final'!$R$63),"")</f>
        <v/>
      </c>
      <c r="T25" s="55" t="str">
        <f>IF(AND('Mapa final'!$AB$64="Alta",'Mapa final'!$AD$64="Menor"),CONCATENATE("R10C",'Mapa final'!$R$64),"")</f>
        <v/>
      </c>
      <c r="U25" s="56" t="str">
        <f>IF(AND('Mapa final'!$AB$65="Alta",'Mapa final'!$AD$65="Menor"),CONCATENATE("R10C",'Mapa final'!$R$65),"")</f>
        <v/>
      </c>
      <c r="V25" s="42" t="str">
        <f>IF(AND('Mapa final'!$AB$60="Alta",'Mapa final'!$AD$60="Moderado"),CONCATENATE("R10C",'Mapa final'!$R$60),"")</f>
        <v/>
      </c>
      <c r="W25" s="43" t="str">
        <f>IF(AND('Mapa final'!$AB$61="Alta",'Mapa final'!$AD$61="Moderado"),CONCATENATE("R10C",'Mapa final'!$R$61),"")</f>
        <v/>
      </c>
      <c r="X25" s="43" t="str">
        <f>IF(AND('Mapa final'!$AB$62="Alta",'Mapa final'!$AD$62="Moderado"),CONCATENATE("R10C",'Mapa final'!$R$62),"")</f>
        <v/>
      </c>
      <c r="Y25" s="43" t="str">
        <f>IF(AND('Mapa final'!$AB$63="Alta",'Mapa final'!$AD$63="Moderado"),CONCATENATE("R10C",'Mapa final'!$R$63),"")</f>
        <v/>
      </c>
      <c r="Z25" s="43" t="str">
        <f>IF(AND('Mapa final'!$AB$64="Alta",'Mapa final'!$AD$64="Moderado"),CONCATENATE("R10C",'Mapa final'!$R$64),"")</f>
        <v/>
      </c>
      <c r="AA25" s="44" t="str">
        <f>IF(AND('Mapa final'!$AB$65="Alta",'Mapa final'!$AD$65="Moderado"),CONCATENATE("R10C",'Mapa final'!$R$65),"")</f>
        <v/>
      </c>
      <c r="AB25" s="42" t="str">
        <f>IF(AND('Mapa final'!$AB$60="Alta",'Mapa final'!$AD$60="Mayor"),CONCATENATE("R10C",'Mapa final'!$R$60),"")</f>
        <v/>
      </c>
      <c r="AC25" s="43" t="str">
        <f>IF(AND('Mapa final'!$AB$61="Alta",'Mapa final'!$AD$61="Mayor"),CONCATENATE("R10C",'Mapa final'!$R$61),"")</f>
        <v/>
      </c>
      <c r="AD25" s="43" t="str">
        <f>IF(AND('Mapa final'!$AB$62="Alta",'Mapa final'!$AD$62="Mayor"),CONCATENATE("R10C",'Mapa final'!$R$62),"")</f>
        <v/>
      </c>
      <c r="AE25" s="43" t="str">
        <f>IF(AND('Mapa final'!$AB$63="Alta",'Mapa final'!$AD$63="Mayor"),CONCATENATE("R10C",'Mapa final'!$R$63),"")</f>
        <v/>
      </c>
      <c r="AF25" s="43" t="str">
        <f>IF(AND('Mapa final'!$AB$64="Alta",'Mapa final'!$AD$64="Mayor"),CONCATENATE("R10C",'Mapa final'!$R$64),"")</f>
        <v/>
      </c>
      <c r="AG25" s="44" t="str">
        <f>IF(AND('Mapa final'!$AB$65="Alta",'Mapa final'!$AD$65="Mayor"),CONCATENATE("R10C",'Mapa final'!$R$65),"")</f>
        <v/>
      </c>
      <c r="AH25" s="45" t="str">
        <f>IF(AND('Mapa final'!$AB$60="Alta",'Mapa final'!$AD$60="Catastrófico"),CONCATENATE("R10C",'Mapa final'!$R$60),"")</f>
        <v/>
      </c>
      <c r="AI25" s="46" t="str">
        <f>IF(AND('Mapa final'!$AB$61="Alta",'Mapa final'!$AD$61="Catastrófico"),CONCATENATE("R10C",'Mapa final'!$R$61),"")</f>
        <v/>
      </c>
      <c r="AJ25" s="46" t="str">
        <f>IF(AND('Mapa final'!$AB$62="Alta",'Mapa final'!$AD$62="Catastrófico"),CONCATENATE("R10C",'Mapa final'!$R$62),"")</f>
        <v/>
      </c>
      <c r="AK25" s="46" t="str">
        <f>IF(AND('Mapa final'!$AB$63="Alta",'Mapa final'!$AD$63="Catastrófico"),CONCATENATE("R10C",'Mapa final'!$R$63),"")</f>
        <v/>
      </c>
      <c r="AL25" s="46" t="str">
        <f>IF(AND('Mapa final'!$AB$64="Alta",'Mapa final'!$AD$64="Catastrófico"),CONCATENATE("R10C",'Mapa final'!$R$64),"")</f>
        <v/>
      </c>
      <c r="AM25" s="47" t="str">
        <f>IF(AND('Mapa final'!$AB$65="Alta",'Mapa final'!$AD$65="Catastrófico"),CONCATENATE("R10C",'Mapa final'!$R$65),"")</f>
        <v/>
      </c>
      <c r="AN25" s="67"/>
      <c r="AO25" s="604"/>
      <c r="AP25" s="605"/>
      <c r="AQ25" s="605"/>
      <c r="AR25" s="605"/>
      <c r="AS25" s="605"/>
      <c r="AT25" s="606"/>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row>
    <row r="26" spans="1:76" ht="15" customHeight="1" x14ac:dyDescent="0.3">
      <c r="A26" s="67"/>
      <c r="B26" s="550"/>
      <c r="C26" s="550"/>
      <c r="D26" s="551"/>
      <c r="E26" s="588" t="s">
        <v>112</v>
      </c>
      <c r="F26" s="589"/>
      <c r="G26" s="589"/>
      <c r="H26" s="589"/>
      <c r="I26" s="590"/>
      <c r="J26" s="48" t="str">
        <f>IF(AND('Mapa final'!$AB$10="Media",'Mapa final'!$AD$10="Leve"),CONCATENATE("R1C",'Mapa final'!$R$10),"")</f>
        <v/>
      </c>
      <c r="K26" s="49" t="str">
        <f>IF(AND('Mapa final'!$AB$11="Media",'Mapa final'!$AD$11="Leve"),CONCATENATE("R1C",'Mapa final'!$R$11),"")</f>
        <v/>
      </c>
      <c r="L26" s="49" t="e">
        <f>IF(AND('Mapa final'!#REF!="Media",'Mapa final'!#REF!="Leve"),CONCATENATE("R1C",'Mapa final'!#REF!),"")</f>
        <v>#REF!</v>
      </c>
      <c r="M26" s="49" t="e">
        <f>IF(AND('Mapa final'!#REF!="Media",'Mapa final'!#REF!="Leve"),CONCATENATE("R1C",'Mapa final'!#REF!),"")</f>
        <v>#REF!</v>
      </c>
      <c r="N26" s="49" t="e">
        <f>IF(AND('Mapa final'!#REF!="Media",'Mapa final'!#REF!="Leve"),CONCATENATE("R1C",'Mapa final'!#REF!),"")</f>
        <v>#REF!</v>
      </c>
      <c r="O26" s="50" t="e">
        <f>IF(AND('Mapa final'!#REF!="Media",'Mapa final'!#REF!="Leve"),CONCATENATE("R1C",'Mapa final'!#REF!),"")</f>
        <v>#REF!</v>
      </c>
      <c r="P26" s="48" t="str">
        <f>IF(AND('Mapa final'!$AB$10="Media",'Mapa final'!$AD$10="Menor"),CONCATENATE("R1C",'Mapa final'!$R$10),"")</f>
        <v/>
      </c>
      <c r="Q26" s="49" t="str">
        <f>IF(AND('Mapa final'!$AB$11="Media",'Mapa final'!$AD$11="Menor"),CONCATENATE("R1C",'Mapa final'!$R$11),"")</f>
        <v/>
      </c>
      <c r="R26" s="49" t="e">
        <f>IF(AND('Mapa final'!#REF!="Media",'Mapa final'!#REF!="Menor"),CONCATENATE("R1C",'Mapa final'!#REF!),"")</f>
        <v>#REF!</v>
      </c>
      <c r="S26" s="49" t="e">
        <f>IF(AND('Mapa final'!#REF!="Media",'Mapa final'!#REF!="Menor"),CONCATENATE("R1C",'Mapa final'!#REF!),"")</f>
        <v>#REF!</v>
      </c>
      <c r="T26" s="49" t="e">
        <f>IF(AND('Mapa final'!#REF!="Media",'Mapa final'!#REF!="Menor"),CONCATENATE("R1C",'Mapa final'!#REF!),"")</f>
        <v>#REF!</v>
      </c>
      <c r="U26" s="50" t="e">
        <f>IF(AND('Mapa final'!#REF!="Media",'Mapa final'!#REF!="Menor"),CONCATENATE("R1C",'Mapa final'!#REF!),"")</f>
        <v>#REF!</v>
      </c>
      <c r="V26" s="48" t="str">
        <f>IF(AND('Mapa final'!$AB$10="Media",'Mapa final'!$AD$10="Moderado"),CONCATENATE("R1C",'Mapa final'!$R$10),"")</f>
        <v/>
      </c>
      <c r="W26" s="49" t="str">
        <f>IF(AND('Mapa final'!$AB$11="Media",'Mapa final'!$AD$11="Moderado"),CONCATENATE("R1C",'Mapa final'!$R$11),"")</f>
        <v/>
      </c>
      <c r="X26" s="49" t="e">
        <f>IF(AND('Mapa final'!#REF!="Media",'Mapa final'!#REF!="Moderado"),CONCATENATE("R1C",'Mapa final'!#REF!),"")</f>
        <v>#REF!</v>
      </c>
      <c r="Y26" s="49" t="e">
        <f>IF(AND('Mapa final'!#REF!="Media",'Mapa final'!#REF!="Moderado"),CONCATENATE("R1C",'Mapa final'!#REF!),"")</f>
        <v>#REF!</v>
      </c>
      <c r="Z26" s="49" t="e">
        <f>IF(AND('Mapa final'!#REF!="Media",'Mapa final'!#REF!="Moderado"),CONCATENATE("R1C",'Mapa final'!#REF!),"")</f>
        <v>#REF!</v>
      </c>
      <c r="AA26" s="50" t="e">
        <f>IF(AND('Mapa final'!#REF!="Media",'Mapa final'!#REF!="Moderado"),CONCATENATE("R1C",'Mapa final'!#REF!),"")</f>
        <v>#REF!</v>
      </c>
      <c r="AB26" s="30" t="str">
        <f>IF(AND('Mapa final'!$AB$10="Media",'Mapa final'!$AD$10="Mayor"),CONCATENATE("R1C",'Mapa final'!$R$10),"")</f>
        <v/>
      </c>
      <c r="AC26" s="31" t="str">
        <f>IF(AND('Mapa final'!$AB$11="Media",'Mapa final'!$AD$11="Mayor"),CONCATENATE("R1C",'Mapa final'!$R$11),"")</f>
        <v/>
      </c>
      <c r="AD26" s="31" t="e">
        <f>IF(AND('Mapa final'!#REF!="Media",'Mapa final'!#REF!="Mayor"),CONCATENATE("R1C",'Mapa final'!#REF!),"")</f>
        <v>#REF!</v>
      </c>
      <c r="AE26" s="31" t="e">
        <f>IF(AND('Mapa final'!#REF!="Media",'Mapa final'!#REF!="Mayor"),CONCATENATE("R1C",'Mapa final'!#REF!),"")</f>
        <v>#REF!</v>
      </c>
      <c r="AF26" s="31" t="e">
        <f>IF(AND('Mapa final'!#REF!="Media",'Mapa final'!#REF!="Mayor"),CONCATENATE("R1C",'Mapa final'!#REF!),"")</f>
        <v>#REF!</v>
      </c>
      <c r="AG26" s="32" t="e">
        <f>IF(AND('Mapa final'!#REF!="Media",'Mapa final'!#REF!="Mayor"),CONCATENATE("R1C",'Mapa final'!#REF!),"")</f>
        <v>#REF!</v>
      </c>
      <c r="AH26" s="33" t="str">
        <f>IF(AND('Mapa final'!$AB$10="Media",'Mapa final'!$AD$10="Catastrófico"),CONCATENATE("R1C",'Mapa final'!$R$10),"")</f>
        <v/>
      </c>
      <c r="AI26" s="34" t="str">
        <f>IF(AND('Mapa final'!$AB$11="Media",'Mapa final'!$AD$11="Catastrófico"),CONCATENATE("R1C",'Mapa final'!$R$11),"")</f>
        <v/>
      </c>
      <c r="AJ26" s="34" t="e">
        <f>IF(AND('Mapa final'!#REF!="Media",'Mapa final'!#REF!="Catastrófico"),CONCATENATE("R1C",'Mapa final'!#REF!),"")</f>
        <v>#REF!</v>
      </c>
      <c r="AK26" s="34" t="e">
        <f>IF(AND('Mapa final'!#REF!="Media",'Mapa final'!#REF!="Catastrófico"),CONCATENATE("R1C",'Mapa final'!#REF!),"")</f>
        <v>#REF!</v>
      </c>
      <c r="AL26" s="34" t="e">
        <f>IF(AND('Mapa final'!#REF!="Media",'Mapa final'!#REF!="Catastrófico"),CONCATENATE("R1C",'Mapa final'!#REF!),"")</f>
        <v>#REF!</v>
      </c>
      <c r="AM26" s="35" t="e">
        <f>IF(AND('Mapa final'!#REF!="Media",'Mapa final'!#REF!="Catastrófico"),CONCATENATE("R1C",'Mapa final'!#REF!),"")</f>
        <v>#REF!</v>
      </c>
      <c r="AN26" s="67"/>
      <c r="AO26" s="628" t="s">
        <v>80</v>
      </c>
      <c r="AP26" s="629"/>
      <c r="AQ26" s="629"/>
      <c r="AR26" s="629"/>
      <c r="AS26" s="629"/>
      <c r="AT26" s="630"/>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row>
    <row r="27" spans="1:76" ht="15" customHeight="1" x14ac:dyDescent="0.3">
      <c r="A27" s="67"/>
      <c r="B27" s="550"/>
      <c r="C27" s="550"/>
      <c r="D27" s="551"/>
      <c r="E27" s="607"/>
      <c r="F27" s="592"/>
      <c r="G27" s="592"/>
      <c r="H27" s="592"/>
      <c r="I27" s="593"/>
      <c r="J27" s="51" t="str">
        <f>IF(AND('Mapa final'!$AB$12="Media",'Mapa final'!$AD$12="Leve"),CONCATENATE("R2C",'Mapa final'!$R$12),"")</f>
        <v/>
      </c>
      <c r="K27" s="52" t="str">
        <f>IF(AND('Mapa final'!$AB$13="Media",'Mapa final'!$AD$13="Leve"),CONCATENATE("R2C",'Mapa final'!$R$13),"")</f>
        <v/>
      </c>
      <c r="L27" s="52" t="str">
        <f>IF(AND('Mapa final'!$AB$14="Media",'Mapa final'!$AD$14="Leve"),CONCATENATE("R2C",'Mapa final'!$R$14),"")</f>
        <v/>
      </c>
      <c r="M27" s="52" t="str">
        <f>IF(AND('Mapa final'!$AB$15="Media",'Mapa final'!$AD$15="Leve"),CONCATENATE("R2C",'Mapa final'!$R$15),"")</f>
        <v/>
      </c>
      <c r="N27" s="52" t="str">
        <f>IF(AND('Mapa final'!$AB$16="Media",'Mapa final'!$AD$16="Leve"),CONCATENATE("R2C",'Mapa final'!$R$16),"")</f>
        <v/>
      </c>
      <c r="O27" s="53" t="str">
        <f>IF(AND('Mapa final'!$AB$17="Media",'Mapa final'!$AD$17="Leve"),CONCATENATE("R2C",'Mapa final'!$R$17),"")</f>
        <v/>
      </c>
      <c r="P27" s="51" t="str">
        <f>IF(AND('Mapa final'!$AB$12="Media",'Mapa final'!$AD$12="Menor"),CONCATENATE("R2C",'Mapa final'!$R$12),"")</f>
        <v/>
      </c>
      <c r="Q27" s="52" t="str">
        <f>IF(AND('Mapa final'!$AB$13="Media",'Mapa final'!$AD$13="Menor"),CONCATENATE("R2C",'Mapa final'!$R$13),"")</f>
        <v/>
      </c>
      <c r="R27" s="52" t="str">
        <f>IF(AND('Mapa final'!$AB$14="Media",'Mapa final'!$AD$14="Menor"),CONCATENATE("R2C",'Mapa final'!$R$14),"")</f>
        <v/>
      </c>
      <c r="S27" s="52" t="str">
        <f>IF(AND('Mapa final'!$AB$15="Media",'Mapa final'!$AD$15="Menor"),CONCATENATE("R2C",'Mapa final'!$R$15),"")</f>
        <v/>
      </c>
      <c r="T27" s="52" t="str">
        <f>IF(AND('Mapa final'!$AB$16="Media",'Mapa final'!$AD$16="Menor"),CONCATENATE("R2C",'Mapa final'!$R$16),"")</f>
        <v/>
      </c>
      <c r="U27" s="53" t="str">
        <f>IF(AND('Mapa final'!$AB$17="Media",'Mapa final'!$AD$17="Menor"),CONCATENATE("R2C",'Mapa final'!$R$17),"")</f>
        <v/>
      </c>
      <c r="V27" s="51" t="str">
        <f>IF(AND('Mapa final'!$AB$12="Media",'Mapa final'!$AD$12="Moderado"),CONCATENATE("R2C",'Mapa final'!$R$12),"")</f>
        <v/>
      </c>
      <c r="W27" s="52" t="str">
        <f>IF(AND('Mapa final'!$AB$13="Media",'Mapa final'!$AD$13="Moderado"),CONCATENATE("R2C",'Mapa final'!$R$13),"")</f>
        <v/>
      </c>
      <c r="X27" s="52" t="str">
        <f>IF(AND('Mapa final'!$AB$14="Media",'Mapa final'!$AD$14="Moderado"),CONCATENATE("R2C",'Mapa final'!$R$14),"")</f>
        <v/>
      </c>
      <c r="Y27" s="52" t="str">
        <f>IF(AND('Mapa final'!$AB$15="Media",'Mapa final'!$AD$15="Moderado"),CONCATENATE("R2C",'Mapa final'!$R$15),"")</f>
        <v/>
      </c>
      <c r="Z27" s="52" t="str">
        <f>IF(AND('Mapa final'!$AB$16="Media",'Mapa final'!$AD$16="Moderado"),CONCATENATE("R2C",'Mapa final'!$R$16),"")</f>
        <v/>
      </c>
      <c r="AA27" s="53" t="str">
        <f>IF(AND('Mapa final'!$AB$17="Media",'Mapa final'!$AD$17="Moderado"),CONCATENATE("R2C",'Mapa final'!$R$17),"")</f>
        <v/>
      </c>
      <c r="AB27" s="36" t="str">
        <f>IF(AND('Mapa final'!$AB$12="Media",'Mapa final'!$AD$12="Mayor"),CONCATENATE("R2C",'Mapa final'!$R$12),"")</f>
        <v/>
      </c>
      <c r="AC27" s="37" t="str">
        <f>IF(AND('Mapa final'!$AB$13="Media",'Mapa final'!$AD$13="Mayor"),CONCATENATE("R2C",'Mapa final'!$R$13),"")</f>
        <v/>
      </c>
      <c r="AD27" s="37" t="str">
        <f>IF(AND('Mapa final'!$AB$14="Media",'Mapa final'!$AD$14="Mayor"),CONCATENATE("R2C",'Mapa final'!$R$14),"")</f>
        <v/>
      </c>
      <c r="AE27" s="37" t="str">
        <f>IF(AND('Mapa final'!$AB$15="Media",'Mapa final'!$AD$15="Mayor"),CONCATENATE("R2C",'Mapa final'!$R$15),"")</f>
        <v/>
      </c>
      <c r="AF27" s="37" t="str">
        <f>IF(AND('Mapa final'!$AB$16="Media",'Mapa final'!$AD$16="Mayor"),CONCATENATE("R2C",'Mapa final'!$R$16),"")</f>
        <v/>
      </c>
      <c r="AG27" s="38" t="str">
        <f>IF(AND('Mapa final'!$AB$17="Media",'Mapa final'!$AD$17="Mayor"),CONCATENATE("R2C",'Mapa final'!$R$17),"")</f>
        <v/>
      </c>
      <c r="AH27" s="39" t="str">
        <f>IF(AND('Mapa final'!$AB$12="Media",'Mapa final'!$AD$12="Catastrófico"),CONCATENATE("R2C",'Mapa final'!$R$12),"")</f>
        <v/>
      </c>
      <c r="AI27" s="40" t="str">
        <f>IF(AND('Mapa final'!$AB$13="Media",'Mapa final'!$AD$13="Catastrófico"),CONCATENATE("R2C",'Mapa final'!$R$13),"")</f>
        <v/>
      </c>
      <c r="AJ27" s="40" t="str">
        <f>IF(AND('Mapa final'!$AB$14="Media",'Mapa final'!$AD$14="Catastrófico"),CONCATENATE("R2C",'Mapa final'!$R$14),"")</f>
        <v/>
      </c>
      <c r="AK27" s="40" t="str">
        <f>IF(AND('Mapa final'!$AB$15="Media",'Mapa final'!$AD$15="Catastrófico"),CONCATENATE("R2C",'Mapa final'!$R$15),"")</f>
        <v/>
      </c>
      <c r="AL27" s="40" t="str">
        <f>IF(AND('Mapa final'!$AB$16="Media",'Mapa final'!$AD$16="Catastrófico"),CONCATENATE("R2C",'Mapa final'!$R$16),"")</f>
        <v/>
      </c>
      <c r="AM27" s="41" t="str">
        <f>IF(AND('Mapa final'!$AB$17="Media",'Mapa final'!$AD$17="Catastrófico"),CONCATENATE("R2C",'Mapa final'!$R$17),"")</f>
        <v/>
      </c>
      <c r="AN27" s="67"/>
      <c r="AO27" s="631"/>
      <c r="AP27" s="632"/>
      <c r="AQ27" s="632"/>
      <c r="AR27" s="632"/>
      <c r="AS27" s="632"/>
      <c r="AT27" s="633"/>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row>
    <row r="28" spans="1:76" ht="15" customHeight="1" x14ac:dyDescent="0.3">
      <c r="A28" s="67"/>
      <c r="B28" s="550"/>
      <c r="C28" s="550"/>
      <c r="D28" s="551"/>
      <c r="E28" s="591"/>
      <c r="F28" s="592"/>
      <c r="G28" s="592"/>
      <c r="H28" s="592"/>
      <c r="I28" s="593"/>
      <c r="J28" s="51" t="str">
        <f>IF(AND('Mapa final'!$AB$18="Media",'Mapa final'!$AD$18="Leve"),CONCATENATE("R3C",'Mapa final'!$R$18),"")</f>
        <v/>
      </c>
      <c r="K28" s="52" t="str">
        <f>IF(AND('Mapa final'!$AB$19="Media",'Mapa final'!$AD$19="Leve"),CONCATENATE("R3C",'Mapa final'!$R$19),"")</f>
        <v/>
      </c>
      <c r="L28" s="52" t="str">
        <f>IF(AND('Mapa final'!$AB$20="Media",'Mapa final'!$AD$20="Leve"),CONCATENATE("R3C",'Mapa final'!$R$20),"")</f>
        <v/>
      </c>
      <c r="M28" s="52" t="str">
        <f>IF(AND('Mapa final'!$AB$21="Media",'Mapa final'!$AD$21="Leve"),CONCATENATE("R3C",'Mapa final'!$R$21),"")</f>
        <v/>
      </c>
      <c r="N28" s="52" t="str">
        <f>IF(AND('Mapa final'!$AB$22="Media",'Mapa final'!$AD$22="Leve"),CONCATENATE("R3C",'Mapa final'!$R$22),"")</f>
        <v/>
      </c>
      <c r="O28" s="53" t="str">
        <f>IF(AND('Mapa final'!$AB$23="Media",'Mapa final'!$AD$23="Leve"),CONCATENATE("R3C",'Mapa final'!$R$23),"")</f>
        <v/>
      </c>
      <c r="P28" s="51" t="str">
        <f>IF(AND('Mapa final'!$AB$18="Media",'Mapa final'!$AD$18="Menor"),CONCATENATE("R3C",'Mapa final'!$R$18),"")</f>
        <v/>
      </c>
      <c r="Q28" s="52" t="str">
        <f>IF(AND('Mapa final'!$AB$19="Media",'Mapa final'!$AD$19="Menor"),CONCATENATE("R3C",'Mapa final'!$R$19),"")</f>
        <v/>
      </c>
      <c r="R28" s="52" t="str">
        <f>IF(AND('Mapa final'!$AB$20="Media",'Mapa final'!$AD$20="Menor"),CONCATENATE("R3C",'Mapa final'!$R$20),"")</f>
        <v/>
      </c>
      <c r="S28" s="52" t="str">
        <f>IF(AND('Mapa final'!$AB$21="Media",'Mapa final'!$AD$21="Menor"),CONCATENATE("R3C",'Mapa final'!$R$21),"")</f>
        <v/>
      </c>
      <c r="T28" s="52" t="str">
        <f>IF(AND('Mapa final'!$AB$22="Media",'Mapa final'!$AD$22="Menor"),CONCATENATE("R3C",'Mapa final'!$R$22),"")</f>
        <v/>
      </c>
      <c r="U28" s="53" t="str">
        <f>IF(AND('Mapa final'!$AB$23="Media",'Mapa final'!$AD$23="Menor"),CONCATENATE("R3C",'Mapa final'!$R$23),"")</f>
        <v/>
      </c>
      <c r="V28" s="51" t="str">
        <f>IF(AND('Mapa final'!$AB$18="Media",'Mapa final'!$AD$18="Moderado"),CONCATENATE("R3C",'Mapa final'!$R$18),"")</f>
        <v/>
      </c>
      <c r="W28" s="52" t="str">
        <f>IF(AND('Mapa final'!$AB$19="Media",'Mapa final'!$AD$19="Moderado"),CONCATENATE("R3C",'Mapa final'!$R$19),"")</f>
        <v/>
      </c>
      <c r="X28" s="52" t="str">
        <f>IF(AND('Mapa final'!$AB$20="Media",'Mapa final'!$AD$20="Moderado"),CONCATENATE("R3C",'Mapa final'!$R$20),"")</f>
        <v/>
      </c>
      <c r="Y28" s="52" t="str">
        <f>IF(AND('Mapa final'!$AB$21="Media",'Mapa final'!$AD$21="Moderado"),CONCATENATE("R3C",'Mapa final'!$R$21),"")</f>
        <v/>
      </c>
      <c r="Z28" s="52" t="str">
        <f>IF(AND('Mapa final'!$AB$22="Media",'Mapa final'!$AD$22="Moderado"),CONCATENATE("R3C",'Mapa final'!$R$22),"")</f>
        <v/>
      </c>
      <c r="AA28" s="53" t="str">
        <f>IF(AND('Mapa final'!$AB$23="Media",'Mapa final'!$AD$23="Moderado"),CONCATENATE("R3C",'Mapa final'!$R$23),"")</f>
        <v/>
      </c>
      <c r="AB28" s="36" t="str">
        <f>IF(AND('Mapa final'!$AB$18="Media",'Mapa final'!$AD$18="Mayor"),CONCATENATE("R3C",'Mapa final'!$R$18),"")</f>
        <v/>
      </c>
      <c r="AC28" s="37" t="str">
        <f>IF(AND('Mapa final'!$AB$19="Media",'Mapa final'!$AD$19="Mayor"),CONCATENATE("R3C",'Mapa final'!$R$19),"")</f>
        <v/>
      </c>
      <c r="AD28" s="37" t="str">
        <f>IF(AND('Mapa final'!$AB$20="Media",'Mapa final'!$AD$20="Mayor"),CONCATENATE("R3C",'Mapa final'!$R$20),"")</f>
        <v/>
      </c>
      <c r="AE28" s="37" t="str">
        <f>IF(AND('Mapa final'!$AB$21="Media",'Mapa final'!$AD$21="Mayor"),CONCATENATE("R3C",'Mapa final'!$R$21),"")</f>
        <v/>
      </c>
      <c r="AF28" s="37" t="str">
        <f>IF(AND('Mapa final'!$AB$22="Media",'Mapa final'!$AD$22="Mayor"),CONCATENATE("R3C",'Mapa final'!$R$22),"")</f>
        <v/>
      </c>
      <c r="AG28" s="38" t="str">
        <f>IF(AND('Mapa final'!$AB$23="Media",'Mapa final'!$AD$23="Mayor"),CONCATENATE("R3C",'Mapa final'!$R$23),"")</f>
        <v/>
      </c>
      <c r="AH28" s="39" t="str">
        <f>IF(AND('Mapa final'!$AB$18="Media",'Mapa final'!$AD$18="Catastrófico"),CONCATENATE("R3C",'Mapa final'!$R$18),"")</f>
        <v/>
      </c>
      <c r="AI28" s="40" t="str">
        <f>IF(AND('Mapa final'!$AB$19="Media",'Mapa final'!$AD$19="Catastrófico"),CONCATENATE("R3C",'Mapa final'!$R$19),"")</f>
        <v/>
      </c>
      <c r="AJ28" s="40" t="str">
        <f>IF(AND('Mapa final'!$AB$20="Media",'Mapa final'!$AD$20="Catastrófico"),CONCATENATE("R3C",'Mapa final'!$R$20),"")</f>
        <v/>
      </c>
      <c r="AK28" s="40" t="str">
        <f>IF(AND('Mapa final'!$AB$21="Media",'Mapa final'!$AD$21="Catastrófico"),CONCATENATE("R3C",'Mapa final'!$R$21),"")</f>
        <v/>
      </c>
      <c r="AL28" s="40" t="str">
        <f>IF(AND('Mapa final'!$AB$22="Media",'Mapa final'!$AD$22="Catastrófico"),CONCATENATE("R3C",'Mapa final'!$R$22),"")</f>
        <v/>
      </c>
      <c r="AM28" s="41" t="str">
        <f>IF(AND('Mapa final'!$AB$23="Media",'Mapa final'!$AD$23="Catastrófico"),CONCATENATE("R3C",'Mapa final'!$R$23),"")</f>
        <v/>
      </c>
      <c r="AN28" s="67"/>
      <c r="AO28" s="631"/>
      <c r="AP28" s="632"/>
      <c r="AQ28" s="632"/>
      <c r="AR28" s="632"/>
      <c r="AS28" s="632"/>
      <c r="AT28" s="633"/>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row>
    <row r="29" spans="1:76" ht="15" customHeight="1" x14ac:dyDescent="0.3">
      <c r="A29" s="67"/>
      <c r="B29" s="550"/>
      <c r="C29" s="550"/>
      <c r="D29" s="551"/>
      <c r="E29" s="591"/>
      <c r="F29" s="592"/>
      <c r="G29" s="592"/>
      <c r="H29" s="592"/>
      <c r="I29" s="593"/>
      <c r="J29" s="51" t="str">
        <f>IF(AND('Mapa final'!$AB$24="Media",'Mapa final'!$AD$24="Leve"),CONCATENATE("R4C",'Mapa final'!$R$24),"")</f>
        <v/>
      </c>
      <c r="K29" s="52" t="str">
        <f>IF(AND('Mapa final'!$AB$25="Media",'Mapa final'!$AD$25="Leve"),CONCATENATE("R4C",'Mapa final'!$R$25),"")</f>
        <v/>
      </c>
      <c r="L29" s="52" t="str">
        <f>IF(AND('Mapa final'!$AB$26="Media",'Mapa final'!$AD$26="Leve"),CONCATENATE("R4C",'Mapa final'!$R$26),"")</f>
        <v/>
      </c>
      <c r="M29" s="52" t="str">
        <f>IF(AND('Mapa final'!$AB$27="Media",'Mapa final'!$AD$27="Leve"),CONCATENATE("R4C",'Mapa final'!$R$27),"")</f>
        <v/>
      </c>
      <c r="N29" s="52" t="str">
        <f>IF(AND('Mapa final'!$AB$28="Media",'Mapa final'!$AD$28="Leve"),CONCATENATE("R4C",'Mapa final'!$R$28),"")</f>
        <v/>
      </c>
      <c r="O29" s="53" t="str">
        <f>IF(AND('Mapa final'!$AB$29="Media",'Mapa final'!$AD$29="Leve"),CONCATENATE("R4C",'Mapa final'!$R$29),"")</f>
        <v/>
      </c>
      <c r="P29" s="51" t="str">
        <f>IF(AND('Mapa final'!$AB$24="Media",'Mapa final'!$AD$24="Menor"),CONCATENATE("R4C",'Mapa final'!$R$24),"")</f>
        <v/>
      </c>
      <c r="Q29" s="52" t="str">
        <f>IF(AND('Mapa final'!$AB$25="Media",'Mapa final'!$AD$25="Menor"),CONCATENATE("R4C",'Mapa final'!$R$25),"")</f>
        <v/>
      </c>
      <c r="R29" s="52" t="str">
        <f>IF(AND('Mapa final'!$AB$26="Media",'Mapa final'!$AD$26="Menor"),CONCATENATE("R4C",'Mapa final'!$R$26),"")</f>
        <v/>
      </c>
      <c r="S29" s="52" t="str">
        <f>IF(AND('Mapa final'!$AB$27="Media",'Mapa final'!$AD$27="Menor"),CONCATENATE("R4C",'Mapa final'!$R$27),"")</f>
        <v/>
      </c>
      <c r="T29" s="52" t="str">
        <f>IF(AND('Mapa final'!$AB$28="Media",'Mapa final'!$AD$28="Menor"),CONCATENATE("R4C",'Mapa final'!$R$28),"")</f>
        <v/>
      </c>
      <c r="U29" s="53" t="str">
        <f>IF(AND('Mapa final'!$AB$29="Media",'Mapa final'!$AD$29="Menor"),CONCATENATE("R4C",'Mapa final'!$R$29),"")</f>
        <v/>
      </c>
      <c r="V29" s="51" t="str">
        <f>IF(AND('Mapa final'!$AB$24="Media",'Mapa final'!$AD$24="Moderado"),CONCATENATE("R4C",'Mapa final'!$R$24),"")</f>
        <v/>
      </c>
      <c r="W29" s="52" t="str">
        <f>IF(AND('Mapa final'!$AB$25="Media",'Mapa final'!$AD$25="Moderado"),CONCATENATE("R4C",'Mapa final'!$R$25),"")</f>
        <v/>
      </c>
      <c r="X29" s="52" t="str">
        <f>IF(AND('Mapa final'!$AB$26="Media",'Mapa final'!$AD$26="Moderado"),CONCATENATE("R4C",'Mapa final'!$R$26),"")</f>
        <v/>
      </c>
      <c r="Y29" s="52" t="str">
        <f>IF(AND('Mapa final'!$AB$27="Media",'Mapa final'!$AD$27="Moderado"),CONCATENATE("R4C",'Mapa final'!$R$27),"")</f>
        <v/>
      </c>
      <c r="Z29" s="52" t="str">
        <f>IF(AND('Mapa final'!$AB$28="Media",'Mapa final'!$AD$28="Moderado"),CONCATENATE("R4C",'Mapa final'!$R$28),"")</f>
        <v/>
      </c>
      <c r="AA29" s="53" t="str">
        <f>IF(AND('Mapa final'!$AB$29="Media",'Mapa final'!$AD$29="Moderado"),CONCATENATE("R4C",'Mapa final'!$R$29),"")</f>
        <v/>
      </c>
      <c r="AB29" s="36" t="str">
        <f>IF(AND('Mapa final'!$AB$24="Media",'Mapa final'!$AD$24="Mayor"),CONCATENATE("R4C",'Mapa final'!$R$24),"")</f>
        <v/>
      </c>
      <c r="AC29" s="37" t="str">
        <f>IF(AND('Mapa final'!$AB$25="Media",'Mapa final'!$AD$25="Mayor"),CONCATENATE("R4C",'Mapa final'!$R$25),"")</f>
        <v/>
      </c>
      <c r="AD29" s="37" t="str">
        <f>IF(AND('Mapa final'!$AB$26="Media",'Mapa final'!$AD$26="Mayor"),CONCATENATE("R4C",'Mapa final'!$R$26),"")</f>
        <v/>
      </c>
      <c r="AE29" s="37" t="str">
        <f>IF(AND('Mapa final'!$AB$27="Media",'Mapa final'!$AD$27="Mayor"),CONCATENATE("R4C",'Mapa final'!$R$27),"")</f>
        <v/>
      </c>
      <c r="AF29" s="37" t="str">
        <f>IF(AND('Mapa final'!$AB$28="Media",'Mapa final'!$AD$28="Mayor"),CONCATENATE("R4C",'Mapa final'!$R$28),"")</f>
        <v/>
      </c>
      <c r="AG29" s="38" t="str">
        <f>IF(AND('Mapa final'!$AB$29="Media",'Mapa final'!$AD$29="Mayor"),CONCATENATE("R4C",'Mapa final'!$R$29),"")</f>
        <v/>
      </c>
      <c r="AH29" s="39" t="str">
        <f>IF(AND('Mapa final'!$AB$24="Media",'Mapa final'!$AD$24="Catastrófico"),CONCATENATE("R4C",'Mapa final'!$R$24),"")</f>
        <v/>
      </c>
      <c r="AI29" s="40" t="str">
        <f>IF(AND('Mapa final'!$AB$25="Media",'Mapa final'!$AD$25="Catastrófico"),CONCATENATE("R4C",'Mapa final'!$R$25),"")</f>
        <v/>
      </c>
      <c r="AJ29" s="40" t="str">
        <f>IF(AND('Mapa final'!$AB$26="Media",'Mapa final'!$AD$26="Catastrófico"),CONCATENATE("R4C",'Mapa final'!$R$26),"")</f>
        <v/>
      </c>
      <c r="AK29" s="40" t="str">
        <f>IF(AND('Mapa final'!$AB$27="Media",'Mapa final'!$AD$27="Catastrófico"),CONCATENATE("R4C",'Mapa final'!$R$27),"")</f>
        <v/>
      </c>
      <c r="AL29" s="40" t="str">
        <f>IF(AND('Mapa final'!$AB$28="Media",'Mapa final'!$AD$28="Catastrófico"),CONCATENATE("R4C",'Mapa final'!$R$28),"")</f>
        <v/>
      </c>
      <c r="AM29" s="41" t="str">
        <f>IF(AND('Mapa final'!$AB$29="Media",'Mapa final'!$AD$29="Catastrófico"),CONCATENATE("R4C",'Mapa final'!$R$29),"")</f>
        <v/>
      </c>
      <c r="AN29" s="67"/>
      <c r="AO29" s="631"/>
      <c r="AP29" s="632"/>
      <c r="AQ29" s="632"/>
      <c r="AR29" s="632"/>
      <c r="AS29" s="632"/>
      <c r="AT29" s="633"/>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row>
    <row r="30" spans="1:76" ht="15" customHeight="1" x14ac:dyDescent="0.3">
      <c r="A30" s="67"/>
      <c r="B30" s="550"/>
      <c r="C30" s="550"/>
      <c r="D30" s="551"/>
      <c r="E30" s="591"/>
      <c r="F30" s="592"/>
      <c r="G30" s="592"/>
      <c r="H30" s="592"/>
      <c r="I30" s="593"/>
      <c r="J30" s="51" t="str">
        <f>IF(AND('Mapa final'!$AB$30="Media",'Mapa final'!$AD$30="Leve"),CONCATENATE("R5C",'Mapa final'!$R$30),"")</f>
        <v/>
      </c>
      <c r="K30" s="52" t="str">
        <f>IF(AND('Mapa final'!$AB$31="Media",'Mapa final'!$AD$31="Leve"),CONCATENATE("R5C",'Mapa final'!$R$31),"")</f>
        <v/>
      </c>
      <c r="L30" s="52" t="str">
        <f>IF(AND('Mapa final'!$AB$32="Media",'Mapa final'!$AD$32="Leve"),CONCATENATE("R5C",'Mapa final'!$R$32),"")</f>
        <v/>
      </c>
      <c r="M30" s="52" t="str">
        <f>IF(AND('Mapa final'!$AB$33="Media",'Mapa final'!$AD$33="Leve"),CONCATENATE("R5C",'Mapa final'!$R$33),"")</f>
        <v/>
      </c>
      <c r="N30" s="52" t="str">
        <f>IF(AND('Mapa final'!$AB$34="Media",'Mapa final'!$AD$34="Leve"),CONCATENATE("R5C",'Mapa final'!$R$34),"")</f>
        <v/>
      </c>
      <c r="O30" s="53" t="str">
        <f>IF(AND('Mapa final'!$AB$35="Media",'Mapa final'!$AD$35="Leve"),CONCATENATE("R5C",'Mapa final'!$R$35),"")</f>
        <v/>
      </c>
      <c r="P30" s="51" t="str">
        <f>IF(AND('Mapa final'!$AB$30="Media",'Mapa final'!$AD$30="Menor"),CONCATENATE("R5C",'Mapa final'!$R$30),"")</f>
        <v/>
      </c>
      <c r="Q30" s="52" t="str">
        <f>IF(AND('Mapa final'!$AB$31="Media",'Mapa final'!$AD$31="Menor"),CONCATENATE("R5C",'Mapa final'!$R$31),"")</f>
        <v/>
      </c>
      <c r="R30" s="52" t="str">
        <f>IF(AND('Mapa final'!$AB$32="Media",'Mapa final'!$AD$32="Menor"),CONCATENATE("R5C",'Mapa final'!$R$32),"")</f>
        <v/>
      </c>
      <c r="S30" s="52" t="str">
        <f>IF(AND('Mapa final'!$AB$33="Media",'Mapa final'!$AD$33="Menor"),CONCATENATE("R5C",'Mapa final'!$R$33),"")</f>
        <v/>
      </c>
      <c r="T30" s="52" t="str">
        <f>IF(AND('Mapa final'!$AB$34="Media",'Mapa final'!$AD$34="Menor"),CONCATENATE("R5C",'Mapa final'!$R$34),"")</f>
        <v/>
      </c>
      <c r="U30" s="53" t="str">
        <f>IF(AND('Mapa final'!$AB$35="Media",'Mapa final'!$AD$35="Menor"),CONCATENATE("R5C",'Mapa final'!$R$35),"")</f>
        <v/>
      </c>
      <c r="V30" s="51" t="str">
        <f>IF(AND('Mapa final'!$AB$30="Media",'Mapa final'!$AD$30="Moderado"),CONCATENATE("R5C",'Mapa final'!$R$30),"")</f>
        <v/>
      </c>
      <c r="W30" s="52" t="str">
        <f>IF(AND('Mapa final'!$AB$31="Media",'Mapa final'!$AD$31="Moderado"),CONCATENATE("R5C",'Mapa final'!$R$31),"")</f>
        <v/>
      </c>
      <c r="X30" s="52" t="str">
        <f>IF(AND('Mapa final'!$AB$32="Media",'Mapa final'!$AD$32="Moderado"),CONCATENATE("R5C",'Mapa final'!$R$32),"")</f>
        <v/>
      </c>
      <c r="Y30" s="52" t="str">
        <f>IF(AND('Mapa final'!$AB$33="Media",'Mapa final'!$AD$33="Moderado"),CONCATENATE("R5C",'Mapa final'!$R$33),"")</f>
        <v/>
      </c>
      <c r="Z30" s="52" t="str">
        <f>IF(AND('Mapa final'!$AB$34="Media",'Mapa final'!$AD$34="Moderado"),CONCATENATE("R5C",'Mapa final'!$R$34),"")</f>
        <v/>
      </c>
      <c r="AA30" s="53" t="str">
        <f>IF(AND('Mapa final'!$AB$35="Media",'Mapa final'!$AD$35="Moderado"),CONCATENATE("R5C",'Mapa final'!$R$35),"")</f>
        <v/>
      </c>
      <c r="AB30" s="36" t="str">
        <f>IF(AND('Mapa final'!$AB$30="Media",'Mapa final'!$AD$30="Mayor"),CONCATENATE("R5C",'Mapa final'!$R$30),"")</f>
        <v/>
      </c>
      <c r="AC30" s="37" t="str">
        <f>IF(AND('Mapa final'!$AB$31="Media",'Mapa final'!$AD$31="Mayor"),CONCATENATE("R5C",'Mapa final'!$R$31),"")</f>
        <v/>
      </c>
      <c r="AD30" s="37" t="str">
        <f>IF(AND('Mapa final'!$AB$32="Media",'Mapa final'!$AD$32="Mayor"),CONCATENATE("R5C",'Mapa final'!$R$32),"")</f>
        <v/>
      </c>
      <c r="AE30" s="37" t="str">
        <f>IF(AND('Mapa final'!$AB$33="Media",'Mapa final'!$AD$33="Mayor"),CONCATENATE("R5C",'Mapa final'!$R$33),"")</f>
        <v/>
      </c>
      <c r="AF30" s="37" t="str">
        <f>IF(AND('Mapa final'!$AB$34="Media",'Mapa final'!$AD$34="Mayor"),CONCATENATE("R5C",'Mapa final'!$R$34),"")</f>
        <v/>
      </c>
      <c r="AG30" s="38" t="str">
        <f>IF(AND('Mapa final'!$AB$35="Media",'Mapa final'!$AD$35="Mayor"),CONCATENATE("R5C",'Mapa final'!$R$35),"")</f>
        <v/>
      </c>
      <c r="AH30" s="39" t="str">
        <f>IF(AND('Mapa final'!$AB$30="Media",'Mapa final'!$AD$30="Catastrófico"),CONCATENATE("R5C",'Mapa final'!$R$30),"")</f>
        <v/>
      </c>
      <c r="AI30" s="40" t="str">
        <f>IF(AND('Mapa final'!$AB$31="Media",'Mapa final'!$AD$31="Catastrófico"),CONCATENATE("R5C",'Mapa final'!$R$31),"")</f>
        <v/>
      </c>
      <c r="AJ30" s="40" t="str">
        <f>IF(AND('Mapa final'!$AB$32="Media",'Mapa final'!$AD$32="Catastrófico"),CONCATENATE("R5C",'Mapa final'!$R$32),"")</f>
        <v/>
      </c>
      <c r="AK30" s="40" t="str">
        <f>IF(AND('Mapa final'!$AB$33="Media",'Mapa final'!$AD$33="Catastrófico"),CONCATENATE("R5C",'Mapa final'!$R$33),"")</f>
        <v/>
      </c>
      <c r="AL30" s="40" t="str">
        <f>IF(AND('Mapa final'!$AB$34="Media",'Mapa final'!$AD$34="Catastrófico"),CONCATENATE("R5C",'Mapa final'!$R$34),"")</f>
        <v/>
      </c>
      <c r="AM30" s="41" t="str">
        <f>IF(AND('Mapa final'!$AB$35="Media",'Mapa final'!$AD$35="Catastrófico"),CONCATENATE("R5C",'Mapa final'!$R$35),"")</f>
        <v/>
      </c>
      <c r="AN30" s="67"/>
      <c r="AO30" s="631"/>
      <c r="AP30" s="632"/>
      <c r="AQ30" s="632"/>
      <c r="AR30" s="632"/>
      <c r="AS30" s="632"/>
      <c r="AT30" s="633"/>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row>
    <row r="31" spans="1:76" ht="15" customHeight="1" x14ac:dyDescent="0.3">
      <c r="A31" s="67"/>
      <c r="B31" s="550"/>
      <c r="C31" s="550"/>
      <c r="D31" s="551"/>
      <c r="E31" s="591"/>
      <c r="F31" s="592"/>
      <c r="G31" s="592"/>
      <c r="H31" s="592"/>
      <c r="I31" s="593"/>
      <c r="J31" s="51" t="str">
        <f>IF(AND('Mapa final'!$AB$36="Media",'Mapa final'!$AD$36="Leve"),CONCATENATE("R6C",'Mapa final'!$R$36),"")</f>
        <v/>
      </c>
      <c r="K31" s="52" t="str">
        <f>IF(AND('Mapa final'!$AB$37="Media",'Mapa final'!$AD$37="Leve"),CONCATENATE("R6C",'Mapa final'!$R$37),"")</f>
        <v/>
      </c>
      <c r="L31" s="52" t="str">
        <f>IF(AND('Mapa final'!$AB$38="Media",'Mapa final'!$AD$38="Leve"),CONCATENATE("R6C",'Mapa final'!$R$38),"")</f>
        <v/>
      </c>
      <c r="M31" s="52" t="str">
        <f>IF(AND('Mapa final'!$AB$39="Media",'Mapa final'!$AD$39="Leve"),CONCATENATE("R6C",'Mapa final'!$R$39),"")</f>
        <v/>
      </c>
      <c r="N31" s="52" t="str">
        <f>IF(AND('Mapa final'!$AB$40="Media",'Mapa final'!$AD$40="Leve"),CONCATENATE("R6C",'Mapa final'!$R$40),"")</f>
        <v/>
      </c>
      <c r="O31" s="53" t="str">
        <f>IF(AND('Mapa final'!$AB$41="Media",'Mapa final'!$AD$41="Leve"),CONCATENATE("R6C",'Mapa final'!$R$41),"")</f>
        <v/>
      </c>
      <c r="P31" s="51" t="str">
        <f>IF(AND('Mapa final'!$AB$36="Media",'Mapa final'!$AD$36="Menor"),CONCATENATE("R6C",'Mapa final'!$R$36),"")</f>
        <v/>
      </c>
      <c r="Q31" s="52" t="str">
        <f>IF(AND('Mapa final'!$AB$37="Media",'Mapa final'!$AD$37="Menor"),CONCATENATE("R6C",'Mapa final'!$R$37),"")</f>
        <v/>
      </c>
      <c r="R31" s="52" t="str">
        <f>IF(AND('Mapa final'!$AB$38="Media",'Mapa final'!$AD$38="Menor"),CONCATENATE("R6C",'Mapa final'!$R$38),"")</f>
        <v/>
      </c>
      <c r="S31" s="52" t="str">
        <f>IF(AND('Mapa final'!$AB$39="Media",'Mapa final'!$AD$39="Menor"),CONCATENATE("R6C",'Mapa final'!$R$39),"")</f>
        <v/>
      </c>
      <c r="T31" s="52" t="str">
        <f>IF(AND('Mapa final'!$AB$40="Media",'Mapa final'!$AD$40="Menor"),CONCATENATE("R6C",'Mapa final'!$R$40),"")</f>
        <v/>
      </c>
      <c r="U31" s="53" t="str">
        <f>IF(AND('Mapa final'!$AB$41="Media",'Mapa final'!$AD$41="Menor"),CONCATENATE("R6C",'Mapa final'!$R$41),"")</f>
        <v/>
      </c>
      <c r="V31" s="51" t="str">
        <f>IF(AND('Mapa final'!$AB$36="Media",'Mapa final'!$AD$36="Moderado"),CONCATENATE("R6C",'Mapa final'!$R$36),"")</f>
        <v/>
      </c>
      <c r="W31" s="52" t="str">
        <f>IF(AND('Mapa final'!$AB$37="Media",'Mapa final'!$AD$37="Moderado"),CONCATENATE("R6C",'Mapa final'!$R$37),"")</f>
        <v/>
      </c>
      <c r="X31" s="52" t="str">
        <f>IF(AND('Mapa final'!$AB$38="Media",'Mapa final'!$AD$38="Moderado"),CONCATENATE("R6C",'Mapa final'!$R$38),"")</f>
        <v/>
      </c>
      <c r="Y31" s="52" t="str">
        <f>IF(AND('Mapa final'!$AB$39="Media",'Mapa final'!$AD$39="Moderado"),CONCATENATE("R6C",'Mapa final'!$R$39),"")</f>
        <v/>
      </c>
      <c r="Z31" s="52" t="str">
        <f>IF(AND('Mapa final'!$AB$40="Media",'Mapa final'!$AD$40="Moderado"),CONCATENATE("R6C",'Mapa final'!$R$40),"")</f>
        <v/>
      </c>
      <c r="AA31" s="53" t="str">
        <f>IF(AND('Mapa final'!$AB$41="Media",'Mapa final'!$AD$41="Moderado"),CONCATENATE("R6C",'Mapa final'!$R$41),"")</f>
        <v/>
      </c>
      <c r="AB31" s="36" t="str">
        <f>IF(AND('Mapa final'!$AB$36="Media",'Mapa final'!$AD$36="Mayor"),CONCATENATE("R6C",'Mapa final'!$R$36),"")</f>
        <v/>
      </c>
      <c r="AC31" s="37" t="str">
        <f>IF(AND('Mapa final'!$AB$37="Media",'Mapa final'!$AD$37="Mayor"),CONCATENATE("R6C",'Mapa final'!$R$37),"")</f>
        <v/>
      </c>
      <c r="AD31" s="37" t="str">
        <f>IF(AND('Mapa final'!$AB$38="Media",'Mapa final'!$AD$38="Mayor"),CONCATENATE("R6C",'Mapa final'!$R$38),"")</f>
        <v/>
      </c>
      <c r="AE31" s="37" t="str">
        <f>IF(AND('Mapa final'!$AB$39="Media",'Mapa final'!$AD$39="Mayor"),CONCATENATE("R6C",'Mapa final'!$R$39),"")</f>
        <v/>
      </c>
      <c r="AF31" s="37" t="str">
        <f>IF(AND('Mapa final'!$AB$40="Media",'Mapa final'!$AD$40="Mayor"),CONCATENATE("R6C",'Mapa final'!$R$40),"")</f>
        <v/>
      </c>
      <c r="AG31" s="38" t="str">
        <f>IF(AND('Mapa final'!$AB$41="Media",'Mapa final'!$AD$41="Mayor"),CONCATENATE("R6C",'Mapa final'!$R$41),"")</f>
        <v/>
      </c>
      <c r="AH31" s="39" t="str">
        <f>IF(AND('Mapa final'!$AB$36="Media",'Mapa final'!$AD$36="Catastrófico"),CONCATENATE("R6C",'Mapa final'!$R$36),"")</f>
        <v/>
      </c>
      <c r="AI31" s="40" t="str">
        <f>IF(AND('Mapa final'!$AB$37="Media",'Mapa final'!$AD$37="Catastrófico"),CONCATENATE("R6C",'Mapa final'!$R$37),"")</f>
        <v/>
      </c>
      <c r="AJ31" s="40" t="str">
        <f>IF(AND('Mapa final'!$AB$38="Media",'Mapa final'!$AD$38="Catastrófico"),CONCATENATE("R6C",'Mapa final'!$R$38),"")</f>
        <v/>
      </c>
      <c r="AK31" s="40" t="str">
        <f>IF(AND('Mapa final'!$AB$39="Media",'Mapa final'!$AD$39="Catastrófico"),CONCATENATE("R6C",'Mapa final'!$R$39),"")</f>
        <v/>
      </c>
      <c r="AL31" s="40" t="str">
        <f>IF(AND('Mapa final'!$AB$40="Media",'Mapa final'!$AD$40="Catastrófico"),CONCATENATE("R6C",'Mapa final'!$R$40),"")</f>
        <v/>
      </c>
      <c r="AM31" s="41" t="str">
        <f>IF(AND('Mapa final'!$AB$41="Media",'Mapa final'!$AD$41="Catastrófico"),CONCATENATE("R6C",'Mapa final'!$R$41),"")</f>
        <v/>
      </c>
      <c r="AN31" s="67"/>
      <c r="AO31" s="631"/>
      <c r="AP31" s="632"/>
      <c r="AQ31" s="632"/>
      <c r="AR31" s="632"/>
      <c r="AS31" s="632"/>
      <c r="AT31" s="633"/>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row>
    <row r="32" spans="1:76" ht="15" customHeight="1" x14ac:dyDescent="0.3">
      <c r="A32" s="67"/>
      <c r="B32" s="550"/>
      <c r="C32" s="550"/>
      <c r="D32" s="551"/>
      <c r="E32" s="591"/>
      <c r="F32" s="592"/>
      <c r="G32" s="592"/>
      <c r="H32" s="592"/>
      <c r="I32" s="593"/>
      <c r="J32" s="51" t="str">
        <f>IF(AND('Mapa final'!$AB$42="Media",'Mapa final'!$AD$42="Leve"),CONCATENATE("R7C",'Mapa final'!$R$42),"")</f>
        <v/>
      </c>
      <c r="K32" s="52" t="str">
        <f>IF(AND('Mapa final'!$AB$43="Media",'Mapa final'!$AD$43="Leve"),CONCATENATE("R7C",'Mapa final'!$R$43),"")</f>
        <v/>
      </c>
      <c r="L32" s="52" t="str">
        <f>IF(AND('Mapa final'!$AB$44="Media",'Mapa final'!$AD$44="Leve"),CONCATENATE("R7C",'Mapa final'!$R$44),"")</f>
        <v/>
      </c>
      <c r="M32" s="52" t="str">
        <f>IF(AND('Mapa final'!$AB$45="Media",'Mapa final'!$AD$45="Leve"),CONCATENATE("R7C",'Mapa final'!$R$45),"")</f>
        <v/>
      </c>
      <c r="N32" s="52" t="str">
        <f>IF(AND('Mapa final'!$AB$46="Media",'Mapa final'!$AD$46="Leve"),CONCATENATE("R7C",'Mapa final'!$R$46),"")</f>
        <v/>
      </c>
      <c r="O32" s="53" t="str">
        <f>IF(AND('Mapa final'!$AB$47="Media",'Mapa final'!$AD$47="Leve"),CONCATENATE("R7C",'Mapa final'!$R$47),"")</f>
        <v/>
      </c>
      <c r="P32" s="51" t="str">
        <f>IF(AND('Mapa final'!$AB$42="Media",'Mapa final'!$AD$42="Menor"),CONCATENATE("R7C",'Mapa final'!$R$42),"")</f>
        <v/>
      </c>
      <c r="Q32" s="52" t="str">
        <f>IF(AND('Mapa final'!$AB$43="Media",'Mapa final'!$AD$43="Menor"),CONCATENATE("R7C",'Mapa final'!$R$43),"")</f>
        <v/>
      </c>
      <c r="R32" s="52" t="str">
        <f>IF(AND('Mapa final'!$AB$44="Media",'Mapa final'!$AD$44="Menor"),CONCATENATE("R7C",'Mapa final'!$R$44),"")</f>
        <v/>
      </c>
      <c r="S32" s="52" t="str">
        <f>IF(AND('Mapa final'!$AB$45="Media",'Mapa final'!$AD$45="Menor"),CONCATENATE("R7C",'Mapa final'!$R$45),"")</f>
        <v/>
      </c>
      <c r="T32" s="52" t="str">
        <f>IF(AND('Mapa final'!$AB$46="Media",'Mapa final'!$AD$46="Menor"),CONCATENATE("R7C",'Mapa final'!$R$46),"")</f>
        <v/>
      </c>
      <c r="U32" s="53" t="str">
        <f>IF(AND('Mapa final'!$AB$47="Media",'Mapa final'!$AD$47="Menor"),CONCATENATE("R7C",'Mapa final'!$R$47),"")</f>
        <v/>
      </c>
      <c r="V32" s="51" t="str">
        <f>IF(AND('Mapa final'!$AB$42="Media",'Mapa final'!$AD$42="Moderado"),CONCATENATE("R7C",'Mapa final'!$R$42),"")</f>
        <v/>
      </c>
      <c r="W32" s="52" t="str">
        <f>IF(AND('Mapa final'!$AB$43="Media",'Mapa final'!$AD$43="Moderado"),CONCATENATE("R7C",'Mapa final'!$R$43),"")</f>
        <v/>
      </c>
      <c r="X32" s="52" t="str">
        <f>IF(AND('Mapa final'!$AB$44="Media",'Mapa final'!$AD$44="Moderado"),CONCATENATE("R7C",'Mapa final'!$R$44),"")</f>
        <v/>
      </c>
      <c r="Y32" s="52" t="str">
        <f>IF(AND('Mapa final'!$AB$45="Media",'Mapa final'!$AD$45="Moderado"),CONCATENATE("R7C",'Mapa final'!$R$45),"")</f>
        <v/>
      </c>
      <c r="Z32" s="52" t="str">
        <f>IF(AND('Mapa final'!$AB$46="Media",'Mapa final'!$AD$46="Moderado"),CONCATENATE("R7C",'Mapa final'!$R$46),"")</f>
        <v/>
      </c>
      <c r="AA32" s="53" t="str">
        <f>IF(AND('Mapa final'!$AB$47="Media",'Mapa final'!$AD$47="Moderado"),CONCATENATE("R7C",'Mapa final'!$R$47),"")</f>
        <v/>
      </c>
      <c r="AB32" s="36" t="str">
        <f>IF(AND('Mapa final'!$AB$42="Media",'Mapa final'!$AD$42="Mayor"),CONCATENATE("R7C",'Mapa final'!$R$42),"")</f>
        <v/>
      </c>
      <c r="AC32" s="37" t="str">
        <f>IF(AND('Mapa final'!$AB$43="Media",'Mapa final'!$AD$43="Mayor"),CONCATENATE("R7C",'Mapa final'!$R$43),"")</f>
        <v/>
      </c>
      <c r="AD32" s="37" t="str">
        <f>IF(AND('Mapa final'!$AB$44="Media",'Mapa final'!$AD$44="Mayor"),CONCATENATE("R7C",'Mapa final'!$R$44),"")</f>
        <v/>
      </c>
      <c r="AE32" s="37" t="str">
        <f>IF(AND('Mapa final'!$AB$45="Media",'Mapa final'!$AD$45="Mayor"),CONCATENATE("R7C",'Mapa final'!$R$45),"")</f>
        <v/>
      </c>
      <c r="AF32" s="37" t="str">
        <f>IF(AND('Mapa final'!$AB$46="Media",'Mapa final'!$AD$46="Mayor"),CONCATENATE("R7C",'Mapa final'!$R$46),"")</f>
        <v/>
      </c>
      <c r="AG32" s="38" t="str">
        <f>IF(AND('Mapa final'!$AB$47="Media",'Mapa final'!$AD$47="Mayor"),CONCATENATE("R7C",'Mapa final'!$R$47),"")</f>
        <v/>
      </c>
      <c r="AH32" s="39" t="str">
        <f>IF(AND('Mapa final'!$AB$42="Media",'Mapa final'!$AD$42="Catastrófico"),CONCATENATE("R7C",'Mapa final'!$R$42),"")</f>
        <v/>
      </c>
      <c r="AI32" s="40" t="str">
        <f>IF(AND('Mapa final'!$AB$43="Media",'Mapa final'!$AD$43="Catastrófico"),CONCATENATE("R7C",'Mapa final'!$R$43),"")</f>
        <v/>
      </c>
      <c r="AJ32" s="40" t="str">
        <f>IF(AND('Mapa final'!$AB$44="Media",'Mapa final'!$AD$44="Catastrófico"),CONCATENATE("R7C",'Mapa final'!$R$44),"")</f>
        <v/>
      </c>
      <c r="AK32" s="40" t="str">
        <f>IF(AND('Mapa final'!$AB$45="Media",'Mapa final'!$AD$45="Catastrófico"),CONCATENATE("R7C",'Mapa final'!$R$45),"")</f>
        <v/>
      </c>
      <c r="AL32" s="40" t="str">
        <f>IF(AND('Mapa final'!$AB$46="Media",'Mapa final'!$AD$46="Catastrófico"),CONCATENATE("R7C",'Mapa final'!$R$46),"")</f>
        <v/>
      </c>
      <c r="AM32" s="41" t="str">
        <f>IF(AND('Mapa final'!$AB$47="Media",'Mapa final'!$AD$47="Catastrófico"),CONCATENATE("R7C",'Mapa final'!$R$47),"")</f>
        <v/>
      </c>
      <c r="AN32" s="67"/>
      <c r="AO32" s="631"/>
      <c r="AP32" s="632"/>
      <c r="AQ32" s="632"/>
      <c r="AR32" s="632"/>
      <c r="AS32" s="632"/>
      <c r="AT32" s="633"/>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row>
    <row r="33" spans="1:80" ht="15" customHeight="1" x14ac:dyDescent="0.3">
      <c r="A33" s="67"/>
      <c r="B33" s="550"/>
      <c r="C33" s="550"/>
      <c r="D33" s="551"/>
      <c r="E33" s="591"/>
      <c r="F33" s="592"/>
      <c r="G33" s="592"/>
      <c r="H33" s="592"/>
      <c r="I33" s="593"/>
      <c r="J33" s="51" t="str">
        <f>IF(AND('Mapa final'!$AB$48="Media",'Mapa final'!$AD$48="Leve"),CONCATENATE("R8C",'Mapa final'!$R$48),"")</f>
        <v/>
      </c>
      <c r="K33" s="52" t="str">
        <f>IF(AND('Mapa final'!$AB$49="Media",'Mapa final'!$AD$49="Leve"),CONCATENATE("R8C",'Mapa final'!$R$49),"")</f>
        <v/>
      </c>
      <c r="L33" s="52" t="str">
        <f>IF(AND('Mapa final'!$AB$50="Media",'Mapa final'!$AD$50="Leve"),CONCATENATE("R8C",'Mapa final'!$R$50),"")</f>
        <v/>
      </c>
      <c r="M33" s="52" t="str">
        <f>IF(AND('Mapa final'!$AB$51="Media",'Mapa final'!$AD$51="Leve"),CONCATENATE("R8C",'Mapa final'!$R$51),"")</f>
        <v/>
      </c>
      <c r="N33" s="52" t="str">
        <f>IF(AND('Mapa final'!$AB$52="Media",'Mapa final'!$AD$52="Leve"),CONCATENATE("R8C",'Mapa final'!$R$52),"")</f>
        <v/>
      </c>
      <c r="O33" s="53" t="str">
        <f>IF(AND('Mapa final'!$AB$53="Media",'Mapa final'!$AD$53="Leve"),CONCATENATE("R8C",'Mapa final'!$R$53),"")</f>
        <v/>
      </c>
      <c r="P33" s="51" t="str">
        <f>IF(AND('Mapa final'!$AB$48="Media",'Mapa final'!$AD$48="Menor"),CONCATENATE("R8C",'Mapa final'!$R$48),"")</f>
        <v/>
      </c>
      <c r="Q33" s="52" t="str">
        <f>IF(AND('Mapa final'!$AB$49="Media",'Mapa final'!$AD$49="Menor"),CONCATENATE("R8C",'Mapa final'!$R$49),"")</f>
        <v/>
      </c>
      <c r="R33" s="52" t="str">
        <f>IF(AND('Mapa final'!$AB$50="Media",'Mapa final'!$AD$50="Menor"),CONCATENATE("R8C",'Mapa final'!$R$50),"")</f>
        <v/>
      </c>
      <c r="S33" s="52" t="str">
        <f>IF(AND('Mapa final'!$AB$51="Media",'Mapa final'!$AD$51="Menor"),CONCATENATE("R8C",'Mapa final'!$R$51),"")</f>
        <v/>
      </c>
      <c r="T33" s="52" t="str">
        <f>IF(AND('Mapa final'!$AB$52="Media",'Mapa final'!$AD$52="Menor"),CONCATENATE("R8C",'Mapa final'!$R$52),"")</f>
        <v/>
      </c>
      <c r="U33" s="53" t="str">
        <f>IF(AND('Mapa final'!$AB$53="Media",'Mapa final'!$AD$53="Menor"),CONCATENATE("R8C",'Mapa final'!$R$53),"")</f>
        <v/>
      </c>
      <c r="V33" s="51" t="str">
        <f>IF(AND('Mapa final'!$AB$48="Media",'Mapa final'!$AD$48="Moderado"),CONCATENATE("R8C",'Mapa final'!$R$48),"")</f>
        <v/>
      </c>
      <c r="W33" s="52" t="str">
        <f>IF(AND('Mapa final'!$AB$49="Media",'Mapa final'!$AD$49="Moderado"),CONCATENATE("R8C",'Mapa final'!$R$49),"")</f>
        <v/>
      </c>
      <c r="X33" s="52" t="str">
        <f>IF(AND('Mapa final'!$AB$50="Media",'Mapa final'!$AD$50="Moderado"),CONCATENATE("R8C",'Mapa final'!$R$50),"")</f>
        <v/>
      </c>
      <c r="Y33" s="52" t="str">
        <f>IF(AND('Mapa final'!$AB$51="Media",'Mapa final'!$AD$51="Moderado"),CONCATENATE("R8C",'Mapa final'!$R$51),"")</f>
        <v/>
      </c>
      <c r="Z33" s="52" t="str">
        <f>IF(AND('Mapa final'!$AB$52="Media",'Mapa final'!$AD$52="Moderado"),CONCATENATE("R8C",'Mapa final'!$R$52),"")</f>
        <v/>
      </c>
      <c r="AA33" s="53" t="str">
        <f>IF(AND('Mapa final'!$AB$53="Media",'Mapa final'!$AD$53="Moderado"),CONCATENATE("R8C",'Mapa final'!$R$53),"")</f>
        <v/>
      </c>
      <c r="AB33" s="36" t="str">
        <f>IF(AND('Mapa final'!$AB$48="Media",'Mapa final'!$AD$48="Mayor"),CONCATENATE("R8C",'Mapa final'!$R$48),"")</f>
        <v/>
      </c>
      <c r="AC33" s="37" t="str">
        <f>IF(AND('Mapa final'!$AB$49="Media",'Mapa final'!$AD$49="Mayor"),CONCATENATE("R8C",'Mapa final'!$R$49),"")</f>
        <v/>
      </c>
      <c r="AD33" s="37" t="str">
        <f>IF(AND('Mapa final'!$AB$50="Media",'Mapa final'!$AD$50="Mayor"),CONCATENATE("R8C",'Mapa final'!$R$50),"")</f>
        <v/>
      </c>
      <c r="AE33" s="37" t="str">
        <f>IF(AND('Mapa final'!$AB$51="Media",'Mapa final'!$AD$51="Mayor"),CONCATENATE("R8C",'Mapa final'!$R$51),"")</f>
        <v/>
      </c>
      <c r="AF33" s="37" t="str">
        <f>IF(AND('Mapa final'!$AB$52="Media",'Mapa final'!$AD$52="Mayor"),CONCATENATE("R8C",'Mapa final'!$R$52),"")</f>
        <v/>
      </c>
      <c r="AG33" s="38" t="str">
        <f>IF(AND('Mapa final'!$AB$53="Media",'Mapa final'!$AD$53="Mayor"),CONCATENATE("R8C",'Mapa final'!$R$53),"")</f>
        <v/>
      </c>
      <c r="AH33" s="39" t="str">
        <f>IF(AND('Mapa final'!$AB$48="Media",'Mapa final'!$AD$48="Catastrófico"),CONCATENATE("R8C",'Mapa final'!$R$48),"")</f>
        <v/>
      </c>
      <c r="AI33" s="40" t="str">
        <f>IF(AND('Mapa final'!$AB$49="Media",'Mapa final'!$AD$49="Catastrófico"),CONCATENATE("R8C",'Mapa final'!$R$49),"")</f>
        <v/>
      </c>
      <c r="AJ33" s="40" t="str">
        <f>IF(AND('Mapa final'!$AB$50="Media",'Mapa final'!$AD$50="Catastrófico"),CONCATENATE("R8C",'Mapa final'!$R$50),"")</f>
        <v/>
      </c>
      <c r="AK33" s="40" t="str">
        <f>IF(AND('Mapa final'!$AB$51="Media",'Mapa final'!$AD$51="Catastrófico"),CONCATENATE("R8C",'Mapa final'!$R$51),"")</f>
        <v/>
      </c>
      <c r="AL33" s="40" t="str">
        <f>IF(AND('Mapa final'!$AB$52="Media",'Mapa final'!$AD$52="Catastrófico"),CONCATENATE("R8C",'Mapa final'!$R$52),"")</f>
        <v/>
      </c>
      <c r="AM33" s="41" t="str">
        <f>IF(AND('Mapa final'!$AB$53="Media",'Mapa final'!$AD$53="Catastrófico"),CONCATENATE("R8C",'Mapa final'!$R$53),"")</f>
        <v/>
      </c>
      <c r="AN33" s="67"/>
      <c r="AO33" s="631"/>
      <c r="AP33" s="632"/>
      <c r="AQ33" s="632"/>
      <c r="AR33" s="632"/>
      <c r="AS33" s="632"/>
      <c r="AT33" s="633"/>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row>
    <row r="34" spans="1:80" ht="15" customHeight="1" x14ac:dyDescent="0.3">
      <c r="A34" s="67"/>
      <c r="B34" s="550"/>
      <c r="C34" s="550"/>
      <c r="D34" s="551"/>
      <c r="E34" s="591"/>
      <c r="F34" s="592"/>
      <c r="G34" s="592"/>
      <c r="H34" s="592"/>
      <c r="I34" s="593"/>
      <c r="J34" s="51" t="str">
        <f>IF(AND('Mapa final'!$AB$54="Media",'Mapa final'!$AD$54="Leve"),CONCATENATE("R9C",'Mapa final'!$R$54),"")</f>
        <v/>
      </c>
      <c r="K34" s="52" t="str">
        <f>IF(AND('Mapa final'!$AB$55="Media",'Mapa final'!$AD$55="Leve"),CONCATENATE("R9C",'Mapa final'!$R$55),"")</f>
        <v/>
      </c>
      <c r="L34" s="52" t="str">
        <f>IF(AND('Mapa final'!$AB$56="Media",'Mapa final'!$AD$56="Leve"),CONCATENATE("R9C",'Mapa final'!$R$56),"")</f>
        <v/>
      </c>
      <c r="M34" s="52" t="str">
        <f>IF(AND('Mapa final'!$AB$57="Media",'Mapa final'!$AD$57="Leve"),CONCATENATE("R9C",'Mapa final'!$R$57),"")</f>
        <v/>
      </c>
      <c r="N34" s="52" t="str">
        <f>IF(AND('Mapa final'!$AB$58="Media",'Mapa final'!$AD$58="Leve"),CONCATENATE("R9C",'Mapa final'!$R$58),"")</f>
        <v/>
      </c>
      <c r="O34" s="53" t="str">
        <f>IF(AND('Mapa final'!$AB$59="Media",'Mapa final'!$AD$59="Leve"),CONCATENATE("R9C",'Mapa final'!$R$59),"")</f>
        <v/>
      </c>
      <c r="P34" s="51" t="str">
        <f>IF(AND('Mapa final'!$AB$54="Media",'Mapa final'!$AD$54="Menor"),CONCATENATE("R9C",'Mapa final'!$R$54),"")</f>
        <v/>
      </c>
      <c r="Q34" s="52" t="str">
        <f>IF(AND('Mapa final'!$AB$55="Media",'Mapa final'!$AD$55="Menor"),CONCATENATE("R9C",'Mapa final'!$R$55),"")</f>
        <v/>
      </c>
      <c r="R34" s="52" t="str">
        <f>IF(AND('Mapa final'!$AB$56="Media",'Mapa final'!$AD$56="Menor"),CONCATENATE("R9C",'Mapa final'!$R$56),"")</f>
        <v/>
      </c>
      <c r="S34" s="52" t="str">
        <f>IF(AND('Mapa final'!$AB$57="Media",'Mapa final'!$AD$57="Menor"),CONCATENATE("R9C",'Mapa final'!$R$57),"")</f>
        <v/>
      </c>
      <c r="T34" s="52" t="str">
        <f>IF(AND('Mapa final'!$AB$58="Media",'Mapa final'!$AD$58="Menor"),CONCATENATE("R9C",'Mapa final'!$R$58),"")</f>
        <v/>
      </c>
      <c r="U34" s="53" t="str">
        <f>IF(AND('Mapa final'!$AB$59="Media",'Mapa final'!$AD$59="Menor"),CONCATENATE("R9C",'Mapa final'!$R$59),"")</f>
        <v/>
      </c>
      <c r="V34" s="51" t="str">
        <f>IF(AND('Mapa final'!$AB$54="Media",'Mapa final'!$AD$54="Moderado"),CONCATENATE("R9C",'Mapa final'!$R$54),"")</f>
        <v/>
      </c>
      <c r="W34" s="52" t="str">
        <f>IF(AND('Mapa final'!$AB$55="Media",'Mapa final'!$AD$55="Moderado"),CONCATENATE("R9C",'Mapa final'!$R$55),"")</f>
        <v/>
      </c>
      <c r="X34" s="52" t="str">
        <f>IF(AND('Mapa final'!$AB$56="Media",'Mapa final'!$AD$56="Moderado"),CONCATENATE("R9C",'Mapa final'!$R$56),"")</f>
        <v/>
      </c>
      <c r="Y34" s="52" t="str">
        <f>IF(AND('Mapa final'!$AB$57="Media",'Mapa final'!$AD$57="Moderado"),CONCATENATE("R9C",'Mapa final'!$R$57),"")</f>
        <v/>
      </c>
      <c r="Z34" s="52" t="str">
        <f>IF(AND('Mapa final'!$AB$58="Media",'Mapa final'!$AD$58="Moderado"),CONCATENATE("R9C",'Mapa final'!$R$58),"")</f>
        <v/>
      </c>
      <c r="AA34" s="53" t="str">
        <f>IF(AND('Mapa final'!$AB$59="Media",'Mapa final'!$AD$59="Moderado"),CONCATENATE("R9C",'Mapa final'!$R$59),"")</f>
        <v/>
      </c>
      <c r="AB34" s="36" t="str">
        <f>IF(AND('Mapa final'!$AB$54="Media",'Mapa final'!$AD$54="Mayor"),CONCATENATE("R9C",'Mapa final'!$R$54),"")</f>
        <v/>
      </c>
      <c r="AC34" s="37" t="str">
        <f>IF(AND('Mapa final'!$AB$55="Media",'Mapa final'!$AD$55="Mayor"),CONCATENATE("R9C",'Mapa final'!$R$55),"")</f>
        <v/>
      </c>
      <c r="AD34" s="37" t="str">
        <f>IF(AND('Mapa final'!$AB$56="Media",'Mapa final'!$AD$56="Mayor"),CONCATENATE("R9C",'Mapa final'!$R$56),"")</f>
        <v/>
      </c>
      <c r="AE34" s="37" t="str">
        <f>IF(AND('Mapa final'!$AB$57="Media",'Mapa final'!$AD$57="Mayor"),CONCATENATE("R9C",'Mapa final'!$R$57),"")</f>
        <v/>
      </c>
      <c r="AF34" s="37" t="str">
        <f>IF(AND('Mapa final'!$AB$58="Media",'Mapa final'!$AD$58="Mayor"),CONCATENATE("R9C",'Mapa final'!$R$58),"")</f>
        <v/>
      </c>
      <c r="AG34" s="38" t="str">
        <f>IF(AND('Mapa final'!$AB$59="Media",'Mapa final'!$AD$59="Mayor"),CONCATENATE("R9C",'Mapa final'!$R$59),"")</f>
        <v/>
      </c>
      <c r="AH34" s="39" t="str">
        <f>IF(AND('Mapa final'!$AB$54="Media",'Mapa final'!$AD$54="Catastrófico"),CONCATENATE("R9C",'Mapa final'!$R$54),"")</f>
        <v/>
      </c>
      <c r="AI34" s="40" t="str">
        <f>IF(AND('Mapa final'!$AB$55="Media",'Mapa final'!$AD$55="Catastrófico"),CONCATENATE("R9C",'Mapa final'!$R$55),"")</f>
        <v/>
      </c>
      <c r="AJ34" s="40" t="str">
        <f>IF(AND('Mapa final'!$AB$56="Media",'Mapa final'!$AD$56="Catastrófico"),CONCATENATE("R9C",'Mapa final'!$R$56),"")</f>
        <v/>
      </c>
      <c r="AK34" s="40" t="str">
        <f>IF(AND('Mapa final'!$AB$57="Media",'Mapa final'!$AD$57="Catastrófico"),CONCATENATE("R9C",'Mapa final'!$R$57),"")</f>
        <v/>
      </c>
      <c r="AL34" s="40" t="str">
        <f>IF(AND('Mapa final'!$AB$58="Media",'Mapa final'!$AD$58="Catastrófico"),CONCATENATE("R9C",'Mapa final'!$R$58),"")</f>
        <v/>
      </c>
      <c r="AM34" s="41" t="str">
        <f>IF(AND('Mapa final'!$AB$59="Media",'Mapa final'!$AD$59="Catastrófico"),CONCATENATE("R9C",'Mapa final'!$R$59),"")</f>
        <v/>
      </c>
      <c r="AN34" s="67"/>
      <c r="AO34" s="631"/>
      <c r="AP34" s="632"/>
      <c r="AQ34" s="632"/>
      <c r="AR34" s="632"/>
      <c r="AS34" s="632"/>
      <c r="AT34" s="633"/>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row>
    <row r="35" spans="1:80" ht="15.75" customHeight="1" thickBot="1" x14ac:dyDescent="0.35">
      <c r="A35" s="67"/>
      <c r="B35" s="550"/>
      <c r="C35" s="550"/>
      <c r="D35" s="551"/>
      <c r="E35" s="594"/>
      <c r="F35" s="595"/>
      <c r="G35" s="595"/>
      <c r="H35" s="595"/>
      <c r="I35" s="596"/>
      <c r="J35" s="51" t="str">
        <f>IF(AND('Mapa final'!$AB$60="Media",'Mapa final'!$AD$60="Leve"),CONCATENATE("R10C",'Mapa final'!$R$60),"")</f>
        <v/>
      </c>
      <c r="K35" s="52" t="str">
        <f>IF(AND('Mapa final'!$AB$61="Media",'Mapa final'!$AD$61="Leve"),CONCATENATE("R10C",'Mapa final'!$R$61),"")</f>
        <v/>
      </c>
      <c r="L35" s="52" t="str">
        <f>IF(AND('Mapa final'!$AB$62="Media",'Mapa final'!$AD$62="Leve"),CONCATENATE("R10C",'Mapa final'!$R$62),"")</f>
        <v/>
      </c>
      <c r="M35" s="52" t="str">
        <f>IF(AND('Mapa final'!$AB$63="Media",'Mapa final'!$AD$63="Leve"),CONCATENATE("R10C",'Mapa final'!$R$63),"")</f>
        <v/>
      </c>
      <c r="N35" s="52" t="str">
        <f>IF(AND('Mapa final'!$AB$64="Media",'Mapa final'!$AD$64="Leve"),CONCATENATE("R10C",'Mapa final'!$R$64),"")</f>
        <v/>
      </c>
      <c r="O35" s="53" t="str">
        <f>IF(AND('Mapa final'!$AB$65="Media",'Mapa final'!$AD$65="Leve"),CONCATENATE("R10C",'Mapa final'!$R$65),"")</f>
        <v/>
      </c>
      <c r="P35" s="51" t="str">
        <f>IF(AND('Mapa final'!$AB$60="Media",'Mapa final'!$AD$60="Menor"),CONCATENATE("R10C",'Mapa final'!$R$60),"")</f>
        <v/>
      </c>
      <c r="Q35" s="52" t="str">
        <f>IF(AND('Mapa final'!$AB$61="Media",'Mapa final'!$AD$61="Menor"),CONCATENATE("R10C",'Mapa final'!$R$61),"")</f>
        <v/>
      </c>
      <c r="R35" s="52" t="str">
        <f>IF(AND('Mapa final'!$AB$62="Media",'Mapa final'!$AD$62="Menor"),CONCATENATE("R10C",'Mapa final'!$R$62),"")</f>
        <v/>
      </c>
      <c r="S35" s="52" t="str">
        <f>IF(AND('Mapa final'!$AB$63="Media",'Mapa final'!$AD$63="Menor"),CONCATENATE("R10C",'Mapa final'!$R$63),"")</f>
        <v/>
      </c>
      <c r="T35" s="52" t="str">
        <f>IF(AND('Mapa final'!$AB$64="Media",'Mapa final'!$AD$64="Menor"),CONCATENATE("R10C",'Mapa final'!$R$64),"")</f>
        <v/>
      </c>
      <c r="U35" s="53" t="str">
        <f>IF(AND('Mapa final'!$AB$65="Media",'Mapa final'!$AD$65="Menor"),CONCATENATE("R10C",'Mapa final'!$R$65),"")</f>
        <v/>
      </c>
      <c r="V35" s="51" t="str">
        <f>IF(AND('Mapa final'!$AB$60="Media",'Mapa final'!$AD$60="Moderado"),CONCATENATE("R10C",'Mapa final'!$R$60),"")</f>
        <v/>
      </c>
      <c r="W35" s="52" t="str">
        <f>IF(AND('Mapa final'!$AB$61="Media",'Mapa final'!$AD$61="Moderado"),CONCATENATE("R10C",'Mapa final'!$R$61),"")</f>
        <v/>
      </c>
      <c r="X35" s="52" t="str">
        <f>IF(AND('Mapa final'!$AB$62="Media",'Mapa final'!$AD$62="Moderado"),CONCATENATE("R10C",'Mapa final'!$R$62),"")</f>
        <v/>
      </c>
      <c r="Y35" s="52" t="str">
        <f>IF(AND('Mapa final'!$AB$63="Media",'Mapa final'!$AD$63="Moderado"),CONCATENATE("R10C",'Mapa final'!$R$63),"")</f>
        <v/>
      </c>
      <c r="Z35" s="52" t="str">
        <f>IF(AND('Mapa final'!$AB$64="Media",'Mapa final'!$AD$64="Moderado"),CONCATENATE("R10C",'Mapa final'!$R$64),"")</f>
        <v/>
      </c>
      <c r="AA35" s="53" t="str">
        <f>IF(AND('Mapa final'!$AB$65="Media",'Mapa final'!$AD$65="Moderado"),CONCATENATE("R10C",'Mapa final'!$R$65),"")</f>
        <v/>
      </c>
      <c r="AB35" s="42" t="str">
        <f>IF(AND('Mapa final'!$AB$60="Media",'Mapa final'!$AD$60="Mayor"),CONCATENATE("R10C",'Mapa final'!$R$60),"")</f>
        <v/>
      </c>
      <c r="AC35" s="43" t="str">
        <f>IF(AND('Mapa final'!$AB$61="Media",'Mapa final'!$AD$61="Mayor"),CONCATENATE("R10C",'Mapa final'!$R$61),"")</f>
        <v/>
      </c>
      <c r="AD35" s="43" t="str">
        <f>IF(AND('Mapa final'!$AB$62="Media",'Mapa final'!$AD$62="Mayor"),CONCATENATE("R10C",'Mapa final'!$R$62),"")</f>
        <v/>
      </c>
      <c r="AE35" s="43" t="str">
        <f>IF(AND('Mapa final'!$AB$63="Media",'Mapa final'!$AD$63="Mayor"),CONCATENATE("R10C",'Mapa final'!$R$63),"")</f>
        <v/>
      </c>
      <c r="AF35" s="43" t="str">
        <f>IF(AND('Mapa final'!$AB$64="Media",'Mapa final'!$AD$64="Mayor"),CONCATENATE("R10C",'Mapa final'!$R$64),"")</f>
        <v/>
      </c>
      <c r="AG35" s="44" t="str">
        <f>IF(AND('Mapa final'!$AB$65="Media",'Mapa final'!$AD$65="Mayor"),CONCATENATE("R10C",'Mapa final'!$R$65),"")</f>
        <v/>
      </c>
      <c r="AH35" s="45" t="str">
        <f>IF(AND('Mapa final'!$AB$60="Media",'Mapa final'!$AD$60="Catastrófico"),CONCATENATE("R10C",'Mapa final'!$R$60),"")</f>
        <v/>
      </c>
      <c r="AI35" s="46" t="str">
        <f>IF(AND('Mapa final'!$AB$61="Media",'Mapa final'!$AD$61="Catastrófico"),CONCATENATE("R10C",'Mapa final'!$R$61),"")</f>
        <v/>
      </c>
      <c r="AJ35" s="46" t="str">
        <f>IF(AND('Mapa final'!$AB$62="Media",'Mapa final'!$AD$62="Catastrófico"),CONCATENATE("R10C",'Mapa final'!$R$62),"")</f>
        <v/>
      </c>
      <c r="AK35" s="46" t="str">
        <f>IF(AND('Mapa final'!$AB$63="Media",'Mapa final'!$AD$63="Catastrófico"),CONCATENATE("R10C",'Mapa final'!$R$63),"")</f>
        <v/>
      </c>
      <c r="AL35" s="46" t="str">
        <f>IF(AND('Mapa final'!$AB$64="Media",'Mapa final'!$AD$64="Catastrófico"),CONCATENATE("R10C",'Mapa final'!$R$64),"")</f>
        <v/>
      </c>
      <c r="AM35" s="47" t="str">
        <f>IF(AND('Mapa final'!$AB$65="Media",'Mapa final'!$AD$65="Catastrófico"),CONCATENATE("R10C",'Mapa final'!$R$65),"")</f>
        <v/>
      </c>
      <c r="AN35" s="67"/>
      <c r="AO35" s="634"/>
      <c r="AP35" s="635"/>
      <c r="AQ35" s="635"/>
      <c r="AR35" s="635"/>
      <c r="AS35" s="635"/>
      <c r="AT35" s="636"/>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row>
    <row r="36" spans="1:80" ht="15" customHeight="1" x14ac:dyDescent="0.3">
      <c r="A36" s="67"/>
      <c r="B36" s="550"/>
      <c r="C36" s="550"/>
      <c r="D36" s="551"/>
      <c r="E36" s="588" t="s">
        <v>109</v>
      </c>
      <c r="F36" s="589"/>
      <c r="G36" s="589"/>
      <c r="H36" s="589"/>
      <c r="I36" s="589"/>
      <c r="J36" s="57" t="str">
        <f>IF(AND('Mapa final'!$AB$10="Baja",'Mapa final'!$AD$10="Leve"),CONCATENATE("R1C",'Mapa final'!$R$10),"")</f>
        <v/>
      </c>
      <c r="K36" s="58" t="str">
        <f>IF(AND('Mapa final'!$AB$11="Baja",'Mapa final'!$AD$11="Leve"),CONCATENATE("R1C",'Mapa final'!$R$11),"")</f>
        <v/>
      </c>
      <c r="L36" s="58" t="e">
        <f>IF(AND('Mapa final'!#REF!="Baja",'Mapa final'!#REF!="Leve"),CONCATENATE("R1C",'Mapa final'!#REF!),"")</f>
        <v>#REF!</v>
      </c>
      <c r="M36" s="58" t="e">
        <f>IF(AND('Mapa final'!#REF!="Baja",'Mapa final'!#REF!="Leve"),CONCATENATE("R1C",'Mapa final'!#REF!),"")</f>
        <v>#REF!</v>
      </c>
      <c r="N36" s="58" t="e">
        <f>IF(AND('Mapa final'!#REF!="Baja",'Mapa final'!#REF!="Leve"),CONCATENATE("R1C",'Mapa final'!#REF!),"")</f>
        <v>#REF!</v>
      </c>
      <c r="O36" s="59" t="e">
        <f>IF(AND('Mapa final'!#REF!="Baja",'Mapa final'!#REF!="Leve"),CONCATENATE("R1C",'Mapa final'!#REF!),"")</f>
        <v>#REF!</v>
      </c>
      <c r="P36" s="48" t="str">
        <f>IF(AND('Mapa final'!$AB$10="Baja",'Mapa final'!$AD$10="Menor"),CONCATENATE("R1C",'Mapa final'!$R$10),"")</f>
        <v/>
      </c>
      <c r="Q36" s="49" t="str">
        <f>IF(AND('Mapa final'!$AB$11="Baja",'Mapa final'!$AD$11="Menor"),CONCATENATE("R1C",'Mapa final'!$R$11),"")</f>
        <v/>
      </c>
      <c r="R36" s="49" t="e">
        <f>IF(AND('Mapa final'!#REF!="Baja",'Mapa final'!#REF!="Menor"),CONCATENATE("R1C",'Mapa final'!#REF!),"")</f>
        <v>#REF!</v>
      </c>
      <c r="S36" s="49" t="e">
        <f>IF(AND('Mapa final'!#REF!="Baja",'Mapa final'!#REF!="Menor"),CONCATENATE("R1C",'Mapa final'!#REF!),"")</f>
        <v>#REF!</v>
      </c>
      <c r="T36" s="49" t="e">
        <f>IF(AND('Mapa final'!#REF!="Baja",'Mapa final'!#REF!="Menor"),CONCATENATE("R1C",'Mapa final'!#REF!),"")</f>
        <v>#REF!</v>
      </c>
      <c r="U36" s="50" t="e">
        <f>IF(AND('Mapa final'!#REF!="Baja",'Mapa final'!#REF!="Menor"),CONCATENATE("R1C",'Mapa final'!#REF!),"")</f>
        <v>#REF!</v>
      </c>
      <c r="V36" s="48" t="str">
        <f>IF(AND('Mapa final'!$AB$10="Baja",'Mapa final'!$AD$10="Moderado"),CONCATENATE("R1C",'Mapa final'!$R$10),"")</f>
        <v>R1C1</v>
      </c>
      <c r="W36" s="49" t="str">
        <f>IF(AND('Mapa final'!$AB$11="Baja",'Mapa final'!$AD$11="Moderado"),CONCATENATE("R1C",'Mapa final'!$R$11),"")</f>
        <v/>
      </c>
      <c r="X36" s="49" t="e">
        <f>IF(AND('Mapa final'!#REF!="Baja",'Mapa final'!#REF!="Moderado"),CONCATENATE("R1C",'Mapa final'!#REF!),"")</f>
        <v>#REF!</v>
      </c>
      <c r="Y36" s="49" t="e">
        <f>IF(AND('Mapa final'!#REF!="Baja",'Mapa final'!#REF!="Moderado"),CONCATENATE("R1C",'Mapa final'!#REF!),"")</f>
        <v>#REF!</v>
      </c>
      <c r="Z36" s="49" t="e">
        <f>IF(AND('Mapa final'!#REF!="Baja",'Mapa final'!#REF!="Moderado"),CONCATENATE("R1C",'Mapa final'!#REF!),"")</f>
        <v>#REF!</v>
      </c>
      <c r="AA36" s="50" t="e">
        <f>IF(AND('Mapa final'!#REF!="Baja",'Mapa final'!#REF!="Moderado"),CONCATENATE("R1C",'Mapa final'!#REF!),"")</f>
        <v>#REF!</v>
      </c>
      <c r="AB36" s="30" t="str">
        <f>IF(AND('Mapa final'!$AB$10="Baja",'Mapa final'!$AD$10="Mayor"),CONCATENATE("R1C",'Mapa final'!$R$10),"")</f>
        <v/>
      </c>
      <c r="AC36" s="31" t="str">
        <f>IF(AND('Mapa final'!$AB$11="Baja",'Mapa final'!$AD$11="Mayor"),CONCATENATE("R1C",'Mapa final'!$R$11),"")</f>
        <v/>
      </c>
      <c r="AD36" s="31" t="e">
        <f>IF(AND('Mapa final'!#REF!="Baja",'Mapa final'!#REF!="Mayor"),CONCATENATE("R1C",'Mapa final'!#REF!),"")</f>
        <v>#REF!</v>
      </c>
      <c r="AE36" s="31" t="e">
        <f>IF(AND('Mapa final'!#REF!="Baja",'Mapa final'!#REF!="Mayor"),CONCATENATE("R1C",'Mapa final'!#REF!),"")</f>
        <v>#REF!</v>
      </c>
      <c r="AF36" s="31" t="e">
        <f>IF(AND('Mapa final'!#REF!="Baja",'Mapa final'!#REF!="Mayor"),CONCATENATE("R1C",'Mapa final'!#REF!),"")</f>
        <v>#REF!</v>
      </c>
      <c r="AG36" s="32" t="e">
        <f>IF(AND('Mapa final'!#REF!="Baja",'Mapa final'!#REF!="Mayor"),CONCATENATE("R1C",'Mapa final'!#REF!),"")</f>
        <v>#REF!</v>
      </c>
      <c r="AH36" s="33" t="str">
        <f>IF(AND('Mapa final'!$AB$10="Baja",'Mapa final'!$AD$10="Catastrófico"),CONCATENATE("R1C",'Mapa final'!$R$10),"")</f>
        <v/>
      </c>
      <c r="AI36" s="34" t="str">
        <f>IF(AND('Mapa final'!$AB$11="Baja",'Mapa final'!$AD$11="Catastrófico"),CONCATENATE("R1C",'Mapa final'!$R$11),"")</f>
        <v/>
      </c>
      <c r="AJ36" s="34" t="e">
        <f>IF(AND('Mapa final'!#REF!="Baja",'Mapa final'!#REF!="Catastrófico"),CONCATENATE("R1C",'Mapa final'!#REF!),"")</f>
        <v>#REF!</v>
      </c>
      <c r="AK36" s="34" t="e">
        <f>IF(AND('Mapa final'!#REF!="Baja",'Mapa final'!#REF!="Catastrófico"),CONCATENATE("R1C",'Mapa final'!#REF!),"")</f>
        <v>#REF!</v>
      </c>
      <c r="AL36" s="34" t="e">
        <f>IF(AND('Mapa final'!#REF!="Baja",'Mapa final'!#REF!="Catastrófico"),CONCATENATE("R1C",'Mapa final'!#REF!),"")</f>
        <v>#REF!</v>
      </c>
      <c r="AM36" s="35" t="e">
        <f>IF(AND('Mapa final'!#REF!="Baja",'Mapa final'!#REF!="Catastrófico"),CONCATENATE("R1C",'Mapa final'!#REF!),"")</f>
        <v>#REF!</v>
      </c>
      <c r="AN36" s="67"/>
      <c r="AO36" s="619" t="s">
        <v>81</v>
      </c>
      <c r="AP36" s="620"/>
      <c r="AQ36" s="620"/>
      <c r="AR36" s="620"/>
      <c r="AS36" s="620"/>
      <c r="AT36" s="621"/>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row>
    <row r="37" spans="1:80" ht="15" customHeight="1" x14ac:dyDescent="0.3">
      <c r="A37" s="67"/>
      <c r="B37" s="550"/>
      <c r="C37" s="550"/>
      <c r="D37" s="551"/>
      <c r="E37" s="607"/>
      <c r="F37" s="592"/>
      <c r="G37" s="592"/>
      <c r="H37" s="592"/>
      <c r="I37" s="592"/>
      <c r="J37" s="60" t="str">
        <f>IF(AND('Mapa final'!$AB$12="Baja",'Mapa final'!$AD$12="Leve"),CONCATENATE("R2C",'Mapa final'!$R$12),"")</f>
        <v/>
      </c>
      <c r="K37" s="61" t="str">
        <f>IF(AND('Mapa final'!$AB$13="Baja",'Mapa final'!$AD$13="Leve"),CONCATENATE("R2C",'Mapa final'!$R$13),"")</f>
        <v/>
      </c>
      <c r="L37" s="61" t="str">
        <f>IF(AND('Mapa final'!$AB$14="Baja",'Mapa final'!$AD$14="Leve"),CONCATENATE("R2C",'Mapa final'!$R$14),"")</f>
        <v/>
      </c>
      <c r="M37" s="61" t="str">
        <f>IF(AND('Mapa final'!$AB$15="Baja",'Mapa final'!$AD$15="Leve"),CONCATENATE("R2C",'Mapa final'!$R$15),"")</f>
        <v/>
      </c>
      <c r="N37" s="61" t="str">
        <f>IF(AND('Mapa final'!$AB$16="Baja",'Mapa final'!$AD$16="Leve"),CONCATENATE("R2C",'Mapa final'!$R$16),"")</f>
        <v/>
      </c>
      <c r="O37" s="62" t="str">
        <f>IF(AND('Mapa final'!$AB$17="Baja",'Mapa final'!$AD$17="Leve"),CONCATENATE("R2C",'Mapa final'!$R$17),"")</f>
        <v/>
      </c>
      <c r="P37" s="51" t="str">
        <f>IF(AND('Mapa final'!$AB$12="Baja",'Mapa final'!$AD$12="Menor"),CONCATENATE("R2C",'Mapa final'!$R$12),"")</f>
        <v/>
      </c>
      <c r="Q37" s="52" t="str">
        <f>IF(AND('Mapa final'!$AB$13="Baja",'Mapa final'!$AD$13="Menor"),CONCATENATE("R2C",'Mapa final'!$R$13),"")</f>
        <v/>
      </c>
      <c r="R37" s="52" t="str">
        <f>IF(AND('Mapa final'!$AB$14="Baja",'Mapa final'!$AD$14="Menor"),CONCATENATE("R2C",'Mapa final'!$R$14),"")</f>
        <v/>
      </c>
      <c r="S37" s="52" t="str">
        <f>IF(AND('Mapa final'!$AB$15="Baja",'Mapa final'!$AD$15="Menor"),CONCATENATE("R2C",'Mapa final'!$R$15),"")</f>
        <v/>
      </c>
      <c r="T37" s="52" t="str">
        <f>IF(AND('Mapa final'!$AB$16="Baja",'Mapa final'!$AD$16="Menor"),CONCATENATE("R2C",'Mapa final'!$R$16),"")</f>
        <v/>
      </c>
      <c r="U37" s="53" t="str">
        <f>IF(AND('Mapa final'!$AB$17="Baja",'Mapa final'!$AD$17="Menor"),CONCATENATE("R2C",'Mapa final'!$R$17),"")</f>
        <v/>
      </c>
      <c r="V37" s="51" t="str">
        <f>IF(AND('Mapa final'!$AB$12="Baja",'Mapa final'!$AD$12="Moderado"),CONCATENATE("R2C",'Mapa final'!$R$12),"")</f>
        <v>R2C1</v>
      </c>
      <c r="W37" s="52" t="str">
        <f>IF(AND('Mapa final'!$AB$13="Baja",'Mapa final'!$AD$13="Moderado"),CONCATENATE("R2C",'Mapa final'!$R$13),"")</f>
        <v/>
      </c>
      <c r="X37" s="52" t="str">
        <f>IF(AND('Mapa final'!$AB$14="Baja",'Mapa final'!$AD$14="Moderado"),CONCATENATE("R2C",'Mapa final'!$R$14),"")</f>
        <v/>
      </c>
      <c r="Y37" s="52" t="str">
        <f>IF(AND('Mapa final'!$AB$15="Baja",'Mapa final'!$AD$15="Moderado"),CONCATENATE("R2C",'Mapa final'!$R$15),"")</f>
        <v/>
      </c>
      <c r="Z37" s="52" t="str">
        <f>IF(AND('Mapa final'!$AB$16="Baja",'Mapa final'!$AD$16="Moderado"),CONCATENATE("R2C",'Mapa final'!$R$16),"")</f>
        <v/>
      </c>
      <c r="AA37" s="53" t="str">
        <f>IF(AND('Mapa final'!$AB$17="Baja",'Mapa final'!$AD$17="Moderado"),CONCATENATE("R2C",'Mapa final'!$R$17),"")</f>
        <v/>
      </c>
      <c r="AB37" s="36" t="str">
        <f>IF(AND('Mapa final'!$AB$12="Baja",'Mapa final'!$AD$12="Mayor"),CONCATENATE("R2C",'Mapa final'!$R$12),"")</f>
        <v/>
      </c>
      <c r="AC37" s="37" t="str">
        <f>IF(AND('Mapa final'!$AB$13="Baja",'Mapa final'!$AD$13="Mayor"),CONCATENATE("R2C",'Mapa final'!$R$13),"")</f>
        <v/>
      </c>
      <c r="AD37" s="37" t="str">
        <f>IF(AND('Mapa final'!$AB$14="Baja",'Mapa final'!$AD$14="Mayor"),CONCATENATE("R2C",'Mapa final'!$R$14),"")</f>
        <v/>
      </c>
      <c r="AE37" s="37" t="str">
        <f>IF(AND('Mapa final'!$AB$15="Baja",'Mapa final'!$AD$15="Mayor"),CONCATENATE("R2C",'Mapa final'!$R$15),"")</f>
        <v/>
      </c>
      <c r="AF37" s="37" t="str">
        <f>IF(AND('Mapa final'!$AB$16="Baja",'Mapa final'!$AD$16="Mayor"),CONCATENATE("R2C",'Mapa final'!$R$16),"")</f>
        <v/>
      </c>
      <c r="AG37" s="38" t="str">
        <f>IF(AND('Mapa final'!$AB$17="Baja",'Mapa final'!$AD$17="Mayor"),CONCATENATE("R2C",'Mapa final'!$R$17),"")</f>
        <v/>
      </c>
      <c r="AH37" s="39" t="str">
        <f>IF(AND('Mapa final'!$AB$12="Baja",'Mapa final'!$AD$12="Catastrófico"),CONCATENATE("R2C",'Mapa final'!$R$12),"")</f>
        <v/>
      </c>
      <c r="AI37" s="40" t="str">
        <f>IF(AND('Mapa final'!$AB$13="Baja",'Mapa final'!$AD$13="Catastrófico"),CONCATENATE("R2C",'Mapa final'!$R$13),"")</f>
        <v/>
      </c>
      <c r="AJ37" s="40" t="str">
        <f>IF(AND('Mapa final'!$AB$14="Baja",'Mapa final'!$AD$14="Catastrófico"),CONCATENATE("R2C",'Mapa final'!$R$14),"")</f>
        <v/>
      </c>
      <c r="AK37" s="40" t="str">
        <f>IF(AND('Mapa final'!$AB$15="Baja",'Mapa final'!$AD$15="Catastrófico"),CONCATENATE("R2C",'Mapa final'!$R$15),"")</f>
        <v/>
      </c>
      <c r="AL37" s="40" t="str">
        <f>IF(AND('Mapa final'!$AB$16="Baja",'Mapa final'!$AD$16="Catastrófico"),CONCATENATE("R2C",'Mapa final'!$R$16),"")</f>
        <v/>
      </c>
      <c r="AM37" s="41" t="str">
        <f>IF(AND('Mapa final'!$AB$17="Baja",'Mapa final'!$AD$17="Catastrófico"),CONCATENATE("R2C",'Mapa final'!$R$17),"")</f>
        <v/>
      </c>
      <c r="AN37" s="67"/>
      <c r="AO37" s="622"/>
      <c r="AP37" s="623"/>
      <c r="AQ37" s="623"/>
      <c r="AR37" s="623"/>
      <c r="AS37" s="623"/>
      <c r="AT37" s="624"/>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row>
    <row r="38" spans="1:80" ht="15" customHeight="1" x14ac:dyDescent="0.3">
      <c r="A38" s="67"/>
      <c r="B38" s="550"/>
      <c r="C38" s="550"/>
      <c r="D38" s="551"/>
      <c r="E38" s="591"/>
      <c r="F38" s="592"/>
      <c r="G38" s="592"/>
      <c r="H38" s="592"/>
      <c r="I38" s="592"/>
      <c r="J38" s="60" t="str">
        <f>IF(AND('Mapa final'!$AB$18="Baja",'Mapa final'!$AD$18="Leve"),CONCATENATE("R3C",'Mapa final'!$R$18),"")</f>
        <v/>
      </c>
      <c r="K38" s="61" t="str">
        <f>IF(AND('Mapa final'!$AB$19="Baja",'Mapa final'!$AD$19="Leve"),CONCATENATE("R3C",'Mapa final'!$R$19),"")</f>
        <v/>
      </c>
      <c r="L38" s="61" t="str">
        <f>IF(AND('Mapa final'!$AB$20="Baja",'Mapa final'!$AD$20="Leve"),CONCATENATE("R3C",'Mapa final'!$R$20),"")</f>
        <v/>
      </c>
      <c r="M38" s="61" t="str">
        <f>IF(AND('Mapa final'!$AB$21="Baja",'Mapa final'!$AD$21="Leve"),CONCATENATE("R3C",'Mapa final'!$R$21),"")</f>
        <v/>
      </c>
      <c r="N38" s="61" t="str">
        <f>IF(AND('Mapa final'!$AB$22="Baja",'Mapa final'!$AD$22="Leve"),CONCATENATE("R3C",'Mapa final'!$R$22),"")</f>
        <v/>
      </c>
      <c r="O38" s="62" t="str">
        <f>IF(AND('Mapa final'!$AB$23="Baja",'Mapa final'!$AD$23="Leve"),CONCATENATE("R3C",'Mapa final'!$R$23),"")</f>
        <v/>
      </c>
      <c r="P38" s="51" t="str">
        <f>IF(AND('Mapa final'!$AB$18="Baja",'Mapa final'!$AD$18="Menor"),CONCATENATE("R3C",'Mapa final'!$R$18),"")</f>
        <v/>
      </c>
      <c r="Q38" s="52" t="str">
        <f>IF(AND('Mapa final'!$AB$19="Baja",'Mapa final'!$AD$19="Menor"),CONCATENATE("R3C",'Mapa final'!$R$19),"")</f>
        <v/>
      </c>
      <c r="R38" s="52" t="str">
        <f>IF(AND('Mapa final'!$AB$20="Baja",'Mapa final'!$AD$20="Menor"),CONCATENATE("R3C",'Mapa final'!$R$20),"")</f>
        <v/>
      </c>
      <c r="S38" s="52" t="str">
        <f>IF(AND('Mapa final'!$AB$21="Baja",'Mapa final'!$AD$21="Menor"),CONCATENATE("R3C",'Mapa final'!$R$21),"")</f>
        <v/>
      </c>
      <c r="T38" s="52" t="str">
        <f>IF(AND('Mapa final'!$AB$22="Baja",'Mapa final'!$AD$22="Menor"),CONCATENATE("R3C",'Mapa final'!$R$22),"")</f>
        <v/>
      </c>
      <c r="U38" s="53" t="str">
        <f>IF(AND('Mapa final'!$AB$23="Baja",'Mapa final'!$AD$23="Menor"),CONCATENATE("R3C",'Mapa final'!$R$23),"")</f>
        <v/>
      </c>
      <c r="V38" s="51" t="str">
        <f>IF(AND('Mapa final'!$AB$18="Baja",'Mapa final'!$AD$18="Moderado"),CONCATENATE("R3C",'Mapa final'!$R$18),"")</f>
        <v/>
      </c>
      <c r="W38" s="52" t="str">
        <f>IF(AND('Mapa final'!$AB$19="Baja",'Mapa final'!$AD$19="Moderado"),CONCATENATE("R3C",'Mapa final'!$R$19),"")</f>
        <v/>
      </c>
      <c r="X38" s="52" t="str">
        <f>IF(AND('Mapa final'!$AB$20="Baja",'Mapa final'!$AD$20="Moderado"),CONCATENATE("R3C",'Mapa final'!$R$20),"")</f>
        <v/>
      </c>
      <c r="Y38" s="52" t="str">
        <f>IF(AND('Mapa final'!$AB$21="Baja",'Mapa final'!$AD$21="Moderado"),CONCATENATE("R3C",'Mapa final'!$R$21),"")</f>
        <v>R3C4</v>
      </c>
      <c r="Z38" s="52" t="str">
        <f>IF(AND('Mapa final'!$AB$22="Baja",'Mapa final'!$AD$22="Moderado"),CONCATENATE("R3C",'Mapa final'!$R$22),"")</f>
        <v/>
      </c>
      <c r="AA38" s="53" t="str">
        <f>IF(AND('Mapa final'!$AB$23="Baja",'Mapa final'!$AD$23="Moderado"),CONCATENATE("R3C",'Mapa final'!$R$23),"")</f>
        <v/>
      </c>
      <c r="AB38" s="36" t="str">
        <f>IF(AND('Mapa final'!$AB$18="Baja",'Mapa final'!$AD$18="Mayor"),CONCATENATE("R3C",'Mapa final'!$R$18),"")</f>
        <v/>
      </c>
      <c r="AC38" s="37" t="str">
        <f>IF(AND('Mapa final'!$AB$19="Baja",'Mapa final'!$AD$19="Mayor"),CONCATENATE("R3C",'Mapa final'!$R$19),"")</f>
        <v/>
      </c>
      <c r="AD38" s="37" t="str">
        <f>IF(AND('Mapa final'!$AB$20="Baja",'Mapa final'!$AD$20="Mayor"),CONCATENATE("R3C",'Mapa final'!$R$20),"")</f>
        <v/>
      </c>
      <c r="AE38" s="37" t="str">
        <f>IF(AND('Mapa final'!$AB$21="Baja",'Mapa final'!$AD$21="Mayor"),CONCATENATE("R3C",'Mapa final'!$R$21),"")</f>
        <v/>
      </c>
      <c r="AF38" s="37" t="str">
        <f>IF(AND('Mapa final'!$AB$22="Baja",'Mapa final'!$AD$22="Mayor"),CONCATENATE("R3C",'Mapa final'!$R$22),"")</f>
        <v/>
      </c>
      <c r="AG38" s="38" t="str">
        <f>IF(AND('Mapa final'!$AB$23="Baja",'Mapa final'!$AD$23="Mayor"),CONCATENATE("R3C",'Mapa final'!$R$23),"")</f>
        <v/>
      </c>
      <c r="AH38" s="39" t="str">
        <f>IF(AND('Mapa final'!$AB$18="Baja",'Mapa final'!$AD$18="Catastrófico"),CONCATENATE("R3C",'Mapa final'!$R$18),"")</f>
        <v/>
      </c>
      <c r="AI38" s="40" t="str">
        <f>IF(AND('Mapa final'!$AB$19="Baja",'Mapa final'!$AD$19="Catastrófico"),CONCATENATE("R3C",'Mapa final'!$R$19),"")</f>
        <v/>
      </c>
      <c r="AJ38" s="40" t="str">
        <f>IF(AND('Mapa final'!$AB$20="Baja",'Mapa final'!$AD$20="Catastrófico"),CONCATENATE("R3C",'Mapa final'!$R$20),"")</f>
        <v/>
      </c>
      <c r="AK38" s="40" t="str">
        <f>IF(AND('Mapa final'!$AB$21="Baja",'Mapa final'!$AD$21="Catastrófico"),CONCATENATE("R3C",'Mapa final'!$R$21),"")</f>
        <v/>
      </c>
      <c r="AL38" s="40" t="str">
        <f>IF(AND('Mapa final'!$AB$22="Baja",'Mapa final'!$AD$22="Catastrófico"),CONCATENATE("R3C",'Mapa final'!$R$22),"")</f>
        <v/>
      </c>
      <c r="AM38" s="41" t="str">
        <f>IF(AND('Mapa final'!$AB$23="Baja",'Mapa final'!$AD$23="Catastrófico"),CONCATENATE("R3C",'Mapa final'!$R$23),"")</f>
        <v/>
      </c>
      <c r="AN38" s="67"/>
      <c r="AO38" s="622"/>
      <c r="AP38" s="623"/>
      <c r="AQ38" s="623"/>
      <c r="AR38" s="623"/>
      <c r="AS38" s="623"/>
      <c r="AT38" s="624"/>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row>
    <row r="39" spans="1:80" ht="15" customHeight="1" x14ac:dyDescent="0.3">
      <c r="A39" s="67"/>
      <c r="B39" s="550"/>
      <c r="C39" s="550"/>
      <c r="D39" s="551"/>
      <c r="E39" s="591"/>
      <c r="F39" s="592"/>
      <c r="G39" s="592"/>
      <c r="H39" s="592"/>
      <c r="I39" s="592"/>
      <c r="J39" s="60" t="str">
        <f>IF(AND('Mapa final'!$AB$24="Baja",'Mapa final'!$AD$24="Leve"),CONCATENATE("R4C",'Mapa final'!$R$24),"")</f>
        <v/>
      </c>
      <c r="K39" s="61" t="str">
        <f>IF(AND('Mapa final'!$AB$25="Baja",'Mapa final'!$AD$25="Leve"),CONCATENATE("R4C",'Mapa final'!$R$25),"")</f>
        <v/>
      </c>
      <c r="L39" s="61" t="str">
        <f>IF(AND('Mapa final'!$AB$26="Baja",'Mapa final'!$AD$26="Leve"),CONCATENATE("R4C",'Mapa final'!$R$26),"")</f>
        <v/>
      </c>
      <c r="M39" s="61" t="str">
        <f>IF(AND('Mapa final'!$AB$27="Baja",'Mapa final'!$AD$27="Leve"),CONCATENATE("R4C",'Mapa final'!$R$27),"")</f>
        <v/>
      </c>
      <c r="N39" s="61" t="str">
        <f>IF(AND('Mapa final'!$AB$28="Baja",'Mapa final'!$AD$28="Leve"),CONCATENATE("R4C",'Mapa final'!$R$28),"")</f>
        <v/>
      </c>
      <c r="O39" s="62" t="str">
        <f>IF(AND('Mapa final'!$AB$29="Baja",'Mapa final'!$AD$29="Leve"),CONCATENATE("R4C",'Mapa final'!$R$29),"")</f>
        <v/>
      </c>
      <c r="P39" s="51" t="str">
        <f>IF(AND('Mapa final'!$AB$24="Baja",'Mapa final'!$AD$24="Menor"),CONCATENATE("R4C",'Mapa final'!$R$24),"")</f>
        <v/>
      </c>
      <c r="Q39" s="52" t="str">
        <f>IF(AND('Mapa final'!$AB$25="Baja",'Mapa final'!$AD$25="Menor"),CONCATENATE("R4C",'Mapa final'!$R$25),"")</f>
        <v/>
      </c>
      <c r="R39" s="52" t="str">
        <f>IF(AND('Mapa final'!$AB$26="Baja",'Mapa final'!$AD$26="Menor"),CONCATENATE("R4C",'Mapa final'!$R$26),"")</f>
        <v/>
      </c>
      <c r="S39" s="52" t="str">
        <f>IF(AND('Mapa final'!$AB$27="Baja",'Mapa final'!$AD$27="Menor"),CONCATENATE("R4C",'Mapa final'!$R$27),"")</f>
        <v/>
      </c>
      <c r="T39" s="52" t="str">
        <f>IF(AND('Mapa final'!$AB$28="Baja",'Mapa final'!$AD$28="Menor"),CONCATENATE("R4C",'Mapa final'!$R$28),"")</f>
        <v/>
      </c>
      <c r="U39" s="53" t="str">
        <f>IF(AND('Mapa final'!$AB$29="Baja",'Mapa final'!$AD$29="Menor"),CONCATENATE("R4C",'Mapa final'!$R$29),"")</f>
        <v/>
      </c>
      <c r="V39" s="51" t="str">
        <f>IF(AND('Mapa final'!$AB$24="Baja",'Mapa final'!$AD$24="Moderado"),CONCATENATE("R4C",'Mapa final'!$R$24),"")</f>
        <v/>
      </c>
      <c r="W39" s="52" t="str">
        <f>IF(AND('Mapa final'!$AB$25="Baja",'Mapa final'!$AD$25="Moderado"),CONCATENATE("R4C",'Mapa final'!$R$25),"")</f>
        <v/>
      </c>
      <c r="X39" s="52" t="str">
        <f>IF(AND('Mapa final'!$AB$26="Baja",'Mapa final'!$AD$26="Moderado"),CONCATENATE("R4C",'Mapa final'!$R$26),"")</f>
        <v/>
      </c>
      <c r="Y39" s="52" t="str">
        <f>IF(AND('Mapa final'!$AB$27="Baja",'Mapa final'!$AD$27="Moderado"),CONCATENATE("R4C",'Mapa final'!$R$27),"")</f>
        <v/>
      </c>
      <c r="Z39" s="52" t="str">
        <f>IF(AND('Mapa final'!$AB$28="Baja",'Mapa final'!$AD$28="Moderado"),CONCATENATE("R4C",'Mapa final'!$R$28),"")</f>
        <v/>
      </c>
      <c r="AA39" s="53" t="str">
        <f>IF(AND('Mapa final'!$AB$29="Baja",'Mapa final'!$AD$29="Moderado"),CONCATENATE("R4C",'Mapa final'!$R$29),"")</f>
        <v/>
      </c>
      <c r="AB39" s="36" t="str">
        <f>IF(AND('Mapa final'!$AB$24="Baja",'Mapa final'!$AD$24="Mayor"),CONCATENATE("R4C",'Mapa final'!$R$24),"")</f>
        <v/>
      </c>
      <c r="AC39" s="37" t="str">
        <f>IF(AND('Mapa final'!$AB$25="Baja",'Mapa final'!$AD$25="Mayor"),CONCATENATE("R4C",'Mapa final'!$R$25),"")</f>
        <v/>
      </c>
      <c r="AD39" s="37" t="str">
        <f>IF(AND('Mapa final'!$AB$26="Baja",'Mapa final'!$AD$26="Mayor"),CONCATENATE("R4C",'Mapa final'!$R$26),"")</f>
        <v/>
      </c>
      <c r="AE39" s="37" t="str">
        <f>IF(AND('Mapa final'!$AB$27="Baja",'Mapa final'!$AD$27="Mayor"),CONCATENATE("R4C",'Mapa final'!$R$27),"")</f>
        <v/>
      </c>
      <c r="AF39" s="37" t="str">
        <f>IF(AND('Mapa final'!$AB$28="Baja",'Mapa final'!$AD$28="Mayor"),CONCATENATE("R4C",'Mapa final'!$R$28),"")</f>
        <v/>
      </c>
      <c r="AG39" s="38" t="str">
        <f>IF(AND('Mapa final'!$AB$29="Baja",'Mapa final'!$AD$29="Mayor"),CONCATENATE("R4C",'Mapa final'!$R$29),"")</f>
        <v/>
      </c>
      <c r="AH39" s="39" t="str">
        <f>IF(AND('Mapa final'!$AB$24="Baja",'Mapa final'!$AD$24="Catastrófico"),CONCATENATE("R4C",'Mapa final'!$R$24),"")</f>
        <v/>
      </c>
      <c r="AI39" s="40" t="str">
        <f>IF(AND('Mapa final'!$AB$25="Baja",'Mapa final'!$AD$25="Catastrófico"),CONCATENATE("R4C",'Mapa final'!$R$25),"")</f>
        <v/>
      </c>
      <c r="AJ39" s="40" t="str">
        <f>IF(AND('Mapa final'!$AB$26="Baja",'Mapa final'!$AD$26="Catastrófico"),CONCATENATE("R4C",'Mapa final'!$R$26),"")</f>
        <v/>
      </c>
      <c r="AK39" s="40" t="str">
        <f>IF(AND('Mapa final'!$AB$27="Baja",'Mapa final'!$AD$27="Catastrófico"),CONCATENATE("R4C",'Mapa final'!$R$27),"")</f>
        <v/>
      </c>
      <c r="AL39" s="40" t="str">
        <f>IF(AND('Mapa final'!$AB$28="Baja",'Mapa final'!$AD$28="Catastrófico"),CONCATENATE("R4C",'Mapa final'!$R$28),"")</f>
        <v/>
      </c>
      <c r="AM39" s="41" t="str">
        <f>IF(AND('Mapa final'!$AB$29="Baja",'Mapa final'!$AD$29="Catastrófico"),CONCATENATE("R4C",'Mapa final'!$R$29),"")</f>
        <v/>
      </c>
      <c r="AN39" s="67"/>
      <c r="AO39" s="622"/>
      <c r="AP39" s="623"/>
      <c r="AQ39" s="623"/>
      <c r="AR39" s="623"/>
      <c r="AS39" s="623"/>
      <c r="AT39" s="624"/>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row>
    <row r="40" spans="1:80" ht="15" customHeight="1" x14ac:dyDescent="0.3">
      <c r="A40" s="67"/>
      <c r="B40" s="550"/>
      <c r="C40" s="550"/>
      <c r="D40" s="551"/>
      <c r="E40" s="591"/>
      <c r="F40" s="592"/>
      <c r="G40" s="592"/>
      <c r="H40" s="592"/>
      <c r="I40" s="592"/>
      <c r="J40" s="60" t="str">
        <f>IF(AND('Mapa final'!$AB$30="Baja",'Mapa final'!$AD$30="Leve"),CONCATENATE("R5C",'Mapa final'!$R$30),"")</f>
        <v/>
      </c>
      <c r="K40" s="61" t="str">
        <f>IF(AND('Mapa final'!$AB$31="Baja",'Mapa final'!$AD$31="Leve"),CONCATENATE("R5C",'Mapa final'!$R$31),"")</f>
        <v/>
      </c>
      <c r="L40" s="61" t="str">
        <f>IF(AND('Mapa final'!$AB$32="Baja",'Mapa final'!$AD$32="Leve"),CONCATENATE("R5C",'Mapa final'!$R$32),"")</f>
        <v/>
      </c>
      <c r="M40" s="61" t="str">
        <f>IF(AND('Mapa final'!$AB$33="Baja",'Mapa final'!$AD$33="Leve"),CONCATENATE("R5C",'Mapa final'!$R$33),"")</f>
        <v/>
      </c>
      <c r="N40" s="61" t="str">
        <f>IF(AND('Mapa final'!$AB$34="Baja",'Mapa final'!$AD$34="Leve"),CONCATENATE("R5C",'Mapa final'!$R$34),"")</f>
        <v/>
      </c>
      <c r="O40" s="62" t="str">
        <f>IF(AND('Mapa final'!$AB$35="Baja",'Mapa final'!$AD$35="Leve"),CONCATENATE("R5C",'Mapa final'!$R$35),"")</f>
        <v/>
      </c>
      <c r="P40" s="51" t="str">
        <f>IF(AND('Mapa final'!$AB$30="Baja",'Mapa final'!$AD$30="Menor"),CONCATENATE("R5C",'Mapa final'!$R$30),"")</f>
        <v/>
      </c>
      <c r="Q40" s="52" t="str">
        <f>IF(AND('Mapa final'!$AB$31="Baja",'Mapa final'!$AD$31="Menor"),CONCATENATE("R5C",'Mapa final'!$R$31),"")</f>
        <v/>
      </c>
      <c r="R40" s="52" t="str">
        <f>IF(AND('Mapa final'!$AB$32="Baja",'Mapa final'!$AD$32="Menor"),CONCATENATE("R5C",'Mapa final'!$R$32),"")</f>
        <v/>
      </c>
      <c r="S40" s="52" t="str">
        <f>IF(AND('Mapa final'!$AB$33="Baja",'Mapa final'!$AD$33="Menor"),CONCATENATE("R5C",'Mapa final'!$R$33),"")</f>
        <v/>
      </c>
      <c r="T40" s="52" t="str">
        <f>IF(AND('Mapa final'!$AB$34="Baja",'Mapa final'!$AD$34="Menor"),CONCATENATE("R5C",'Mapa final'!$R$34),"")</f>
        <v/>
      </c>
      <c r="U40" s="53" t="str">
        <f>IF(AND('Mapa final'!$AB$35="Baja",'Mapa final'!$AD$35="Menor"),CONCATENATE("R5C",'Mapa final'!$R$35),"")</f>
        <v/>
      </c>
      <c r="V40" s="51" t="str">
        <f>IF(AND('Mapa final'!$AB$30="Baja",'Mapa final'!$AD$30="Moderado"),CONCATENATE("R5C",'Mapa final'!$R$30),"")</f>
        <v/>
      </c>
      <c r="W40" s="52" t="str">
        <f>IF(AND('Mapa final'!$AB$31="Baja",'Mapa final'!$AD$31="Moderado"),CONCATENATE("R5C",'Mapa final'!$R$31),"")</f>
        <v/>
      </c>
      <c r="X40" s="52" t="str">
        <f>IF(AND('Mapa final'!$AB$32="Baja",'Mapa final'!$AD$32="Moderado"),CONCATENATE("R5C",'Mapa final'!$R$32),"")</f>
        <v/>
      </c>
      <c r="Y40" s="52" t="str">
        <f>IF(AND('Mapa final'!$AB$33="Baja",'Mapa final'!$AD$33="Moderado"),CONCATENATE("R5C",'Mapa final'!$R$33),"")</f>
        <v/>
      </c>
      <c r="Z40" s="52" t="str">
        <f>IF(AND('Mapa final'!$AB$34="Baja",'Mapa final'!$AD$34="Moderado"),CONCATENATE("R5C",'Mapa final'!$R$34),"")</f>
        <v/>
      </c>
      <c r="AA40" s="53" t="str">
        <f>IF(AND('Mapa final'!$AB$35="Baja",'Mapa final'!$AD$35="Moderado"),CONCATENATE("R5C",'Mapa final'!$R$35),"")</f>
        <v/>
      </c>
      <c r="AB40" s="36" t="str">
        <f>IF(AND('Mapa final'!$AB$30="Baja",'Mapa final'!$AD$30="Mayor"),CONCATENATE("R5C",'Mapa final'!$R$30),"")</f>
        <v/>
      </c>
      <c r="AC40" s="37" t="str">
        <f>IF(AND('Mapa final'!$AB$31="Baja",'Mapa final'!$AD$31="Mayor"),CONCATENATE("R5C",'Mapa final'!$R$31),"")</f>
        <v/>
      </c>
      <c r="AD40" s="37" t="str">
        <f>IF(AND('Mapa final'!$AB$32="Baja",'Mapa final'!$AD$32="Mayor"),CONCATENATE("R5C",'Mapa final'!$R$32),"")</f>
        <v/>
      </c>
      <c r="AE40" s="37" t="str">
        <f>IF(AND('Mapa final'!$AB$33="Baja",'Mapa final'!$AD$33="Mayor"),CONCATENATE("R5C",'Mapa final'!$R$33),"")</f>
        <v/>
      </c>
      <c r="AF40" s="37" t="str">
        <f>IF(AND('Mapa final'!$AB$34="Baja",'Mapa final'!$AD$34="Mayor"),CONCATENATE("R5C",'Mapa final'!$R$34),"")</f>
        <v/>
      </c>
      <c r="AG40" s="38" t="str">
        <f>IF(AND('Mapa final'!$AB$35="Baja",'Mapa final'!$AD$35="Mayor"),CONCATENATE("R5C",'Mapa final'!$R$35),"")</f>
        <v/>
      </c>
      <c r="AH40" s="39" t="str">
        <f>IF(AND('Mapa final'!$AB$30="Baja",'Mapa final'!$AD$30="Catastrófico"),CONCATENATE("R5C",'Mapa final'!$R$30),"")</f>
        <v/>
      </c>
      <c r="AI40" s="40" t="str">
        <f>IF(AND('Mapa final'!$AB$31="Baja",'Mapa final'!$AD$31="Catastrófico"),CONCATENATE("R5C",'Mapa final'!$R$31),"")</f>
        <v/>
      </c>
      <c r="AJ40" s="40" t="str">
        <f>IF(AND('Mapa final'!$AB$32="Baja",'Mapa final'!$AD$32="Catastrófico"),CONCATENATE("R5C",'Mapa final'!$R$32),"")</f>
        <v/>
      </c>
      <c r="AK40" s="40" t="str">
        <f>IF(AND('Mapa final'!$AB$33="Baja",'Mapa final'!$AD$33="Catastrófico"),CONCATENATE("R5C",'Mapa final'!$R$33),"")</f>
        <v/>
      </c>
      <c r="AL40" s="40" t="str">
        <f>IF(AND('Mapa final'!$AB$34="Baja",'Mapa final'!$AD$34="Catastrófico"),CONCATENATE("R5C",'Mapa final'!$R$34),"")</f>
        <v/>
      </c>
      <c r="AM40" s="41" t="str">
        <f>IF(AND('Mapa final'!$AB$35="Baja",'Mapa final'!$AD$35="Catastrófico"),CONCATENATE("R5C",'Mapa final'!$R$35),"")</f>
        <v/>
      </c>
      <c r="AN40" s="67"/>
      <c r="AO40" s="622"/>
      <c r="AP40" s="623"/>
      <c r="AQ40" s="623"/>
      <c r="AR40" s="623"/>
      <c r="AS40" s="623"/>
      <c r="AT40" s="624"/>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row>
    <row r="41" spans="1:80" ht="15" customHeight="1" x14ac:dyDescent="0.3">
      <c r="A41" s="67"/>
      <c r="B41" s="550"/>
      <c r="C41" s="550"/>
      <c r="D41" s="551"/>
      <c r="E41" s="591"/>
      <c r="F41" s="592"/>
      <c r="G41" s="592"/>
      <c r="H41" s="592"/>
      <c r="I41" s="592"/>
      <c r="J41" s="60" t="str">
        <f>IF(AND('Mapa final'!$AB$36="Baja",'Mapa final'!$AD$36="Leve"),CONCATENATE("R6C",'Mapa final'!$R$36),"")</f>
        <v/>
      </c>
      <c r="K41" s="61" t="str">
        <f>IF(AND('Mapa final'!$AB$37="Baja",'Mapa final'!$AD$37="Leve"),CONCATENATE("R6C",'Mapa final'!$R$37),"")</f>
        <v/>
      </c>
      <c r="L41" s="61" t="str">
        <f>IF(AND('Mapa final'!$AB$38="Baja",'Mapa final'!$AD$38="Leve"),CONCATENATE("R6C",'Mapa final'!$R$38),"")</f>
        <v/>
      </c>
      <c r="M41" s="61" t="str">
        <f>IF(AND('Mapa final'!$AB$39="Baja",'Mapa final'!$AD$39="Leve"),CONCATENATE("R6C",'Mapa final'!$R$39),"")</f>
        <v/>
      </c>
      <c r="N41" s="61" t="str">
        <f>IF(AND('Mapa final'!$AB$40="Baja",'Mapa final'!$AD$40="Leve"),CONCATENATE("R6C",'Mapa final'!$R$40),"")</f>
        <v/>
      </c>
      <c r="O41" s="62" t="str">
        <f>IF(AND('Mapa final'!$AB$41="Baja",'Mapa final'!$AD$41="Leve"),CONCATENATE("R6C",'Mapa final'!$R$41),"")</f>
        <v/>
      </c>
      <c r="P41" s="51" t="str">
        <f>IF(AND('Mapa final'!$AB$36="Baja",'Mapa final'!$AD$36="Menor"),CONCATENATE("R6C",'Mapa final'!$R$36),"")</f>
        <v/>
      </c>
      <c r="Q41" s="52" t="str">
        <f>IF(AND('Mapa final'!$AB$37="Baja",'Mapa final'!$AD$37="Menor"),CONCATENATE("R6C",'Mapa final'!$R$37),"")</f>
        <v/>
      </c>
      <c r="R41" s="52" t="str">
        <f>IF(AND('Mapa final'!$AB$38="Baja",'Mapa final'!$AD$38="Menor"),CONCATENATE("R6C",'Mapa final'!$R$38),"")</f>
        <v/>
      </c>
      <c r="S41" s="52" t="str">
        <f>IF(AND('Mapa final'!$AB$39="Baja",'Mapa final'!$AD$39="Menor"),CONCATENATE("R6C",'Mapa final'!$R$39),"")</f>
        <v/>
      </c>
      <c r="T41" s="52" t="str">
        <f>IF(AND('Mapa final'!$AB$40="Baja",'Mapa final'!$AD$40="Menor"),CONCATENATE("R6C",'Mapa final'!$R$40),"")</f>
        <v/>
      </c>
      <c r="U41" s="53" t="str">
        <f>IF(AND('Mapa final'!$AB$41="Baja",'Mapa final'!$AD$41="Menor"),CONCATENATE("R6C",'Mapa final'!$R$41),"")</f>
        <v/>
      </c>
      <c r="V41" s="51" t="str">
        <f>IF(AND('Mapa final'!$AB$36="Baja",'Mapa final'!$AD$36="Moderado"),CONCATENATE("R6C",'Mapa final'!$R$36),"")</f>
        <v/>
      </c>
      <c r="W41" s="52" t="str">
        <f>IF(AND('Mapa final'!$AB$37="Baja",'Mapa final'!$AD$37="Moderado"),CONCATENATE("R6C",'Mapa final'!$R$37),"")</f>
        <v/>
      </c>
      <c r="X41" s="52" t="str">
        <f>IF(AND('Mapa final'!$AB$38="Baja",'Mapa final'!$AD$38="Moderado"),CONCATENATE("R6C",'Mapa final'!$R$38),"")</f>
        <v/>
      </c>
      <c r="Y41" s="52" t="str">
        <f>IF(AND('Mapa final'!$AB$39="Baja",'Mapa final'!$AD$39="Moderado"),CONCATENATE("R6C",'Mapa final'!$R$39),"")</f>
        <v/>
      </c>
      <c r="Z41" s="52" t="str">
        <f>IF(AND('Mapa final'!$AB$40="Baja",'Mapa final'!$AD$40="Moderado"),CONCATENATE("R6C",'Mapa final'!$R$40),"")</f>
        <v/>
      </c>
      <c r="AA41" s="53" t="str">
        <f>IF(AND('Mapa final'!$AB$41="Baja",'Mapa final'!$AD$41="Moderado"),CONCATENATE("R6C",'Mapa final'!$R$41),"")</f>
        <v/>
      </c>
      <c r="AB41" s="36" t="str">
        <f>IF(AND('Mapa final'!$AB$36="Baja",'Mapa final'!$AD$36="Mayor"),CONCATENATE("R6C",'Mapa final'!$R$36),"")</f>
        <v/>
      </c>
      <c r="AC41" s="37" t="str">
        <f>IF(AND('Mapa final'!$AB$37="Baja",'Mapa final'!$AD$37="Mayor"),CONCATENATE("R6C",'Mapa final'!$R$37),"")</f>
        <v/>
      </c>
      <c r="AD41" s="37" t="str">
        <f>IF(AND('Mapa final'!$AB$38="Baja",'Mapa final'!$AD$38="Mayor"),CONCATENATE("R6C",'Mapa final'!$R$38),"")</f>
        <v/>
      </c>
      <c r="AE41" s="37" t="str">
        <f>IF(AND('Mapa final'!$AB$39="Baja",'Mapa final'!$AD$39="Mayor"),CONCATENATE("R6C",'Mapa final'!$R$39),"")</f>
        <v/>
      </c>
      <c r="AF41" s="37" t="str">
        <f>IF(AND('Mapa final'!$AB$40="Baja",'Mapa final'!$AD$40="Mayor"),CONCATENATE("R6C",'Mapa final'!$R$40),"")</f>
        <v/>
      </c>
      <c r="AG41" s="38" t="str">
        <f>IF(AND('Mapa final'!$AB$41="Baja",'Mapa final'!$AD$41="Mayor"),CONCATENATE("R6C",'Mapa final'!$R$41),"")</f>
        <v/>
      </c>
      <c r="AH41" s="39" t="str">
        <f>IF(AND('Mapa final'!$AB$36="Baja",'Mapa final'!$AD$36="Catastrófico"),CONCATENATE("R6C",'Mapa final'!$R$36),"")</f>
        <v/>
      </c>
      <c r="AI41" s="40" t="str">
        <f>IF(AND('Mapa final'!$AB$37="Baja",'Mapa final'!$AD$37="Catastrófico"),CONCATENATE("R6C",'Mapa final'!$R$37),"")</f>
        <v/>
      </c>
      <c r="AJ41" s="40" t="str">
        <f>IF(AND('Mapa final'!$AB$38="Baja",'Mapa final'!$AD$38="Catastrófico"),CONCATENATE("R6C",'Mapa final'!$R$38),"")</f>
        <v/>
      </c>
      <c r="AK41" s="40" t="str">
        <f>IF(AND('Mapa final'!$AB$39="Baja",'Mapa final'!$AD$39="Catastrófico"),CONCATENATE("R6C",'Mapa final'!$R$39),"")</f>
        <v/>
      </c>
      <c r="AL41" s="40" t="str">
        <f>IF(AND('Mapa final'!$AB$40="Baja",'Mapa final'!$AD$40="Catastrófico"),CONCATENATE("R6C",'Mapa final'!$R$40),"")</f>
        <v/>
      </c>
      <c r="AM41" s="41" t="str">
        <f>IF(AND('Mapa final'!$AB$41="Baja",'Mapa final'!$AD$41="Catastrófico"),CONCATENATE("R6C",'Mapa final'!$R$41),"")</f>
        <v/>
      </c>
      <c r="AN41" s="67"/>
      <c r="AO41" s="622"/>
      <c r="AP41" s="623"/>
      <c r="AQ41" s="623"/>
      <c r="AR41" s="623"/>
      <c r="AS41" s="623"/>
      <c r="AT41" s="624"/>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row>
    <row r="42" spans="1:80" ht="15" customHeight="1" x14ac:dyDescent="0.3">
      <c r="A42" s="67"/>
      <c r="B42" s="550"/>
      <c r="C42" s="550"/>
      <c r="D42" s="551"/>
      <c r="E42" s="591"/>
      <c r="F42" s="592"/>
      <c r="G42" s="592"/>
      <c r="H42" s="592"/>
      <c r="I42" s="592"/>
      <c r="J42" s="60" t="str">
        <f>IF(AND('Mapa final'!$AB$42="Baja",'Mapa final'!$AD$42="Leve"),CONCATENATE("R7C",'Mapa final'!$R$42),"")</f>
        <v/>
      </c>
      <c r="K42" s="61" t="str">
        <f>IF(AND('Mapa final'!$AB$43="Baja",'Mapa final'!$AD$43="Leve"),CONCATENATE("R7C",'Mapa final'!$R$43),"")</f>
        <v/>
      </c>
      <c r="L42" s="61" t="str">
        <f>IF(AND('Mapa final'!$AB$44="Baja",'Mapa final'!$AD$44="Leve"),CONCATENATE("R7C",'Mapa final'!$R$44),"")</f>
        <v/>
      </c>
      <c r="M42" s="61" t="str">
        <f>IF(AND('Mapa final'!$AB$45="Baja",'Mapa final'!$AD$45="Leve"),CONCATENATE("R7C",'Mapa final'!$R$45),"")</f>
        <v/>
      </c>
      <c r="N42" s="61" t="str">
        <f>IF(AND('Mapa final'!$AB$46="Baja",'Mapa final'!$AD$46="Leve"),CONCATENATE("R7C",'Mapa final'!$R$46),"")</f>
        <v/>
      </c>
      <c r="O42" s="62" t="str">
        <f>IF(AND('Mapa final'!$AB$47="Baja",'Mapa final'!$AD$47="Leve"),CONCATENATE("R7C",'Mapa final'!$R$47),"")</f>
        <v/>
      </c>
      <c r="P42" s="51" t="str">
        <f>IF(AND('Mapa final'!$AB$42="Baja",'Mapa final'!$AD$42="Menor"),CONCATENATE("R7C",'Mapa final'!$R$42),"")</f>
        <v/>
      </c>
      <c r="Q42" s="52" t="str">
        <f>IF(AND('Mapa final'!$AB$43="Baja",'Mapa final'!$AD$43="Menor"),CONCATENATE("R7C",'Mapa final'!$R$43),"")</f>
        <v/>
      </c>
      <c r="R42" s="52" t="str">
        <f>IF(AND('Mapa final'!$AB$44="Baja",'Mapa final'!$AD$44="Menor"),CONCATENATE("R7C",'Mapa final'!$R$44),"")</f>
        <v/>
      </c>
      <c r="S42" s="52" t="str">
        <f>IF(AND('Mapa final'!$AB$45="Baja",'Mapa final'!$AD$45="Menor"),CONCATENATE("R7C",'Mapa final'!$R$45),"")</f>
        <v/>
      </c>
      <c r="T42" s="52" t="str">
        <f>IF(AND('Mapa final'!$AB$46="Baja",'Mapa final'!$AD$46="Menor"),CONCATENATE("R7C",'Mapa final'!$R$46),"")</f>
        <v/>
      </c>
      <c r="U42" s="53" t="str">
        <f>IF(AND('Mapa final'!$AB$47="Baja",'Mapa final'!$AD$47="Menor"),CONCATENATE("R7C",'Mapa final'!$R$47),"")</f>
        <v/>
      </c>
      <c r="V42" s="51" t="str">
        <f>IF(AND('Mapa final'!$AB$42="Baja",'Mapa final'!$AD$42="Moderado"),CONCATENATE("R7C",'Mapa final'!$R$42),"")</f>
        <v/>
      </c>
      <c r="W42" s="52" t="str">
        <f>IF(AND('Mapa final'!$AB$43="Baja",'Mapa final'!$AD$43="Moderado"),CONCATENATE("R7C",'Mapa final'!$R$43),"")</f>
        <v/>
      </c>
      <c r="X42" s="52" t="str">
        <f>IF(AND('Mapa final'!$AB$44="Baja",'Mapa final'!$AD$44="Moderado"),CONCATENATE("R7C",'Mapa final'!$R$44),"")</f>
        <v/>
      </c>
      <c r="Y42" s="52" t="str">
        <f>IF(AND('Mapa final'!$AB$45="Baja",'Mapa final'!$AD$45="Moderado"),CONCATENATE("R7C",'Mapa final'!$R$45),"")</f>
        <v/>
      </c>
      <c r="Z42" s="52" t="str">
        <f>IF(AND('Mapa final'!$AB$46="Baja",'Mapa final'!$AD$46="Moderado"),CONCATENATE("R7C",'Mapa final'!$R$46),"")</f>
        <v/>
      </c>
      <c r="AA42" s="53" t="str">
        <f>IF(AND('Mapa final'!$AB$47="Baja",'Mapa final'!$AD$47="Moderado"),CONCATENATE("R7C",'Mapa final'!$R$47),"")</f>
        <v/>
      </c>
      <c r="AB42" s="36" t="str">
        <f>IF(AND('Mapa final'!$AB$42="Baja",'Mapa final'!$AD$42="Mayor"),CONCATENATE("R7C",'Mapa final'!$R$42),"")</f>
        <v/>
      </c>
      <c r="AC42" s="37" t="str">
        <f>IF(AND('Mapa final'!$AB$43="Baja",'Mapa final'!$AD$43="Mayor"),CONCATENATE("R7C",'Mapa final'!$R$43),"")</f>
        <v/>
      </c>
      <c r="AD42" s="37" t="str">
        <f>IF(AND('Mapa final'!$AB$44="Baja",'Mapa final'!$AD$44="Mayor"),CONCATENATE("R7C",'Mapa final'!$R$44),"")</f>
        <v/>
      </c>
      <c r="AE42" s="37" t="str">
        <f>IF(AND('Mapa final'!$AB$45="Baja",'Mapa final'!$AD$45="Mayor"),CONCATENATE("R7C",'Mapa final'!$R$45),"")</f>
        <v/>
      </c>
      <c r="AF42" s="37" t="str">
        <f>IF(AND('Mapa final'!$AB$46="Baja",'Mapa final'!$AD$46="Mayor"),CONCATENATE("R7C",'Mapa final'!$R$46),"")</f>
        <v/>
      </c>
      <c r="AG42" s="38" t="str">
        <f>IF(AND('Mapa final'!$AB$47="Baja",'Mapa final'!$AD$47="Mayor"),CONCATENATE("R7C",'Mapa final'!$R$47),"")</f>
        <v/>
      </c>
      <c r="AH42" s="39" t="str">
        <f>IF(AND('Mapa final'!$AB$42="Baja",'Mapa final'!$AD$42="Catastrófico"),CONCATENATE("R7C",'Mapa final'!$R$42),"")</f>
        <v/>
      </c>
      <c r="AI42" s="40" t="str">
        <f>IF(AND('Mapa final'!$AB$43="Baja",'Mapa final'!$AD$43="Catastrófico"),CONCATENATE("R7C",'Mapa final'!$R$43),"")</f>
        <v/>
      </c>
      <c r="AJ42" s="40" t="str">
        <f>IF(AND('Mapa final'!$AB$44="Baja",'Mapa final'!$AD$44="Catastrófico"),CONCATENATE("R7C",'Mapa final'!$R$44),"")</f>
        <v/>
      </c>
      <c r="AK42" s="40" t="str">
        <f>IF(AND('Mapa final'!$AB$45="Baja",'Mapa final'!$AD$45="Catastrófico"),CONCATENATE("R7C",'Mapa final'!$R$45),"")</f>
        <v/>
      </c>
      <c r="AL42" s="40" t="str">
        <f>IF(AND('Mapa final'!$AB$46="Baja",'Mapa final'!$AD$46="Catastrófico"),CONCATENATE("R7C",'Mapa final'!$R$46),"")</f>
        <v/>
      </c>
      <c r="AM42" s="41" t="str">
        <f>IF(AND('Mapa final'!$AB$47="Baja",'Mapa final'!$AD$47="Catastrófico"),CONCATENATE("R7C",'Mapa final'!$R$47),"")</f>
        <v/>
      </c>
      <c r="AN42" s="67"/>
      <c r="AO42" s="622"/>
      <c r="AP42" s="623"/>
      <c r="AQ42" s="623"/>
      <c r="AR42" s="623"/>
      <c r="AS42" s="623"/>
      <c r="AT42" s="624"/>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row>
    <row r="43" spans="1:80" ht="15" customHeight="1" x14ac:dyDescent="0.3">
      <c r="A43" s="67"/>
      <c r="B43" s="550"/>
      <c r="C43" s="550"/>
      <c r="D43" s="551"/>
      <c r="E43" s="591"/>
      <c r="F43" s="592"/>
      <c r="G43" s="592"/>
      <c r="H43" s="592"/>
      <c r="I43" s="592"/>
      <c r="J43" s="60" t="str">
        <f>IF(AND('Mapa final'!$AB$48="Baja",'Mapa final'!$AD$48="Leve"),CONCATENATE("R8C",'Mapa final'!$R$48),"")</f>
        <v/>
      </c>
      <c r="K43" s="61" t="str">
        <f>IF(AND('Mapa final'!$AB$49="Baja",'Mapa final'!$AD$49="Leve"),CONCATENATE("R8C",'Mapa final'!$R$49),"")</f>
        <v/>
      </c>
      <c r="L43" s="61" t="str">
        <f>IF(AND('Mapa final'!$AB$50="Baja",'Mapa final'!$AD$50="Leve"),CONCATENATE("R8C",'Mapa final'!$R$50),"")</f>
        <v/>
      </c>
      <c r="M43" s="61" t="str">
        <f>IF(AND('Mapa final'!$AB$51="Baja",'Mapa final'!$AD$51="Leve"),CONCATENATE("R8C",'Mapa final'!$R$51),"")</f>
        <v/>
      </c>
      <c r="N43" s="61" t="str">
        <f>IF(AND('Mapa final'!$AB$52="Baja",'Mapa final'!$AD$52="Leve"),CONCATENATE("R8C",'Mapa final'!$R$52),"")</f>
        <v/>
      </c>
      <c r="O43" s="62" t="str">
        <f>IF(AND('Mapa final'!$AB$53="Baja",'Mapa final'!$AD$53="Leve"),CONCATENATE("R8C",'Mapa final'!$R$53),"")</f>
        <v/>
      </c>
      <c r="P43" s="51" t="str">
        <f>IF(AND('Mapa final'!$AB$48="Baja",'Mapa final'!$AD$48="Menor"),CONCATENATE("R8C",'Mapa final'!$R$48),"")</f>
        <v/>
      </c>
      <c r="Q43" s="52" t="str">
        <f>IF(AND('Mapa final'!$AB$49="Baja",'Mapa final'!$AD$49="Menor"),CONCATENATE("R8C",'Mapa final'!$R$49),"")</f>
        <v/>
      </c>
      <c r="R43" s="52" t="str">
        <f>IF(AND('Mapa final'!$AB$50="Baja",'Mapa final'!$AD$50="Menor"),CONCATENATE("R8C",'Mapa final'!$R$50),"")</f>
        <v/>
      </c>
      <c r="S43" s="52" t="str">
        <f>IF(AND('Mapa final'!$AB$51="Baja",'Mapa final'!$AD$51="Menor"),CONCATENATE("R8C",'Mapa final'!$R$51),"")</f>
        <v/>
      </c>
      <c r="T43" s="52" t="str">
        <f>IF(AND('Mapa final'!$AB$52="Baja",'Mapa final'!$AD$52="Menor"),CONCATENATE("R8C",'Mapa final'!$R$52),"")</f>
        <v/>
      </c>
      <c r="U43" s="53" t="str">
        <f>IF(AND('Mapa final'!$AB$53="Baja",'Mapa final'!$AD$53="Menor"),CONCATENATE("R8C",'Mapa final'!$R$53),"")</f>
        <v/>
      </c>
      <c r="V43" s="51" t="str">
        <f>IF(AND('Mapa final'!$AB$48="Baja",'Mapa final'!$AD$48="Moderado"),CONCATENATE("R8C",'Mapa final'!$R$48),"")</f>
        <v/>
      </c>
      <c r="W43" s="52" t="str">
        <f>IF(AND('Mapa final'!$AB$49="Baja",'Mapa final'!$AD$49="Moderado"),CONCATENATE("R8C",'Mapa final'!$R$49),"")</f>
        <v/>
      </c>
      <c r="X43" s="52" t="str">
        <f>IF(AND('Mapa final'!$AB$50="Baja",'Mapa final'!$AD$50="Moderado"),CONCATENATE("R8C",'Mapa final'!$R$50),"")</f>
        <v/>
      </c>
      <c r="Y43" s="52" t="str">
        <f>IF(AND('Mapa final'!$AB$51="Baja",'Mapa final'!$AD$51="Moderado"),CONCATENATE("R8C",'Mapa final'!$R$51),"")</f>
        <v/>
      </c>
      <c r="Z43" s="52" t="str">
        <f>IF(AND('Mapa final'!$AB$52="Baja",'Mapa final'!$AD$52="Moderado"),CONCATENATE("R8C",'Mapa final'!$R$52),"")</f>
        <v/>
      </c>
      <c r="AA43" s="53" t="str">
        <f>IF(AND('Mapa final'!$AB$53="Baja",'Mapa final'!$AD$53="Moderado"),CONCATENATE("R8C",'Mapa final'!$R$53),"")</f>
        <v/>
      </c>
      <c r="AB43" s="36" t="str">
        <f>IF(AND('Mapa final'!$AB$48="Baja",'Mapa final'!$AD$48="Mayor"),CONCATENATE("R8C",'Mapa final'!$R$48),"")</f>
        <v/>
      </c>
      <c r="AC43" s="37" t="str">
        <f>IF(AND('Mapa final'!$AB$49="Baja",'Mapa final'!$AD$49="Mayor"),CONCATENATE("R8C",'Mapa final'!$R$49),"")</f>
        <v/>
      </c>
      <c r="AD43" s="37" t="str">
        <f>IF(AND('Mapa final'!$AB$50="Baja",'Mapa final'!$AD$50="Mayor"),CONCATENATE("R8C",'Mapa final'!$R$50),"")</f>
        <v/>
      </c>
      <c r="AE43" s="37" t="str">
        <f>IF(AND('Mapa final'!$AB$51="Baja",'Mapa final'!$AD$51="Mayor"),CONCATENATE("R8C",'Mapa final'!$R$51),"")</f>
        <v/>
      </c>
      <c r="AF43" s="37" t="str">
        <f>IF(AND('Mapa final'!$AB$52="Baja",'Mapa final'!$AD$52="Mayor"),CONCATENATE("R8C",'Mapa final'!$R$52),"")</f>
        <v/>
      </c>
      <c r="AG43" s="38" t="str">
        <f>IF(AND('Mapa final'!$AB$53="Baja",'Mapa final'!$AD$53="Mayor"),CONCATENATE("R8C",'Mapa final'!$R$53),"")</f>
        <v/>
      </c>
      <c r="AH43" s="39" t="str">
        <f>IF(AND('Mapa final'!$AB$48="Baja",'Mapa final'!$AD$48="Catastrófico"),CONCATENATE("R8C",'Mapa final'!$R$48),"")</f>
        <v/>
      </c>
      <c r="AI43" s="40" t="str">
        <f>IF(AND('Mapa final'!$AB$49="Baja",'Mapa final'!$AD$49="Catastrófico"),CONCATENATE("R8C",'Mapa final'!$R$49),"")</f>
        <v/>
      </c>
      <c r="AJ43" s="40" t="str">
        <f>IF(AND('Mapa final'!$AB$50="Baja",'Mapa final'!$AD$50="Catastrófico"),CONCATENATE("R8C",'Mapa final'!$R$50),"")</f>
        <v/>
      </c>
      <c r="AK43" s="40" t="str">
        <f>IF(AND('Mapa final'!$AB$51="Baja",'Mapa final'!$AD$51="Catastrófico"),CONCATENATE("R8C",'Mapa final'!$R$51),"")</f>
        <v/>
      </c>
      <c r="AL43" s="40" t="str">
        <f>IF(AND('Mapa final'!$AB$52="Baja",'Mapa final'!$AD$52="Catastrófico"),CONCATENATE("R8C",'Mapa final'!$R$52),"")</f>
        <v/>
      </c>
      <c r="AM43" s="41" t="str">
        <f>IF(AND('Mapa final'!$AB$53="Baja",'Mapa final'!$AD$53="Catastrófico"),CONCATENATE("R8C",'Mapa final'!$R$53),"")</f>
        <v/>
      </c>
      <c r="AN43" s="67"/>
      <c r="AO43" s="622"/>
      <c r="AP43" s="623"/>
      <c r="AQ43" s="623"/>
      <c r="AR43" s="623"/>
      <c r="AS43" s="623"/>
      <c r="AT43" s="624"/>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row>
    <row r="44" spans="1:80" ht="15" customHeight="1" x14ac:dyDescent="0.3">
      <c r="A44" s="67"/>
      <c r="B44" s="550"/>
      <c r="C44" s="550"/>
      <c r="D44" s="551"/>
      <c r="E44" s="591"/>
      <c r="F44" s="592"/>
      <c r="G44" s="592"/>
      <c r="H44" s="592"/>
      <c r="I44" s="592"/>
      <c r="J44" s="60" t="str">
        <f>IF(AND('Mapa final'!$AB$54="Baja",'Mapa final'!$AD$54="Leve"),CONCATENATE("R9C",'Mapa final'!$R$54),"")</f>
        <v/>
      </c>
      <c r="K44" s="61" t="str">
        <f>IF(AND('Mapa final'!$AB$55="Baja",'Mapa final'!$AD$55="Leve"),CONCATENATE("R9C",'Mapa final'!$R$55),"")</f>
        <v/>
      </c>
      <c r="L44" s="61" t="str">
        <f>IF(AND('Mapa final'!$AB$56="Baja",'Mapa final'!$AD$56="Leve"),CONCATENATE("R9C",'Mapa final'!$R$56),"")</f>
        <v/>
      </c>
      <c r="M44" s="61" t="str">
        <f>IF(AND('Mapa final'!$AB$57="Baja",'Mapa final'!$AD$57="Leve"),CONCATENATE("R9C",'Mapa final'!$R$57),"")</f>
        <v/>
      </c>
      <c r="N44" s="61" t="str">
        <f>IF(AND('Mapa final'!$AB$58="Baja",'Mapa final'!$AD$58="Leve"),CONCATENATE("R9C",'Mapa final'!$R$58),"")</f>
        <v/>
      </c>
      <c r="O44" s="62" t="str">
        <f>IF(AND('Mapa final'!$AB$59="Baja",'Mapa final'!$AD$59="Leve"),CONCATENATE("R9C",'Mapa final'!$R$59),"")</f>
        <v/>
      </c>
      <c r="P44" s="51" t="str">
        <f>IF(AND('Mapa final'!$AB$54="Baja",'Mapa final'!$AD$54="Menor"),CONCATENATE("R9C",'Mapa final'!$R$54),"")</f>
        <v/>
      </c>
      <c r="Q44" s="52" t="str">
        <f>IF(AND('Mapa final'!$AB$55="Baja",'Mapa final'!$AD$55="Menor"),CONCATENATE("R9C",'Mapa final'!$R$55),"")</f>
        <v/>
      </c>
      <c r="R44" s="52" t="str">
        <f>IF(AND('Mapa final'!$AB$56="Baja",'Mapa final'!$AD$56="Menor"),CONCATENATE("R9C",'Mapa final'!$R$56),"")</f>
        <v/>
      </c>
      <c r="S44" s="52" t="str">
        <f>IF(AND('Mapa final'!$AB$57="Baja",'Mapa final'!$AD$57="Menor"),CONCATENATE("R9C",'Mapa final'!$R$57),"")</f>
        <v/>
      </c>
      <c r="T44" s="52" t="str">
        <f>IF(AND('Mapa final'!$AB$58="Baja",'Mapa final'!$AD$58="Menor"),CONCATENATE("R9C",'Mapa final'!$R$58),"")</f>
        <v/>
      </c>
      <c r="U44" s="53" t="str">
        <f>IF(AND('Mapa final'!$AB$59="Baja",'Mapa final'!$AD$59="Menor"),CONCATENATE("R9C",'Mapa final'!$R$59),"")</f>
        <v/>
      </c>
      <c r="V44" s="51" t="str">
        <f>IF(AND('Mapa final'!$AB$54="Baja",'Mapa final'!$AD$54="Moderado"),CONCATENATE("R9C",'Mapa final'!$R$54),"")</f>
        <v/>
      </c>
      <c r="W44" s="52" t="str">
        <f>IF(AND('Mapa final'!$AB$55="Baja",'Mapa final'!$AD$55="Moderado"),CONCATENATE("R9C",'Mapa final'!$R$55),"")</f>
        <v/>
      </c>
      <c r="X44" s="52" t="str">
        <f>IF(AND('Mapa final'!$AB$56="Baja",'Mapa final'!$AD$56="Moderado"),CONCATENATE("R9C",'Mapa final'!$R$56),"")</f>
        <v/>
      </c>
      <c r="Y44" s="52" t="str">
        <f>IF(AND('Mapa final'!$AB$57="Baja",'Mapa final'!$AD$57="Moderado"),CONCATENATE("R9C",'Mapa final'!$R$57),"")</f>
        <v/>
      </c>
      <c r="Z44" s="52" t="str">
        <f>IF(AND('Mapa final'!$AB$58="Baja",'Mapa final'!$AD$58="Moderado"),CONCATENATE("R9C",'Mapa final'!$R$58),"")</f>
        <v/>
      </c>
      <c r="AA44" s="53" t="str">
        <f>IF(AND('Mapa final'!$AB$59="Baja",'Mapa final'!$AD$59="Moderado"),CONCATENATE("R9C",'Mapa final'!$R$59),"")</f>
        <v/>
      </c>
      <c r="AB44" s="36" t="str">
        <f>IF(AND('Mapa final'!$AB$54="Baja",'Mapa final'!$AD$54="Mayor"),CONCATENATE("R9C",'Mapa final'!$R$54),"")</f>
        <v/>
      </c>
      <c r="AC44" s="37" t="str">
        <f>IF(AND('Mapa final'!$AB$55="Baja",'Mapa final'!$AD$55="Mayor"),CONCATENATE("R9C",'Mapa final'!$R$55),"")</f>
        <v/>
      </c>
      <c r="AD44" s="37" t="str">
        <f>IF(AND('Mapa final'!$AB$56="Baja",'Mapa final'!$AD$56="Mayor"),CONCATENATE("R9C",'Mapa final'!$R$56),"")</f>
        <v/>
      </c>
      <c r="AE44" s="37" t="str">
        <f>IF(AND('Mapa final'!$AB$57="Baja",'Mapa final'!$AD$57="Mayor"),CONCATENATE("R9C",'Mapa final'!$R$57),"")</f>
        <v/>
      </c>
      <c r="AF44" s="37" t="str">
        <f>IF(AND('Mapa final'!$AB$58="Baja",'Mapa final'!$AD$58="Mayor"),CONCATENATE("R9C",'Mapa final'!$R$58),"")</f>
        <v/>
      </c>
      <c r="AG44" s="38" t="str">
        <f>IF(AND('Mapa final'!$AB$59="Baja",'Mapa final'!$AD$59="Mayor"),CONCATENATE("R9C",'Mapa final'!$R$59),"")</f>
        <v/>
      </c>
      <c r="AH44" s="39" t="str">
        <f>IF(AND('Mapa final'!$AB$54="Baja",'Mapa final'!$AD$54="Catastrófico"),CONCATENATE("R9C",'Mapa final'!$R$54),"")</f>
        <v/>
      </c>
      <c r="AI44" s="40" t="str">
        <f>IF(AND('Mapa final'!$AB$55="Baja",'Mapa final'!$AD$55="Catastrófico"),CONCATENATE("R9C",'Mapa final'!$R$55),"")</f>
        <v/>
      </c>
      <c r="AJ44" s="40" t="str">
        <f>IF(AND('Mapa final'!$AB$56="Baja",'Mapa final'!$AD$56="Catastrófico"),CONCATENATE("R9C",'Mapa final'!$R$56),"")</f>
        <v/>
      </c>
      <c r="AK44" s="40" t="str">
        <f>IF(AND('Mapa final'!$AB$57="Baja",'Mapa final'!$AD$57="Catastrófico"),CONCATENATE("R9C",'Mapa final'!$R$57),"")</f>
        <v/>
      </c>
      <c r="AL44" s="40" t="str">
        <f>IF(AND('Mapa final'!$AB$58="Baja",'Mapa final'!$AD$58="Catastrófico"),CONCATENATE("R9C",'Mapa final'!$R$58),"")</f>
        <v/>
      </c>
      <c r="AM44" s="41" t="str">
        <f>IF(AND('Mapa final'!$AB$59="Baja",'Mapa final'!$AD$59="Catastrófico"),CONCATENATE("R9C",'Mapa final'!$R$59),"")</f>
        <v/>
      </c>
      <c r="AN44" s="67"/>
      <c r="AO44" s="622"/>
      <c r="AP44" s="623"/>
      <c r="AQ44" s="623"/>
      <c r="AR44" s="623"/>
      <c r="AS44" s="623"/>
      <c r="AT44" s="624"/>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row>
    <row r="45" spans="1:80" ht="15.75" customHeight="1" thickBot="1" x14ac:dyDescent="0.35">
      <c r="A45" s="67"/>
      <c r="B45" s="550"/>
      <c r="C45" s="550"/>
      <c r="D45" s="551"/>
      <c r="E45" s="594"/>
      <c r="F45" s="595"/>
      <c r="G45" s="595"/>
      <c r="H45" s="595"/>
      <c r="I45" s="595"/>
      <c r="J45" s="63" t="str">
        <f>IF(AND('Mapa final'!$AB$60="Baja",'Mapa final'!$AD$60="Leve"),CONCATENATE("R10C",'Mapa final'!$R$60),"")</f>
        <v/>
      </c>
      <c r="K45" s="64" t="str">
        <f>IF(AND('Mapa final'!$AB$61="Baja",'Mapa final'!$AD$61="Leve"),CONCATENATE("R10C",'Mapa final'!$R$61),"")</f>
        <v/>
      </c>
      <c r="L45" s="64" t="str">
        <f>IF(AND('Mapa final'!$AB$62="Baja",'Mapa final'!$AD$62="Leve"),CONCATENATE("R10C",'Mapa final'!$R$62),"")</f>
        <v/>
      </c>
      <c r="M45" s="64" t="str">
        <f>IF(AND('Mapa final'!$AB$63="Baja",'Mapa final'!$AD$63="Leve"),CONCATENATE("R10C",'Mapa final'!$R$63),"")</f>
        <v/>
      </c>
      <c r="N45" s="64" t="str">
        <f>IF(AND('Mapa final'!$AB$64="Baja",'Mapa final'!$AD$64="Leve"),CONCATENATE("R10C",'Mapa final'!$R$64),"")</f>
        <v/>
      </c>
      <c r="O45" s="65" t="str">
        <f>IF(AND('Mapa final'!$AB$65="Baja",'Mapa final'!$AD$65="Leve"),CONCATENATE("R10C",'Mapa final'!$R$65),"")</f>
        <v/>
      </c>
      <c r="P45" s="51" t="str">
        <f>IF(AND('Mapa final'!$AB$60="Baja",'Mapa final'!$AD$60="Menor"),CONCATENATE("R10C",'Mapa final'!$R$60),"")</f>
        <v/>
      </c>
      <c r="Q45" s="52" t="str">
        <f>IF(AND('Mapa final'!$AB$61="Baja",'Mapa final'!$AD$61="Menor"),CONCATENATE("R10C",'Mapa final'!$R$61),"")</f>
        <v/>
      </c>
      <c r="R45" s="52" t="str">
        <f>IF(AND('Mapa final'!$AB$62="Baja",'Mapa final'!$AD$62="Menor"),CONCATENATE("R10C",'Mapa final'!$R$62),"")</f>
        <v/>
      </c>
      <c r="S45" s="52" t="str">
        <f>IF(AND('Mapa final'!$AB$63="Baja",'Mapa final'!$AD$63="Menor"),CONCATENATE("R10C",'Mapa final'!$R$63),"")</f>
        <v/>
      </c>
      <c r="T45" s="52" t="str">
        <f>IF(AND('Mapa final'!$AB$64="Baja",'Mapa final'!$AD$64="Menor"),CONCATENATE("R10C",'Mapa final'!$R$64),"")</f>
        <v/>
      </c>
      <c r="U45" s="53" t="str">
        <f>IF(AND('Mapa final'!$AB$65="Baja",'Mapa final'!$AD$65="Menor"),CONCATENATE("R10C",'Mapa final'!$R$65),"")</f>
        <v/>
      </c>
      <c r="V45" s="54" t="str">
        <f>IF(AND('Mapa final'!$AB$60="Baja",'Mapa final'!$AD$60="Moderado"),CONCATENATE("R10C",'Mapa final'!$R$60),"")</f>
        <v/>
      </c>
      <c r="W45" s="55" t="str">
        <f>IF(AND('Mapa final'!$AB$61="Baja",'Mapa final'!$AD$61="Moderado"),CONCATENATE("R10C",'Mapa final'!$R$61),"")</f>
        <v/>
      </c>
      <c r="X45" s="55" t="str">
        <f>IF(AND('Mapa final'!$AB$62="Baja",'Mapa final'!$AD$62="Moderado"),CONCATENATE("R10C",'Mapa final'!$R$62),"")</f>
        <v/>
      </c>
      <c r="Y45" s="55" t="str">
        <f>IF(AND('Mapa final'!$AB$63="Baja",'Mapa final'!$AD$63="Moderado"),CONCATENATE("R10C",'Mapa final'!$R$63),"")</f>
        <v/>
      </c>
      <c r="Z45" s="55" t="str">
        <f>IF(AND('Mapa final'!$AB$64="Baja",'Mapa final'!$AD$64="Moderado"),CONCATENATE("R10C",'Mapa final'!$R$64),"")</f>
        <v/>
      </c>
      <c r="AA45" s="56" t="str">
        <f>IF(AND('Mapa final'!$AB$65="Baja",'Mapa final'!$AD$65="Moderado"),CONCATENATE("R10C",'Mapa final'!$R$65),"")</f>
        <v/>
      </c>
      <c r="AB45" s="42" t="str">
        <f>IF(AND('Mapa final'!$AB$60="Baja",'Mapa final'!$AD$60="Mayor"),CONCATENATE("R10C",'Mapa final'!$R$60),"")</f>
        <v/>
      </c>
      <c r="AC45" s="43" t="str">
        <f>IF(AND('Mapa final'!$AB$61="Baja",'Mapa final'!$AD$61="Mayor"),CONCATENATE("R10C",'Mapa final'!$R$61),"")</f>
        <v/>
      </c>
      <c r="AD45" s="43" t="str">
        <f>IF(AND('Mapa final'!$AB$62="Baja",'Mapa final'!$AD$62="Mayor"),CONCATENATE("R10C",'Mapa final'!$R$62),"")</f>
        <v/>
      </c>
      <c r="AE45" s="43" t="str">
        <f>IF(AND('Mapa final'!$AB$63="Baja",'Mapa final'!$AD$63="Mayor"),CONCATENATE("R10C",'Mapa final'!$R$63),"")</f>
        <v/>
      </c>
      <c r="AF45" s="43" t="str">
        <f>IF(AND('Mapa final'!$AB$64="Baja",'Mapa final'!$AD$64="Mayor"),CONCATENATE("R10C",'Mapa final'!$R$64),"")</f>
        <v/>
      </c>
      <c r="AG45" s="44" t="str">
        <f>IF(AND('Mapa final'!$AB$65="Baja",'Mapa final'!$AD$65="Mayor"),CONCATENATE("R10C",'Mapa final'!$R$65),"")</f>
        <v/>
      </c>
      <c r="AH45" s="45" t="str">
        <f>IF(AND('Mapa final'!$AB$60="Baja",'Mapa final'!$AD$60="Catastrófico"),CONCATENATE("R10C",'Mapa final'!$R$60),"")</f>
        <v/>
      </c>
      <c r="AI45" s="46" t="str">
        <f>IF(AND('Mapa final'!$AB$61="Baja",'Mapa final'!$AD$61="Catastrófico"),CONCATENATE("R10C",'Mapa final'!$R$61),"")</f>
        <v/>
      </c>
      <c r="AJ45" s="46" t="str">
        <f>IF(AND('Mapa final'!$AB$62="Baja",'Mapa final'!$AD$62="Catastrófico"),CONCATENATE("R10C",'Mapa final'!$R$62),"")</f>
        <v/>
      </c>
      <c r="AK45" s="46" t="str">
        <f>IF(AND('Mapa final'!$AB$63="Baja",'Mapa final'!$AD$63="Catastrófico"),CONCATENATE("R10C",'Mapa final'!$R$63),"")</f>
        <v/>
      </c>
      <c r="AL45" s="46" t="str">
        <f>IF(AND('Mapa final'!$AB$64="Baja",'Mapa final'!$AD$64="Catastrófico"),CONCATENATE("R10C",'Mapa final'!$R$64),"")</f>
        <v/>
      </c>
      <c r="AM45" s="47" t="str">
        <f>IF(AND('Mapa final'!$AB$65="Baja",'Mapa final'!$AD$65="Catastrófico"),CONCATENATE("R10C",'Mapa final'!$R$65),"")</f>
        <v/>
      </c>
      <c r="AN45" s="67"/>
      <c r="AO45" s="625"/>
      <c r="AP45" s="626"/>
      <c r="AQ45" s="626"/>
      <c r="AR45" s="626"/>
      <c r="AS45" s="626"/>
      <c r="AT45" s="627"/>
    </row>
    <row r="46" spans="1:80" ht="46.5" customHeight="1" x14ac:dyDescent="0.45">
      <c r="A46" s="67"/>
      <c r="B46" s="550"/>
      <c r="C46" s="550"/>
      <c r="D46" s="551"/>
      <c r="E46" s="588" t="s">
        <v>108</v>
      </c>
      <c r="F46" s="589"/>
      <c r="G46" s="589"/>
      <c r="H46" s="589"/>
      <c r="I46" s="590"/>
      <c r="J46" s="57" t="str">
        <f>IF(AND('Mapa final'!$AB$10="Muy Baja",'Mapa final'!$AD$10="Leve"),CONCATENATE("R1C",'Mapa final'!$R$10),"")</f>
        <v/>
      </c>
      <c r="K46" s="58" t="str">
        <f>IF(AND('Mapa final'!$AB$11="Muy Baja",'Mapa final'!$AD$11="Leve"),CONCATENATE("R1C",'Mapa final'!$R$11),"")</f>
        <v/>
      </c>
      <c r="L46" s="58" t="e">
        <f>IF(AND('Mapa final'!#REF!="Muy Baja",'Mapa final'!#REF!="Leve"),CONCATENATE("R1C",'Mapa final'!#REF!),"")</f>
        <v>#REF!</v>
      </c>
      <c r="M46" s="58" t="e">
        <f>IF(AND('Mapa final'!#REF!="Muy Baja",'Mapa final'!#REF!="Leve"),CONCATENATE("R1C",'Mapa final'!#REF!),"")</f>
        <v>#REF!</v>
      </c>
      <c r="N46" s="58" t="e">
        <f>IF(AND('Mapa final'!#REF!="Muy Baja",'Mapa final'!#REF!="Leve"),CONCATENATE("R1C",'Mapa final'!#REF!),"")</f>
        <v>#REF!</v>
      </c>
      <c r="O46" s="59" t="e">
        <f>IF(AND('Mapa final'!#REF!="Muy Baja",'Mapa final'!#REF!="Leve"),CONCATENATE("R1C",'Mapa final'!#REF!),"")</f>
        <v>#REF!</v>
      </c>
      <c r="P46" s="57" t="str">
        <f>IF(AND('Mapa final'!$AB$10="Muy Baja",'Mapa final'!$AD$10="Menor"),CONCATENATE("R1C",'Mapa final'!$R$10),"")</f>
        <v/>
      </c>
      <c r="Q46" s="58" t="str">
        <f>IF(AND('Mapa final'!$AB$11="Muy Baja",'Mapa final'!$AD$11="Menor"),CONCATENATE("R1C",'Mapa final'!$R$11),"")</f>
        <v/>
      </c>
      <c r="R46" s="58" t="e">
        <f>IF(AND('Mapa final'!#REF!="Muy Baja",'Mapa final'!#REF!="Menor"),CONCATENATE("R1C",'Mapa final'!#REF!),"")</f>
        <v>#REF!</v>
      </c>
      <c r="S46" s="58" t="e">
        <f>IF(AND('Mapa final'!#REF!="Muy Baja",'Mapa final'!#REF!="Menor"),CONCATENATE("R1C",'Mapa final'!#REF!),"")</f>
        <v>#REF!</v>
      </c>
      <c r="T46" s="58" t="e">
        <f>IF(AND('Mapa final'!#REF!="Muy Baja",'Mapa final'!#REF!="Menor"),CONCATENATE("R1C",'Mapa final'!#REF!),"")</f>
        <v>#REF!</v>
      </c>
      <c r="U46" s="59" t="e">
        <f>IF(AND('Mapa final'!#REF!="Muy Baja",'Mapa final'!#REF!="Menor"),CONCATENATE("R1C",'Mapa final'!#REF!),"")</f>
        <v>#REF!</v>
      </c>
      <c r="V46" s="48" t="str">
        <f>IF(AND('Mapa final'!$AB$10="Muy Baja",'Mapa final'!$AD$10="Moderado"),CONCATENATE("R1C",'Mapa final'!$R$10),"")</f>
        <v/>
      </c>
      <c r="W46" s="66" t="str">
        <f>IF(AND('Mapa final'!$AB$11="Muy Baja",'Mapa final'!$AD$11="Moderado"),CONCATENATE("R1C",'Mapa final'!$R$11),"")</f>
        <v>R1C2</v>
      </c>
      <c r="X46" s="49" t="e">
        <f>IF(AND('Mapa final'!#REF!="Muy Baja",'Mapa final'!#REF!="Moderado"),CONCATENATE("R1C",'Mapa final'!#REF!),"")</f>
        <v>#REF!</v>
      </c>
      <c r="Y46" s="49" t="e">
        <f>IF(AND('Mapa final'!#REF!="Muy Baja",'Mapa final'!#REF!="Moderado"),CONCATENATE("R1C",'Mapa final'!#REF!),"")</f>
        <v>#REF!</v>
      </c>
      <c r="Z46" s="49" t="e">
        <f>IF(AND('Mapa final'!#REF!="Muy Baja",'Mapa final'!#REF!="Moderado"),CONCATENATE("R1C",'Mapa final'!#REF!),"")</f>
        <v>#REF!</v>
      </c>
      <c r="AA46" s="50" t="e">
        <f>IF(AND('Mapa final'!#REF!="Muy Baja",'Mapa final'!#REF!="Moderado"),CONCATENATE("R1C",'Mapa final'!#REF!),"")</f>
        <v>#REF!</v>
      </c>
      <c r="AB46" s="30" t="str">
        <f>IF(AND('Mapa final'!$AB$10="Muy Baja",'Mapa final'!$AD$10="Mayor"),CONCATENATE("R1C",'Mapa final'!$R$10),"")</f>
        <v/>
      </c>
      <c r="AC46" s="31" t="str">
        <f>IF(AND('Mapa final'!$AB$11="Muy Baja",'Mapa final'!$AD$11="Mayor"),CONCATENATE("R1C",'Mapa final'!$R$11),"")</f>
        <v/>
      </c>
      <c r="AD46" s="31" t="e">
        <f>IF(AND('Mapa final'!#REF!="Muy Baja",'Mapa final'!#REF!="Mayor"),CONCATENATE("R1C",'Mapa final'!#REF!),"")</f>
        <v>#REF!</v>
      </c>
      <c r="AE46" s="31" t="e">
        <f>IF(AND('Mapa final'!#REF!="Muy Baja",'Mapa final'!#REF!="Mayor"),CONCATENATE("R1C",'Mapa final'!#REF!),"")</f>
        <v>#REF!</v>
      </c>
      <c r="AF46" s="31" t="e">
        <f>IF(AND('Mapa final'!#REF!="Muy Baja",'Mapa final'!#REF!="Mayor"),CONCATENATE("R1C",'Mapa final'!#REF!),"")</f>
        <v>#REF!</v>
      </c>
      <c r="AG46" s="32" t="e">
        <f>IF(AND('Mapa final'!#REF!="Muy Baja",'Mapa final'!#REF!="Mayor"),CONCATENATE("R1C",'Mapa final'!#REF!),"")</f>
        <v>#REF!</v>
      </c>
      <c r="AH46" s="33" t="str">
        <f>IF(AND('Mapa final'!$AB$10="Muy Baja",'Mapa final'!$AD$10="Catastrófico"),CONCATENATE("R1C",'Mapa final'!$R$10),"")</f>
        <v/>
      </c>
      <c r="AI46" s="34" t="str">
        <f>IF(AND('Mapa final'!$AB$11="Muy Baja",'Mapa final'!$AD$11="Catastrófico"),CONCATENATE("R1C",'Mapa final'!$R$11),"")</f>
        <v/>
      </c>
      <c r="AJ46" s="34" t="e">
        <f>IF(AND('Mapa final'!#REF!="Muy Baja",'Mapa final'!#REF!="Catastrófico"),CONCATENATE("R1C",'Mapa final'!#REF!),"")</f>
        <v>#REF!</v>
      </c>
      <c r="AK46" s="34" t="e">
        <f>IF(AND('Mapa final'!#REF!="Muy Baja",'Mapa final'!#REF!="Catastrófico"),CONCATENATE("R1C",'Mapa final'!#REF!),"")</f>
        <v>#REF!</v>
      </c>
      <c r="AL46" s="34" t="e">
        <f>IF(AND('Mapa final'!#REF!="Muy Baja",'Mapa final'!#REF!="Catastrófico"),CONCATENATE("R1C",'Mapa final'!#REF!),"")</f>
        <v>#REF!</v>
      </c>
      <c r="AM46" s="35" t="e">
        <f>IF(AND('Mapa final'!#REF!="Muy Baja",'Mapa final'!#REF!="Catastrófico"),CONCATENATE("R1C",'Mapa final'!#REF!),"")</f>
        <v>#REF!</v>
      </c>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ht="46.5" customHeight="1" x14ac:dyDescent="0.3">
      <c r="A47" s="67"/>
      <c r="B47" s="550"/>
      <c r="C47" s="550"/>
      <c r="D47" s="551"/>
      <c r="E47" s="607"/>
      <c r="F47" s="592"/>
      <c r="G47" s="592"/>
      <c r="H47" s="592"/>
      <c r="I47" s="593"/>
      <c r="J47" s="60" t="str">
        <f>IF(AND('Mapa final'!$AB$12="Muy Baja",'Mapa final'!$AD$12="Leve"),CONCATENATE("R2C",'Mapa final'!$R$12),"")</f>
        <v/>
      </c>
      <c r="K47" s="61" t="str">
        <f>IF(AND('Mapa final'!$AB$13="Muy Baja",'Mapa final'!$AD$13="Leve"),CONCATENATE("R2C",'Mapa final'!$R$13),"")</f>
        <v/>
      </c>
      <c r="L47" s="61" t="str">
        <f>IF(AND('Mapa final'!$AB$14="Muy Baja",'Mapa final'!$AD$14="Leve"),CONCATENATE("R2C",'Mapa final'!$R$14),"")</f>
        <v/>
      </c>
      <c r="M47" s="61" t="str">
        <f>IF(AND('Mapa final'!$AB$15="Muy Baja",'Mapa final'!$AD$15="Leve"),CONCATENATE("R2C",'Mapa final'!$R$15),"")</f>
        <v/>
      </c>
      <c r="N47" s="61" t="str">
        <f>IF(AND('Mapa final'!$AB$16="Muy Baja",'Mapa final'!$AD$16="Leve"),CONCATENATE("R2C",'Mapa final'!$R$16),"")</f>
        <v/>
      </c>
      <c r="O47" s="62" t="str">
        <f>IF(AND('Mapa final'!$AB$17="Muy Baja",'Mapa final'!$AD$17="Leve"),CONCATENATE("R2C",'Mapa final'!$R$17),"")</f>
        <v/>
      </c>
      <c r="P47" s="60" t="str">
        <f>IF(AND('Mapa final'!$AB$12="Muy Baja",'Mapa final'!$AD$12="Menor"),CONCATENATE("R2C",'Mapa final'!$R$12),"")</f>
        <v/>
      </c>
      <c r="Q47" s="61" t="str">
        <f>IF(AND('Mapa final'!$AB$13="Muy Baja",'Mapa final'!$AD$13="Menor"),CONCATENATE("R2C",'Mapa final'!$R$13),"")</f>
        <v/>
      </c>
      <c r="R47" s="61" t="str">
        <f>IF(AND('Mapa final'!$AB$14="Muy Baja",'Mapa final'!$AD$14="Menor"),CONCATENATE("R2C",'Mapa final'!$R$14),"")</f>
        <v/>
      </c>
      <c r="S47" s="61" t="str">
        <f>IF(AND('Mapa final'!$AB$15="Muy Baja",'Mapa final'!$AD$15="Menor"),CONCATENATE("R2C",'Mapa final'!$R$15),"")</f>
        <v/>
      </c>
      <c r="T47" s="61" t="str">
        <f>IF(AND('Mapa final'!$AB$16="Muy Baja",'Mapa final'!$AD$16="Menor"),CONCATENATE("R2C",'Mapa final'!$R$16),"")</f>
        <v/>
      </c>
      <c r="U47" s="62" t="str">
        <f>IF(AND('Mapa final'!$AB$17="Muy Baja",'Mapa final'!$AD$17="Menor"),CONCATENATE("R2C",'Mapa final'!$R$17),"")</f>
        <v/>
      </c>
      <c r="V47" s="51" t="str">
        <f>IF(AND('Mapa final'!$AB$12="Muy Baja",'Mapa final'!$AD$12="Moderado"),CONCATENATE("R2C",'Mapa final'!$R$12),"")</f>
        <v/>
      </c>
      <c r="W47" s="52" t="str">
        <f>IF(AND('Mapa final'!$AB$13="Muy Baja",'Mapa final'!$AD$13="Moderado"),CONCATENATE("R2C",'Mapa final'!$R$13),"")</f>
        <v/>
      </c>
      <c r="X47" s="52" t="str">
        <f>IF(AND('Mapa final'!$AB$14="Muy Baja",'Mapa final'!$AD$14="Moderado"),CONCATENATE("R2C",'Mapa final'!$R$14),"")</f>
        <v/>
      </c>
      <c r="Y47" s="52" t="str">
        <f>IF(AND('Mapa final'!$AB$15="Muy Baja",'Mapa final'!$AD$15="Moderado"),CONCATENATE("R2C",'Mapa final'!$R$15),"")</f>
        <v/>
      </c>
      <c r="Z47" s="52" t="str">
        <f>IF(AND('Mapa final'!$AB$16="Muy Baja",'Mapa final'!$AD$16="Moderado"),CONCATENATE("R2C",'Mapa final'!$R$16),"")</f>
        <v/>
      </c>
      <c r="AA47" s="53" t="str">
        <f>IF(AND('Mapa final'!$AB$17="Muy Baja",'Mapa final'!$AD$17="Moderado"),CONCATENATE("R2C",'Mapa final'!$R$17),"")</f>
        <v/>
      </c>
      <c r="AB47" s="36" t="str">
        <f>IF(AND('Mapa final'!$AB$12="Muy Baja",'Mapa final'!$AD$12="Mayor"),CONCATENATE("R2C",'Mapa final'!$R$12),"")</f>
        <v/>
      </c>
      <c r="AC47" s="37" t="str">
        <f>IF(AND('Mapa final'!$AB$13="Muy Baja",'Mapa final'!$AD$13="Mayor"),CONCATENATE("R2C",'Mapa final'!$R$13),"")</f>
        <v/>
      </c>
      <c r="AD47" s="37" t="str">
        <f>IF(AND('Mapa final'!$AB$14="Muy Baja",'Mapa final'!$AD$14="Mayor"),CONCATENATE("R2C",'Mapa final'!$R$14),"")</f>
        <v/>
      </c>
      <c r="AE47" s="37" t="str">
        <f>IF(AND('Mapa final'!$AB$15="Muy Baja",'Mapa final'!$AD$15="Mayor"),CONCATENATE("R2C",'Mapa final'!$R$15),"")</f>
        <v/>
      </c>
      <c r="AF47" s="37" t="str">
        <f>IF(AND('Mapa final'!$AB$16="Muy Baja",'Mapa final'!$AD$16="Mayor"),CONCATENATE("R2C",'Mapa final'!$R$16),"")</f>
        <v/>
      </c>
      <c r="AG47" s="38" t="str">
        <f>IF(AND('Mapa final'!$AB$17="Muy Baja",'Mapa final'!$AD$17="Mayor"),CONCATENATE("R2C",'Mapa final'!$R$17),"")</f>
        <v/>
      </c>
      <c r="AH47" s="39" t="str">
        <f>IF(AND('Mapa final'!$AB$12="Muy Baja",'Mapa final'!$AD$12="Catastrófico"),CONCATENATE("R2C",'Mapa final'!$R$12),"")</f>
        <v/>
      </c>
      <c r="AI47" s="40" t="str">
        <f>IF(AND('Mapa final'!$AB$13="Muy Baja",'Mapa final'!$AD$13="Catastrófico"),CONCATENATE("R2C",'Mapa final'!$R$13),"")</f>
        <v/>
      </c>
      <c r="AJ47" s="40" t="str">
        <f>IF(AND('Mapa final'!$AB$14="Muy Baja",'Mapa final'!$AD$14="Catastrófico"),CONCATENATE("R2C",'Mapa final'!$R$14),"")</f>
        <v/>
      </c>
      <c r="AK47" s="40" t="str">
        <f>IF(AND('Mapa final'!$AB$15="Muy Baja",'Mapa final'!$AD$15="Catastrófico"),CONCATENATE("R2C",'Mapa final'!$R$15),"")</f>
        <v/>
      </c>
      <c r="AL47" s="40" t="str">
        <f>IF(AND('Mapa final'!$AB$16="Muy Baja",'Mapa final'!$AD$16="Catastrófico"),CONCATENATE("R2C",'Mapa final'!$R$16),"")</f>
        <v/>
      </c>
      <c r="AM47" s="41" t="str">
        <f>IF(AND('Mapa final'!$AB$17="Muy Baja",'Mapa final'!$AD$17="Catastrófico"),CONCATENATE("R2C",'Mapa final'!$R$17),"")</f>
        <v/>
      </c>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ht="15" customHeight="1" x14ac:dyDescent="0.3">
      <c r="A48" s="67"/>
      <c r="B48" s="550"/>
      <c r="C48" s="550"/>
      <c r="D48" s="551"/>
      <c r="E48" s="607"/>
      <c r="F48" s="592"/>
      <c r="G48" s="592"/>
      <c r="H48" s="592"/>
      <c r="I48" s="593"/>
      <c r="J48" s="60" t="str">
        <f>IF(AND('Mapa final'!$AB$18="Muy Baja",'Mapa final'!$AD$18="Leve"),CONCATENATE("R3C",'Mapa final'!$R$18),"")</f>
        <v/>
      </c>
      <c r="K48" s="61" t="str">
        <f>IF(AND('Mapa final'!$AB$19="Muy Baja",'Mapa final'!$AD$19="Leve"),CONCATENATE("R3C",'Mapa final'!$R$19),"")</f>
        <v/>
      </c>
      <c r="L48" s="61" t="str">
        <f>IF(AND('Mapa final'!$AB$20="Muy Baja",'Mapa final'!$AD$20="Leve"),CONCATENATE("R3C",'Mapa final'!$R$20),"")</f>
        <v/>
      </c>
      <c r="M48" s="61" t="str">
        <f>IF(AND('Mapa final'!$AB$21="Muy Baja",'Mapa final'!$AD$21="Leve"),CONCATENATE("R3C",'Mapa final'!$R$21),"")</f>
        <v/>
      </c>
      <c r="N48" s="61" t="str">
        <f>IF(AND('Mapa final'!$AB$22="Muy Baja",'Mapa final'!$AD$22="Leve"),CONCATENATE("R3C",'Mapa final'!$R$22),"")</f>
        <v/>
      </c>
      <c r="O48" s="62" t="str">
        <f>IF(AND('Mapa final'!$AB$23="Muy Baja",'Mapa final'!$AD$23="Leve"),CONCATENATE("R3C",'Mapa final'!$R$23),"")</f>
        <v/>
      </c>
      <c r="P48" s="60" t="str">
        <f>IF(AND('Mapa final'!$AB$18="Muy Baja",'Mapa final'!$AD$18="Menor"),CONCATENATE("R3C",'Mapa final'!$R$18),"")</f>
        <v/>
      </c>
      <c r="Q48" s="61" t="str">
        <f>IF(AND('Mapa final'!$AB$19="Muy Baja",'Mapa final'!$AD$19="Menor"),CONCATENATE("R3C",'Mapa final'!$R$19),"")</f>
        <v/>
      </c>
      <c r="R48" s="61" t="str">
        <f>IF(AND('Mapa final'!$AB$20="Muy Baja",'Mapa final'!$AD$20="Menor"),CONCATENATE("R3C",'Mapa final'!$R$20),"")</f>
        <v/>
      </c>
      <c r="S48" s="61" t="str">
        <f>IF(AND('Mapa final'!$AB$21="Muy Baja",'Mapa final'!$AD$21="Menor"),CONCATENATE("R3C",'Mapa final'!$R$21),"")</f>
        <v/>
      </c>
      <c r="T48" s="61" t="str">
        <f>IF(AND('Mapa final'!$AB$22="Muy Baja",'Mapa final'!$AD$22="Menor"),CONCATENATE("R3C",'Mapa final'!$R$22),"")</f>
        <v/>
      </c>
      <c r="U48" s="62" t="str">
        <f>IF(AND('Mapa final'!$AB$23="Muy Baja",'Mapa final'!$AD$23="Menor"),CONCATENATE("R3C",'Mapa final'!$R$23),"")</f>
        <v/>
      </c>
      <c r="V48" s="51" t="str">
        <f>IF(AND('Mapa final'!$AB$18="Muy Baja",'Mapa final'!$AD$18="Moderado"),CONCATENATE("R3C",'Mapa final'!$R$18),"")</f>
        <v/>
      </c>
      <c r="W48" s="52" t="str">
        <f>IF(AND('Mapa final'!$AB$19="Muy Baja",'Mapa final'!$AD$19="Moderado"),CONCATENATE("R3C",'Mapa final'!$R$19),"")</f>
        <v/>
      </c>
      <c r="X48" s="52" t="str">
        <f>IF(AND('Mapa final'!$AB$20="Muy Baja",'Mapa final'!$AD$20="Moderado"),CONCATENATE("R3C",'Mapa final'!$R$20),"")</f>
        <v/>
      </c>
      <c r="Y48" s="52" t="str">
        <f>IF(AND('Mapa final'!$AB$21="Muy Baja",'Mapa final'!$AD$21="Moderado"),CONCATENATE("R3C",'Mapa final'!$R$21),"")</f>
        <v/>
      </c>
      <c r="Z48" s="52" t="str">
        <f>IF(AND('Mapa final'!$AB$22="Muy Baja",'Mapa final'!$AD$22="Moderado"),CONCATENATE("R3C",'Mapa final'!$R$22),"")</f>
        <v/>
      </c>
      <c r="AA48" s="53" t="str">
        <f>IF(AND('Mapa final'!$AB$23="Muy Baja",'Mapa final'!$AD$23="Moderado"),CONCATENATE("R3C",'Mapa final'!$R$23),"")</f>
        <v/>
      </c>
      <c r="AB48" s="36" t="str">
        <f>IF(AND('Mapa final'!$AB$18="Muy Baja",'Mapa final'!$AD$18="Mayor"),CONCATENATE("R3C",'Mapa final'!$R$18),"")</f>
        <v/>
      </c>
      <c r="AC48" s="37" t="str">
        <f>IF(AND('Mapa final'!$AB$19="Muy Baja",'Mapa final'!$AD$19="Mayor"),CONCATENATE("R3C",'Mapa final'!$R$19),"")</f>
        <v/>
      </c>
      <c r="AD48" s="37" t="str">
        <f>IF(AND('Mapa final'!$AB$20="Muy Baja",'Mapa final'!$AD$20="Mayor"),CONCATENATE("R3C",'Mapa final'!$R$20),"")</f>
        <v/>
      </c>
      <c r="AE48" s="37" t="str">
        <f>IF(AND('Mapa final'!$AB$21="Muy Baja",'Mapa final'!$AD$21="Mayor"),CONCATENATE("R3C",'Mapa final'!$R$21),"")</f>
        <v/>
      </c>
      <c r="AF48" s="37" t="str">
        <f>IF(AND('Mapa final'!$AB$22="Muy Baja",'Mapa final'!$AD$22="Mayor"),CONCATENATE("R3C",'Mapa final'!$R$22),"")</f>
        <v/>
      </c>
      <c r="AG48" s="38" t="str">
        <f>IF(AND('Mapa final'!$AB$23="Muy Baja",'Mapa final'!$AD$23="Mayor"),CONCATENATE("R3C",'Mapa final'!$R$23),"")</f>
        <v/>
      </c>
      <c r="AH48" s="39" t="str">
        <f>IF(AND('Mapa final'!$AB$18="Muy Baja",'Mapa final'!$AD$18="Catastrófico"),CONCATENATE("R3C",'Mapa final'!$R$18),"")</f>
        <v/>
      </c>
      <c r="AI48" s="40" t="str">
        <f>IF(AND('Mapa final'!$AB$19="Muy Baja",'Mapa final'!$AD$19="Catastrófico"),CONCATENATE("R3C",'Mapa final'!$R$19),"")</f>
        <v/>
      </c>
      <c r="AJ48" s="40" t="str">
        <f>IF(AND('Mapa final'!$AB$20="Muy Baja",'Mapa final'!$AD$20="Catastrófico"),CONCATENATE("R3C",'Mapa final'!$R$20),"")</f>
        <v/>
      </c>
      <c r="AK48" s="40" t="str">
        <f>IF(AND('Mapa final'!$AB$21="Muy Baja",'Mapa final'!$AD$21="Catastrófico"),CONCATENATE("R3C",'Mapa final'!$R$21),"")</f>
        <v/>
      </c>
      <c r="AL48" s="40" t="str">
        <f>IF(AND('Mapa final'!$AB$22="Muy Baja",'Mapa final'!$AD$22="Catastrófico"),CONCATENATE("R3C",'Mapa final'!$R$22),"")</f>
        <v/>
      </c>
      <c r="AM48" s="41" t="str">
        <f>IF(AND('Mapa final'!$AB$23="Muy Baja",'Mapa final'!$AD$23="Catastrófico"),CONCATENATE("R3C",'Mapa final'!$R$23),"")</f>
        <v/>
      </c>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ht="15" customHeight="1" x14ac:dyDescent="0.3">
      <c r="A49" s="67"/>
      <c r="B49" s="550"/>
      <c r="C49" s="550"/>
      <c r="D49" s="551"/>
      <c r="E49" s="591"/>
      <c r="F49" s="592"/>
      <c r="G49" s="592"/>
      <c r="H49" s="592"/>
      <c r="I49" s="593"/>
      <c r="J49" s="60" t="str">
        <f>IF(AND('Mapa final'!$AB$24="Muy Baja",'Mapa final'!$AD$24="Leve"),CONCATENATE("R4C",'Mapa final'!$R$24),"")</f>
        <v/>
      </c>
      <c r="K49" s="61" t="str">
        <f>IF(AND('Mapa final'!$AB$25="Muy Baja",'Mapa final'!$AD$25="Leve"),CONCATENATE("R4C",'Mapa final'!$R$25),"")</f>
        <v/>
      </c>
      <c r="L49" s="61" t="str">
        <f>IF(AND('Mapa final'!$AB$26="Muy Baja",'Mapa final'!$AD$26="Leve"),CONCATENATE("R4C",'Mapa final'!$R$26),"")</f>
        <v/>
      </c>
      <c r="M49" s="61" t="str">
        <f>IF(AND('Mapa final'!$AB$27="Muy Baja",'Mapa final'!$AD$27="Leve"),CONCATENATE("R4C",'Mapa final'!$R$27),"")</f>
        <v/>
      </c>
      <c r="N49" s="61" t="str">
        <f>IF(AND('Mapa final'!$AB$28="Muy Baja",'Mapa final'!$AD$28="Leve"),CONCATENATE("R4C",'Mapa final'!$R$28),"")</f>
        <v/>
      </c>
      <c r="O49" s="62" t="str">
        <f>IF(AND('Mapa final'!$AB$29="Muy Baja",'Mapa final'!$AD$29="Leve"),CONCATENATE("R4C",'Mapa final'!$R$29),"")</f>
        <v/>
      </c>
      <c r="P49" s="60" t="str">
        <f>IF(AND('Mapa final'!$AB$24="Muy Baja",'Mapa final'!$AD$24="Menor"),CONCATENATE("R4C",'Mapa final'!$R$24),"")</f>
        <v/>
      </c>
      <c r="Q49" s="61" t="str">
        <f>IF(AND('Mapa final'!$AB$25="Muy Baja",'Mapa final'!$AD$25="Menor"),CONCATENATE("R4C",'Mapa final'!$R$25),"")</f>
        <v/>
      </c>
      <c r="R49" s="61" t="str">
        <f>IF(AND('Mapa final'!$AB$26="Muy Baja",'Mapa final'!$AD$26="Menor"),CONCATENATE("R4C",'Mapa final'!$R$26),"")</f>
        <v/>
      </c>
      <c r="S49" s="61" t="str">
        <f>IF(AND('Mapa final'!$AB$27="Muy Baja",'Mapa final'!$AD$27="Menor"),CONCATENATE("R4C",'Mapa final'!$R$27),"")</f>
        <v/>
      </c>
      <c r="T49" s="61" t="str">
        <f>IF(AND('Mapa final'!$AB$28="Muy Baja",'Mapa final'!$AD$28="Menor"),CONCATENATE("R4C",'Mapa final'!$R$28),"")</f>
        <v/>
      </c>
      <c r="U49" s="62" t="str">
        <f>IF(AND('Mapa final'!$AB$29="Muy Baja",'Mapa final'!$AD$29="Menor"),CONCATENATE("R4C",'Mapa final'!$R$29),"")</f>
        <v/>
      </c>
      <c r="V49" s="51" t="str">
        <f>IF(AND('Mapa final'!$AB$24="Muy Baja",'Mapa final'!$AD$24="Moderado"),CONCATENATE("R4C",'Mapa final'!$R$24),"")</f>
        <v/>
      </c>
      <c r="W49" s="52" t="str">
        <f>IF(AND('Mapa final'!$AB$25="Muy Baja",'Mapa final'!$AD$25="Moderado"),CONCATENATE("R4C",'Mapa final'!$R$25),"")</f>
        <v/>
      </c>
      <c r="X49" s="52" t="str">
        <f>IF(AND('Mapa final'!$AB$26="Muy Baja",'Mapa final'!$AD$26="Moderado"),CONCATENATE("R4C",'Mapa final'!$R$26),"")</f>
        <v/>
      </c>
      <c r="Y49" s="52" t="str">
        <f>IF(AND('Mapa final'!$AB$27="Muy Baja",'Mapa final'!$AD$27="Moderado"),CONCATENATE("R4C",'Mapa final'!$R$27),"")</f>
        <v/>
      </c>
      <c r="Z49" s="52" t="str">
        <f>IF(AND('Mapa final'!$AB$28="Muy Baja",'Mapa final'!$AD$28="Moderado"),CONCATENATE("R4C",'Mapa final'!$R$28),"")</f>
        <v/>
      </c>
      <c r="AA49" s="53" t="str">
        <f>IF(AND('Mapa final'!$AB$29="Muy Baja",'Mapa final'!$AD$29="Moderado"),CONCATENATE("R4C",'Mapa final'!$R$29),"")</f>
        <v/>
      </c>
      <c r="AB49" s="36" t="str">
        <f>IF(AND('Mapa final'!$AB$24="Muy Baja",'Mapa final'!$AD$24="Mayor"),CONCATENATE("R4C",'Mapa final'!$R$24),"")</f>
        <v/>
      </c>
      <c r="AC49" s="37" t="str">
        <f>IF(AND('Mapa final'!$AB$25="Muy Baja",'Mapa final'!$AD$25="Mayor"),CONCATENATE("R4C",'Mapa final'!$R$25),"")</f>
        <v/>
      </c>
      <c r="AD49" s="37" t="str">
        <f>IF(AND('Mapa final'!$AB$26="Muy Baja",'Mapa final'!$AD$26="Mayor"),CONCATENATE("R4C",'Mapa final'!$R$26),"")</f>
        <v/>
      </c>
      <c r="AE49" s="37" t="str">
        <f>IF(AND('Mapa final'!$AB$27="Muy Baja",'Mapa final'!$AD$27="Mayor"),CONCATENATE("R4C",'Mapa final'!$R$27),"")</f>
        <v/>
      </c>
      <c r="AF49" s="37" t="str">
        <f>IF(AND('Mapa final'!$AB$28="Muy Baja",'Mapa final'!$AD$28="Mayor"),CONCATENATE("R4C",'Mapa final'!$R$28),"")</f>
        <v/>
      </c>
      <c r="AG49" s="38" t="str">
        <f>IF(AND('Mapa final'!$AB$29="Muy Baja",'Mapa final'!$AD$29="Mayor"),CONCATENATE("R4C",'Mapa final'!$R$29),"")</f>
        <v/>
      </c>
      <c r="AH49" s="39" t="str">
        <f>IF(AND('Mapa final'!$AB$24="Muy Baja",'Mapa final'!$AD$24="Catastrófico"),CONCATENATE("R4C",'Mapa final'!$R$24),"")</f>
        <v/>
      </c>
      <c r="AI49" s="40" t="str">
        <f>IF(AND('Mapa final'!$AB$25="Muy Baja",'Mapa final'!$AD$25="Catastrófico"),CONCATENATE("R4C",'Mapa final'!$R$25),"")</f>
        <v/>
      </c>
      <c r="AJ49" s="40" t="str">
        <f>IF(AND('Mapa final'!$AB$26="Muy Baja",'Mapa final'!$AD$26="Catastrófico"),CONCATENATE("R4C",'Mapa final'!$R$26),"")</f>
        <v/>
      </c>
      <c r="AK49" s="40" t="str">
        <f>IF(AND('Mapa final'!$AB$27="Muy Baja",'Mapa final'!$AD$27="Catastrófico"),CONCATENATE("R4C",'Mapa final'!$R$27),"")</f>
        <v/>
      </c>
      <c r="AL49" s="40" t="str">
        <f>IF(AND('Mapa final'!$AB$28="Muy Baja",'Mapa final'!$AD$28="Catastrófico"),CONCATENATE("R4C",'Mapa final'!$R$28),"")</f>
        <v/>
      </c>
      <c r="AM49" s="41" t="str">
        <f>IF(AND('Mapa final'!$AB$29="Muy Baja",'Mapa final'!$AD$29="Catastrófico"),CONCATENATE("R4C",'Mapa final'!$R$29),"")</f>
        <v/>
      </c>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ht="15" customHeight="1" x14ac:dyDescent="0.3">
      <c r="A50" s="67"/>
      <c r="B50" s="550"/>
      <c r="C50" s="550"/>
      <c r="D50" s="551"/>
      <c r="E50" s="591"/>
      <c r="F50" s="592"/>
      <c r="G50" s="592"/>
      <c r="H50" s="592"/>
      <c r="I50" s="593"/>
      <c r="J50" s="60" t="str">
        <f>IF(AND('Mapa final'!$AB$30="Muy Baja",'Mapa final'!$AD$30="Leve"),CONCATENATE("R5C",'Mapa final'!$R$30),"")</f>
        <v/>
      </c>
      <c r="K50" s="61" t="str">
        <f>IF(AND('Mapa final'!$AB$31="Muy Baja",'Mapa final'!$AD$31="Leve"),CONCATENATE("R5C",'Mapa final'!$R$31),"")</f>
        <v/>
      </c>
      <c r="L50" s="61" t="str">
        <f>IF(AND('Mapa final'!$AB$32="Muy Baja",'Mapa final'!$AD$32="Leve"),CONCATENATE("R5C",'Mapa final'!$R$32),"")</f>
        <v/>
      </c>
      <c r="M50" s="61" t="str">
        <f>IF(AND('Mapa final'!$AB$33="Muy Baja",'Mapa final'!$AD$33="Leve"),CONCATENATE("R5C",'Mapa final'!$R$33),"")</f>
        <v/>
      </c>
      <c r="N50" s="61" t="str">
        <f>IF(AND('Mapa final'!$AB$34="Muy Baja",'Mapa final'!$AD$34="Leve"),CONCATENATE("R5C",'Mapa final'!$R$34),"")</f>
        <v/>
      </c>
      <c r="O50" s="62" t="str">
        <f>IF(AND('Mapa final'!$AB$35="Muy Baja",'Mapa final'!$AD$35="Leve"),CONCATENATE("R5C",'Mapa final'!$R$35),"")</f>
        <v/>
      </c>
      <c r="P50" s="60" t="str">
        <f>IF(AND('Mapa final'!$AB$30="Muy Baja",'Mapa final'!$AD$30="Menor"),CONCATENATE("R5C",'Mapa final'!$R$30),"")</f>
        <v/>
      </c>
      <c r="Q50" s="61" t="str">
        <f>IF(AND('Mapa final'!$AB$31="Muy Baja",'Mapa final'!$AD$31="Menor"),CONCATENATE("R5C",'Mapa final'!$R$31),"")</f>
        <v/>
      </c>
      <c r="R50" s="61" t="str">
        <f>IF(AND('Mapa final'!$AB$32="Muy Baja",'Mapa final'!$AD$32="Menor"),CONCATENATE("R5C",'Mapa final'!$R$32),"")</f>
        <v/>
      </c>
      <c r="S50" s="61" t="str">
        <f>IF(AND('Mapa final'!$AB$33="Muy Baja",'Mapa final'!$AD$33="Menor"),CONCATENATE("R5C",'Mapa final'!$R$33),"")</f>
        <v/>
      </c>
      <c r="T50" s="61" t="str">
        <f>IF(AND('Mapa final'!$AB$34="Muy Baja",'Mapa final'!$AD$34="Menor"),CONCATENATE("R5C",'Mapa final'!$R$34),"")</f>
        <v/>
      </c>
      <c r="U50" s="62" t="str">
        <f>IF(AND('Mapa final'!$AB$35="Muy Baja",'Mapa final'!$AD$35="Menor"),CONCATENATE("R5C",'Mapa final'!$R$35),"")</f>
        <v/>
      </c>
      <c r="V50" s="51" t="str">
        <f>IF(AND('Mapa final'!$AB$30="Muy Baja",'Mapa final'!$AD$30="Moderado"),CONCATENATE("R5C",'Mapa final'!$R$30),"")</f>
        <v/>
      </c>
      <c r="W50" s="52" t="str">
        <f>IF(AND('Mapa final'!$AB$31="Muy Baja",'Mapa final'!$AD$31="Moderado"),CONCATENATE("R5C",'Mapa final'!$R$31),"")</f>
        <v/>
      </c>
      <c r="X50" s="52" t="str">
        <f>IF(AND('Mapa final'!$AB$32="Muy Baja",'Mapa final'!$AD$32="Moderado"),CONCATENATE("R5C",'Mapa final'!$R$32),"")</f>
        <v/>
      </c>
      <c r="Y50" s="52" t="str">
        <f>IF(AND('Mapa final'!$AB$33="Muy Baja",'Mapa final'!$AD$33="Moderado"),CONCATENATE("R5C",'Mapa final'!$R$33),"")</f>
        <v/>
      </c>
      <c r="Z50" s="52" t="str">
        <f>IF(AND('Mapa final'!$AB$34="Muy Baja",'Mapa final'!$AD$34="Moderado"),CONCATENATE("R5C",'Mapa final'!$R$34),"")</f>
        <v/>
      </c>
      <c r="AA50" s="53" t="str">
        <f>IF(AND('Mapa final'!$AB$35="Muy Baja",'Mapa final'!$AD$35="Moderado"),CONCATENATE("R5C",'Mapa final'!$R$35),"")</f>
        <v/>
      </c>
      <c r="AB50" s="36" t="str">
        <f>IF(AND('Mapa final'!$AB$30="Muy Baja",'Mapa final'!$AD$30="Mayor"),CONCATENATE("R5C",'Mapa final'!$R$30),"")</f>
        <v/>
      </c>
      <c r="AC50" s="37" t="str">
        <f>IF(AND('Mapa final'!$AB$31="Muy Baja",'Mapa final'!$AD$31="Mayor"),CONCATENATE("R5C",'Mapa final'!$R$31),"")</f>
        <v/>
      </c>
      <c r="AD50" s="37" t="str">
        <f>IF(AND('Mapa final'!$AB$32="Muy Baja",'Mapa final'!$AD$32="Mayor"),CONCATENATE("R5C",'Mapa final'!$R$32),"")</f>
        <v/>
      </c>
      <c r="AE50" s="37" t="str">
        <f>IF(AND('Mapa final'!$AB$33="Muy Baja",'Mapa final'!$AD$33="Mayor"),CONCATENATE("R5C",'Mapa final'!$R$33),"")</f>
        <v/>
      </c>
      <c r="AF50" s="37" t="str">
        <f>IF(AND('Mapa final'!$AB$34="Muy Baja",'Mapa final'!$AD$34="Mayor"),CONCATENATE("R5C",'Mapa final'!$R$34),"")</f>
        <v/>
      </c>
      <c r="AG50" s="38" t="str">
        <f>IF(AND('Mapa final'!$AB$35="Muy Baja",'Mapa final'!$AD$35="Mayor"),CONCATENATE("R5C",'Mapa final'!$R$35),"")</f>
        <v/>
      </c>
      <c r="AH50" s="39" t="str">
        <f>IF(AND('Mapa final'!$AB$30="Muy Baja",'Mapa final'!$AD$30="Catastrófico"),CONCATENATE("R5C",'Mapa final'!$R$30),"")</f>
        <v/>
      </c>
      <c r="AI50" s="40" t="str">
        <f>IF(AND('Mapa final'!$AB$31="Muy Baja",'Mapa final'!$AD$31="Catastrófico"),CONCATENATE("R5C",'Mapa final'!$R$31),"")</f>
        <v/>
      </c>
      <c r="AJ50" s="40" t="str">
        <f>IF(AND('Mapa final'!$AB$32="Muy Baja",'Mapa final'!$AD$32="Catastrófico"),CONCATENATE("R5C",'Mapa final'!$R$32),"")</f>
        <v/>
      </c>
      <c r="AK50" s="40" t="str">
        <f>IF(AND('Mapa final'!$AB$33="Muy Baja",'Mapa final'!$AD$33="Catastrófico"),CONCATENATE("R5C",'Mapa final'!$R$33),"")</f>
        <v/>
      </c>
      <c r="AL50" s="40" t="str">
        <f>IF(AND('Mapa final'!$AB$34="Muy Baja",'Mapa final'!$AD$34="Catastrófico"),CONCATENATE("R5C",'Mapa final'!$R$34),"")</f>
        <v/>
      </c>
      <c r="AM50" s="41" t="str">
        <f>IF(AND('Mapa final'!$AB$35="Muy Baja",'Mapa final'!$AD$35="Catastrófico"),CONCATENATE("R5C",'Mapa final'!$R$35),"")</f>
        <v/>
      </c>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customHeight="1" x14ac:dyDescent="0.3">
      <c r="A51" s="67"/>
      <c r="B51" s="550"/>
      <c r="C51" s="550"/>
      <c r="D51" s="551"/>
      <c r="E51" s="591"/>
      <c r="F51" s="592"/>
      <c r="G51" s="592"/>
      <c r="H51" s="592"/>
      <c r="I51" s="593"/>
      <c r="J51" s="60" t="str">
        <f>IF(AND('Mapa final'!$AB$36="Muy Baja",'Mapa final'!$AD$36="Leve"),CONCATENATE("R6C",'Mapa final'!$R$36),"")</f>
        <v/>
      </c>
      <c r="K51" s="61" t="str">
        <f>IF(AND('Mapa final'!$AB$37="Muy Baja",'Mapa final'!$AD$37="Leve"),CONCATENATE("R6C",'Mapa final'!$R$37),"")</f>
        <v/>
      </c>
      <c r="L51" s="61" t="str">
        <f>IF(AND('Mapa final'!$AB$38="Muy Baja",'Mapa final'!$AD$38="Leve"),CONCATENATE("R6C",'Mapa final'!$R$38),"")</f>
        <v/>
      </c>
      <c r="M51" s="61" t="str">
        <f>IF(AND('Mapa final'!$AB$39="Muy Baja",'Mapa final'!$AD$39="Leve"),CONCATENATE("R6C",'Mapa final'!$R$39),"")</f>
        <v/>
      </c>
      <c r="N51" s="61" t="str">
        <f>IF(AND('Mapa final'!$AB$40="Muy Baja",'Mapa final'!$AD$40="Leve"),CONCATENATE("R6C",'Mapa final'!$R$40),"")</f>
        <v/>
      </c>
      <c r="O51" s="62" t="str">
        <f>IF(AND('Mapa final'!$AB$41="Muy Baja",'Mapa final'!$AD$41="Leve"),CONCATENATE("R6C",'Mapa final'!$R$41),"")</f>
        <v/>
      </c>
      <c r="P51" s="60" t="str">
        <f>IF(AND('Mapa final'!$AB$36="Muy Baja",'Mapa final'!$AD$36="Menor"),CONCATENATE("R6C",'Mapa final'!$R$36),"")</f>
        <v/>
      </c>
      <c r="Q51" s="61" t="str">
        <f>IF(AND('Mapa final'!$AB$37="Muy Baja",'Mapa final'!$AD$37="Menor"),CONCATENATE("R6C",'Mapa final'!$R$37),"")</f>
        <v/>
      </c>
      <c r="R51" s="61" t="str">
        <f>IF(AND('Mapa final'!$AB$38="Muy Baja",'Mapa final'!$AD$38="Menor"),CONCATENATE("R6C",'Mapa final'!$R$38),"")</f>
        <v/>
      </c>
      <c r="S51" s="61" t="str">
        <f>IF(AND('Mapa final'!$AB$39="Muy Baja",'Mapa final'!$AD$39="Menor"),CONCATENATE("R6C",'Mapa final'!$R$39),"")</f>
        <v/>
      </c>
      <c r="T51" s="61" t="str">
        <f>IF(AND('Mapa final'!$AB$40="Muy Baja",'Mapa final'!$AD$40="Menor"),CONCATENATE("R6C",'Mapa final'!$R$40),"")</f>
        <v/>
      </c>
      <c r="U51" s="62" t="str">
        <f>IF(AND('Mapa final'!$AB$41="Muy Baja",'Mapa final'!$AD$41="Menor"),CONCATENATE("R6C",'Mapa final'!$R$41),"")</f>
        <v/>
      </c>
      <c r="V51" s="51" t="str">
        <f>IF(AND('Mapa final'!$AB$36="Muy Baja",'Mapa final'!$AD$36="Moderado"),CONCATENATE("R6C",'Mapa final'!$R$36),"")</f>
        <v/>
      </c>
      <c r="W51" s="52" t="str">
        <f>IF(AND('Mapa final'!$AB$37="Muy Baja",'Mapa final'!$AD$37="Moderado"),CONCATENATE("R6C",'Mapa final'!$R$37),"")</f>
        <v/>
      </c>
      <c r="X51" s="52" t="str">
        <f>IF(AND('Mapa final'!$AB$38="Muy Baja",'Mapa final'!$AD$38="Moderado"),CONCATENATE("R6C",'Mapa final'!$R$38),"")</f>
        <v/>
      </c>
      <c r="Y51" s="52" t="str">
        <f>IF(AND('Mapa final'!$AB$39="Muy Baja",'Mapa final'!$AD$39="Moderado"),CONCATENATE("R6C",'Mapa final'!$R$39),"")</f>
        <v/>
      </c>
      <c r="Z51" s="52" t="str">
        <f>IF(AND('Mapa final'!$AB$40="Muy Baja",'Mapa final'!$AD$40="Moderado"),CONCATENATE("R6C",'Mapa final'!$R$40),"")</f>
        <v/>
      </c>
      <c r="AA51" s="53" t="str">
        <f>IF(AND('Mapa final'!$AB$41="Muy Baja",'Mapa final'!$AD$41="Moderado"),CONCATENATE("R6C",'Mapa final'!$R$41),"")</f>
        <v/>
      </c>
      <c r="AB51" s="36" t="str">
        <f>IF(AND('Mapa final'!$AB$36="Muy Baja",'Mapa final'!$AD$36="Mayor"),CONCATENATE("R6C",'Mapa final'!$R$36),"")</f>
        <v/>
      </c>
      <c r="AC51" s="37" t="str">
        <f>IF(AND('Mapa final'!$AB$37="Muy Baja",'Mapa final'!$AD$37="Mayor"),CONCATENATE("R6C",'Mapa final'!$R$37),"")</f>
        <v/>
      </c>
      <c r="AD51" s="37" t="str">
        <f>IF(AND('Mapa final'!$AB$38="Muy Baja",'Mapa final'!$AD$38="Mayor"),CONCATENATE("R6C",'Mapa final'!$R$38),"")</f>
        <v/>
      </c>
      <c r="AE51" s="37" t="str">
        <f>IF(AND('Mapa final'!$AB$39="Muy Baja",'Mapa final'!$AD$39="Mayor"),CONCATENATE("R6C",'Mapa final'!$R$39),"")</f>
        <v/>
      </c>
      <c r="AF51" s="37" t="str">
        <f>IF(AND('Mapa final'!$AB$40="Muy Baja",'Mapa final'!$AD$40="Mayor"),CONCATENATE("R6C",'Mapa final'!$R$40),"")</f>
        <v/>
      </c>
      <c r="AG51" s="38" t="str">
        <f>IF(AND('Mapa final'!$AB$41="Muy Baja",'Mapa final'!$AD$41="Mayor"),CONCATENATE("R6C",'Mapa final'!$R$41),"")</f>
        <v/>
      </c>
      <c r="AH51" s="39" t="str">
        <f>IF(AND('Mapa final'!$AB$36="Muy Baja",'Mapa final'!$AD$36="Catastrófico"),CONCATENATE("R6C",'Mapa final'!$R$36),"")</f>
        <v/>
      </c>
      <c r="AI51" s="40" t="str">
        <f>IF(AND('Mapa final'!$AB$37="Muy Baja",'Mapa final'!$AD$37="Catastrófico"),CONCATENATE("R6C",'Mapa final'!$R$37),"")</f>
        <v/>
      </c>
      <c r="AJ51" s="40" t="str">
        <f>IF(AND('Mapa final'!$AB$38="Muy Baja",'Mapa final'!$AD$38="Catastrófico"),CONCATENATE("R6C",'Mapa final'!$R$38),"")</f>
        <v/>
      </c>
      <c r="AK51" s="40" t="str">
        <f>IF(AND('Mapa final'!$AB$39="Muy Baja",'Mapa final'!$AD$39="Catastrófico"),CONCATENATE("R6C",'Mapa final'!$R$39),"")</f>
        <v/>
      </c>
      <c r="AL51" s="40" t="str">
        <f>IF(AND('Mapa final'!$AB$40="Muy Baja",'Mapa final'!$AD$40="Catastrófico"),CONCATENATE("R6C",'Mapa final'!$R$40),"")</f>
        <v/>
      </c>
      <c r="AM51" s="41" t="str">
        <f>IF(AND('Mapa final'!$AB$41="Muy Baja",'Mapa final'!$AD$41="Catastrófico"),CONCATENATE("R6C",'Mapa final'!$R$41),"")</f>
        <v/>
      </c>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ht="15" customHeight="1" x14ac:dyDescent="0.3">
      <c r="A52" s="67"/>
      <c r="B52" s="550"/>
      <c r="C52" s="550"/>
      <c r="D52" s="551"/>
      <c r="E52" s="591"/>
      <c r="F52" s="592"/>
      <c r="G52" s="592"/>
      <c r="H52" s="592"/>
      <c r="I52" s="593"/>
      <c r="J52" s="60" t="str">
        <f>IF(AND('Mapa final'!$AB$42="Muy Baja",'Mapa final'!$AD$42="Leve"),CONCATENATE("R7C",'Mapa final'!$R$42),"")</f>
        <v/>
      </c>
      <c r="K52" s="61" t="str">
        <f>IF(AND('Mapa final'!$AB$43="Muy Baja",'Mapa final'!$AD$43="Leve"),CONCATENATE("R7C",'Mapa final'!$R$43),"")</f>
        <v/>
      </c>
      <c r="L52" s="61" t="str">
        <f>IF(AND('Mapa final'!$AB$44="Muy Baja",'Mapa final'!$AD$44="Leve"),CONCATENATE("R7C",'Mapa final'!$R$44),"")</f>
        <v/>
      </c>
      <c r="M52" s="61" t="str">
        <f>IF(AND('Mapa final'!$AB$45="Muy Baja",'Mapa final'!$AD$45="Leve"),CONCATENATE("R7C",'Mapa final'!$R$45),"")</f>
        <v/>
      </c>
      <c r="N52" s="61" t="str">
        <f>IF(AND('Mapa final'!$AB$46="Muy Baja",'Mapa final'!$AD$46="Leve"),CONCATENATE("R7C",'Mapa final'!$R$46),"")</f>
        <v/>
      </c>
      <c r="O52" s="62" t="str">
        <f>IF(AND('Mapa final'!$AB$47="Muy Baja",'Mapa final'!$AD$47="Leve"),CONCATENATE("R7C",'Mapa final'!$R$47),"")</f>
        <v/>
      </c>
      <c r="P52" s="60" t="str">
        <f>IF(AND('Mapa final'!$AB$42="Muy Baja",'Mapa final'!$AD$42="Menor"),CONCATENATE("R7C",'Mapa final'!$R$42),"")</f>
        <v/>
      </c>
      <c r="Q52" s="61" t="str">
        <f>IF(AND('Mapa final'!$AB$43="Muy Baja",'Mapa final'!$AD$43="Menor"),CONCATENATE("R7C",'Mapa final'!$R$43),"")</f>
        <v/>
      </c>
      <c r="R52" s="61" t="str">
        <f>IF(AND('Mapa final'!$AB$44="Muy Baja",'Mapa final'!$AD$44="Menor"),CONCATENATE("R7C",'Mapa final'!$R$44),"")</f>
        <v/>
      </c>
      <c r="S52" s="61" t="str">
        <f>IF(AND('Mapa final'!$AB$45="Muy Baja",'Mapa final'!$AD$45="Menor"),CONCATENATE("R7C",'Mapa final'!$R$45),"")</f>
        <v/>
      </c>
      <c r="T52" s="61" t="str">
        <f>IF(AND('Mapa final'!$AB$46="Muy Baja",'Mapa final'!$AD$46="Menor"),CONCATENATE("R7C",'Mapa final'!$R$46),"")</f>
        <v/>
      </c>
      <c r="U52" s="62" t="str">
        <f>IF(AND('Mapa final'!$AB$47="Muy Baja",'Mapa final'!$AD$47="Menor"),CONCATENATE("R7C",'Mapa final'!$R$47),"")</f>
        <v/>
      </c>
      <c r="V52" s="51" t="str">
        <f>IF(AND('Mapa final'!$AB$42="Muy Baja",'Mapa final'!$AD$42="Moderado"),CONCATENATE("R7C",'Mapa final'!$R$42),"")</f>
        <v/>
      </c>
      <c r="W52" s="52" t="str">
        <f>IF(AND('Mapa final'!$AB$43="Muy Baja",'Mapa final'!$AD$43="Moderado"),CONCATENATE("R7C",'Mapa final'!$R$43),"")</f>
        <v/>
      </c>
      <c r="X52" s="52" t="str">
        <f>IF(AND('Mapa final'!$AB$44="Muy Baja",'Mapa final'!$AD$44="Moderado"),CONCATENATE("R7C",'Mapa final'!$R$44),"")</f>
        <v/>
      </c>
      <c r="Y52" s="52" t="str">
        <f>IF(AND('Mapa final'!$AB$45="Muy Baja",'Mapa final'!$AD$45="Moderado"),CONCATENATE("R7C",'Mapa final'!$R$45),"")</f>
        <v/>
      </c>
      <c r="Z52" s="52" t="str">
        <f>IF(AND('Mapa final'!$AB$46="Muy Baja",'Mapa final'!$AD$46="Moderado"),CONCATENATE("R7C",'Mapa final'!$R$46),"")</f>
        <v/>
      </c>
      <c r="AA52" s="53" t="str">
        <f>IF(AND('Mapa final'!$AB$47="Muy Baja",'Mapa final'!$AD$47="Moderado"),CONCATENATE("R7C",'Mapa final'!$R$47),"")</f>
        <v/>
      </c>
      <c r="AB52" s="36" t="str">
        <f>IF(AND('Mapa final'!$AB$42="Muy Baja",'Mapa final'!$AD$42="Mayor"),CONCATENATE("R7C",'Mapa final'!$R$42),"")</f>
        <v/>
      </c>
      <c r="AC52" s="37" t="str">
        <f>IF(AND('Mapa final'!$AB$43="Muy Baja",'Mapa final'!$AD$43="Mayor"),CONCATENATE("R7C",'Mapa final'!$R$43),"")</f>
        <v/>
      </c>
      <c r="AD52" s="37" t="str">
        <f>IF(AND('Mapa final'!$AB$44="Muy Baja",'Mapa final'!$AD$44="Mayor"),CONCATENATE("R7C",'Mapa final'!$R$44),"")</f>
        <v/>
      </c>
      <c r="AE52" s="37" t="str">
        <f>IF(AND('Mapa final'!$AB$45="Muy Baja",'Mapa final'!$AD$45="Mayor"),CONCATENATE("R7C",'Mapa final'!$R$45),"")</f>
        <v/>
      </c>
      <c r="AF52" s="37" t="str">
        <f>IF(AND('Mapa final'!$AB$46="Muy Baja",'Mapa final'!$AD$46="Mayor"),CONCATENATE("R7C",'Mapa final'!$R$46),"")</f>
        <v/>
      </c>
      <c r="AG52" s="38" t="str">
        <f>IF(AND('Mapa final'!$AB$47="Muy Baja",'Mapa final'!$AD$47="Mayor"),CONCATENATE("R7C",'Mapa final'!$R$47),"")</f>
        <v/>
      </c>
      <c r="AH52" s="39" t="str">
        <f>IF(AND('Mapa final'!$AB$42="Muy Baja",'Mapa final'!$AD$42="Catastrófico"),CONCATENATE("R7C",'Mapa final'!$R$42),"")</f>
        <v/>
      </c>
      <c r="AI52" s="40" t="str">
        <f>IF(AND('Mapa final'!$AB$43="Muy Baja",'Mapa final'!$AD$43="Catastrófico"),CONCATENATE("R7C",'Mapa final'!$R$43),"")</f>
        <v/>
      </c>
      <c r="AJ52" s="40" t="str">
        <f>IF(AND('Mapa final'!$AB$44="Muy Baja",'Mapa final'!$AD$44="Catastrófico"),CONCATENATE("R7C",'Mapa final'!$R$44),"")</f>
        <v/>
      </c>
      <c r="AK52" s="40" t="str">
        <f>IF(AND('Mapa final'!$AB$45="Muy Baja",'Mapa final'!$AD$45="Catastrófico"),CONCATENATE("R7C",'Mapa final'!$R$45),"")</f>
        <v/>
      </c>
      <c r="AL52" s="40" t="str">
        <f>IF(AND('Mapa final'!$AB$46="Muy Baja",'Mapa final'!$AD$46="Catastrófico"),CONCATENATE("R7C",'Mapa final'!$R$46),"")</f>
        <v/>
      </c>
      <c r="AM52" s="41" t="str">
        <f>IF(AND('Mapa final'!$AB$47="Muy Baja",'Mapa final'!$AD$47="Catastrófico"),CONCATENATE("R7C",'Mapa final'!$R$47),"")</f>
        <v/>
      </c>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550"/>
      <c r="C53" s="550"/>
      <c r="D53" s="551"/>
      <c r="E53" s="591"/>
      <c r="F53" s="592"/>
      <c r="G53" s="592"/>
      <c r="H53" s="592"/>
      <c r="I53" s="593"/>
      <c r="J53" s="60" t="str">
        <f>IF(AND('Mapa final'!$AB$48="Muy Baja",'Mapa final'!$AD$48="Leve"),CONCATENATE("R8C",'Mapa final'!$R$48),"")</f>
        <v/>
      </c>
      <c r="K53" s="61" t="str">
        <f>IF(AND('Mapa final'!$AB$49="Muy Baja",'Mapa final'!$AD$49="Leve"),CONCATENATE("R8C",'Mapa final'!$R$49),"")</f>
        <v/>
      </c>
      <c r="L53" s="61" t="str">
        <f>IF(AND('Mapa final'!$AB$50="Muy Baja",'Mapa final'!$AD$50="Leve"),CONCATENATE("R8C",'Mapa final'!$R$50),"")</f>
        <v/>
      </c>
      <c r="M53" s="61" t="str">
        <f>IF(AND('Mapa final'!$AB$51="Muy Baja",'Mapa final'!$AD$51="Leve"),CONCATENATE("R8C",'Mapa final'!$R$51),"")</f>
        <v/>
      </c>
      <c r="N53" s="61" t="str">
        <f>IF(AND('Mapa final'!$AB$52="Muy Baja",'Mapa final'!$AD$52="Leve"),CONCATENATE("R8C",'Mapa final'!$R$52),"")</f>
        <v/>
      </c>
      <c r="O53" s="62" t="str">
        <f>IF(AND('Mapa final'!$AB$53="Muy Baja",'Mapa final'!$AD$53="Leve"),CONCATENATE("R8C",'Mapa final'!$R$53),"")</f>
        <v/>
      </c>
      <c r="P53" s="60" t="str">
        <f>IF(AND('Mapa final'!$AB$48="Muy Baja",'Mapa final'!$AD$48="Menor"),CONCATENATE("R8C",'Mapa final'!$R$48),"")</f>
        <v/>
      </c>
      <c r="Q53" s="61" t="str">
        <f>IF(AND('Mapa final'!$AB$49="Muy Baja",'Mapa final'!$AD$49="Menor"),CONCATENATE("R8C",'Mapa final'!$R$49),"")</f>
        <v/>
      </c>
      <c r="R53" s="61" t="str">
        <f>IF(AND('Mapa final'!$AB$50="Muy Baja",'Mapa final'!$AD$50="Menor"),CONCATENATE("R8C",'Mapa final'!$R$50),"")</f>
        <v/>
      </c>
      <c r="S53" s="61" t="str">
        <f>IF(AND('Mapa final'!$AB$51="Muy Baja",'Mapa final'!$AD$51="Menor"),CONCATENATE("R8C",'Mapa final'!$R$51),"")</f>
        <v/>
      </c>
      <c r="T53" s="61" t="str">
        <f>IF(AND('Mapa final'!$AB$52="Muy Baja",'Mapa final'!$AD$52="Menor"),CONCATENATE("R8C",'Mapa final'!$R$52),"")</f>
        <v/>
      </c>
      <c r="U53" s="62" t="str">
        <f>IF(AND('Mapa final'!$AB$53="Muy Baja",'Mapa final'!$AD$53="Menor"),CONCATENATE("R8C",'Mapa final'!$R$53),"")</f>
        <v/>
      </c>
      <c r="V53" s="51" t="str">
        <f>IF(AND('Mapa final'!$AB$48="Muy Baja",'Mapa final'!$AD$48="Moderado"),CONCATENATE("R8C",'Mapa final'!$R$48),"")</f>
        <v/>
      </c>
      <c r="W53" s="52" t="str">
        <f>IF(AND('Mapa final'!$AB$49="Muy Baja",'Mapa final'!$AD$49="Moderado"),CONCATENATE("R8C",'Mapa final'!$R$49),"")</f>
        <v/>
      </c>
      <c r="X53" s="52" t="str">
        <f>IF(AND('Mapa final'!$AB$50="Muy Baja",'Mapa final'!$AD$50="Moderado"),CONCATENATE("R8C",'Mapa final'!$R$50),"")</f>
        <v/>
      </c>
      <c r="Y53" s="52" t="str">
        <f>IF(AND('Mapa final'!$AB$51="Muy Baja",'Mapa final'!$AD$51="Moderado"),CONCATENATE("R8C",'Mapa final'!$R$51),"")</f>
        <v/>
      </c>
      <c r="Z53" s="52" t="str">
        <f>IF(AND('Mapa final'!$AB$52="Muy Baja",'Mapa final'!$AD$52="Moderado"),CONCATENATE("R8C",'Mapa final'!$R$52),"")</f>
        <v/>
      </c>
      <c r="AA53" s="53" t="str">
        <f>IF(AND('Mapa final'!$AB$53="Muy Baja",'Mapa final'!$AD$53="Moderado"),CONCATENATE("R8C",'Mapa final'!$R$53),"")</f>
        <v/>
      </c>
      <c r="AB53" s="36" t="str">
        <f>IF(AND('Mapa final'!$AB$48="Muy Baja",'Mapa final'!$AD$48="Mayor"),CONCATENATE("R8C",'Mapa final'!$R$48),"")</f>
        <v/>
      </c>
      <c r="AC53" s="37" t="str">
        <f>IF(AND('Mapa final'!$AB$49="Muy Baja",'Mapa final'!$AD$49="Mayor"),CONCATENATE("R8C",'Mapa final'!$R$49),"")</f>
        <v/>
      </c>
      <c r="AD53" s="37" t="str">
        <f>IF(AND('Mapa final'!$AB$50="Muy Baja",'Mapa final'!$AD$50="Mayor"),CONCATENATE("R8C",'Mapa final'!$R$50),"")</f>
        <v/>
      </c>
      <c r="AE53" s="37" t="str">
        <f>IF(AND('Mapa final'!$AB$51="Muy Baja",'Mapa final'!$AD$51="Mayor"),CONCATENATE("R8C",'Mapa final'!$R$51),"")</f>
        <v/>
      </c>
      <c r="AF53" s="37" t="str">
        <f>IF(AND('Mapa final'!$AB$52="Muy Baja",'Mapa final'!$AD$52="Mayor"),CONCATENATE("R8C",'Mapa final'!$R$52),"")</f>
        <v/>
      </c>
      <c r="AG53" s="38" t="str">
        <f>IF(AND('Mapa final'!$AB$53="Muy Baja",'Mapa final'!$AD$53="Mayor"),CONCATENATE("R8C",'Mapa final'!$R$53),"")</f>
        <v/>
      </c>
      <c r="AH53" s="39" t="str">
        <f>IF(AND('Mapa final'!$AB$48="Muy Baja",'Mapa final'!$AD$48="Catastrófico"),CONCATENATE("R8C",'Mapa final'!$R$48),"")</f>
        <v/>
      </c>
      <c r="AI53" s="40" t="str">
        <f>IF(AND('Mapa final'!$AB$49="Muy Baja",'Mapa final'!$AD$49="Catastrófico"),CONCATENATE("R8C",'Mapa final'!$R$49),"")</f>
        <v/>
      </c>
      <c r="AJ53" s="40" t="str">
        <f>IF(AND('Mapa final'!$AB$50="Muy Baja",'Mapa final'!$AD$50="Catastrófico"),CONCATENATE("R8C",'Mapa final'!$R$50),"")</f>
        <v/>
      </c>
      <c r="AK53" s="40" t="str">
        <f>IF(AND('Mapa final'!$AB$51="Muy Baja",'Mapa final'!$AD$51="Catastrófico"),CONCATENATE("R8C",'Mapa final'!$R$51),"")</f>
        <v/>
      </c>
      <c r="AL53" s="40" t="str">
        <f>IF(AND('Mapa final'!$AB$52="Muy Baja",'Mapa final'!$AD$52="Catastrófico"),CONCATENATE("R8C",'Mapa final'!$R$52),"")</f>
        <v/>
      </c>
      <c r="AM53" s="41" t="str">
        <f>IF(AND('Mapa final'!$AB$53="Muy Baja",'Mapa final'!$AD$53="Catastrófico"),CONCATENATE("R8C",'Mapa final'!$R$53),"")</f>
        <v/>
      </c>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550"/>
      <c r="C54" s="550"/>
      <c r="D54" s="551"/>
      <c r="E54" s="591"/>
      <c r="F54" s="592"/>
      <c r="G54" s="592"/>
      <c r="H54" s="592"/>
      <c r="I54" s="593"/>
      <c r="J54" s="60" t="str">
        <f>IF(AND('Mapa final'!$AB$54="Muy Baja",'Mapa final'!$AD$54="Leve"),CONCATENATE("R9C",'Mapa final'!$R$54),"")</f>
        <v/>
      </c>
      <c r="K54" s="61" t="str">
        <f>IF(AND('Mapa final'!$AB$55="Muy Baja",'Mapa final'!$AD$55="Leve"),CONCATENATE("R9C",'Mapa final'!$R$55),"")</f>
        <v/>
      </c>
      <c r="L54" s="61" t="str">
        <f>IF(AND('Mapa final'!$AB$56="Muy Baja",'Mapa final'!$AD$56="Leve"),CONCATENATE("R9C",'Mapa final'!$R$56),"")</f>
        <v/>
      </c>
      <c r="M54" s="61" t="str">
        <f>IF(AND('Mapa final'!$AB$57="Muy Baja",'Mapa final'!$AD$57="Leve"),CONCATENATE("R9C",'Mapa final'!$R$57),"")</f>
        <v/>
      </c>
      <c r="N54" s="61" t="str">
        <f>IF(AND('Mapa final'!$AB$58="Muy Baja",'Mapa final'!$AD$58="Leve"),CONCATENATE("R9C",'Mapa final'!$R$58),"")</f>
        <v/>
      </c>
      <c r="O54" s="62" t="str">
        <f>IF(AND('Mapa final'!$AB$59="Muy Baja",'Mapa final'!$AD$59="Leve"),CONCATENATE("R9C",'Mapa final'!$R$59),"")</f>
        <v/>
      </c>
      <c r="P54" s="60" t="str">
        <f>IF(AND('Mapa final'!$AB$54="Muy Baja",'Mapa final'!$AD$54="Menor"),CONCATENATE("R9C",'Mapa final'!$R$54),"")</f>
        <v/>
      </c>
      <c r="Q54" s="61" t="str">
        <f>IF(AND('Mapa final'!$AB$55="Muy Baja",'Mapa final'!$AD$55="Menor"),CONCATENATE("R9C",'Mapa final'!$R$55),"")</f>
        <v/>
      </c>
      <c r="R54" s="61" t="str">
        <f>IF(AND('Mapa final'!$AB$56="Muy Baja",'Mapa final'!$AD$56="Menor"),CONCATENATE("R9C",'Mapa final'!$R$56),"")</f>
        <v/>
      </c>
      <c r="S54" s="61" t="str">
        <f>IF(AND('Mapa final'!$AB$57="Muy Baja",'Mapa final'!$AD$57="Menor"),CONCATENATE("R9C",'Mapa final'!$R$57),"")</f>
        <v/>
      </c>
      <c r="T54" s="61" t="str">
        <f>IF(AND('Mapa final'!$AB$58="Muy Baja",'Mapa final'!$AD$58="Menor"),CONCATENATE("R9C",'Mapa final'!$R$58),"")</f>
        <v/>
      </c>
      <c r="U54" s="62" t="str">
        <f>IF(AND('Mapa final'!$AB$59="Muy Baja",'Mapa final'!$AD$59="Menor"),CONCATENATE("R9C",'Mapa final'!$R$59),"")</f>
        <v/>
      </c>
      <c r="V54" s="51" t="str">
        <f>IF(AND('Mapa final'!$AB$54="Muy Baja",'Mapa final'!$AD$54="Moderado"),CONCATENATE("R9C",'Mapa final'!$R$54),"")</f>
        <v/>
      </c>
      <c r="W54" s="52" t="str">
        <f>IF(AND('Mapa final'!$AB$55="Muy Baja",'Mapa final'!$AD$55="Moderado"),CONCATENATE("R9C",'Mapa final'!$R$55),"")</f>
        <v/>
      </c>
      <c r="X54" s="52" t="str">
        <f>IF(AND('Mapa final'!$AB$56="Muy Baja",'Mapa final'!$AD$56="Moderado"),CONCATENATE("R9C",'Mapa final'!$R$56),"")</f>
        <v/>
      </c>
      <c r="Y54" s="52" t="str">
        <f>IF(AND('Mapa final'!$AB$57="Muy Baja",'Mapa final'!$AD$57="Moderado"),CONCATENATE("R9C",'Mapa final'!$R$57),"")</f>
        <v/>
      </c>
      <c r="Z54" s="52" t="str">
        <f>IF(AND('Mapa final'!$AB$58="Muy Baja",'Mapa final'!$AD$58="Moderado"),CONCATENATE("R9C",'Mapa final'!$R$58),"")</f>
        <v/>
      </c>
      <c r="AA54" s="53" t="str">
        <f>IF(AND('Mapa final'!$AB$59="Muy Baja",'Mapa final'!$AD$59="Moderado"),CONCATENATE("R9C",'Mapa final'!$R$59),"")</f>
        <v/>
      </c>
      <c r="AB54" s="36" t="str">
        <f>IF(AND('Mapa final'!$AB$54="Muy Baja",'Mapa final'!$AD$54="Mayor"),CONCATENATE("R9C",'Mapa final'!$R$54),"")</f>
        <v/>
      </c>
      <c r="AC54" s="37" t="str">
        <f>IF(AND('Mapa final'!$AB$55="Muy Baja",'Mapa final'!$AD$55="Mayor"),CONCATENATE("R9C",'Mapa final'!$R$55),"")</f>
        <v/>
      </c>
      <c r="AD54" s="37" t="str">
        <f>IF(AND('Mapa final'!$AB$56="Muy Baja",'Mapa final'!$AD$56="Mayor"),CONCATENATE("R9C",'Mapa final'!$R$56),"")</f>
        <v/>
      </c>
      <c r="AE54" s="37" t="str">
        <f>IF(AND('Mapa final'!$AB$57="Muy Baja",'Mapa final'!$AD$57="Mayor"),CONCATENATE("R9C",'Mapa final'!$R$57),"")</f>
        <v/>
      </c>
      <c r="AF54" s="37" t="str">
        <f>IF(AND('Mapa final'!$AB$58="Muy Baja",'Mapa final'!$AD$58="Mayor"),CONCATENATE("R9C",'Mapa final'!$R$58),"")</f>
        <v/>
      </c>
      <c r="AG54" s="38" t="str">
        <f>IF(AND('Mapa final'!$AB$59="Muy Baja",'Mapa final'!$AD$59="Mayor"),CONCATENATE("R9C",'Mapa final'!$R$59),"")</f>
        <v/>
      </c>
      <c r="AH54" s="39" t="str">
        <f>IF(AND('Mapa final'!$AB$54="Muy Baja",'Mapa final'!$AD$54="Catastrófico"),CONCATENATE("R9C",'Mapa final'!$R$54),"")</f>
        <v/>
      </c>
      <c r="AI54" s="40" t="str">
        <f>IF(AND('Mapa final'!$AB$55="Muy Baja",'Mapa final'!$AD$55="Catastrófico"),CONCATENATE("R9C",'Mapa final'!$R$55),"")</f>
        <v/>
      </c>
      <c r="AJ54" s="40" t="str">
        <f>IF(AND('Mapa final'!$AB$56="Muy Baja",'Mapa final'!$AD$56="Catastrófico"),CONCATENATE("R9C",'Mapa final'!$R$56),"")</f>
        <v/>
      </c>
      <c r="AK54" s="40" t="str">
        <f>IF(AND('Mapa final'!$AB$57="Muy Baja",'Mapa final'!$AD$57="Catastrófico"),CONCATENATE("R9C",'Mapa final'!$R$57),"")</f>
        <v/>
      </c>
      <c r="AL54" s="40" t="str">
        <f>IF(AND('Mapa final'!$AB$58="Muy Baja",'Mapa final'!$AD$58="Catastrófico"),CONCATENATE("R9C",'Mapa final'!$R$58),"")</f>
        <v/>
      </c>
      <c r="AM54" s="41" t="str">
        <f>IF(AND('Mapa final'!$AB$59="Muy Baja",'Mapa final'!$AD$59="Catastrófico"),CONCATENATE("R9C",'Mapa final'!$R$59),"")</f>
        <v/>
      </c>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ht="15.75" customHeight="1" thickBot="1" x14ac:dyDescent="0.35">
      <c r="A55" s="67"/>
      <c r="B55" s="550"/>
      <c r="C55" s="550"/>
      <c r="D55" s="551"/>
      <c r="E55" s="594"/>
      <c r="F55" s="595"/>
      <c r="G55" s="595"/>
      <c r="H55" s="595"/>
      <c r="I55" s="596"/>
      <c r="J55" s="63" t="str">
        <f>IF(AND('Mapa final'!$AB$60="Muy Baja",'Mapa final'!$AD$60="Leve"),CONCATENATE("R10C",'Mapa final'!$R$60),"")</f>
        <v/>
      </c>
      <c r="K55" s="64" t="str">
        <f>IF(AND('Mapa final'!$AB$61="Muy Baja",'Mapa final'!$AD$61="Leve"),CONCATENATE("R10C",'Mapa final'!$R$61),"")</f>
        <v/>
      </c>
      <c r="L55" s="64" t="str">
        <f>IF(AND('Mapa final'!$AB$62="Muy Baja",'Mapa final'!$AD$62="Leve"),CONCATENATE("R10C",'Mapa final'!$R$62),"")</f>
        <v/>
      </c>
      <c r="M55" s="64" t="str">
        <f>IF(AND('Mapa final'!$AB$63="Muy Baja",'Mapa final'!$AD$63="Leve"),CONCATENATE("R10C",'Mapa final'!$R$63),"")</f>
        <v/>
      </c>
      <c r="N55" s="64" t="str">
        <f>IF(AND('Mapa final'!$AB$64="Muy Baja",'Mapa final'!$AD$64="Leve"),CONCATENATE("R10C",'Mapa final'!$R$64),"")</f>
        <v/>
      </c>
      <c r="O55" s="65" t="str">
        <f>IF(AND('Mapa final'!$AB$65="Muy Baja",'Mapa final'!$AD$65="Leve"),CONCATENATE("R10C",'Mapa final'!$R$65),"")</f>
        <v/>
      </c>
      <c r="P55" s="63" t="str">
        <f>IF(AND('Mapa final'!$AB$60="Muy Baja",'Mapa final'!$AD$60="Menor"),CONCATENATE("R10C",'Mapa final'!$R$60),"")</f>
        <v/>
      </c>
      <c r="Q55" s="64" t="str">
        <f>IF(AND('Mapa final'!$AB$61="Muy Baja",'Mapa final'!$AD$61="Menor"),CONCATENATE("R10C",'Mapa final'!$R$61),"")</f>
        <v/>
      </c>
      <c r="R55" s="64" t="str">
        <f>IF(AND('Mapa final'!$AB$62="Muy Baja",'Mapa final'!$AD$62="Menor"),CONCATENATE("R10C",'Mapa final'!$R$62),"")</f>
        <v/>
      </c>
      <c r="S55" s="64" t="str">
        <f>IF(AND('Mapa final'!$AB$63="Muy Baja",'Mapa final'!$AD$63="Menor"),CONCATENATE("R10C",'Mapa final'!$R$63),"")</f>
        <v/>
      </c>
      <c r="T55" s="64" t="str">
        <f>IF(AND('Mapa final'!$AB$64="Muy Baja",'Mapa final'!$AD$64="Menor"),CONCATENATE("R10C",'Mapa final'!$R$64),"")</f>
        <v/>
      </c>
      <c r="U55" s="65" t="str">
        <f>IF(AND('Mapa final'!$AB$65="Muy Baja",'Mapa final'!$AD$65="Menor"),CONCATENATE("R10C",'Mapa final'!$R$65),"")</f>
        <v/>
      </c>
      <c r="V55" s="54" t="str">
        <f>IF(AND('Mapa final'!$AB$60="Muy Baja",'Mapa final'!$AD$60="Moderado"),CONCATENATE("R10C",'Mapa final'!$R$60),"")</f>
        <v/>
      </c>
      <c r="W55" s="55" t="str">
        <f>IF(AND('Mapa final'!$AB$61="Muy Baja",'Mapa final'!$AD$61="Moderado"),CONCATENATE("R10C",'Mapa final'!$R$61),"")</f>
        <v/>
      </c>
      <c r="X55" s="55" t="str">
        <f>IF(AND('Mapa final'!$AB$62="Muy Baja",'Mapa final'!$AD$62="Moderado"),CONCATENATE("R10C",'Mapa final'!$R$62),"")</f>
        <v/>
      </c>
      <c r="Y55" s="55" t="str">
        <f>IF(AND('Mapa final'!$AB$63="Muy Baja",'Mapa final'!$AD$63="Moderado"),CONCATENATE("R10C",'Mapa final'!$R$63),"")</f>
        <v/>
      </c>
      <c r="Z55" s="55" t="str">
        <f>IF(AND('Mapa final'!$AB$64="Muy Baja",'Mapa final'!$AD$64="Moderado"),CONCATENATE("R10C",'Mapa final'!$R$64),"")</f>
        <v/>
      </c>
      <c r="AA55" s="56" t="str">
        <f>IF(AND('Mapa final'!$AB$65="Muy Baja",'Mapa final'!$AD$65="Moderado"),CONCATENATE("R10C",'Mapa final'!$R$65),"")</f>
        <v/>
      </c>
      <c r="AB55" s="42" t="str">
        <f>IF(AND('Mapa final'!$AB$60="Muy Baja",'Mapa final'!$AD$60="Mayor"),CONCATENATE("R10C",'Mapa final'!$R$60),"")</f>
        <v/>
      </c>
      <c r="AC55" s="43" t="str">
        <f>IF(AND('Mapa final'!$AB$61="Muy Baja",'Mapa final'!$AD$61="Mayor"),CONCATENATE("R10C",'Mapa final'!$R$61),"")</f>
        <v/>
      </c>
      <c r="AD55" s="43" t="str">
        <f>IF(AND('Mapa final'!$AB$62="Muy Baja",'Mapa final'!$AD$62="Mayor"),CONCATENATE("R10C",'Mapa final'!$R$62),"")</f>
        <v/>
      </c>
      <c r="AE55" s="43" t="str">
        <f>IF(AND('Mapa final'!$AB$63="Muy Baja",'Mapa final'!$AD$63="Mayor"),CONCATENATE("R10C",'Mapa final'!$R$63),"")</f>
        <v/>
      </c>
      <c r="AF55" s="43" t="str">
        <f>IF(AND('Mapa final'!$AB$64="Muy Baja",'Mapa final'!$AD$64="Mayor"),CONCATENATE("R10C",'Mapa final'!$R$64),"")</f>
        <v/>
      </c>
      <c r="AG55" s="44" t="str">
        <f>IF(AND('Mapa final'!$AB$65="Muy Baja",'Mapa final'!$AD$65="Mayor"),CONCATENATE("R10C",'Mapa final'!$R$65),"")</f>
        <v/>
      </c>
      <c r="AH55" s="45" t="str">
        <f>IF(AND('Mapa final'!$AB$60="Muy Baja",'Mapa final'!$AD$60="Catastrófico"),CONCATENATE("R10C",'Mapa final'!$R$60),"")</f>
        <v/>
      </c>
      <c r="AI55" s="46" t="str">
        <f>IF(AND('Mapa final'!$AB$61="Muy Baja",'Mapa final'!$AD$61="Catastrófico"),CONCATENATE("R10C",'Mapa final'!$R$61),"")</f>
        <v/>
      </c>
      <c r="AJ55" s="46" t="str">
        <f>IF(AND('Mapa final'!$AB$62="Muy Baja",'Mapa final'!$AD$62="Catastrófico"),CONCATENATE("R10C",'Mapa final'!$R$62),"")</f>
        <v/>
      </c>
      <c r="AK55" s="46" t="str">
        <f>IF(AND('Mapa final'!$AB$63="Muy Baja",'Mapa final'!$AD$63="Catastrófico"),CONCATENATE("R10C",'Mapa final'!$R$63),"")</f>
        <v/>
      </c>
      <c r="AL55" s="46" t="str">
        <f>IF(AND('Mapa final'!$AB$64="Muy Baja",'Mapa final'!$AD$64="Catastrófico"),CONCATENATE("R10C",'Mapa final'!$R$64),"")</f>
        <v/>
      </c>
      <c r="AM55" s="47" t="str">
        <f>IF(AND('Mapa final'!$AB$65="Muy Baja",'Mapa final'!$AD$65="Catastrófico"),CONCATENATE("R10C",'Mapa final'!$R$65),"")</f>
        <v/>
      </c>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588" t="s">
        <v>107</v>
      </c>
      <c r="K56" s="589"/>
      <c r="L56" s="589"/>
      <c r="M56" s="589"/>
      <c r="N56" s="589"/>
      <c r="O56" s="590"/>
      <c r="P56" s="588" t="s">
        <v>106</v>
      </c>
      <c r="Q56" s="589"/>
      <c r="R56" s="589"/>
      <c r="S56" s="589"/>
      <c r="T56" s="589"/>
      <c r="U56" s="590"/>
      <c r="V56" s="588" t="s">
        <v>105</v>
      </c>
      <c r="W56" s="589"/>
      <c r="X56" s="589"/>
      <c r="Y56" s="589"/>
      <c r="Z56" s="589"/>
      <c r="AA56" s="590"/>
      <c r="AB56" s="588" t="s">
        <v>104</v>
      </c>
      <c r="AC56" s="597"/>
      <c r="AD56" s="589"/>
      <c r="AE56" s="589"/>
      <c r="AF56" s="589"/>
      <c r="AG56" s="590"/>
      <c r="AH56" s="588" t="s">
        <v>103</v>
      </c>
      <c r="AI56" s="589"/>
      <c r="AJ56" s="589"/>
      <c r="AK56" s="589"/>
      <c r="AL56" s="589"/>
      <c r="AM56" s="590"/>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591"/>
      <c r="K57" s="592"/>
      <c r="L57" s="592"/>
      <c r="M57" s="592"/>
      <c r="N57" s="592"/>
      <c r="O57" s="593"/>
      <c r="P57" s="591"/>
      <c r="Q57" s="592"/>
      <c r="R57" s="592"/>
      <c r="S57" s="592"/>
      <c r="T57" s="592"/>
      <c r="U57" s="593"/>
      <c r="V57" s="591"/>
      <c r="W57" s="592"/>
      <c r="X57" s="592"/>
      <c r="Y57" s="592"/>
      <c r="Z57" s="592"/>
      <c r="AA57" s="593"/>
      <c r="AB57" s="591"/>
      <c r="AC57" s="592"/>
      <c r="AD57" s="592"/>
      <c r="AE57" s="592"/>
      <c r="AF57" s="592"/>
      <c r="AG57" s="593"/>
      <c r="AH57" s="591"/>
      <c r="AI57" s="592"/>
      <c r="AJ57" s="592"/>
      <c r="AK57" s="592"/>
      <c r="AL57" s="592"/>
      <c r="AM57" s="593"/>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591"/>
      <c r="K58" s="592"/>
      <c r="L58" s="592"/>
      <c r="M58" s="592"/>
      <c r="N58" s="592"/>
      <c r="O58" s="593"/>
      <c r="P58" s="591"/>
      <c r="Q58" s="592"/>
      <c r="R58" s="592"/>
      <c r="S58" s="592"/>
      <c r="T58" s="592"/>
      <c r="U58" s="593"/>
      <c r="V58" s="591"/>
      <c r="W58" s="592"/>
      <c r="X58" s="592"/>
      <c r="Y58" s="592"/>
      <c r="Z58" s="592"/>
      <c r="AA58" s="593"/>
      <c r="AB58" s="591"/>
      <c r="AC58" s="592"/>
      <c r="AD58" s="592"/>
      <c r="AE58" s="592"/>
      <c r="AF58" s="592"/>
      <c r="AG58" s="593"/>
      <c r="AH58" s="591"/>
      <c r="AI58" s="592"/>
      <c r="AJ58" s="592"/>
      <c r="AK58" s="592"/>
      <c r="AL58" s="592"/>
      <c r="AM58" s="593"/>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591"/>
      <c r="K59" s="592"/>
      <c r="L59" s="592"/>
      <c r="M59" s="592"/>
      <c r="N59" s="592"/>
      <c r="O59" s="593"/>
      <c r="P59" s="591"/>
      <c r="Q59" s="592"/>
      <c r="R59" s="592"/>
      <c r="S59" s="592"/>
      <c r="T59" s="592"/>
      <c r="U59" s="593"/>
      <c r="V59" s="591"/>
      <c r="W59" s="592"/>
      <c r="X59" s="592"/>
      <c r="Y59" s="592"/>
      <c r="Z59" s="592"/>
      <c r="AA59" s="593"/>
      <c r="AB59" s="591"/>
      <c r="AC59" s="592"/>
      <c r="AD59" s="592"/>
      <c r="AE59" s="592"/>
      <c r="AF59" s="592"/>
      <c r="AG59" s="593"/>
      <c r="AH59" s="591"/>
      <c r="AI59" s="592"/>
      <c r="AJ59" s="592"/>
      <c r="AK59" s="592"/>
      <c r="AL59" s="592"/>
      <c r="AM59" s="593"/>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591"/>
      <c r="K60" s="592"/>
      <c r="L60" s="592"/>
      <c r="M60" s="592"/>
      <c r="N60" s="592"/>
      <c r="O60" s="593"/>
      <c r="P60" s="591"/>
      <c r="Q60" s="592"/>
      <c r="R60" s="592"/>
      <c r="S60" s="592"/>
      <c r="T60" s="592"/>
      <c r="U60" s="593"/>
      <c r="V60" s="591"/>
      <c r="W60" s="592"/>
      <c r="X60" s="592"/>
      <c r="Y60" s="592"/>
      <c r="Z60" s="592"/>
      <c r="AA60" s="593"/>
      <c r="AB60" s="591"/>
      <c r="AC60" s="592"/>
      <c r="AD60" s="592"/>
      <c r="AE60" s="592"/>
      <c r="AF60" s="592"/>
      <c r="AG60" s="593"/>
      <c r="AH60" s="591"/>
      <c r="AI60" s="592"/>
      <c r="AJ60" s="592"/>
      <c r="AK60" s="592"/>
      <c r="AL60" s="592"/>
      <c r="AM60" s="593"/>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ht="15" thickBot="1" x14ac:dyDescent="0.35">
      <c r="A61" s="67"/>
      <c r="B61" s="67"/>
      <c r="C61" s="67"/>
      <c r="D61" s="67"/>
      <c r="E61" s="67"/>
      <c r="F61" s="67"/>
      <c r="G61" s="67"/>
      <c r="H61" s="67"/>
      <c r="I61" s="67"/>
      <c r="J61" s="594"/>
      <c r="K61" s="595"/>
      <c r="L61" s="595"/>
      <c r="M61" s="595"/>
      <c r="N61" s="595"/>
      <c r="O61" s="596"/>
      <c r="P61" s="594"/>
      <c r="Q61" s="595"/>
      <c r="R61" s="595"/>
      <c r="S61" s="595"/>
      <c r="T61" s="595"/>
      <c r="U61" s="596"/>
      <c r="V61" s="594"/>
      <c r="W61" s="595"/>
      <c r="X61" s="595"/>
      <c r="Y61" s="595"/>
      <c r="Z61" s="595"/>
      <c r="AA61" s="596"/>
      <c r="AB61" s="594"/>
      <c r="AC61" s="595"/>
      <c r="AD61" s="595"/>
      <c r="AE61" s="595"/>
      <c r="AF61" s="595"/>
      <c r="AG61" s="596"/>
      <c r="AH61" s="594"/>
      <c r="AI61" s="595"/>
      <c r="AJ61" s="595"/>
      <c r="AK61" s="595"/>
      <c r="AL61" s="595"/>
      <c r="AM61" s="596"/>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row>
    <row r="63" spans="1:80" ht="15" customHeight="1" x14ac:dyDescent="0.3">
      <c r="A63" s="67"/>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67"/>
      <c r="AV63" s="67"/>
      <c r="AW63" s="67"/>
      <c r="AX63" s="67"/>
      <c r="AY63" s="67"/>
      <c r="AZ63" s="67"/>
      <c r="BA63" s="67"/>
      <c r="BB63" s="67"/>
      <c r="BC63" s="67"/>
      <c r="BD63" s="67"/>
      <c r="BE63" s="67"/>
      <c r="BF63" s="67"/>
      <c r="BG63" s="67"/>
      <c r="BH63" s="67"/>
    </row>
    <row r="64" spans="1:80" ht="15" customHeight="1" x14ac:dyDescent="0.3">
      <c r="A64" s="67"/>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67"/>
      <c r="AV64" s="67"/>
      <c r="AW64" s="67"/>
      <c r="AX64" s="67"/>
      <c r="AY64" s="67"/>
      <c r="AZ64" s="67"/>
      <c r="BA64" s="67"/>
      <c r="BB64" s="67"/>
      <c r="BC64" s="67"/>
      <c r="BD64" s="67"/>
      <c r="BE64" s="67"/>
      <c r="BF64" s="67"/>
      <c r="BG64" s="67"/>
      <c r="BH64" s="67"/>
    </row>
    <row r="65" spans="1:6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row>
    <row r="66" spans="1:6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row>
    <row r="67" spans="1:6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row>
    <row r="68" spans="1:6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row>
    <row r="69" spans="1:6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row>
    <row r="70" spans="1:6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row>
    <row r="71" spans="1:6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row>
    <row r="72" spans="1:6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row>
    <row r="73" spans="1:6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row>
    <row r="74" spans="1:6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row>
    <row r="75" spans="1:6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row>
    <row r="76" spans="1:6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row>
    <row r="77" spans="1:6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row>
    <row r="78" spans="1:6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row>
    <row r="79" spans="1:6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row>
    <row r="80" spans="1:6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row>
    <row r="81" spans="1:60"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row>
    <row r="82" spans="1:60"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row>
    <row r="83" spans="1:60"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row>
    <row r="84" spans="1:60"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row>
    <row r="85" spans="1:60"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row>
    <row r="86" spans="1:60"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row>
    <row r="87" spans="1:60"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row>
    <row r="88" spans="1:60"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row>
    <row r="89" spans="1:60"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row>
    <row r="90" spans="1:60"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row>
    <row r="91" spans="1:60"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row>
    <row r="92" spans="1:60"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row>
    <row r="93" spans="1:60"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row>
    <row r="94" spans="1:60"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row>
    <row r="95" spans="1:60"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row>
    <row r="96" spans="1:60"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row>
    <row r="97" spans="1:60"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row>
    <row r="98" spans="1:60"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row>
    <row r="99" spans="1:60"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row>
    <row r="100" spans="1:60"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row>
    <row r="101" spans="1:60"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row>
    <row r="102" spans="1:60"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row>
    <row r="103" spans="1:60"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row>
    <row r="104" spans="1:60"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row>
    <row r="105" spans="1:60"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row>
    <row r="106" spans="1:60"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row>
    <row r="107" spans="1:60"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row>
    <row r="108" spans="1:60"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row>
    <row r="109" spans="1:60"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row>
    <row r="110" spans="1:60"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row>
    <row r="111" spans="1:60"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row>
    <row r="112" spans="1:60"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row>
    <row r="113" spans="1:60"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row>
    <row r="114" spans="1:60"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row>
    <row r="115" spans="1:60"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row>
    <row r="116" spans="1:60"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row>
    <row r="117" spans="1:60"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row>
    <row r="118" spans="1:60"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row>
    <row r="119" spans="1:60"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row>
    <row r="120" spans="1:60"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row>
    <row r="121" spans="1:60"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row>
    <row r="122" spans="1:60" x14ac:dyDescent="0.3">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row>
    <row r="123" spans="1:60" x14ac:dyDescent="0.3">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row>
    <row r="124" spans="1:60" x14ac:dyDescent="0.3">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row>
    <row r="125" spans="1:60" x14ac:dyDescent="0.3">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row>
    <row r="126" spans="1:60" x14ac:dyDescent="0.3">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row>
    <row r="127" spans="1:60" x14ac:dyDescent="0.3">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row>
    <row r="128" spans="1:60" x14ac:dyDescent="0.3">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row>
    <row r="129" spans="1:60" x14ac:dyDescent="0.3">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row>
    <row r="130" spans="1:60" x14ac:dyDescent="0.3">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row>
    <row r="131" spans="1:60" x14ac:dyDescent="0.3">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row>
    <row r="132" spans="1:60" x14ac:dyDescent="0.3">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row>
    <row r="133" spans="1:60" x14ac:dyDescent="0.3">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row>
    <row r="134" spans="1:60" x14ac:dyDescent="0.3">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row>
    <row r="135" spans="1:60" x14ac:dyDescent="0.3">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row>
    <row r="136" spans="1:60" x14ac:dyDescent="0.3">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row>
    <row r="137" spans="1:60" x14ac:dyDescent="0.3">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row>
    <row r="138" spans="1:60" x14ac:dyDescent="0.3">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row>
    <row r="139" spans="1:60" x14ac:dyDescent="0.3">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row>
    <row r="140" spans="1:60" x14ac:dyDescent="0.3">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7"/>
      <c r="BC140" s="67"/>
      <c r="BD140" s="67"/>
      <c r="BE140" s="67"/>
      <c r="BF140" s="67"/>
      <c r="BG140" s="67"/>
      <c r="BH140" s="67"/>
    </row>
    <row r="141" spans="1:60" x14ac:dyDescent="0.3">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7"/>
      <c r="BC141" s="67"/>
      <c r="BD141" s="67"/>
      <c r="BE141" s="67"/>
      <c r="BF141" s="67"/>
      <c r="BG141" s="67"/>
      <c r="BH141" s="67"/>
    </row>
    <row r="142" spans="1:60" x14ac:dyDescent="0.3">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row>
    <row r="143" spans="1:60" x14ac:dyDescent="0.3">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c r="BH143" s="67"/>
    </row>
    <row r="144" spans="1:60" x14ac:dyDescent="0.3">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c r="BH144" s="67"/>
    </row>
    <row r="145" spans="1:60" x14ac:dyDescent="0.3">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7"/>
      <c r="BC145" s="67"/>
      <c r="BD145" s="67"/>
      <c r="BE145" s="67"/>
      <c r="BF145" s="67"/>
      <c r="BG145" s="67"/>
      <c r="BH145" s="67"/>
    </row>
    <row r="146" spans="1:60" x14ac:dyDescent="0.3">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row>
    <row r="147" spans="1:60" x14ac:dyDescent="0.3">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7"/>
      <c r="BC147" s="67"/>
      <c r="BD147" s="67"/>
      <c r="BE147" s="67"/>
      <c r="BF147" s="67"/>
      <c r="BG147" s="67"/>
      <c r="BH147" s="67"/>
    </row>
    <row r="148" spans="1:60" x14ac:dyDescent="0.3">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7"/>
      <c r="BC148" s="67"/>
      <c r="BD148" s="67"/>
      <c r="BE148" s="67"/>
      <c r="BF148" s="67"/>
      <c r="BG148" s="67"/>
      <c r="BH148" s="67"/>
    </row>
    <row r="149" spans="1:60" x14ac:dyDescent="0.3">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7"/>
      <c r="BC149" s="67"/>
      <c r="BD149" s="67"/>
      <c r="BE149" s="67"/>
      <c r="BF149" s="67"/>
      <c r="BG149" s="67"/>
      <c r="BH149" s="67"/>
    </row>
    <row r="150" spans="1:60" x14ac:dyDescent="0.3">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7"/>
      <c r="BC150" s="67"/>
      <c r="BD150" s="67"/>
      <c r="BE150" s="67"/>
      <c r="BF150" s="67"/>
      <c r="BG150" s="67"/>
      <c r="BH150" s="67"/>
    </row>
    <row r="151" spans="1:60" x14ac:dyDescent="0.3">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7"/>
      <c r="BC151" s="67"/>
      <c r="BD151" s="67"/>
      <c r="BE151" s="67"/>
      <c r="BF151" s="67"/>
      <c r="BG151" s="67"/>
      <c r="BH151" s="67"/>
    </row>
    <row r="152" spans="1:60" x14ac:dyDescent="0.3">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7"/>
      <c r="BC152" s="67"/>
      <c r="BD152" s="67"/>
      <c r="BE152" s="67"/>
      <c r="BF152" s="67"/>
      <c r="BG152" s="67"/>
      <c r="BH152" s="67"/>
    </row>
    <row r="153" spans="1:60" x14ac:dyDescent="0.3">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c r="BH153" s="67"/>
    </row>
    <row r="154" spans="1:60" x14ac:dyDescent="0.3">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c r="BH154" s="67"/>
    </row>
    <row r="155" spans="1:60" x14ac:dyDescent="0.3">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7"/>
      <c r="BC155" s="67"/>
      <c r="BD155" s="67"/>
      <c r="BE155" s="67"/>
      <c r="BF155" s="67"/>
      <c r="BG155" s="67"/>
      <c r="BH155" s="67"/>
    </row>
    <row r="156" spans="1:60" x14ac:dyDescent="0.3">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7"/>
      <c r="BC156" s="67"/>
      <c r="BD156" s="67"/>
      <c r="BE156" s="67"/>
      <c r="BF156" s="67"/>
      <c r="BG156" s="67"/>
      <c r="BH156" s="67"/>
    </row>
    <row r="157" spans="1:60" x14ac:dyDescent="0.3">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7"/>
      <c r="BC157" s="67"/>
      <c r="BD157" s="67"/>
      <c r="BE157" s="67"/>
      <c r="BF157" s="67"/>
      <c r="BG157" s="67"/>
      <c r="BH157" s="67"/>
    </row>
    <row r="158" spans="1:60" x14ac:dyDescent="0.3">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7"/>
      <c r="BC158" s="67"/>
      <c r="BD158" s="67"/>
      <c r="BE158" s="67"/>
      <c r="BF158" s="67"/>
      <c r="BG158" s="67"/>
      <c r="BH158" s="67"/>
    </row>
    <row r="159" spans="1:60" x14ac:dyDescent="0.3">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row>
    <row r="160" spans="1:60" x14ac:dyDescent="0.3">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7"/>
      <c r="BC160" s="67"/>
      <c r="BD160" s="67"/>
      <c r="BE160" s="67"/>
      <c r="BF160" s="67"/>
      <c r="BG160" s="67"/>
      <c r="BH160" s="67"/>
    </row>
    <row r="161" spans="1:60" x14ac:dyDescent="0.3">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row>
    <row r="162" spans="1:60" x14ac:dyDescent="0.3">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7"/>
      <c r="BC162" s="67"/>
      <c r="BD162" s="67"/>
      <c r="BE162" s="67"/>
      <c r="BF162" s="67"/>
      <c r="BG162" s="67"/>
      <c r="BH162" s="67"/>
    </row>
    <row r="163" spans="1:60" x14ac:dyDescent="0.3">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7"/>
      <c r="BC163" s="67"/>
      <c r="BD163" s="67"/>
      <c r="BE163" s="67"/>
      <c r="BF163" s="67"/>
      <c r="BG163" s="67"/>
      <c r="BH163" s="67"/>
    </row>
    <row r="164" spans="1:60" x14ac:dyDescent="0.3">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7"/>
      <c r="BC164" s="67"/>
      <c r="BD164" s="67"/>
      <c r="BE164" s="67"/>
      <c r="BF164" s="67"/>
      <c r="BG164" s="67"/>
      <c r="BH164" s="67"/>
    </row>
    <row r="165" spans="1:60" x14ac:dyDescent="0.3">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7"/>
      <c r="BC165" s="67"/>
      <c r="BD165" s="67"/>
      <c r="BE165" s="67"/>
      <c r="BF165" s="67"/>
      <c r="BG165" s="67"/>
      <c r="BH165" s="67"/>
    </row>
    <row r="166" spans="1:60" x14ac:dyDescent="0.3">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7"/>
      <c r="BC166" s="67"/>
      <c r="BD166" s="67"/>
      <c r="BE166" s="67"/>
      <c r="BF166" s="67"/>
      <c r="BG166" s="67"/>
      <c r="BH166" s="67"/>
    </row>
    <row r="167" spans="1:60" x14ac:dyDescent="0.3">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7"/>
      <c r="BC167" s="67"/>
      <c r="BD167" s="67"/>
      <c r="BE167" s="67"/>
      <c r="BF167" s="67"/>
      <c r="BG167" s="67"/>
      <c r="BH167" s="67"/>
    </row>
    <row r="168" spans="1:60" x14ac:dyDescent="0.3">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7"/>
      <c r="BC168" s="67"/>
      <c r="BD168" s="67"/>
      <c r="BE168" s="67"/>
      <c r="BF168" s="67"/>
      <c r="BG168" s="67"/>
      <c r="BH168" s="67"/>
    </row>
    <row r="169" spans="1:60" x14ac:dyDescent="0.3">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7"/>
      <c r="BC169" s="67"/>
      <c r="BD169" s="67"/>
      <c r="BE169" s="67"/>
      <c r="BF169" s="67"/>
      <c r="BG169" s="67"/>
      <c r="BH169" s="67"/>
    </row>
    <row r="170" spans="1:60" x14ac:dyDescent="0.3">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7"/>
      <c r="BC170" s="67"/>
      <c r="BD170" s="67"/>
      <c r="BE170" s="67"/>
      <c r="BF170" s="67"/>
      <c r="BG170" s="67"/>
      <c r="BH170" s="67"/>
    </row>
    <row r="171" spans="1:60" x14ac:dyDescent="0.3">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7"/>
      <c r="BC171" s="67"/>
      <c r="BD171" s="67"/>
      <c r="BE171" s="67"/>
      <c r="BF171" s="67"/>
      <c r="BG171" s="67"/>
      <c r="BH171" s="67"/>
    </row>
    <row r="172" spans="1:60" x14ac:dyDescent="0.3">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7"/>
      <c r="BC172" s="67"/>
      <c r="BD172" s="67"/>
      <c r="BE172" s="67"/>
      <c r="BF172" s="67"/>
      <c r="BG172" s="67"/>
      <c r="BH172" s="67"/>
    </row>
    <row r="173" spans="1:60" x14ac:dyDescent="0.3">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7"/>
      <c r="BC173" s="67"/>
      <c r="BD173" s="67"/>
      <c r="BE173" s="67"/>
      <c r="BF173" s="67"/>
      <c r="BG173" s="67"/>
      <c r="BH173" s="67"/>
    </row>
    <row r="174" spans="1:60" x14ac:dyDescent="0.3">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row>
    <row r="175" spans="1:60" x14ac:dyDescent="0.3">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row>
    <row r="176" spans="1:60" x14ac:dyDescent="0.3">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7"/>
      <c r="BC176" s="67"/>
      <c r="BD176" s="67"/>
      <c r="BE176" s="67"/>
      <c r="BF176" s="67"/>
      <c r="BG176" s="67"/>
      <c r="BH176" s="67"/>
    </row>
    <row r="177" spans="1:60" x14ac:dyDescent="0.3">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row>
    <row r="178" spans="1:60" x14ac:dyDescent="0.3">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row>
    <row r="179" spans="1:60" x14ac:dyDescent="0.3">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row>
    <row r="180" spans="1:60" x14ac:dyDescent="0.3">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row>
    <row r="181" spans="1:60" x14ac:dyDescent="0.3">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row>
    <row r="182" spans="1:60" x14ac:dyDescent="0.3">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row>
    <row r="183" spans="1:60" x14ac:dyDescent="0.3">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row>
    <row r="184" spans="1:60" x14ac:dyDescent="0.3">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row>
    <row r="185" spans="1:60" x14ac:dyDescent="0.3">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row>
    <row r="186" spans="1:60" x14ac:dyDescent="0.3">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67"/>
      <c r="BF186" s="67"/>
      <c r="BG186" s="67"/>
      <c r="BH186" s="67"/>
    </row>
    <row r="187" spans="1:60" x14ac:dyDescent="0.3">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row>
    <row r="188" spans="1:60" x14ac:dyDescent="0.3">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7"/>
      <c r="BC188" s="67"/>
      <c r="BD188" s="67"/>
      <c r="BE188" s="67"/>
      <c r="BF188" s="67"/>
      <c r="BG188" s="67"/>
      <c r="BH188" s="67"/>
    </row>
    <row r="189" spans="1:60" x14ac:dyDescent="0.3">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7"/>
      <c r="BC189" s="67"/>
      <c r="BD189" s="67"/>
      <c r="BE189" s="67"/>
      <c r="BF189" s="67"/>
      <c r="BG189" s="67"/>
      <c r="BH189" s="67"/>
    </row>
    <row r="190" spans="1:60" x14ac:dyDescent="0.3">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row>
    <row r="191" spans="1:60" x14ac:dyDescent="0.3">
      <c r="A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7"/>
      <c r="BC191" s="67"/>
      <c r="BD191" s="67"/>
      <c r="BE191" s="67"/>
      <c r="BF191" s="67"/>
      <c r="BG191" s="67"/>
      <c r="BH191" s="67"/>
    </row>
    <row r="192" spans="1:60" x14ac:dyDescent="0.3">
      <c r="A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7"/>
      <c r="BC192" s="67"/>
      <c r="BD192" s="67"/>
      <c r="BE192" s="67"/>
      <c r="BF192" s="67"/>
      <c r="BG192" s="67"/>
      <c r="BH192" s="67"/>
    </row>
    <row r="193" spans="1:60" x14ac:dyDescent="0.3">
      <c r="A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7"/>
      <c r="BC193" s="67"/>
      <c r="BD193" s="67"/>
      <c r="BE193" s="67"/>
      <c r="BF193" s="67"/>
      <c r="BG193" s="67"/>
      <c r="BH193" s="67"/>
    </row>
    <row r="194" spans="1:60" x14ac:dyDescent="0.3">
      <c r="A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7"/>
      <c r="BC194" s="67"/>
      <c r="BD194" s="67"/>
      <c r="BE194" s="67"/>
      <c r="BF194" s="67"/>
      <c r="BG194" s="67"/>
      <c r="BH194" s="67"/>
    </row>
    <row r="195" spans="1:60" x14ac:dyDescent="0.3">
      <c r="A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c r="BE195" s="67"/>
      <c r="BF195" s="67"/>
      <c r="BG195" s="67"/>
      <c r="BH195" s="67"/>
    </row>
    <row r="196" spans="1:60" x14ac:dyDescent="0.3">
      <c r="A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7"/>
      <c r="BC196" s="67"/>
      <c r="BD196" s="67"/>
      <c r="BE196" s="67"/>
      <c r="BF196" s="67"/>
      <c r="BG196" s="67"/>
      <c r="BH196" s="67"/>
    </row>
    <row r="197" spans="1:60" x14ac:dyDescent="0.3">
      <c r="A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7"/>
      <c r="BC197" s="67"/>
      <c r="BD197" s="67"/>
      <c r="BE197" s="67"/>
      <c r="BF197" s="67"/>
      <c r="BG197" s="67"/>
      <c r="BH197" s="67"/>
    </row>
    <row r="198" spans="1:60" x14ac:dyDescent="0.3">
      <c r="A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7"/>
      <c r="BC198" s="67"/>
      <c r="BD198" s="67"/>
      <c r="BE198" s="67"/>
      <c r="BF198" s="67"/>
      <c r="BG198" s="67"/>
      <c r="BH198" s="67"/>
    </row>
    <row r="199" spans="1:60" x14ac:dyDescent="0.3">
      <c r="A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7"/>
      <c r="BC199" s="67"/>
      <c r="BD199" s="67"/>
      <c r="BE199" s="67"/>
      <c r="BF199" s="67"/>
      <c r="BG199" s="67"/>
      <c r="BH199" s="67"/>
    </row>
    <row r="200" spans="1:60" x14ac:dyDescent="0.3">
      <c r="A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row>
    <row r="201" spans="1:60" x14ac:dyDescent="0.3">
      <c r="A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7"/>
      <c r="BC201" s="67"/>
      <c r="BD201" s="67"/>
      <c r="BE201" s="67"/>
      <c r="BF201" s="67"/>
      <c r="BG201" s="67"/>
      <c r="BH201" s="67"/>
    </row>
    <row r="202" spans="1:60" x14ac:dyDescent="0.3">
      <c r="A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row>
    <row r="203" spans="1:60" x14ac:dyDescent="0.3">
      <c r="A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7"/>
      <c r="BC203" s="67"/>
      <c r="BD203" s="67"/>
      <c r="BE203" s="67"/>
      <c r="BF203" s="67"/>
      <c r="BG203" s="67"/>
      <c r="BH203" s="67"/>
    </row>
    <row r="204" spans="1:60" x14ac:dyDescent="0.3">
      <c r="A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67"/>
      <c r="BF204" s="67"/>
      <c r="BG204" s="67"/>
      <c r="BH204" s="67"/>
    </row>
    <row r="205" spans="1:60" x14ac:dyDescent="0.3">
      <c r="A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row>
    <row r="206" spans="1:60" x14ac:dyDescent="0.3">
      <c r="A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7"/>
      <c r="BC206" s="67"/>
      <c r="BD206" s="67"/>
      <c r="BE206" s="67"/>
      <c r="BF206" s="67"/>
      <c r="BG206" s="67"/>
      <c r="BH206" s="67"/>
    </row>
    <row r="207" spans="1:60" x14ac:dyDescent="0.3">
      <c r="A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7"/>
      <c r="BC207" s="67"/>
      <c r="BD207" s="67"/>
      <c r="BE207" s="67"/>
      <c r="BF207" s="67"/>
      <c r="BG207" s="67"/>
      <c r="BH207" s="67"/>
    </row>
    <row r="208" spans="1:60" x14ac:dyDescent="0.3">
      <c r="A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7"/>
      <c r="BC208" s="67"/>
      <c r="BD208" s="67"/>
      <c r="BE208" s="67"/>
      <c r="BF208" s="67"/>
      <c r="BG208" s="67"/>
      <c r="BH208" s="67"/>
    </row>
    <row r="209" spans="1:60" x14ac:dyDescent="0.3">
      <c r="A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7"/>
      <c r="BC209" s="67"/>
      <c r="BD209" s="67"/>
      <c r="BE209" s="67"/>
      <c r="BF209" s="67"/>
      <c r="BG209" s="67"/>
      <c r="BH209" s="67"/>
    </row>
    <row r="210" spans="1:60" x14ac:dyDescent="0.3">
      <c r="A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7"/>
      <c r="BC210" s="67"/>
      <c r="BD210" s="67"/>
      <c r="BE210" s="67"/>
      <c r="BF210" s="67"/>
      <c r="BG210" s="67"/>
      <c r="BH210" s="67"/>
    </row>
    <row r="211" spans="1:60" x14ac:dyDescent="0.3">
      <c r="A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7"/>
      <c r="BC211" s="67"/>
      <c r="BD211" s="67"/>
      <c r="BE211" s="67"/>
      <c r="BF211" s="67"/>
      <c r="BG211" s="67"/>
      <c r="BH211" s="67"/>
    </row>
    <row r="212" spans="1:60" x14ac:dyDescent="0.3">
      <c r="A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7"/>
      <c r="BC212" s="67"/>
      <c r="BD212" s="67"/>
      <c r="BE212" s="67"/>
      <c r="BF212" s="67"/>
      <c r="BG212" s="67"/>
      <c r="BH212" s="67"/>
    </row>
    <row r="213" spans="1:60" x14ac:dyDescent="0.3">
      <c r="A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7"/>
      <c r="BC213" s="67"/>
      <c r="BD213" s="67"/>
      <c r="BE213" s="67"/>
      <c r="BF213" s="67"/>
      <c r="BG213" s="67"/>
      <c r="BH213" s="67"/>
    </row>
    <row r="214" spans="1:60" x14ac:dyDescent="0.3">
      <c r="A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7"/>
      <c r="BC214" s="67"/>
      <c r="BD214" s="67"/>
      <c r="BE214" s="67"/>
      <c r="BF214" s="67"/>
      <c r="BG214" s="67"/>
      <c r="BH214" s="67"/>
    </row>
    <row r="215" spans="1:60" x14ac:dyDescent="0.3">
      <c r="A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7"/>
      <c r="BC215" s="67"/>
      <c r="BD215" s="67"/>
      <c r="BE215" s="67"/>
      <c r="BF215" s="67"/>
      <c r="BG215" s="67"/>
      <c r="BH215" s="67"/>
    </row>
    <row r="216" spans="1:60" x14ac:dyDescent="0.3">
      <c r="A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7"/>
      <c r="BC216" s="67"/>
      <c r="BD216" s="67"/>
      <c r="BE216" s="67"/>
      <c r="BF216" s="67"/>
      <c r="BG216" s="67"/>
      <c r="BH216" s="67"/>
    </row>
    <row r="217" spans="1:60" x14ac:dyDescent="0.3">
      <c r="A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67"/>
      <c r="BC217" s="67"/>
      <c r="BD217" s="67"/>
      <c r="BE217" s="67"/>
      <c r="BF217" s="67"/>
      <c r="BG217" s="67"/>
      <c r="BH217" s="67"/>
    </row>
    <row r="218" spans="1:60" x14ac:dyDescent="0.3">
      <c r="A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7"/>
      <c r="BC218" s="67"/>
      <c r="BD218" s="67"/>
      <c r="BE218" s="67"/>
      <c r="BF218" s="67"/>
      <c r="BG218" s="67"/>
      <c r="BH218" s="67"/>
    </row>
    <row r="219" spans="1:60" x14ac:dyDescent="0.3">
      <c r="A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7"/>
      <c r="BC219" s="67"/>
      <c r="BD219" s="67"/>
      <c r="BE219" s="67"/>
      <c r="BF219" s="67"/>
      <c r="BG219" s="67"/>
      <c r="BH219" s="67"/>
    </row>
    <row r="220" spans="1:60" x14ac:dyDescent="0.3">
      <c r="A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7"/>
      <c r="BC220" s="67"/>
      <c r="BD220" s="67"/>
      <c r="BE220" s="67"/>
      <c r="BF220" s="67"/>
      <c r="BG220" s="67"/>
      <c r="BH220" s="67"/>
    </row>
    <row r="221" spans="1:60" x14ac:dyDescent="0.3">
      <c r="A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7"/>
      <c r="BC221" s="67"/>
      <c r="BD221" s="67"/>
      <c r="BE221" s="67"/>
      <c r="BF221" s="67"/>
      <c r="BG221" s="67"/>
      <c r="BH221" s="67"/>
    </row>
    <row r="222" spans="1:60" x14ac:dyDescent="0.3">
      <c r="A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7"/>
      <c r="BC222" s="67"/>
      <c r="BD222" s="67"/>
      <c r="BE222" s="67"/>
      <c r="BF222" s="67"/>
      <c r="BG222" s="67"/>
      <c r="BH222" s="67"/>
    </row>
    <row r="223" spans="1:60" x14ac:dyDescent="0.3">
      <c r="A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7"/>
      <c r="BC223" s="67"/>
      <c r="BD223" s="67"/>
      <c r="BE223" s="67"/>
      <c r="BF223" s="67"/>
      <c r="BG223" s="67"/>
      <c r="BH223" s="67"/>
    </row>
    <row r="224" spans="1:60" x14ac:dyDescent="0.3">
      <c r="A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7"/>
      <c r="BC224" s="67"/>
      <c r="BD224" s="67"/>
      <c r="BE224" s="67"/>
      <c r="BF224" s="67"/>
      <c r="BG224" s="67"/>
      <c r="BH224" s="67"/>
    </row>
    <row r="225" spans="1:60" x14ac:dyDescent="0.3">
      <c r="A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7"/>
      <c r="BC225" s="67"/>
      <c r="BD225" s="67"/>
      <c r="BE225" s="67"/>
      <c r="BF225" s="67"/>
      <c r="BG225" s="67"/>
      <c r="BH225" s="67"/>
    </row>
    <row r="226" spans="1:60" x14ac:dyDescent="0.3">
      <c r="A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7"/>
      <c r="BC226" s="67"/>
      <c r="BD226" s="67"/>
      <c r="BE226" s="67"/>
      <c r="BF226" s="67"/>
      <c r="BG226" s="67"/>
      <c r="BH226" s="67"/>
    </row>
    <row r="227" spans="1:60" x14ac:dyDescent="0.3">
      <c r="A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7"/>
      <c r="BC227" s="67"/>
      <c r="BD227" s="67"/>
      <c r="BE227" s="67"/>
      <c r="BF227" s="67"/>
      <c r="BG227" s="67"/>
      <c r="BH227" s="67"/>
    </row>
    <row r="228" spans="1:60" x14ac:dyDescent="0.3">
      <c r="A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7"/>
      <c r="BC228" s="67"/>
      <c r="BD228" s="67"/>
      <c r="BE228" s="67"/>
      <c r="BF228" s="67"/>
      <c r="BG228" s="67"/>
      <c r="BH228" s="67"/>
    </row>
    <row r="229" spans="1:60" x14ac:dyDescent="0.3">
      <c r="A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7"/>
      <c r="BC229" s="67"/>
      <c r="BD229" s="67"/>
      <c r="BE229" s="67"/>
      <c r="BF229" s="67"/>
      <c r="BG229" s="67"/>
      <c r="BH229" s="67"/>
    </row>
    <row r="230" spans="1:60" x14ac:dyDescent="0.3">
      <c r="A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7"/>
      <c r="BC230" s="67"/>
      <c r="BD230" s="67"/>
      <c r="BE230" s="67"/>
      <c r="BF230" s="67"/>
      <c r="BG230" s="67"/>
      <c r="BH230" s="67"/>
    </row>
    <row r="231" spans="1:60" x14ac:dyDescent="0.3">
      <c r="A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7"/>
      <c r="BC231" s="67"/>
      <c r="BD231" s="67"/>
      <c r="BE231" s="67"/>
      <c r="BF231" s="67"/>
      <c r="BG231" s="67"/>
      <c r="BH231" s="67"/>
    </row>
    <row r="232" spans="1:60" x14ac:dyDescent="0.3">
      <c r="A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7"/>
      <c r="BC232" s="67"/>
      <c r="BD232" s="67"/>
      <c r="BE232" s="67"/>
      <c r="BF232" s="67"/>
      <c r="BG232" s="67"/>
      <c r="BH232" s="67"/>
    </row>
    <row r="233" spans="1:60" x14ac:dyDescent="0.3">
      <c r="A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7"/>
      <c r="BC233" s="67"/>
      <c r="BD233" s="67"/>
      <c r="BE233" s="67"/>
      <c r="BF233" s="67"/>
      <c r="BG233" s="67"/>
      <c r="BH233" s="67"/>
    </row>
    <row r="234" spans="1:60" x14ac:dyDescent="0.3">
      <c r="A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7"/>
      <c r="BC234" s="67"/>
      <c r="BD234" s="67"/>
      <c r="BE234" s="67"/>
      <c r="BF234" s="67"/>
      <c r="BG234" s="67"/>
      <c r="BH234" s="67"/>
    </row>
    <row r="235" spans="1:60" x14ac:dyDescent="0.3">
      <c r="A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7"/>
      <c r="BC235" s="67"/>
      <c r="BD235" s="67"/>
      <c r="BE235" s="67"/>
      <c r="BF235" s="67"/>
      <c r="BG235" s="67"/>
      <c r="BH235" s="67"/>
    </row>
    <row r="236" spans="1:60" x14ac:dyDescent="0.3">
      <c r="A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7"/>
      <c r="BC236" s="67"/>
      <c r="BD236" s="67"/>
      <c r="BE236" s="67"/>
      <c r="BF236" s="67"/>
      <c r="BG236" s="67"/>
      <c r="BH236" s="67"/>
    </row>
    <row r="237" spans="1:60" x14ac:dyDescent="0.3">
      <c r="A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7"/>
      <c r="BC237" s="67"/>
      <c r="BD237" s="67"/>
      <c r="BE237" s="67"/>
      <c r="BF237" s="67"/>
      <c r="BG237" s="67"/>
      <c r="BH237" s="67"/>
    </row>
    <row r="238" spans="1:60" x14ac:dyDescent="0.3">
      <c r="A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7"/>
      <c r="BC238" s="67"/>
      <c r="BD238" s="67"/>
      <c r="BE238" s="67"/>
      <c r="BF238" s="67"/>
      <c r="BG238" s="67"/>
      <c r="BH238" s="67"/>
    </row>
    <row r="239" spans="1:60" x14ac:dyDescent="0.3">
      <c r="A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7"/>
      <c r="BC239" s="67"/>
      <c r="BD239" s="67"/>
      <c r="BE239" s="67"/>
      <c r="BF239" s="67"/>
      <c r="BG239" s="67"/>
      <c r="BH239" s="67"/>
    </row>
    <row r="240" spans="1:60" x14ac:dyDescent="0.3">
      <c r="A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7"/>
      <c r="BC240" s="67"/>
      <c r="BD240" s="67"/>
      <c r="BE240" s="67"/>
      <c r="BF240" s="67"/>
      <c r="BG240" s="67"/>
      <c r="BH240" s="67"/>
    </row>
    <row r="241" spans="1:60" x14ac:dyDescent="0.3">
      <c r="A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7"/>
      <c r="BC241" s="67"/>
      <c r="BD241" s="67"/>
      <c r="BE241" s="67"/>
      <c r="BF241" s="67"/>
      <c r="BG241" s="67"/>
      <c r="BH241" s="67"/>
    </row>
    <row r="242" spans="1:60" x14ac:dyDescent="0.3">
      <c r="A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7"/>
      <c r="BC242" s="67"/>
      <c r="BD242" s="67"/>
      <c r="BE242" s="67"/>
      <c r="BF242" s="67"/>
      <c r="BG242" s="67"/>
      <c r="BH242" s="67"/>
    </row>
    <row r="243" spans="1:60" x14ac:dyDescent="0.3">
      <c r="A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7"/>
      <c r="BC243" s="67"/>
      <c r="BD243" s="67"/>
      <c r="BE243" s="67"/>
      <c r="BF243" s="67"/>
      <c r="BG243" s="67"/>
      <c r="BH243" s="67"/>
    </row>
    <row r="244" spans="1:60" x14ac:dyDescent="0.3">
      <c r="A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7"/>
      <c r="BC244" s="67"/>
      <c r="BD244" s="67"/>
      <c r="BE244" s="67"/>
      <c r="BF244" s="67"/>
      <c r="BG244" s="67"/>
      <c r="BH244" s="67"/>
    </row>
    <row r="245" spans="1:60" x14ac:dyDescent="0.3">
      <c r="A245" s="67"/>
    </row>
    <row r="246" spans="1:60" x14ac:dyDescent="0.3">
      <c r="A246" s="67"/>
    </row>
    <row r="247" spans="1:60" x14ac:dyDescent="0.3">
      <c r="A247" s="67"/>
    </row>
    <row r="248" spans="1:60" x14ac:dyDescent="0.3">
      <c r="A248" s="67"/>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5"/>
  <sheetViews>
    <sheetView tabSelected="1" workbookViewId="0">
      <selection activeCell="H5" sqref="H5"/>
    </sheetView>
  </sheetViews>
  <sheetFormatPr baseColWidth="10" defaultRowHeight="14.4" x14ac:dyDescent="0.3"/>
  <cols>
    <col min="2" max="2" width="24.109375" customWidth="1"/>
    <col min="3" max="3" width="70.109375" customWidth="1"/>
    <col min="4" max="4" width="29.88671875" customWidth="1"/>
  </cols>
  <sheetData>
    <row r="1" spans="1:37" ht="23.4" x14ac:dyDescent="0.3">
      <c r="A1" s="67"/>
      <c r="B1" s="637" t="s">
        <v>55</v>
      </c>
      <c r="C1" s="637"/>
      <c r="D1" s="637"/>
      <c r="E1" s="67"/>
      <c r="F1" s="67"/>
      <c r="G1" s="67"/>
      <c r="H1" s="67"/>
      <c r="I1" s="67"/>
      <c r="J1" s="67"/>
      <c r="K1" s="67"/>
      <c r="L1" s="67"/>
      <c r="M1" s="67"/>
      <c r="N1" s="67"/>
      <c r="O1" s="67"/>
      <c r="P1" s="67"/>
      <c r="Q1" s="67"/>
      <c r="R1" s="67"/>
      <c r="S1" s="67"/>
      <c r="T1" s="67"/>
      <c r="U1" s="67"/>
      <c r="V1" s="67"/>
      <c r="W1" s="67"/>
      <c r="X1" s="67"/>
      <c r="Y1" s="67"/>
      <c r="Z1" s="67"/>
      <c r="AA1" s="67"/>
      <c r="AB1" s="67"/>
      <c r="AC1" s="67"/>
      <c r="AD1" s="67"/>
      <c r="AE1" s="67"/>
    </row>
    <row r="2" spans="1:37" x14ac:dyDescent="0.3">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row>
    <row r="3" spans="1:37" ht="25.2" x14ac:dyDescent="0.3">
      <c r="A3" s="67"/>
      <c r="B3" s="11"/>
      <c r="C3" s="12" t="s">
        <v>52</v>
      </c>
      <c r="D3" s="12" t="s">
        <v>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7" ht="50.4" x14ac:dyDescent="0.3">
      <c r="A4" s="67"/>
      <c r="B4" s="13" t="s">
        <v>51</v>
      </c>
      <c r="C4" s="14" t="s">
        <v>97</v>
      </c>
      <c r="D4" s="15">
        <v>0.2</v>
      </c>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7" ht="50.4" x14ac:dyDescent="0.3">
      <c r="A5" s="67"/>
      <c r="B5" s="16" t="s">
        <v>53</v>
      </c>
      <c r="C5" s="17" t="s">
        <v>98</v>
      </c>
      <c r="D5" s="18">
        <v>0.4</v>
      </c>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37" ht="50.4" x14ac:dyDescent="0.3">
      <c r="A6" s="67"/>
      <c r="B6" s="19" t="s">
        <v>102</v>
      </c>
      <c r="C6" s="17" t="s">
        <v>99</v>
      </c>
      <c r="D6" s="18">
        <v>0.6</v>
      </c>
      <c r="E6" s="67"/>
      <c r="F6" s="67"/>
      <c r="G6" s="67"/>
      <c r="H6" s="67"/>
      <c r="I6" s="67"/>
      <c r="J6" s="67"/>
      <c r="K6" s="67"/>
      <c r="L6" s="67"/>
      <c r="M6" s="67"/>
      <c r="N6" s="67"/>
      <c r="O6" s="67"/>
      <c r="P6" s="67"/>
      <c r="Q6" s="67"/>
      <c r="R6" s="67"/>
      <c r="S6" s="67"/>
      <c r="T6" s="67"/>
      <c r="U6" s="67"/>
      <c r="V6" s="67"/>
      <c r="W6" s="67"/>
      <c r="X6" s="67"/>
      <c r="Y6" s="67"/>
      <c r="Z6" s="67"/>
      <c r="AA6" s="67"/>
      <c r="AB6" s="67"/>
      <c r="AC6" s="67"/>
      <c r="AD6" s="67"/>
      <c r="AE6" s="67"/>
    </row>
    <row r="7" spans="1:37" ht="75.599999999999994" x14ac:dyDescent="0.3">
      <c r="A7" s="67"/>
      <c r="B7" s="20" t="s">
        <v>6</v>
      </c>
      <c r="C7" s="17" t="s">
        <v>100</v>
      </c>
      <c r="D7" s="18">
        <v>0.8</v>
      </c>
      <c r="E7" s="67"/>
      <c r="F7" s="67"/>
      <c r="G7" s="67"/>
      <c r="H7" s="67"/>
      <c r="I7" s="67"/>
      <c r="J7" s="67"/>
      <c r="K7" s="67"/>
      <c r="L7" s="67"/>
      <c r="M7" s="67"/>
      <c r="N7" s="67"/>
      <c r="O7" s="67"/>
      <c r="P7" s="67"/>
      <c r="Q7" s="67"/>
      <c r="R7" s="67"/>
      <c r="S7" s="67"/>
      <c r="T7" s="67"/>
      <c r="U7" s="67"/>
      <c r="V7" s="67"/>
      <c r="W7" s="67"/>
      <c r="X7" s="67"/>
      <c r="Y7" s="67"/>
      <c r="Z7" s="67"/>
      <c r="AA7" s="67"/>
      <c r="AB7" s="67"/>
      <c r="AC7" s="67"/>
      <c r="AD7" s="67"/>
      <c r="AE7" s="67"/>
    </row>
    <row r="8" spans="1:37" ht="50.4" x14ac:dyDescent="0.3">
      <c r="A8" s="67"/>
      <c r="B8" s="21" t="s">
        <v>54</v>
      </c>
      <c r="C8" s="17" t="s">
        <v>101</v>
      </c>
      <c r="D8" s="18">
        <v>1</v>
      </c>
      <c r="E8" s="67"/>
      <c r="F8" s="67"/>
      <c r="G8" s="67"/>
      <c r="H8" s="67"/>
      <c r="I8" s="67"/>
      <c r="J8" s="67"/>
      <c r="K8" s="67"/>
      <c r="L8" s="67"/>
      <c r="M8" s="67"/>
      <c r="N8" s="67"/>
      <c r="O8" s="67"/>
      <c r="P8" s="67"/>
      <c r="Q8" s="67"/>
      <c r="R8" s="67"/>
      <c r="S8" s="67"/>
      <c r="T8" s="67"/>
      <c r="U8" s="67"/>
      <c r="V8" s="67"/>
      <c r="W8" s="67"/>
      <c r="X8" s="67"/>
      <c r="Y8" s="67"/>
      <c r="Z8" s="67"/>
      <c r="AA8" s="67"/>
      <c r="AB8" s="67"/>
      <c r="AC8" s="67"/>
      <c r="AD8" s="67"/>
      <c r="AE8" s="67"/>
    </row>
    <row r="9" spans="1:37" x14ac:dyDescent="0.3">
      <c r="A9" s="67"/>
      <c r="B9" s="89"/>
      <c r="C9" s="89"/>
      <c r="D9" s="89"/>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1:37" x14ac:dyDescent="0.3">
      <c r="A10" s="67"/>
      <c r="B10" s="90"/>
      <c r="C10" s="89"/>
      <c r="D10" s="89"/>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row>
    <row r="11" spans="1:37" x14ac:dyDescent="0.3">
      <c r="A11" s="67"/>
      <c r="B11" s="89"/>
      <c r="C11" s="89"/>
      <c r="D11" s="89"/>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row>
    <row r="12" spans="1:37" x14ac:dyDescent="0.3">
      <c r="A12" s="67"/>
      <c r="B12" s="89"/>
      <c r="C12" s="89"/>
      <c r="D12" s="89"/>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row>
    <row r="13" spans="1:37" x14ac:dyDescent="0.3">
      <c r="A13" s="67"/>
      <c r="B13" s="89"/>
      <c r="C13" s="89"/>
      <c r="D13" s="89"/>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row>
    <row r="14" spans="1:37" x14ac:dyDescent="0.3">
      <c r="A14" s="67"/>
      <c r="B14" s="89"/>
      <c r="C14" s="89"/>
      <c r="D14" s="89"/>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row>
    <row r="15" spans="1:37" x14ac:dyDescent="0.3">
      <c r="A15" s="67"/>
      <c r="B15" s="89"/>
      <c r="C15" s="89"/>
      <c r="D15" s="89"/>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row>
    <row r="16" spans="1:37" x14ac:dyDescent="0.3">
      <c r="A16" s="67"/>
      <c r="B16" s="89"/>
      <c r="C16" s="89"/>
      <c r="D16" s="89"/>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row>
    <row r="17" spans="1:37" x14ac:dyDescent="0.3">
      <c r="A17" s="67"/>
      <c r="B17" s="89"/>
      <c r="C17" s="89"/>
      <c r="D17" s="89"/>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row>
    <row r="18" spans="1:37" x14ac:dyDescent="0.3">
      <c r="A18" s="67"/>
      <c r="B18" s="89"/>
      <c r="C18" s="89"/>
      <c r="D18" s="89"/>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row>
    <row r="19" spans="1:37" x14ac:dyDescent="0.3">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row>
    <row r="20" spans="1:37" x14ac:dyDescent="0.3">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row>
    <row r="21" spans="1:37" x14ac:dyDescent="0.3">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row>
    <row r="22" spans="1:37" x14ac:dyDescent="0.3">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row>
    <row r="23" spans="1:37" x14ac:dyDescent="0.3">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row>
    <row r="24" spans="1:37" x14ac:dyDescent="0.3">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row>
    <row r="25" spans="1:37" x14ac:dyDescent="0.3">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row>
    <row r="26" spans="1:37" x14ac:dyDescent="0.3">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row>
    <row r="27" spans="1:37" x14ac:dyDescent="0.3">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row>
    <row r="28" spans="1:37" x14ac:dyDescent="0.3">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row>
    <row r="29" spans="1:37" x14ac:dyDescent="0.3">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row>
    <row r="30" spans="1:37" x14ac:dyDescent="0.3">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row>
    <row r="31" spans="1:37" x14ac:dyDescent="0.3">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row>
    <row r="32" spans="1:37" x14ac:dyDescent="0.3">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row>
    <row r="33" spans="1:31" x14ac:dyDescent="0.3">
      <c r="A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row>
    <row r="34" spans="1:31" x14ac:dyDescent="0.3">
      <c r="A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row>
    <row r="35" spans="1:31" x14ac:dyDescent="0.3">
      <c r="A35" s="67"/>
    </row>
    <row r="36" spans="1:31" x14ac:dyDescent="0.3">
      <c r="A36" s="67"/>
    </row>
    <row r="37" spans="1:31" x14ac:dyDescent="0.3">
      <c r="A37" s="67"/>
    </row>
    <row r="38" spans="1:31" x14ac:dyDescent="0.3">
      <c r="A38" s="67"/>
    </row>
    <row r="39" spans="1:31" x14ac:dyDescent="0.3">
      <c r="A39" s="67"/>
    </row>
    <row r="40" spans="1:31" x14ac:dyDescent="0.3">
      <c r="A40" s="67"/>
    </row>
    <row r="41" spans="1:31" x14ac:dyDescent="0.3">
      <c r="A41" s="67"/>
    </row>
    <row r="42" spans="1:31" x14ac:dyDescent="0.3">
      <c r="A42" s="67"/>
    </row>
    <row r="43" spans="1:31" x14ac:dyDescent="0.3">
      <c r="A43" s="67"/>
    </row>
    <row r="44" spans="1:31" x14ac:dyDescent="0.3">
      <c r="A44" s="67"/>
    </row>
    <row r="45" spans="1:31" x14ac:dyDescent="0.3">
      <c r="A45" s="67"/>
    </row>
    <row r="46" spans="1:31" x14ac:dyDescent="0.3">
      <c r="A46" s="67"/>
    </row>
    <row r="47" spans="1:31" x14ac:dyDescent="0.3">
      <c r="A47" s="67"/>
    </row>
    <row r="48" spans="1:31" x14ac:dyDescent="0.3">
      <c r="A48" s="67"/>
    </row>
    <row r="49" spans="1:1" x14ac:dyDescent="0.3">
      <c r="A49" s="67"/>
    </row>
    <row r="50" spans="1:1" x14ac:dyDescent="0.3">
      <c r="A50" s="67"/>
    </row>
    <row r="51" spans="1:1" x14ac:dyDescent="0.3">
      <c r="A51" s="67"/>
    </row>
    <row r="52" spans="1:1" x14ac:dyDescent="0.3">
      <c r="A52" s="67"/>
    </row>
    <row r="53" spans="1:1" x14ac:dyDescent="0.3">
      <c r="A53" s="67"/>
    </row>
    <row r="54" spans="1:1" x14ac:dyDescent="0.3">
      <c r="A54" s="67"/>
    </row>
    <row r="55" spans="1:1" x14ac:dyDescent="0.3">
      <c r="A55" s="67"/>
    </row>
  </sheetData>
  <mergeCells count="1">
    <mergeCell ref="B1:D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U224"/>
  <sheetViews>
    <sheetView zoomScale="70" zoomScaleNormal="70" workbookViewId="0">
      <selection activeCell="C15" sqref="C15"/>
    </sheetView>
  </sheetViews>
  <sheetFormatPr baseColWidth="10" defaultColWidth="11.44140625" defaultRowHeight="14.4" x14ac:dyDescent="0.3"/>
  <cols>
    <col min="1" max="1" width="11.44140625" style="22"/>
    <col min="2" max="2" width="40.44140625" style="22" customWidth="1"/>
    <col min="3" max="3" width="74.88671875" style="22" customWidth="1"/>
    <col min="4" max="4" width="135" style="22" bestFit="1" customWidth="1"/>
    <col min="5" max="5" width="137.88671875" style="22" customWidth="1"/>
    <col min="6" max="16384" width="11.44140625" style="22"/>
  </cols>
  <sheetData>
    <row r="1" spans="1:21" ht="32.4" x14ac:dyDescent="0.3">
      <c r="A1" s="89"/>
      <c r="B1" s="638" t="s">
        <v>62</v>
      </c>
      <c r="C1" s="638"/>
      <c r="D1" s="638"/>
      <c r="E1" s="89"/>
      <c r="F1" s="89"/>
      <c r="G1" s="89"/>
      <c r="H1" s="89"/>
      <c r="I1" s="89"/>
      <c r="J1" s="89"/>
      <c r="K1" s="89"/>
      <c r="L1" s="89"/>
      <c r="M1" s="89"/>
      <c r="N1" s="89"/>
      <c r="O1" s="89"/>
      <c r="P1" s="89"/>
      <c r="Q1" s="89"/>
      <c r="R1" s="89"/>
      <c r="S1" s="89"/>
      <c r="T1" s="89"/>
      <c r="U1" s="89"/>
    </row>
    <row r="2" spans="1:21" x14ac:dyDescent="0.3">
      <c r="A2" s="89"/>
      <c r="B2" s="89"/>
      <c r="C2" s="89"/>
      <c r="D2" s="89"/>
      <c r="E2" s="89"/>
      <c r="F2" s="89"/>
      <c r="G2" s="89"/>
      <c r="H2" s="89"/>
      <c r="I2" s="89"/>
      <c r="J2" s="89"/>
      <c r="K2" s="89"/>
      <c r="L2" s="89"/>
      <c r="M2" s="89"/>
      <c r="N2" s="89"/>
      <c r="O2" s="89"/>
      <c r="P2" s="89"/>
      <c r="Q2" s="89"/>
      <c r="R2" s="89"/>
      <c r="S2" s="89"/>
      <c r="T2" s="89"/>
      <c r="U2" s="89"/>
    </row>
    <row r="3" spans="1:21" ht="30" x14ac:dyDescent="0.3">
      <c r="A3" s="89"/>
      <c r="B3" s="88"/>
      <c r="C3" s="127" t="s">
        <v>56</v>
      </c>
      <c r="D3" s="127" t="s">
        <v>57</v>
      </c>
      <c r="E3" s="89"/>
      <c r="F3" s="89"/>
      <c r="G3" s="89"/>
      <c r="H3" s="89"/>
      <c r="I3" s="89"/>
      <c r="J3" s="89"/>
      <c r="K3" s="89"/>
      <c r="L3" s="89"/>
      <c r="M3" s="89"/>
      <c r="N3" s="89"/>
      <c r="O3" s="89"/>
      <c r="P3" s="89"/>
      <c r="Q3" s="89"/>
      <c r="R3" s="89"/>
      <c r="S3" s="89"/>
      <c r="T3" s="89"/>
      <c r="U3" s="89"/>
    </row>
    <row r="4" spans="1:21" ht="32.4" x14ac:dyDescent="0.3">
      <c r="A4" s="89" t="s">
        <v>82</v>
      </c>
      <c r="B4" s="128" t="s">
        <v>96</v>
      </c>
      <c r="C4" s="129" t="s">
        <v>205</v>
      </c>
      <c r="D4" s="130" t="s">
        <v>92</v>
      </c>
      <c r="E4" s="89"/>
      <c r="F4" s="89"/>
      <c r="G4" s="89"/>
      <c r="H4" s="89"/>
      <c r="I4" s="89"/>
      <c r="J4" s="89"/>
      <c r="K4" s="89"/>
      <c r="L4" s="89"/>
      <c r="M4" s="89"/>
      <c r="N4" s="89"/>
      <c r="O4" s="89"/>
      <c r="P4" s="89"/>
      <c r="Q4" s="89"/>
      <c r="R4" s="89"/>
      <c r="S4" s="89"/>
      <c r="T4" s="89"/>
      <c r="U4" s="89"/>
    </row>
    <row r="5" spans="1:21" ht="64.8" x14ac:dyDescent="0.3">
      <c r="A5" s="89" t="s">
        <v>83</v>
      </c>
      <c r="B5" s="131" t="s">
        <v>58</v>
      </c>
      <c r="C5" s="132" t="s">
        <v>206</v>
      </c>
      <c r="D5" s="133" t="s">
        <v>93</v>
      </c>
      <c r="E5" s="89"/>
      <c r="F5" s="89"/>
      <c r="G5" s="89"/>
      <c r="H5" s="89"/>
      <c r="I5" s="89"/>
      <c r="J5" s="89"/>
      <c r="K5" s="89"/>
      <c r="L5" s="89"/>
      <c r="M5" s="89"/>
      <c r="N5" s="89"/>
      <c r="O5" s="89"/>
      <c r="P5" s="89"/>
      <c r="Q5" s="89"/>
      <c r="R5" s="89"/>
      <c r="S5" s="89"/>
      <c r="T5" s="89"/>
      <c r="U5" s="89"/>
    </row>
    <row r="6" spans="1:21" ht="64.8" x14ac:dyDescent="0.3">
      <c r="A6" s="89" t="s">
        <v>80</v>
      </c>
      <c r="B6" s="134" t="s">
        <v>59</v>
      </c>
      <c r="C6" s="132" t="s">
        <v>210</v>
      </c>
      <c r="D6" s="133" t="s">
        <v>95</v>
      </c>
      <c r="E6" s="89"/>
      <c r="F6" s="89"/>
      <c r="G6" s="89"/>
      <c r="H6" s="89"/>
      <c r="I6" s="89"/>
      <c r="J6" s="89"/>
      <c r="K6" s="89"/>
      <c r="L6" s="89"/>
      <c r="M6" s="89"/>
      <c r="N6" s="89"/>
      <c r="O6" s="89"/>
      <c r="P6" s="89"/>
      <c r="Q6" s="89"/>
      <c r="R6" s="89"/>
      <c r="S6" s="89"/>
      <c r="T6" s="89"/>
      <c r="U6" s="89"/>
    </row>
    <row r="7" spans="1:21" ht="97.2" x14ac:dyDescent="0.3">
      <c r="A7" s="89" t="s">
        <v>7</v>
      </c>
      <c r="B7" s="135" t="s">
        <v>60</v>
      </c>
      <c r="C7" s="132" t="s">
        <v>211</v>
      </c>
      <c r="D7" s="133" t="s">
        <v>94</v>
      </c>
      <c r="E7" s="89"/>
      <c r="F7" s="89"/>
      <c r="G7" s="89"/>
      <c r="H7" s="89"/>
      <c r="I7" s="89"/>
      <c r="J7" s="89"/>
      <c r="K7" s="89"/>
      <c r="L7" s="89"/>
      <c r="M7" s="89"/>
      <c r="N7" s="89"/>
      <c r="O7" s="89"/>
      <c r="P7" s="89"/>
      <c r="Q7" s="89"/>
      <c r="R7" s="89"/>
      <c r="S7" s="89"/>
      <c r="T7" s="89"/>
      <c r="U7" s="89"/>
    </row>
    <row r="8" spans="1:21" ht="64.8" x14ac:dyDescent="0.3">
      <c r="A8" s="89" t="s">
        <v>84</v>
      </c>
      <c r="B8" s="136" t="s">
        <v>61</v>
      </c>
      <c r="C8" s="132" t="s">
        <v>207</v>
      </c>
      <c r="D8" s="133" t="s">
        <v>113</v>
      </c>
      <c r="E8" s="89"/>
      <c r="F8" s="89"/>
      <c r="G8" s="89"/>
      <c r="H8" s="89"/>
      <c r="I8" s="89"/>
      <c r="J8" s="89"/>
      <c r="K8" s="89"/>
      <c r="L8" s="89"/>
      <c r="M8" s="89"/>
      <c r="N8" s="89"/>
      <c r="O8" s="89"/>
      <c r="P8" s="89"/>
      <c r="Q8" s="89"/>
      <c r="R8" s="89"/>
      <c r="S8" s="89"/>
      <c r="T8" s="89"/>
      <c r="U8" s="89"/>
    </row>
    <row r="9" spans="1:21" s="23" customFormat="1" ht="20.399999999999999" x14ac:dyDescent="0.3">
      <c r="A9" s="87"/>
      <c r="B9" s="87"/>
      <c r="C9" s="140"/>
      <c r="D9" s="140"/>
      <c r="E9" s="87"/>
      <c r="F9" s="87"/>
      <c r="G9" s="87"/>
      <c r="H9" s="87"/>
      <c r="I9" s="87"/>
      <c r="J9" s="87"/>
      <c r="K9" s="87"/>
      <c r="L9" s="87"/>
      <c r="M9" s="87"/>
      <c r="N9" s="87"/>
      <c r="O9" s="87"/>
      <c r="P9" s="87"/>
      <c r="Q9" s="87"/>
      <c r="R9" s="87"/>
      <c r="S9" s="87"/>
      <c r="T9" s="87"/>
      <c r="U9" s="87"/>
    </row>
    <row r="10" spans="1:21" s="23" customFormat="1" x14ac:dyDescent="0.3">
      <c r="A10" s="87"/>
      <c r="B10" s="141"/>
      <c r="C10" s="141"/>
      <c r="D10" s="141"/>
      <c r="E10" s="87"/>
      <c r="F10" s="87"/>
      <c r="G10" s="87"/>
      <c r="H10" s="87"/>
      <c r="I10" s="87"/>
      <c r="J10" s="87"/>
      <c r="K10" s="87"/>
      <c r="L10" s="87"/>
      <c r="M10" s="87"/>
      <c r="N10" s="87"/>
      <c r="O10" s="87"/>
      <c r="P10" s="87"/>
      <c r="Q10" s="87"/>
      <c r="R10" s="87"/>
      <c r="S10" s="87"/>
      <c r="T10" s="87"/>
      <c r="U10" s="87"/>
    </row>
    <row r="11" spans="1:21" s="23" customFormat="1" x14ac:dyDescent="0.3">
      <c r="A11" s="87"/>
      <c r="B11" s="87" t="s">
        <v>90</v>
      </c>
      <c r="C11" s="87" t="s">
        <v>209</v>
      </c>
      <c r="D11" s="87" t="s">
        <v>143</v>
      </c>
      <c r="E11" s="87"/>
      <c r="F11" s="87"/>
      <c r="G11" s="87"/>
      <c r="H11" s="87"/>
      <c r="I11" s="87"/>
      <c r="J11" s="87"/>
      <c r="K11" s="87"/>
      <c r="L11" s="87"/>
      <c r="M11" s="87"/>
      <c r="N11" s="87"/>
      <c r="O11" s="87"/>
      <c r="P11" s="87"/>
      <c r="Q11" s="87"/>
      <c r="R11" s="87"/>
      <c r="S11" s="87"/>
      <c r="T11" s="87"/>
      <c r="U11" s="87"/>
    </row>
    <row r="12" spans="1:21" s="23" customFormat="1" x14ac:dyDescent="0.3">
      <c r="A12" s="87"/>
      <c r="B12" s="87" t="s">
        <v>88</v>
      </c>
      <c r="C12" s="87" t="s">
        <v>208</v>
      </c>
      <c r="D12" s="87" t="s">
        <v>144</v>
      </c>
      <c r="E12" s="87"/>
      <c r="F12" s="87"/>
      <c r="G12" s="87"/>
      <c r="H12" s="87"/>
      <c r="I12" s="87"/>
      <c r="J12" s="87"/>
      <c r="K12" s="87"/>
      <c r="L12" s="87"/>
      <c r="M12" s="87"/>
      <c r="N12" s="87"/>
      <c r="O12" s="87"/>
      <c r="P12" s="87"/>
      <c r="Q12" s="87"/>
      <c r="R12" s="87"/>
      <c r="S12" s="87"/>
      <c r="T12" s="87"/>
      <c r="U12" s="87"/>
    </row>
    <row r="13" spans="1:21" s="23" customFormat="1" x14ac:dyDescent="0.3">
      <c r="A13" s="87"/>
      <c r="B13" s="87"/>
      <c r="C13" s="87" t="s">
        <v>212</v>
      </c>
      <c r="D13" s="87" t="s">
        <v>145</v>
      </c>
      <c r="E13" s="87"/>
      <c r="F13" s="87"/>
      <c r="G13" s="87"/>
      <c r="H13" s="87"/>
      <c r="I13" s="87"/>
      <c r="J13" s="87"/>
      <c r="K13" s="87"/>
      <c r="L13" s="87"/>
      <c r="M13" s="87"/>
      <c r="N13" s="87"/>
      <c r="O13" s="87"/>
      <c r="P13" s="87"/>
      <c r="Q13" s="87"/>
      <c r="R13" s="87"/>
      <c r="S13" s="87"/>
      <c r="T13" s="87"/>
      <c r="U13" s="87"/>
    </row>
    <row r="14" spans="1:21" s="23" customFormat="1" x14ac:dyDescent="0.3">
      <c r="A14" s="87"/>
      <c r="B14" s="87"/>
      <c r="C14" s="87" t="s">
        <v>214</v>
      </c>
      <c r="D14" s="87" t="s">
        <v>146</v>
      </c>
      <c r="E14" s="87"/>
      <c r="F14" s="87"/>
      <c r="G14" s="87"/>
      <c r="H14" s="87"/>
      <c r="I14" s="87"/>
      <c r="J14" s="87"/>
      <c r="K14" s="87"/>
      <c r="L14" s="87"/>
      <c r="M14" s="87"/>
      <c r="N14" s="87"/>
      <c r="O14" s="87"/>
      <c r="P14" s="87"/>
      <c r="Q14" s="87"/>
      <c r="R14" s="87"/>
      <c r="S14" s="87"/>
      <c r="T14" s="87"/>
      <c r="U14" s="87"/>
    </row>
    <row r="15" spans="1:21" s="23" customFormat="1" x14ac:dyDescent="0.3">
      <c r="A15" s="87"/>
      <c r="B15" s="87"/>
      <c r="C15" s="87" t="s">
        <v>213</v>
      </c>
      <c r="D15" s="87" t="s">
        <v>147</v>
      </c>
      <c r="E15" s="87"/>
      <c r="F15" s="87"/>
      <c r="G15" s="87"/>
      <c r="H15" s="87"/>
      <c r="I15" s="87"/>
      <c r="J15" s="87"/>
      <c r="K15" s="87"/>
      <c r="L15" s="87"/>
      <c r="M15" s="87"/>
      <c r="N15" s="87"/>
      <c r="O15" s="87"/>
      <c r="P15" s="87"/>
      <c r="Q15" s="87"/>
      <c r="R15" s="87"/>
      <c r="S15" s="87"/>
      <c r="T15" s="87"/>
      <c r="U15" s="87"/>
    </row>
    <row r="16" spans="1:21" s="23" customFormat="1" x14ac:dyDescent="0.3">
      <c r="A16" s="87"/>
      <c r="B16" s="87"/>
      <c r="C16" s="87"/>
      <c r="D16" s="87"/>
      <c r="E16" s="87"/>
      <c r="F16" s="87"/>
      <c r="G16" s="87"/>
      <c r="H16" s="87"/>
      <c r="I16" s="87"/>
      <c r="J16" s="87"/>
      <c r="K16" s="87"/>
      <c r="L16" s="87"/>
      <c r="M16" s="87"/>
      <c r="N16" s="87"/>
      <c r="O16" s="87"/>
    </row>
    <row r="17" spans="1:15" s="23" customFormat="1" x14ac:dyDescent="0.3">
      <c r="A17" s="87"/>
      <c r="B17" s="87"/>
      <c r="C17" s="87"/>
      <c r="D17" s="87"/>
      <c r="E17" s="87"/>
      <c r="F17" s="87"/>
      <c r="G17" s="87"/>
      <c r="H17" s="87"/>
      <c r="I17" s="87"/>
      <c r="J17" s="87"/>
      <c r="K17" s="87"/>
      <c r="L17" s="87"/>
      <c r="M17" s="87"/>
      <c r="N17" s="87"/>
      <c r="O17" s="87"/>
    </row>
    <row r="18" spans="1:15" s="23" customFormat="1" x14ac:dyDescent="0.3">
      <c r="A18" s="87"/>
      <c r="B18" s="87"/>
      <c r="C18" s="87"/>
      <c r="D18" s="87"/>
      <c r="E18" s="87"/>
      <c r="F18" s="87"/>
      <c r="G18" s="87"/>
      <c r="H18" s="87"/>
      <c r="I18" s="87"/>
      <c r="J18" s="87"/>
      <c r="K18" s="87"/>
      <c r="L18" s="87"/>
      <c r="M18" s="87"/>
      <c r="N18" s="87"/>
      <c r="O18" s="87"/>
    </row>
    <row r="19" spans="1:15" s="23" customFormat="1" x14ac:dyDescent="0.3">
      <c r="A19" s="87"/>
      <c r="B19" s="87"/>
      <c r="C19" s="87"/>
      <c r="D19" s="87"/>
      <c r="E19" s="87"/>
      <c r="F19" s="87"/>
      <c r="G19" s="87"/>
      <c r="H19" s="87"/>
      <c r="I19" s="87"/>
      <c r="J19" s="87"/>
      <c r="K19" s="87"/>
      <c r="L19" s="87"/>
      <c r="M19" s="87"/>
      <c r="N19" s="87"/>
      <c r="O19" s="87"/>
    </row>
    <row r="20" spans="1:15" s="23" customFormat="1" x14ac:dyDescent="0.3">
      <c r="A20" s="87"/>
      <c r="B20" s="87"/>
      <c r="C20" s="87"/>
      <c r="D20" s="87"/>
      <c r="E20" s="87"/>
      <c r="F20" s="87"/>
      <c r="G20" s="87"/>
      <c r="H20" s="87"/>
      <c r="I20" s="87"/>
      <c r="J20" s="87"/>
      <c r="K20" s="87"/>
      <c r="L20" s="87"/>
      <c r="M20" s="87"/>
      <c r="N20" s="87"/>
      <c r="O20" s="87"/>
    </row>
    <row r="21" spans="1:15" s="23" customFormat="1" x14ac:dyDescent="0.3">
      <c r="A21" s="87"/>
      <c r="B21" s="87"/>
      <c r="C21" s="87"/>
      <c r="D21" s="87"/>
      <c r="E21" s="87"/>
      <c r="F21" s="87"/>
      <c r="G21" s="87"/>
      <c r="H21" s="87"/>
      <c r="I21" s="87"/>
      <c r="J21" s="87"/>
      <c r="K21" s="87"/>
      <c r="L21" s="87"/>
      <c r="M21" s="87"/>
      <c r="N21" s="87"/>
      <c r="O21" s="87"/>
    </row>
    <row r="22" spans="1:15" s="23" customFormat="1" ht="20.399999999999999" x14ac:dyDescent="0.3">
      <c r="A22" s="87"/>
      <c r="B22" s="87"/>
      <c r="C22" s="140"/>
      <c r="D22" s="140"/>
      <c r="E22" s="87"/>
      <c r="F22" s="87"/>
      <c r="G22" s="87"/>
      <c r="H22" s="87"/>
      <c r="I22" s="87"/>
      <c r="J22" s="87"/>
      <c r="K22" s="87"/>
      <c r="L22" s="87"/>
      <c r="M22" s="87"/>
      <c r="N22" s="87"/>
      <c r="O22" s="87"/>
    </row>
    <row r="23" spans="1:15" s="23" customFormat="1" ht="20.399999999999999" x14ac:dyDescent="0.3">
      <c r="A23" s="87"/>
      <c r="B23" s="87"/>
      <c r="C23" s="140"/>
      <c r="D23" s="140"/>
      <c r="E23" s="87"/>
      <c r="F23" s="87"/>
      <c r="G23" s="87"/>
      <c r="H23" s="87"/>
      <c r="I23" s="87"/>
      <c r="J23" s="87"/>
      <c r="K23" s="87"/>
      <c r="L23" s="87"/>
      <c r="M23" s="87"/>
      <c r="N23" s="87"/>
      <c r="O23" s="87"/>
    </row>
    <row r="24" spans="1:15" s="23" customFormat="1" ht="20.399999999999999" x14ac:dyDescent="0.3">
      <c r="A24" s="87"/>
      <c r="B24" s="87"/>
      <c r="C24" s="140"/>
      <c r="D24" s="140"/>
      <c r="E24" s="87"/>
      <c r="F24" s="87"/>
      <c r="G24" s="87"/>
      <c r="H24" s="87"/>
      <c r="I24" s="87"/>
      <c r="J24" s="87"/>
      <c r="K24" s="87"/>
      <c r="L24" s="87"/>
      <c r="M24" s="87"/>
      <c r="N24" s="87"/>
      <c r="O24" s="87"/>
    </row>
    <row r="25" spans="1:15" s="23" customFormat="1" ht="20.399999999999999" x14ac:dyDescent="0.3">
      <c r="A25" s="87"/>
      <c r="B25" s="87"/>
      <c r="C25" s="140"/>
      <c r="D25" s="140"/>
      <c r="E25" s="87"/>
      <c r="F25" s="87"/>
      <c r="G25" s="87"/>
      <c r="H25" s="87"/>
      <c r="I25" s="87"/>
      <c r="J25" s="87"/>
      <c r="K25" s="87"/>
      <c r="L25" s="87"/>
      <c r="M25" s="87"/>
      <c r="N25" s="87"/>
      <c r="O25" s="87"/>
    </row>
    <row r="26" spans="1:15" s="23" customFormat="1" ht="20.399999999999999" x14ac:dyDescent="0.3">
      <c r="A26" s="87"/>
      <c r="B26" s="87"/>
      <c r="C26" s="140"/>
      <c r="D26" s="140"/>
      <c r="E26" s="87"/>
      <c r="F26" s="87"/>
      <c r="G26" s="87"/>
      <c r="H26" s="87"/>
      <c r="I26" s="87"/>
      <c r="J26" s="87"/>
      <c r="K26" s="87"/>
      <c r="L26" s="87"/>
      <c r="M26" s="87"/>
      <c r="N26" s="87"/>
      <c r="O26" s="87"/>
    </row>
    <row r="27" spans="1:15" s="23" customFormat="1" ht="20.399999999999999" x14ac:dyDescent="0.3">
      <c r="A27" s="87"/>
      <c r="B27" s="87"/>
      <c r="C27" s="140"/>
      <c r="D27" s="140"/>
      <c r="E27" s="87"/>
      <c r="F27" s="87"/>
      <c r="G27" s="87"/>
      <c r="H27" s="87"/>
      <c r="I27" s="87"/>
      <c r="J27" s="87"/>
      <c r="K27" s="87"/>
      <c r="L27" s="87"/>
      <c r="M27" s="87"/>
      <c r="N27" s="87"/>
      <c r="O27" s="87"/>
    </row>
    <row r="28" spans="1:15" s="23" customFormat="1" ht="20.399999999999999" x14ac:dyDescent="0.3">
      <c r="A28" s="87"/>
      <c r="B28" s="87"/>
      <c r="C28" s="140"/>
      <c r="D28" s="140"/>
      <c r="E28" s="87"/>
      <c r="F28" s="87"/>
      <c r="G28" s="87"/>
      <c r="H28" s="87"/>
      <c r="I28" s="87"/>
      <c r="J28" s="87"/>
      <c r="K28" s="87"/>
      <c r="L28" s="87"/>
      <c r="M28" s="87"/>
      <c r="N28" s="87"/>
      <c r="O28" s="87"/>
    </row>
    <row r="29" spans="1:15" s="23" customFormat="1" ht="20.399999999999999" x14ac:dyDescent="0.3">
      <c r="A29" s="87"/>
      <c r="B29" s="87"/>
      <c r="C29" s="140"/>
      <c r="D29" s="140"/>
      <c r="E29" s="87"/>
      <c r="F29" s="87"/>
      <c r="G29" s="87"/>
      <c r="H29" s="87"/>
      <c r="I29" s="87"/>
      <c r="J29" s="87"/>
      <c r="K29" s="87"/>
      <c r="L29" s="87"/>
      <c r="M29" s="87"/>
      <c r="N29" s="87"/>
      <c r="O29" s="87"/>
    </row>
    <row r="30" spans="1:15" s="23" customFormat="1" ht="20.399999999999999" x14ac:dyDescent="0.3">
      <c r="A30" s="87"/>
      <c r="B30" s="87"/>
      <c r="C30" s="140"/>
      <c r="D30" s="140"/>
      <c r="E30" s="87"/>
      <c r="F30" s="87"/>
      <c r="G30" s="87"/>
      <c r="H30" s="87"/>
      <c r="I30" s="87"/>
      <c r="J30" s="87"/>
      <c r="K30" s="87"/>
      <c r="L30" s="87"/>
      <c r="M30" s="87"/>
      <c r="N30" s="87"/>
      <c r="O30" s="87"/>
    </row>
    <row r="31" spans="1:15" s="23" customFormat="1" ht="20.399999999999999" x14ac:dyDescent="0.3">
      <c r="A31" s="87"/>
      <c r="B31" s="87"/>
      <c r="C31" s="140"/>
      <c r="D31" s="140"/>
      <c r="E31" s="87"/>
      <c r="F31" s="87"/>
      <c r="G31" s="87"/>
      <c r="H31" s="87"/>
      <c r="I31" s="87"/>
      <c r="J31" s="87"/>
      <c r="K31" s="87"/>
      <c r="L31" s="87"/>
      <c r="M31" s="87"/>
      <c r="N31" s="87"/>
      <c r="O31" s="87"/>
    </row>
    <row r="32" spans="1:15" s="23" customFormat="1" ht="20.399999999999999" x14ac:dyDescent="0.3">
      <c r="A32" s="87"/>
      <c r="B32" s="87"/>
      <c r="C32" s="140"/>
      <c r="D32" s="140"/>
      <c r="E32" s="87"/>
      <c r="F32" s="87"/>
      <c r="G32" s="87"/>
      <c r="H32" s="87"/>
      <c r="I32" s="87"/>
      <c r="J32" s="87"/>
      <c r="K32" s="87"/>
      <c r="L32" s="87"/>
      <c r="M32" s="87"/>
      <c r="N32" s="87"/>
      <c r="O32" s="87"/>
    </row>
    <row r="33" spans="1:15" s="23" customFormat="1" ht="20.399999999999999" x14ac:dyDescent="0.3">
      <c r="A33" s="87"/>
      <c r="B33" s="87"/>
      <c r="C33" s="140"/>
      <c r="D33" s="140"/>
      <c r="E33" s="87"/>
      <c r="F33" s="87"/>
      <c r="G33" s="87"/>
      <c r="H33" s="87"/>
      <c r="I33" s="87"/>
      <c r="J33" s="87"/>
      <c r="K33" s="87"/>
      <c r="L33" s="87"/>
      <c r="M33" s="87"/>
      <c r="N33" s="87"/>
      <c r="O33" s="87"/>
    </row>
    <row r="34" spans="1:15" s="23" customFormat="1" ht="20.399999999999999" x14ac:dyDescent="0.3">
      <c r="A34" s="87"/>
      <c r="B34" s="87"/>
      <c r="C34" s="140"/>
      <c r="D34" s="140"/>
      <c r="E34" s="87"/>
      <c r="F34" s="87"/>
      <c r="G34" s="87"/>
      <c r="H34" s="87"/>
      <c r="I34" s="87"/>
      <c r="J34" s="87"/>
      <c r="K34" s="87"/>
      <c r="L34" s="87"/>
      <c r="M34" s="87"/>
      <c r="N34" s="87"/>
      <c r="O34" s="87"/>
    </row>
    <row r="35" spans="1:15" s="23" customFormat="1" ht="20.399999999999999" x14ac:dyDescent="0.3">
      <c r="A35" s="87"/>
      <c r="B35" s="87"/>
      <c r="C35" s="140"/>
      <c r="D35" s="140"/>
      <c r="E35" s="87"/>
      <c r="F35" s="87"/>
      <c r="G35" s="87"/>
      <c r="H35" s="87"/>
      <c r="I35" s="87"/>
      <c r="J35" s="87"/>
      <c r="K35" s="87"/>
      <c r="L35" s="87"/>
      <c r="M35" s="87"/>
      <c r="N35" s="87"/>
      <c r="O35" s="87"/>
    </row>
    <row r="36" spans="1:15" s="23" customFormat="1" ht="20.399999999999999" x14ac:dyDescent="0.3">
      <c r="A36" s="87"/>
      <c r="B36" s="87"/>
      <c r="C36" s="140"/>
      <c r="D36" s="140"/>
      <c r="E36" s="87"/>
      <c r="F36" s="87"/>
      <c r="G36" s="87"/>
      <c r="H36" s="87"/>
      <c r="I36" s="87"/>
      <c r="J36" s="87"/>
      <c r="K36" s="87"/>
      <c r="L36" s="87"/>
      <c r="M36" s="87"/>
      <c r="N36" s="87"/>
      <c r="O36" s="87"/>
    </row>
    <row r="37" spans="1:15" s="23" customFormat="1" ht="20.399999999999999" x14ac:dyDescent="0.3">
      <c r="A37" s="87"/>
      <c r="B37" s="87"/>
      <c r="C37" s="140"/>
      <c r="D37" s="140"/>
      <c r="E37" s="87"/>
      <c r="F37" s="87"/>
      <c r="G37" s="87"/>
      <c r="H37" s="87"/>
      <c r="I37" s="87"/>
      <c r="J37" s="87"/>
      <c r="K37" s="87"/>
      <c r="L37" s="87"/>
      <c r="M37" s="87"/>
      <c r="N37" s="87"/>
      <c r="O37" s="87"/>
    </row>
    <row r="38" spans="1:15" s="23" customFormat="1" ht="20.399999999999999" x14ac:dyDescent="0.3">
      <c r="A38" s="87"/>
      <c r="B38" s="87"/>
      <c r="C38" s="140"/>
      <c r="D38" s="140"/>
      <c r="E38" s="87"/>
      <c r="F38" s="87"/>
      <c r="G38" s="87"/>
      <c r="H38" s="87"/>
      <c r="I38" s="87"/>
      <c r="J38" s="87"/>
      <c r="K38" s="87"/>
      <c r="L38" s="87"/>
      <c r="M38" s="87"/>
      <c r="N38" s="87"/>
      <c r="O38" s="87"/>
    </row>
    <row r="39" spans="1:15" s="23" customFormat="1" ht="20.399999999999999" x14ac:dyDescent="0.3">
      <c r="A39" s="87"/>
      <c r="B39" s="87"/>
      <c r="C39" s="140"/>
      <c r="D39" s="140"/>
      <c r="E39" s="87"/>
      <c r="F39" s="87"/>
      <c r="G39" s="87"/>
      <c r="H39" s="87"/>
      <c r="I39" s="87"/>
      <c r="J39" s="87"/>
      <c r="K39" s="87"/>
      <c r="L39" s="87"/>
      <c r="M39" s="87"/>
      <c r="N39" s="87"/>
      <c r="O39" s="87"/>
    </row>
    <row r="40" spans="1:15" s="23" customFormat="1" ht="20.399999999999999" x14ac:dyDescent="0.3">
      <c r="A40" s="87"/>
      <c r="B40" s="87"/>
      <c r="C40" s="140"/>
      <c r="D40" s="140"/>
      <c r="E40" s="87"/>
      <c r="F40" s="87"/>
      <c r="G40" s="87"/>
      <c r="H40" s="87"/>
      <c r="I40" s="87"/>
      <c r="J40" s="87"/>
      <c r="K40" s="87"/>
      <c r="L40" s="87"/>
      <c r="M40" s="87"/>
      <c r="N40" s="87"/>
      <c r="O40" s="87"/>
    </row>
    <row r="41" spans="1:15" s="23" customFormat="1" ht="20.399999999999999" x14ac:dyDescent="0.3">
      <c r="A41" s="87"/>
      <c r="B41" s="87"/>
      <c r="C41" s="140"/>
      <c r="D41" s="140"/>
      <c r="E41" s="87"/>
      <c r="F41" s="87"/>
      <c r="G41" s="87"/>
      <c r="H41" s="87"/>
      <c r="I41" s="87"/>
      <c r="J41" s="87"/>
      <c r="K41" s="87"/>
      <c r="L41" s="87"/>
      <c r="M41" s="87"/>
      <c r="N41" s="87"/>
      <c r="O41" s="87"/>
    </row>
    <row r="42" spans="1:15" s="23" customFormat="1" ht="20.399999999999999" x14ac:dyDescent="0.3">
      <c r="A42" s="87"/>
      <c r="B42" s="87"/>
      <c r="C42" s="140"/>
      <c r="D42" s="140"/>
      <c r="E42" s="87"/>
      <c r="F42" s="87"/>
      <c r="G42" s="87"/>
      <c r="H42" s="87"/>
      <c r="I42" s="87"/>
      <c r="J42" s="87"/>
      <c r="K42" s="87"/>
      <c r="L42" s="87"/>
      <c r="M42" s="87"/>
      <c r="N42" s="87"/>
      <c r="O42" s="87"/>
    </row>
    <row r="43" spans="1:15" s="23" customFormat="1" ht="20.399999999999999" x14ac:dyDescent="0.3">
      <c r="A43" s="87"/>
      <c r="B43" s="87"/>
      <c r="C43" s="140"/>
      <c r="D43" s="140"/>
      <c r="E43" s="87"/>
      <c r="F43" s="87"/>
      <c r="G43" s="87"/>
      <c r="H43" s="87"/>
      <c r="I43" s="87"/>
      <c r="J43" s="87"/>
      <c r="K43" s="87"/>
      <c r="L43" s="87"/>
      <c r="M43" s="87"/>
      <c r="N43" s="87"/>
      <c r="O43" s="87"/>
    </row>
    <row r="44" spans="1:15" s="23" customFormat="1" ht="20.399999999999999" x14ac:dyDescent="0.3">
      <c r="A44" s="87"/>
      <c r="B44" s="87"/>
      <c r="C44" s="140"/>
      <c r="D44" s="140"/>
      <c r="E44" s="87"/>
      <c r="F44" s="87"/>
      <c r="G44" s="87"/>
      <c r="H44" s="87"/>
      <c r="I44" s="87"/>
      <c r="J44" s="87"/>
      <c r="K44" s="87"/>
      <c r="L44" s="87"/>
      <c r="M44" s="87"/>
      <c r="N44" s="87"/>
      <c r="O44" s="87"/>
    </row>
    <row r="45" spans="1:15" s="23" customFormat="1" ht="20.399999999999999" x14ac:dyDescent="0.3">
      <c r="A45" s="87"/>
      <c r="B45" s="87"/>
      <c r="C45" s="140"/>
      <c r="D45" s="140"/>
      <c r="E45" s="87"/>
      <c r="F45" s="87"/>
      <c r="G45" s="87"/>
      <c r="H45" s="87"/>
      <c r="I45" s="87"/>
      <c r="J45" s="87"/>
      <c r="K45" s="87"/>
      <c r="L45" s="87"/>
      <c r="M45" s="87"/>
      <c r="N45" s="87"/>
      <c r="O45" s="87"/>
    </row>
    <row r="46" spans="1:15" s="23" customFormat="1" ht="20.399999999999999" x14ac:dyDescent="0.3">
      <c r="A46" s="87"/>
      <c r="B46" s="87"/>
      <c r="C46" s="140"/>
      <c r="D46" s="140"/>
      <c r="E46" s="87"/>
      <c r="F46" s="87"/>
      <c r="G46" s="87"/>
      <c r="H46" s="87"/>
      <c r="I46" s="87"/>
      <c r="J46" s="87"/>
      <c r="K46" s="87"/>
      <c r="L46" s="87"/>
      <c r="M46" s="87"/>
      <c r="N46" s="87"/>
      <c r="O46" s="87"/>
    </row>
    <row r="47" spans="1:15" s="23" customFormat="1" ht="20.399999999999999" x14ac:dyDescent="0.3">
      <c r="A47" s="87"/>
      <c r="B47" s="87"/>
      <c r="C47" s="140"/>
      <c r="D47" s="140"/>
      <c r="E47" s="87"/>
      <c r="F47" s="87"/>
      <c r="G47" s="87"/>
      <c r="H47" s="87"/>
      <c r="I47" s="87"/>
      <c r="J47" s="87"/>
      <c r="K47" s="87"/>
      <c r="L47" s="87"/>
      <c r="M47" s="87"/>
      <c r="N47" s="87"/>
      <c r="O47" s="87"/>
    </row>
    <row r="48" spans="1:15" s="23" customFormat="1" ht="20.399999999999999" x14ac:dyDescent="0.3">
      <c r="A48" s="87"/>
      <c r="B48" s="87"/>
      <c r="C48" s="140"/>
      <c r="D48" s="140"/>
      <c r="E48" s="87"/>
      <c r="F48" s="87"/>
      <c r="G48" s="87"/>
      <c r="H48" s="87"/>
      <c r="I48" s="87"/>
      <c r="J48" s="87"/>
      <c r="K48" s="87"/>
      <c r="L48" s="87"/>
      <c r="M48" s="87"/>
      <c r="N48" s="87"/>
      <c r="O48" s="87"/>
    </row>
    <row r="49" spans="1:15" s="23" customFormat="1" ht="20.399999999999999" x14ac:dyDescent="0.3">
      <c r="A49" s="87"/>
      <c r="B49" s="87"/>
      <c r="C49" s="140"/>
      <c r="D49" s="140"/>
      <c r="E49" s="87"/>
      <c r="F49" s="87"/>
      <c r="G49" s="87"/>
      <c r="H49" s="87"/>
      <c r="I49" s="87"/>
      <c r="J49" s="87"/>
      <c r="K49" s="87"/>
      <c r="L49" s="87"/>
      <c r="M49" s="87"/>
      <c r="N49" s="87"/>
      <c r="O49" s="87"/>
    </row>
    <row r="50" spans="1:15" s="23" customFormat="1" ht="20.399999999999999" x14ac:dyDescent="0.3">
      <c r="A50" s="87"/>
      <c r="B50" s="87"/>
      <c r="C50" s="140"/>
      <c r="D50" s="140"/>
      <c r="E50" s="87"/>
      <c r="F50" s="87"/>
      <c r="G50" s="87"/>
      <c r="H50" s="87"/>
      <c r="I50" s="87"/>
      <c r="J50" s="87"/>
      <c r="K50" s="87"/>
      <c r="L50" s="87"/>
      <c r="M50" s="87"/>
      <c r="N50" s="87"/>
      <c r="O50" s="87"/>
    </row>
    <row r="51" spans="1:15" s="23" customFormat="1" ht="20.399999999999999" x14ac:dyDescent="0.3">
      <c r="A51" s="87"/>
      <c r="B51" s="87"/>
      <c r="C51" s="140"/>
      <c r="D51" s="140"/>
      <c r="E51" s="87"/>
      <c r="F51" s="87"/>
      <c r="G51" s="87"/>
      <c r="H51" s="87"/>
      <c r="I51" s="87"/>
      <c r="J51" s="87"/>
      <c r="K51" s="87"/>
      <c r="L51" s="87"/>
      <c r="M51" s="87"/>
      <c r="N51" s="87"/>
      <c r="O51" s="87"/>
    </row>
    <row r="52" spans="1:15" s="23" customFormat="1" ht="20.399999999999999" x14ac:dyDescent="0.3">
      <c r="A52" s="87"/>
      <c r="C52" s="142"/>
      <c r="D52" s="142"/>
    </row>
    <row r="53" spans="1:15" s="23" customFormat="1" ht="20.399999999999999" x14ac:dyDescent="0.3">
      <c r="A53" s="87"/>
      <c r="C53" s="142"/>
      <c r="D53" s="142"/>
    </row>
    <row r="54" spans="1:15" s="23" customFormat="1" ht="20.399999999999999" x14ac:dyDescent="0.3">
      <c r="A54" s="87"/>
      <c r="C54" s="142"/>
      <c r="D54" s="142"/>
    </row>
    <row r="55" spans="1:15" s="23" customFormat="1" ht="20.399999999999999" x14ac:dyDescent="0.3">
      <c r="A55" s="87"/>
      <c r="C55" s="142"/>
      <c r="D55" s="142"/>
    </row>
    <row r="56" spans="1:15" s="23" customFormat="1" ht="20.399999999999999" x14ac:dyDescent="0.3">
      <c r="A56" s="87"/>
      <c r="C56" s="142"/>
      <c r="D56" s="142"/>
    </row>
    <row r="57" spans="1:15" s="23" customFormat="1" ht="20.399999999999999" x14ac:dyDescent="0.3">
      <c r="A57" s="87"/>
      <c r="C57" s="142"/>
      <c r="D57" s="142"/>
    </row>
    <row r="58" spans="1:15" s="23" customFormat="1" ht="20.399999999999999" x14ac:dyDescent="0.3">
      <c r="A58" s="87"/>
      <c r="C58" s="142"/>
      <c r="D58" s="142"/>
    </row>
    <row r="59" spans="1:15" s="23" customFormat="1" ht="20.399999999999999" x14ac:dyDescent="0.3">
      <c r="A59" s="87"/>
      <c r="C59" s="142"/>
      <c r="D59" s="142"/>
    </row>
    <row r="60" spans="1:15" s="23" customFormat="1" ht="20.399999999999999" x14ac:dyDescent="0.3">
      <c r="A60" s="87"/>
      <c r="C60" s="142"/>
      <c r="D60" s="142"/>
    </row>
    <row r="61" spans="1:15" s="23" customFormat="1" ht="20.399999999999999" x14ac:dyDescent="0.3">
      <c r="A61" s="87"/>
      <c r="C61" s="142"/>
      <c r="D61" s="142"/>
    </row>
    <row r="62" spans="1:15" s="23" customFormat="1" ht="20.399999999999999" x14ac:dyDescent="0.3">
      <c r="A62" s="87"/>
      <c r="C62" s="142"/>
      <c r="D62" s="142"/>
    </row>
    <row r="63" spans="1:15" s="23" customFormat="1" ht="20.399999999999999" x14ac:dyDescent="0.3">
      <c r="A63" s="87"/>
      <c r="C63" s="142"/>
      <c r="D63" s="142"/>
    </row>
    <row r="64" spans="1:15" s="23" customFormat="1" ht="20.399999999999999" x14ac:dyDescent="0.3">
      <c r="A64" s="87"/>
      <c r="C64" s="142"/>
      <c r="D64" s="142"/>
    </row>
    <row r="65" spans="1:4" s="23" customFormat="1" ht="20.399999999999999" x14ac:dyDescent="0.3">
      <c r="A65" s="87"/>
      <c r="C65" s="142"/>
      <c r="D65" s="142"/>
    </row>
    <row r="66" spans="1:4" s="23" customFormat="1" ht="20.399999999999999" x14ac:dyDescent="0.3">
      <c r="A66" s="87"/>
      <c r="C66" s="142"/>
      <c r="D66" s="142"/>
    </row>
    <row r="67" spans="1:4" s="23" customFormat="1" ht="20.399999999999999" x14ac:dyDescent="0.3">
      <c r="A67" s="87"/>
      <c r="C67" s="142"/>
      <c r="D67" s="142"/>
    </row>
    <row r="68" spans="1:4" s="23" customFormat="1" ht="20.399999999999999" x14ac:dyDescent="0.3">
      <c r="A68" s="87"/>
      <c r="C68" s="142"/>
      <c r="D68" s="142"/>
    </row>
    <row r="69" spans="1:4" s="23" customFormat="1" ht="20.399999999999999" x14ac:dyDescent="0.3">
      <c r="A69" s="87"/>
      <c r="C69" s="142"/>
      <c r="D69" s="142"/>
    </row>
    <row r="70" spans="1:4" s="23" customFormat="1" ht="20.399999999999999" x14ac:dyDescent="0.3">
      <c r="A70" s="87"/>
      <c r="C70" s="142"/>
      <c r="D70" s="142"/>
    </row>
    <row r="71" spans="1:4" s="23" customFormat="1" ht="20.399999999999999" x14ac:dyDescent="0.3">
      <c r="A71" s="87"/>
      <c r="C71" s="142"/>
      <c r="D71" s="142"/>
    </row>
    <row r="72" spans="1:4" s="23" customFormat="1" ht="20.399999999999999" x14ac:dyDescent="0.3">
      <c r="A72" s="87"/>
      <c r="C72" s="142"/>
      <c r="D72" s="142"/>
    </row>
    <row r="73" spans="1:4" s="23" customFormat="1" ht="20.399999999999999" x14ac:dyDescent="0.3">
      <c r="A73" s="87"/>
      <c r="C73" s="142"/>
      <c r="D73" s="142"/>
    </row>
    <row r="74" spans="1:4" s="23" customFormat="1" ht="20.399999999999999" x14ac:dyDescent="0.3">
      <c r="A74" s="87"/>
      <c r="C74" s="142"/>
      <c r="D74" s="142"/>
    </row>
    <row r="75" spans="1:4" s="23" customFormat="1" ht="20.399999999999999" x14ac:dyDescent="0.3">
      <c r="A75" s="87"/>
      <c r="C75" s="142"/>
      <c r="D75" s="142"/>
    </row>
    <row r="76" spans="1:4" s="23" customFormat="1" ht="20.399999999999999" x14ac:dyDescent="0.3">
      <c r="A76" s="87"/>
      <c r="C76" s="142"/>
      <c r="D76" s="142"/>
    </row>
    <row r="77" spans="1:4" s="23" customFormat="1" ht="20.399999999999999" x14ac:dyDescent="0.3">
      <c r="A77" s="87"/>
      <c r="C77" s="142"/>
      <c r="D77" s="142"/>
    </row>
    <row r="78" spans="1:4" s="23" customFormat="1" ht="20.399999999999999" x14ac:dyDescent="0.3">
      <c r="A78" s="87"/>
      <c r="C78" s="142"/>
      <c r="D78" s="142"/>
    </row>
    <row r="79" spans="1:4" s="23" customFormat="1" ht="20.399999999999999" x14ac:dyDescent="0.3">
      <c r="A79" s="87"/>
      <c r="C79" s="142"/>
      <c r="D79" s="142"/>
    </row>
    <row r="80" spans="1:4" s="23" customFormat="1" ht="20.399999999999999" x14ac:dyDescent="0.3">
      <c r="A80" s="87"/>
      <c r="C80" s="142"/>
      <c r="D80" s="142"/>
    </row>
    <row r="81" spans="1:4" s="23" customFormat="1" ht="20.399999999999999" x14ac:dyDescent="0.3">
      <c r="A81" s="87"/>
      <c r="C81" s="142"/>
      <c r="D81" s="142"/>
    </row>
    <row r="82" spans="1:4" s="23" customFormat="1" ht="20.399999999999999" x14ac:dyDescent="0.3">
      <c r="A82" s="87"/>
      <c r="C82" s="142"/>
      <c r="D82" s="142"/>
    </row>
    <row r="83" spans="1:4" s="23" customFormat="1" ht="20.399999999999999" x14ac:dyDescent="0.3">
      <c r="A83" s="87"/>
      <c r="C83" s="142"/>
      <c r="D83" s="142"/>
    </row>
    <row r="84" spans="1:4" s="23" customFormat="1" ht="20.399999999999999" x14ac:dyDescent="0.3">
      <c r="A84" s="87"/>
      <c r="C84" s="142"/>
      <c r="D84" s="142"/>
    </row>
    <row r="85" spans="1:4" s="23" customFormat="1" ht="20.399999999999999" x14ac:dyDescent="0.3">
      <c r="A85" s="87"/>
      <c r="C85" s="142"/>
      <c r="D85" s="142"/>
    </row>
    <row r="86" spans="1:4" s="23" customFormat="1" ht="20.399999999999999" x14ac:dyDescent="0.3">
      <c r="A86" s="87"/>
      <c r="C86" s="142"/>
      <c r="D86" s="142"/>
    </row>
    <row r="87" spans="1:4" s="23" customFormat="1" ht="20.399999999999999" x14ac:dyDescent="0.3">
      <c r="A87" s="87"/>
      <c r="C87" s="142"/>
      <c r="D87" s="142"/>
    </row>
    <row r="88" spans="1:4" s="23" customFormat="1" ht="20.399999999999999" x14ac:dyDescent="0.3">
      <c r="A88" s="87"/>
      <c r="C88" s="142"/>
      <c r="D88" s="142"/>
    </row>
    <row r="89" spans="1:4" s="23" customFormat="1" ht="20.399999999999999" x14ac:dyDescent="0.3">
      <c r="A89" s="87"/>
      <c r="C89" s="142"/>
      <c r="D89" s="142"/>
    </row>
    <row r="90" spans="1:4" s="23" customFormat="1" ht="20.399999999999999" x14ac:dyDescent="0.3">
      <c r="A90" s="87"/>
      <c r="C90" s="142"/>
      <c r="D90" s="142"/>
    </row>
    <row r="91" spans="1:4" s="23" customFormat="1" ht="20.399999999999999" x14ac:dyDescent="0.3">
      <c r="A91" s="87"/>
      <c r="C91" s="142"/>
      <c r="D91" s="142"/>
    </row>
    <row r="92" spans="1:4" s="23" customFormat="1" ht="20.399999999999999" x14ac:dyDescent="0.3">
      <c r="A92" s="87"/>
      <c r="C92" s="142"/>
      <c r="D92" s="142"/>
    </row>
    <row r="93" spans="1:4" s="23" customFormat="1" ht="20.399999999999999" x14ac:dyDescent="0.3">
      <c r="A93" s="87"/>
      <c r="C93" s="142"/>
      <c r="D93" s="142"/>
    </row>
    <row r="94" spans="1:4" s="23" customFormat="1" ht="20.399999999999999" x14ac:dyDescent="0.3">
      <c r="A94" s="87"/>
      <c r="C94" s="142"/>
      <c r="D94" s="142"/>
    </row>
    <row r="95" spans="1:4" s="23" customFormat="1" ht="20.399999999999999" x14ac:dyDescent="0.3">
      <c r="A95" s="87"/>
      <c r="C95" s="142"/>
      <c r="D95" s="142"/>
    </row>
    <row r="96" spans="1:4" s="23" customFormat="1" ht="20.399999999999999" x14ac:dyDescent="0.3">
      <c r="A96" s="87"/>
      <c r="C96" s="142"/>
      <c r="D96" s="142"/>
    </row>
    <row r="97" spans="1:4" s="23" customFormat="1" ht="20.399999999999999" x14ac:dyDescent="0.3">
      <c r="A97" s="87"/>
      <c r="C97" s="142"/>
      <c r="D97" s="142"/>
    </row>
    <row r="98" spans="1:4" s="23" customFormat="1" ht="20.399999999999999" x14ac:dyDescent="0.3">
      <c r="A98" s="87"/>
      <c r="C98" s="142"/>
      <c r="D98" s="142"/>
    </row>
    <row r="99" spans="1:4" s="23" customFormat="1" ht="20.399999999999999" x14ac:dyDescent="0.3">
      <c r="A99" s="87"/>
      <c r="C99" s="142"/>
      <c r="D99" s="142"/>
    </row>
    <row r="100" spans="1:4" s="23" customFormat="1" ht="20.399999999999999" x14ac:dyDescent="0.3">
      <c r="A100" s="87"/>
      <c r="C100" s="142"/>
      <c r="D100" s="142"/>
    </row>
    <row r="101" spans="1:4" s="23" customFormat="1" ht="20.399999999999999" x14ac:dyDescent="0.3">
      <c r="A101" s="87"/>
      <c r="C101" s="142"/>
      <c r="D101" s="142"/>
    </row>
    <row r="102" spans="1:4" s="23" customFormat="1" ht="20.399999999999999" x14ac:dyDescent="0.3">
      <c r="A102" s="87"/>
      <c r="C102" s="142"/>
      <c r="D102" s="142"/>
    </row>
    <row r="103" spans="1:4" s="23" customFormat="1" ht="20.399999999999999" x14ac:dyDescent="0.3">
      <c r="A103" s="87"/>
      <c r="C103" s="142"/>
      <c r="D103" s="142"/>
    </row>
    <row r="104" spans="1:4" s="23" customFormat="1" ht="20.399999999999999" x14ac:dyDescent="0.3">
      <c r="A104" s="87"/>
      <c r="C104" s="142"/>
      <c r="D104" s="142"/>
    </row>
    <row r="105" spans="1:4" s="23" customFormat="1" ht="20.399999999999999" x14ac:dyDescent="0.3">
      <c r="A105" s="87"/>
      <c r="C105" s="142"/>
      <c r="D105" s="142"/>
    </row>
    <row r="106" spans="1:4" s="23" customFormat="1" ht="20.399999999999999" x14ac:dyDescent="0.3">
      <c r="A106" s="87"/>
      <c r="C106" s="142"/>
      <c r="D106" s="142"/>
    </row>
    <row r="107" spans="1:4" s="23" customFormat="1" ht="20.399999999999999" x14ac:dyDescent="0.3">
      <c r="A107" s="87"/>
      <c r="C107" s="142"/>
      <c r="D107" s="142"/>
    </row>
    <row r="108" spans="1:4" s="23" customFormat="1" ht="20.399999999999999" x14ac:dyDescent="0.3">
      <c r="A108" s="87"/>
      <c r="C108" s="142"/>
      <c r="D108" s="142"/>
    </row>
    <row r="109" spans="1:4" s="23" customFormat="1" ht="20.399999999999999" x14ac:dyDescent="0.3">
      <c r="A109" s="87"/>
      <c r="C109" s="142"/>
      <c r="D109" s="142"/>
    </row>
    <row r="110" spans="1:4" s="23" customFormat="1" ht="20.399999999999999" x14ac:dyDescent="0.3">
      <c r="A110" s="87"/>
      <c r="C110" s="142"/>
      <c r="D110" s="142"/>
    </row>
    <row r="111" spans="1:4" s="23" customFormat="1" ht="20.399999999999999" x14ac:dyDescent="0.3">
      <c r="A111" s="87"/>
      <c r="C111" s="142"/>
      <c r="D111" s="142"/>
    </row>
    <row r="112" spans="1:4" s="23" customFormat="1" ht="20.399999999999999" x14ac:dyDescent="0.3">
      <c r="A112" s="87"/>
      <c r="C112" s="142"/>
      <c r="D112" s="142"/>
    </row>
    <row r="113" spans="1:4" s="23" customFormat="1" ht="20.399999999999999" x14ac:dyDescent="0.3">
      <c r="A113" s="87"/>
      <c r="C113" s="142"/>
      <c r="D113" s="142"/>
    </row>
    <row r="114" spans="1:4" s="23" customFormat="1" ht="20.399999999999999" x14ac:dyDescent="0.3">
      <c r="A114" s="87"/>
      <c r="C114" s="142"/>
      <c r="D114" s="142"/>
    </row>
    <row r="115" spans="1:4" s="23" customFormat="1" ht="20.399999999999999" x14ac:dyDescent="0.3">
      <c r="A115" s="87"/>
      <c r="C115" s="142"/>
      <c r="D115" s="142"/>
    </row>
    <row r="116" spans="1:4" s="23" customFormat="1" ht="20.399999999999999" x14ac:dyDescent="0.3">
      <c r="A116" s="87"/>
      <c r="C116" s="142"/>
      <c r="D116" s="142"/>
    </row>
    <row r="117" spans="1:4" s="23" customFormat="1" ht="20.399999999999999" x14ac:dyDescent="0.3">
      <c r="A117" s="87"/>
      <c r="C117" s="142"/>
      <c r="D117" s="142"/>
    </row>
    <row r="118" spans="1:4" s="23" customFormat="1" ht="20.399999999999999" x14ac:dyDescent="0.3">
      <c r="A118" s="87"/>
      <c r="C118" s="142"/>
      <c r="D118" s="142"/>
    </row>
    <row r="119" spans="1:4" s="23" customFormat="1" ht="20.399999999999999" x14ac:dyDescent="0.3">
      <c r="A119" s="87"/>
      <c r="C119" s="142"/>
      <c r="D119" s="142"/>
    </row>
    <row r="120" spans="1:4" s="23" customFormat="1" ht="20.399999999999999" x14ac:dyDescent="0.3">
      <c r="A120" s="87"/>
      <c r="C120" s="142"/>
      <c r="D120" s="142"/>
    </row>
    <row r="121" spans="1:4" s="23" customFormat="1" ht="20.399999999999999" x14ac:dyDescent="0.3">
      <c r="A121" s="87"/>
      <c r="C121" s="142"/>
      <c r="D121" s="142"/>
    </row>
    <row r="122" spans="1:4" s="23" customFormat="1" ht="20.399999999999999" x14ac:dyDescent="0.3">
      <c r="A122" s="87"/>
      <c r="C122" s="142"/>
      <c r="D122" s="142"/>
    </row>
    <row r="123" spans="1:4" s="23" customFormat="1" ht="20.399999999999999" x14ac:dyDescent="0.3">
      <c r="A123" s="87"/>
      <c r="C123" s="142"/>
      <c r="D123" s="142"/>
    </row>
    <row r="124" spans="1:4" s="23" customFormat="1" ht="20.399999999999999" x14ac:dyDescent="0.3">
      <c r="A124" s="87"/>
      <c r="C124" s="142"/>
      <c r="D124" s="142"/>
    </row>
    <row r="125" spans="1:4" s="23" customFormat="1" ht="20.399999999999999" x14ac:dyDescent="0.3">
      <c r="A125" s="87"/>
      <c r="C125" s="142"/>
      <c r="D125" s="142"/>
    </row>
    <row r="126" spans="1:4" s="23" customFormat="1" ht="20.399999999999999" x14ac:dyDescent="0.3">
      <c r="A126" s="87"/>
      <c r="C126" s="142"/>
      <c r="D126" s="142"/>
    </row>
    <row r="127" spans="1:4" s="23" customFormat="1" ht="20.399999999999999" x14ac:dyDescent="0.3">
      <c r="A127" s="87"/>
      <c r="C127" s="142"/>
      <c r="D127" s="142"/>
    </row>
    <row r="128" spans="1:4" s="23" customFormat="1" ht="20.399999999999999" x14ac:dyDescent="0.3">
      <c r="A128" s="87"/>
      <c r="C128" s="142"/>
      <c r="D128" s="142"/>
    </row>
    <row r="129" spans="1:4" s="23" customFormat="1" ht="20.399999999999999" x14ac:dyDescent="0.3">
      <c r="A129" s="87"/>
      <c r="C129" s="142"/>
      <c r="D129" s="142"/>
    </row>
    <row r="130" spans="1:4" s="23" customFormat="1" ht="20.399999999999999" x14ac:dyDescent="0.3">
      <c r="A130" s="87"/>
      <c r="C130" s="142"/>
      <c r="D130" s="142"/>
    </row>
    <row r="131" spans="1:4" s="23" customFormat="1" ht="20.399999999999999" x14ac:dyDescent="0.3">
      <c r="A131" s="87"/>
      <c r="C131" s="142"/>
      <c r="D131" s="142"/>
    </row>
    <row r="132" spans="1:4" s="23" customFormat="1" ht="20.399999999999999" x14ac:dyDescent="0.3">
      <c r="A132" s="87"/>
      <c r="C132" s="142"/>
      <c r="D132" s="142"/>
    </row>
    <row r="133" spans="1:4" s="23" customFormat="1" ht="20.399999999999999" x14ac:dyDescent="0.3">
      <c r="A133" s="87"/>
      <c r="C133" s="142"/>
      <c r="D133" s="142"/>
    </row>
    <row r="134" spans="1:4" s="23" customFormat="1" ht="20.399999999999999" x14ac:dyDescent="0.3">
      <c r="A134" s="87"/>
      <c r="C134" s="142"/>
      <c r="D134" s="142"/>
    </row>
    <row r="135" spans="1:4" s="23" customFormat="1" ht="20.399999999999999" x14ac:dyDescent="0.3">
      <c r="A135" s="87"/>
      <c r="C135" s="142"/>
      <c r="D135" s="142"/>
    </row>
    <row r="136" spans="1:4" s="23" customFormat="1" ht="20.399999999999999" x14ac:dyDescent="0.3">
      <c r="A136" s="87"/>
      <c r="C136" s="142"/>
      <c r="D136" s="142"/>
    </row>
    <row r="137" spans="1:4" s="23" customFormat="1" ht="20.399999999999999" x14ac:dyDescent="0.3">
      <c r="A137" s="87"/>
      <c r="C137" s="142"/>
      <c r="D137" s="142"/>
    </row>
    <row r="138" spans="1:4" s="23" customFormat="1" ht="20.399999999999999" x14ac:dyDescent="0.3">
      <c r="A138" s="87"/>
      <c r="C138" s="142"/>
      <c r="D138" s="142"/>
    </row>
    <row r="139" spans="1:4" s="23" customFormat="1" ht="20.399999999999999" x14ac:dyDescent="0.3">
      <c r="A139" s="87"/>
      <c r="C139" s="142"/>
      <c r="D139" s="142"/>
    </row>
    <row r="140" spans="1:4" s="23" customFormat="1" ht="20.399999999999999" x14ac:dyDescent="0.3">
      <c r="A140" s="87"/>
      <c r="C140" s="142"/>
      <c r="D140" s="142"/>
    </row>
    <row r="141" spans="1:4" s="23" customFormat="1" ht="20.399999999999999" x14ac:dyDescent="0.3">
      <c r="A141" s="87"/>
      <c r="C141" s="142"/>
      <c r="D141" s="142"/>
    </row>
    <row r="142" spans="1:4" s="23" customFormat="1" ht="20.399999999999999" x14ac:dyDescent="0.3">
      <c r="A142" s="87"/>
      <c r="C142" s="142"/>
      <c r="D142" s="142"/>
    </row>
    <row r="143" spans="1:4" s="23" customFormat="1" ht="20.399999999999999" x14ac:dyDescent="0.3">
      <c r="A143" s="87"/>
      <c r="C143" s="142"/>
      <c r="D143" s="142"/>
    </row>
    <row r="144" spans="1:4" s="23" customFormat="1" ht="20.399999999999999" x14ac:dyDescent="0.3">
      <c r="A144" s="87"/>
      <c r="C144" s="142"/>
      <c r="D144" s="142"/>
    </row>
    <row r="145" spans="1:4" s="23" customFormat="1" ht="20.399999999999999" x14ac:dyDescent="0.3">
      <c r="A145" s="87"/>
      <c r="C145" s="142"/>
      <c r="D145" s="142"/>
    </row>
    <row r="146" spans="1:4" s="23" customFormat="1" ht="20.399999999999999" x14ac:dyDescent="0.3">
      <c r="A146" s="87"/>
      <c r="C146" s="142"/>
      <c r="D146" s="142"/>
    </row>
    <row r="147" spans="1:4" s="23" customFormat="1" ht="20.399999999999999" x14ac:dyDescent="0.3">
      <c r="A147" s="87"/>
      <c r="C147" s="142"/>
      <c r="D147" s="142"/>
    </row>
    <row r="148" spans="1:4" s="23" customFormat="1" ht="20.399999999999999" x14ac:dyDescent="0.3">
      <c r="A148" s="87"/>
      <c r="C148" s="142"/>
      <c r="D148" s="142"/>
    </row>
    <row r="149" spans="1:4" s="23" customFormat="1" ht="20.399999999999999" x14ac:dyDescent="0.3">
      <c r="A149" s="87"/>
      <c r="C149" s="142"/>
      <c r="D149" s="142"/>
    </row>
    <row r="150" spans="1:4" s="23" customFormat="1" ht="20.399999999999999" x14ac:dyDescent="0.3">
      <c r="A150" s="87"/>
      <c r="C150" s="142"/>
      <c r="D150" s="142"/>
    </row>
    <row r="151" spans="1:4" s="23" customFormat="1" ht="20.399999999999999" x14ac:dyDescent="0.3">
      <c r="A151" s="87"/>
      <c r="C151" s="142"/>
      <c r="D151" s="142"/>
    </row>
    <row r="152" spans="1:4" s="23" customFormat="1" ht="20.399999999999999" x14ac:dyDescent="0.3">
      <c r="A152" s="87"/>
      <c r="C152" s="142"/>
      <c r="D152" s="142"/>
    </row>
    <row r="153" spans="1:4" s="23" customFormat="1" ht="20.399999999999999" x14ac:dyDescent="0.3">
      <c r="A153" s="87"/>
      <c r="C153" s="142"/>
      <c r="D153" s="142"/>
    </row>
    <row r="154" spans="1:4" s="23" customFormat="1" ht="20.399999999999999" x14ac:dyDescent="0.3">
      <c r="A154" s="87"/>
      <c r="C154" s="142"/>
      <c r="D154" s="142"/>
    </row>
    <row r="155" spans="1:4" s="23" customFormat="1" ht="20.399999999999999" x14ac:dyDescent="0.3">
      <c r="A155" s="87"/>
      <c r="C155" s="142"/>
      <c r="D155" s="142"/>
    </row>
    <row r="156" spans="1:4" s="23" customFormat="1" ht="20.399999999999999" x14ac:dyDescent="0.3">
      <c r="A156" s="87"/>
      <c r="C156" s="142"/>
      <c r="D156" s="142"/>
    </row>
    <row r="157" spans="1:4" s="23" customFormat="1" ht="20.399999999999999" x14ac:dyDescent="0.3">
      <c r="A157" s="87"/>
      <c r="C157" s="142"/>
      <c r="D157" s="142"/>
    </row>
    <row r="158" spans="1:4" s="23" customFormat="1" ht="20.399999999999999" x14ac:dyDescent="0.3">
      <c r="A158" s="87"/>
      <c r="C158" s="142"/>
      <c r="D158" s="142"/>
    </row>
    <row r="159" spans="1:4" s="23" customFormat="1" ht="20.399999999999999" x14ac:dyDescent="0.3">
      <c r="A159" s="87"/>
      <c r="C159" s="142"/>
      <c r="D159" s="142"/>
    </row>
    <row r="160" spans="1:4" s="23" customFormat="1" ht="20.399999999999999" x14ac:dyDescent="0.3">
      <c r="A160" s="87"/>
      <c r="C160" s="142"/>
      <c r="D160" s="142"/>
    </row>
    <row r="161" spans="1:4" s="23" customFormat="1" ht="20.399999999999999" x14ac:dyDescent="0.3">
      <c r="A161" s="87"/>
      <c r="C161" s="142"/>
      <c r="D161" s="142"/>
    </row>
    <row r="162" spans="1:4" s="23" customFormat="1" ht="20.399999999999999" x14ac:dyDescent="0.3">
      <c r="A162" s="87"/>
      <c r="C162" s="142"/>
      <c r="D162" s="142"/>
    </row>
    <row r="163" spans="1:4" s="23" customFormat="1" ht="20.399999999999999" x14ac:dyDescent="0.3">
      <c r="A163" s="87"/>
      <c r="C163" s="142"/>
      <c r="D163" s="142"/>
    </row>
    <row r="164" spans="1:4" s="23" customFormat="1" ht="20.399999999999999" x14ac:dyDescent="0.3">
      <c r="A164" s="87"/>
      <c r="C164" s="142"/>
      <c r="D164" s="142"/>
    </row>
    <row r="165" spans="1:4" s="23" customFormat="1" ht="20.399999999999999" x14ac:dyDescent="0.3">
      <c r="A165" s="87"/>
      <c r="C165" s="142"/>
      <c r="D165" s="142"/>
    </row>
    <row r="166" spans="1:4" s="23" customFormat="1" ht="20.399999999999999" x14ac:dyDescent="0.3">
      <c r="A166" s="87"/>
      <c r="C166" s="142"/>
      <c r="D166" s="142"/>
    </row>
    <row r="167" spans="1:4" s="23" customFormat="1" ht="20.399999999999999" x14ac:dyDescent="0.3">
      <c r="A167" s="87"/>
      <c r="C167" s="142"/>
      <c r="D167" s="142"/>
    </row>
    <row r="168" spans="1:4" s="23" customFormat="1" ht="20.399999999999999" x14ac:dyDescent="0.3">
      <c r="A168" s="87"/>
      <c r="C168" s="142"/>
      <c r="D168" s="142"/>
    </row>
    <row r="169" spans="1:4" s="23" customFormat="1" ht="20.399999999999999" x14ac:dyDescent="0.3">
      <c r="A169" s="87"/>
      <c r="C169" s="142"/>
      <c r="D169" s="142"/>
    </row>
    <row r="170" spans="1:4" s="23" customFormat="1" ht="20.399999999999999" x14ac:dyDescent="0.3">
      <c r="A170" s="87"/>
      <c r="C170" s="142"/>
      <c r="D170" s="142"/>
    </row>
    <row r="171" spans="1:4" s="23" customFormat="1" ht="20.399999999999999" x14ac:dyDescent="0.3">
      <c r="A171" s="87"/>
      <c r="C171" s="142"/>
      <c r="D171" s="142"/>
    </row>
    <row r="172" spans="1:4" s="23" customFormat="1" ht="20.399999999999999" x14ac:dyDescent="0.3">
      <c r="A172" s="87"/>
      <c r="C172" s="142"/>
      <c r="D172" s="142"/>
    </row>
    <row r="173" spans="1:4" s="23" customFormat="1" ht="20.399999999999999" x14ac:dyDescent="0.3">
      <c r="A173" s="87"/>
      <c r="C173" s="142"/>
      <c r="D173" s="142"/>
    </row>
    <row r="174" spans="1:4" s="23" customFormat="1" ht="20.399999999999999" x14ac:dyDescent="0.3">
      <c r="A174" s="87"/>
      <c r="C174" s="142"/>
      <c r="D174" s="142"/>
    </row>
    <row r="175" spans="1:4" s="23" customFormat="1" ht="20.399999999999999" x14ac:dyDescent="0.3">
      <c r="A175" s="87"/>
      <c r="C175" s="142"/>
      <c r="D175" s="142"/>
    </row>
    <row r="176" spans="1:4" s="23" customFormat="1" ht="20.399999999999999" x14ac:dyDescent="0.3">
      <c r="A176" s="87"/>
      <c r="C176" s="142"/>
      <c r="D176" s="142"/>
    </row>
    <row r="177" spans="1:4" s="23" customFormat="1" ht="20.399999999999999" x14ac:dyDescent="0.3">
      <c r="A177" s="87"/>
      <c r="C177" s="142"/>
      <c r="D177" s="142"/>
    </row>
    <row r="178" spans="1:4" s="23" customFormat="1" ht="20.399999999999999" x14ac:dyDescent="0.3">
      <c r="A178" s="87"/>
      <c r="C178" s="142"/>
      <c r="D178" s="142"/>
    </row>
    <row r="179" spans="1:4" s="23" customFormat="1" ht="20.399999999999999" x14ac:dyDescent="0.3">
      <c r="A179" s="87"/>
      <c r="C179" s="142"/>
      <c r="D179" s="142"/>
    </row>
    <row r="180" spans="1:4" s="23" customFormat="1" ht="20.399999999999999" x14ac:dyDescent="0.3">
      <c r="A180" s="87"/>
      <c r="C180" s="142"/>
      <c r="D180" s="142"/>
    </row>
    <row r="181" spans="1:4" s="23" customFormat="1" ht="20.399999999999999" x14ac:dyDescent="0.3">
      <c r="A181" s="87"/>
      <c r="C181" s="142"/>
      <c r="D181" s="142"/>
    </row>
    <row r="182" spans="1:4" s="23" customFormat="1" ht="20.399999999999999" x14ac:dyDescent="0.3">
      <c r="A182" s="87"/>
      <c r="C182" s="142"/>
      <c r="D182" s="142"/>
    </row>
    <row r="183" spans="1:4" s="23" customFormat="1" ht="20.399999999999999" x14ac:dyDescent="0.3">
      <c r="A183" s="87"/>
      <c r="C183" s="142"/>
      <c r="D183" s="142"/>
    </row>
    <row r="184" spans="1:4" s="23" customFormat="1" ht="20.399999999999999" x14ac:dyDescent="0.3">
      <c r="A184" s="87"/>
      <c r="C184" s="142"/>
      <c r="D184" s="142"/>
    </row>
    <row r="185" spans="1:4" s="23" customFormat="1" ht="20.399999999999999" x14ac:dyDescent="0.3">
      <c r="A185" s="87"/>
      <c r="C185" s="142"/>
      <c r="D185" s="142"/>
    </row>
    <row r="186" spans="1:4" s="23" customFormat="1" ht="20.399999999999999" x14ac:dyDescent="0.3">
      <c r="A186" s="87"/>
      <c r="C186" s="142"/>
      <c r="D186" s="142"/>
    </row>
    <row r="187" spans="1:4" s="23" customFormat="1" ht="20.399999999999999" x14ac:dyDescent="0.3">
      <c r="A187" s="87"/>
      <c r="C187" s="142"/>
      <c r="D187" s="142"/>
    </row>
    <row r="188" spans="1:4" s="23" customFormat="1" ht="20.399999999999999" x14ac:dyDescent="0.3">
      <c r="A188" s="87"/>
      <c r="C188" s="142"/>
      <c r="D188" s="142"/>
    </row>
    <row r="189" spans="1:4" s="23" customFormat="1" ht="20.399999999999999" x14ac:dyDescent="0.3">
      <c r="A189" s="87"/>
      <c r="C189" s="142"/>
      <c r="D189" s="142"/>
    </row>
    <row r="190" spans="1:4" s="23" customFormat="1" ht="20.399999999999999" x14ac:dyDescent="0.3">
      <c r="A190" s="87"/>
      <c r="C190" s="142"/>
      <c r="D190" s="142"/>
    </row>
    <row r="191" spans="1:4" s="23" customFormat="1" ht="20.399999999999999" x14ac:dyDescent="0.3">
      <c r="A191" s="87"/>
      <c r="C191" s="142"/>
      <c r="D191" s="142"/>
    </row>
    <row r="192" spans="1:4" s="23" customFormat="1" ht="20.399999999999999" x14ac:dyDescent="0.3">
      <c r="A192" s="87"/>
      <c r="C192" s="142"/>
      <c r="D192" s="142"/>
    </row>
    <row r="193" spans="1:4" s="23" customFormat="1" ht="20.399999999999999" x14ac:dyDescent="0.3">
      <c r="A193" s="87"/>
      <c r="C193" s="142"/>
      <c r="D193" s="142"/>
    </row>
    <row r="194" spans="1:4" s="23" customFormat="1" ht="20.399999999999999" x14ac:dyDescent="0.3">
      <c r="A194" s="87"/>
      <c r="C194" s="142"/>
      <c r="D194" s="142"/>
    </row>
    <row r="195" spans="1:4" s="23" customFormat="1" ht="20.399999999999999" x14ac:dyDescent="0.3">
      <c r="A195" s="87"/>
      <c r="C195" s="142"/>
      <c r="D195" s="142"/>
    </row>
    <row r="196" spans="1:4" s="23" customFormat="1" ht="20.399999999999999" x14ac:dyDescent="0.3">
      <c r="A196" s="87"/>
      <c r="C196" s="142"/>
      <c r="D196" s="142"/>
    </row>
    <row r="197" spans="1:4" s="23" customFormat="1" ht="20.399999999999999" x14ac:dyDescent="0.3">
      <c r="A197" s="87"/>
      <c r="C197" s="142"/>
      <c r="D197" s="142"/>
    </row>
    <row r="198" spans="1:4" s="23" customFormat="1" ht="20.399999999999999" x14ac:dyDescent="0.3">
      <c r="A198" s="87"/>
      <c r="C198" s="142"/>
      <c r="D198" s="142"/>
    </row>
    <row r="199" spans="1:4" s="23" customFormat="1" ht="20.399999999999999" x14ac:dyDescent="0.3">
      <c r="A199" s="87"/>
      <c r="C199" s="142"/>
      <c r="D199" s="142"/>
    </row>
    <row r="200" spans="1:4" s="23" customFormat="1" ht="20.399999999999999" x14ac:dyDescent="0.3">
      <c r="A200" s="87"/>
      <c r="C200" s="142"/>
      <c r="D200" s="142"/>
    </row>
    <row r="201" spans="1:4" s="23" customFormat="1" ht="20.399999999999999" x14ac:dyDescent="0.3">
      <c r="A201" s="87"/>
      <c r="C201" s="142"/>
      <c r="D201" s="142"/>
    </row>
    <row r="202" spans="1:4" s="23" customFormat="1" ht="20.399999999999999" x14ac:dyDescent="0.3">
      <c r="A202" s="87"/>
      <c r="C202" s="142"/>
      <c r="D202" s="142"/>
    </row>
    <row r="203" spans="1:4" s="23" customFormat="1" ht="20.399999999999999" x14ac:dyDescent="0.3">
      <c r="A203" s="87"/>
      <c r="C203" s="142"/>
      <c r="D203" s="142"/>
    </row>
    <row r="204" spans="1:4" s="23" customFormat="1" ht="20.399999999999999" x14ac:dyDescent="0.3">
      <c r="A204" s="87"/>
      <c r="C204" s="142"/>
      <c r="D204" s="142"/>
    </row>
    <row r="205" spans="1:4" s="23" customFormat="1" ht="20.399999999999999" x14ac:dyDescent="0.3">
      <c r="A205" s="87"/>
      <c r="C205" s="142"/>
      <c r="D205" s="142"/>
    </row>
    <row r="206" spans="1:4" s="23" customFormat="1" ht="20.399999999999999" x14ac:dyDescent="0.3">
      <c r="A206" s="87"/>
      <c r="C206" s="142"/>
      <c r="D206" s="142"/>
    </row>
    <row r="207" spans="1:4" s="23" customFormat="1" ht="20.399999999999999" x14ac:dyDescent="0.3">
      <c r="A207" s="87"/>
      <c r="C207" s="142"/>
      <c r="D207" s="142"/>
    </row>
    <row r="208" spans="1:4" s="23" customFormat="1" x14ac:dyDescent="0.3">
      <c r="A208" s="87"/>
    </row>
    <row r="209" spans="1:8" s="23" customFormat="1" ht="20.399999999999999" x14ac:dyDescent="0.3">
      <c r="A209" s="87"/>
      <c r="B209" s="143" t="s">
        <v>87</v>
      </c>
      <c r="C209" s="143" t="s">
        <v>140</v>
      </c>
      <c r="D209" s="144" t="s">
        <v>87</v>
      </c>
      <c r="E209" s="144" t="s">
        <v>140</v>
      </c>
    </row>
    <row r="210" spans="1:8" s="23" customFormat="1" ht="42" x14ac:dyDescent="0.4">
      <c r="A210" s="87"/>
      <c r="B210" s="145" t="s">
        <v>89</v>
      </c>
      <c r="C210" s="145" t="s">
        <v>205</v>
      </c>
      <c r="D210" s="23" t="s">
        <v>89</v>
      </c>
      <c r="F210" s="23" t="str">
        <f>IF(NOT(ISBLANK(D210)),D210,IF(NOT(ISBLANK(E210)),"     "&amp;E210,FALSE))</f>
        <v>Afectación Económica o presupuestal</v>
      </c>
      <c r="G210" s="23" t="s">
        <v>89</v>
      </c>
      <c r="H210" s="23" t="str">
        <f>IF(NOT(ISERROR(MATCH(G210,_xlfn.ANCHORARRAY(B221),0))),F223&amp;"Por favor no seleccionar los criterios de impacto",G210)</f>
        <v>❌Por favor no seleccionar los criterios de impacto</v>
      </c>
    </row>
    <row r="211" spans="1:8" s="23" customFormat="1" ht="42" x14ac:dyDescent="0.4">
      <c r="A211" s="87"/>
      <c r="B211" s="145" t="s">
        <v>89</v>
      </c>
      <c r="C211" s="145" t="s">
        <v>206</v>
      </c>
      <c r="E211" s="23" t="s">
        <v>205</v>
      </c>
      <c r="F211" s="23" t="str">
        <f t="shared" ref="F211:F221" si="0">IF(NOT(ISBLANK(D211)),D211,IF(NOT(ISBLANK(E211)),"     "&amp;E211,FALSE))</f>
        <v xml:space="preserve">     Afectación menor a 200 SMLMV</v>
      </c>
    </row>
    <row r="212" spans="1:8" s="23" customFormat="1" ht="42" x14ac:dyDescent="0.4">
      <c r="A212" s="87"/>
      <c r="B212" s="145" t="s">
        <v>89</v>
      </c>
      <c r="C212" s="145" t="s">
        <v>210</v>
      </c>
      <c r="E212" s="23" t="s">
        <v>206</v>
      </c>
      <c r="F212" s="23" t="str">
        <f t="shared" si="0"/>
        <v xml:space="preserve">     Entre 200 y 1000 SMLMV</v>
      </c>
    </row>
    <row r="213" spans="1:8" s="23" customFormat="1" ht="42" x14ac:dyDescent="0.4">
      <c r="A213" s="87"/>
      <c r="B213" s="145" t="s">
        <v>89</v>
      </c>
      <c r="C213" s="145" t="s">
        <v>211</v>
      </c>
      <c r="E213" s="23" t="s">
        <v>210</v>
      </c>
      <c r="F213" s="23" t="str">
        <f t="shared" si="0"/>
        <v xml:space="preserve">     Entre 1000 y 5000 SMLMV </v>
      </c>
    </row>
    <row r="214" spans="1:8" s="23" customFormat="1" ht="42" x14ac:dyDescent="0.4">
      <c r="A214" s="87"/>
      <c r="B214" s="145" t="s">
        <v>89</v>
      </c>
      <c r="C214" s="145" t="s">
        <v>207</v>
      </c>
      <c r="E214" s="23" t="s">
        <v>211</v>
      </c>
      <c r="F214" s="23" t="str">
        <f t="shared" si="0"/>
        <v xml:space="preserve">     Entre 5000 y 10000 SMLMV</v>
      </c>
    </row>
    <row r="215" spans="1:8" s="23" customFormat="1" ht="21" x14ac:dyDescent="0.4">
      <c r="A215" s="87"/>
      <c r="B215" s="145" t="s">
        <v>57</v>
      </c>
      <c r="C215" s="145" t="s">
        <v>92</v>
      </c>
      <c r="E215" s="23" t="s">
        <v>207</v>
      </c>
      <c r="F215" s="23" t="str">
        <f t="shared" si="0"/>
        <v xml:space="preserve">     Mayor a 10000 SMLMV</v>
      </c>
    </row>
    <row r="216" spans="1:8" s="23" customFormat="1" ht="63" x14ac:dyDescent="0.4">
      <c r="A216" s="87"/>
      <c r="B216" s="145" t="s">
        <v>57</v>
      </c>
      <c r="C216" s="145" t="s">
        <v>93</v>
      </c>
      <c r="D216" s="23" t="s">
        <v>57</v>
      </c>
      <c r="F216" s="23" t="str">
        <f t="shared" si="0"/>
        <v>Pérdida Reputacional</v>
      </c>
    </row>
    <row r="217" spans="1:8" s="23" customFormat="1" ht="42" x14ac:dyDescent="0.4">
      <c r="A217" s="87"/>
      <c r="B217" s="145" t="s">
        <v>57</v>
      </c>
      <c r="C217" s="145" t="s">
        <v>95</v>
      </c>
      <c r="E217" s="23" t="s">
        <v>92</v>
      </c>
      <c r="F217" s="23" t="str">
        <f>IF(NOT(ISBLANK(D217)),D217,IF(NOT(ISBLANK(E217)),"     "&amp;E217,FALSE))</f>
        <v xml:space="preserve">     El riesgo afecta la imagen de alguna área de la organización</v>
      </c>
    </row>
    <row r="218" spans="1:8" s="23" customFormat="1" ht="63" x14ac:dyDescent="0.4">
      <c r="A218" s="87"/>
      <c r="B218" s="145" t="s">
        <v>57</v>
      </c>
      <c r="C218" s="145" t="s">
        <v>94</v>
      </c>
      <c r="E218" s="23" t="s">
        <v>93</v>
      </c>
      <c r="F218" s="23" t="str">
        <f t="shared" si="0"/>
        <v xml:space="preserve">     El riesgo afecta la imagen de la entidad internamente, de conocimiento general, nivel interno, de junta dircetiva y accionistas y/o de provedores</v>
      </c>
    </row>
    <row r="219" spans="1:8" s="23" customFormat="1" ht="42" x14ac:dyDescent="0.4">
      <c r="A219" s="87"/>
      <c r="B219" s="145" t="s">
        <v>57</v>
      </c>
      <c r="C219" s="145" t="s">
        <v>113</v>
      </c>
      <c r="E219" s="23" t="s">
        <v>95</v>
      </c>
      <c r="F219" s="23" t="str">
        <f t="shared" si="0"/>
        <v xml:space="preserve">     El riesgo afecta la imagen de la entidad con algunos usuarios de relevancia frente al logro de los objetivos</v>
      </c>
    </row>
    <row r="220" spans="1:8" s="23" customFormat="1" x14ac:dyDescent="0.3">
      <c r="A220" s="87"/>
      <c r="E220" s="23" t="s">
        <v>94</v>
      </c>
      <c r="F220" s="23" t="str">
        <f t="shared" si="0"/>
        <v xml:space="preserve">     El riesgo afecta la imagen de de la entidad con efecto publicitario sostenido a nivel de sector administrativo, nivel departamental o municipal</v>
      </c>
    </row>
    <row r="221" spans="1:8" s="23" customFormat="1" x14ac:dyDescent="0.3">
      <c r="A221" s="87"/>
      <c r="B221" s="23" t="str" cm="1">
        <f t="array" ref="B221:B223">_xlfn.UNIQUE(Tabla1[[#All],[Criterios]])</f>
        <v>Criterios</v>
      </c>
      <c r="E221" s="23" t="s">
        <v>113</v>
      </c>
      <c r="F221" s="23" t="str">
        <f t="shared" si="0"/>
        <v xml:space="preserve">     El riesgo afecta la imagen de la entidad a nivel nacional, con efecto publicitarios sostenible a nivel país</v>
      </c>
    </row>
    <row r="222" spans="1:8" s="23" customFormat="1" x14ac:dyDescent="0.3">
      <c r="A222" s="87"/>
      <c r="B222" s="23" t="str">
        <v>Afectación Económica o presupuestal</v>
      </c>
    </row>
    <row r="223" spans="1:8" s="23" customFormat="1" x14ac:dyDescent="0.3">
      <c r="B223" s="23" t="str">
        <v>Pérdida Reputacional</v>
      </c>
      <c r="F223" s="146" t="s">
        <v>141</v>
      </c>
    </row>
    <row r="224" spans="1:8" s="23" customFormat="1" x14ac:dyDescent="0.3">
      <c r="F224" s="146" t="s">
        <v>142</v>
      </c>
    </row>
  </sheetData>
  <mergeCells count="1">
    <mergeCell ref="B1:D1"/>
  </mergeCells>
  <dataValidations disablePrompts="1" count="1">
    <dataValidation type="list" allowBlank="1" showInputMessage="1" showErrorMessage="1" sqref="G210" xr:uid="{00000000-0002-0000-0800-000000000000}">
      <formula1>$F$210:$F$221</formula1>
    </dataValidation>
  </dataValidations>
  <pageMargins left="0.7" right="0.7" top="0.75" bottom="0.75" header="0.3" footer="0.3"/>
  <pageSetup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Intructivo</vt:lpstr>
      <vt:lpstr>Contexto</vt:lpstr>
      <vt:lpstr>Priorizacion de Causas</vt:lpstr>
      <vt:lpstr>DOFA</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Eduardo Hernandez Huepa</cp:lastModifiedBy>
  <cp:lastPrinted>2020-05-13T01:12:22Z</cp:lastPrinted>
  <dcterms:created xsi:type="dcterms:W3CDTF">2020-03-24T23:12:47Z</dcterms:created>
  <dcterms:modified xsi:type="dcterms:W3CDTF">2024-08-08T11:40:31Z</dcterms:modified>
</cp:coreProperties>
</file>