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hidePivotFieldList="1" defaultThemeVersion="124226"/>
  <mc:AlternateContent xmlns:mc="http://schemas.openxmlformats.org/markup-compatibility/2006">
    <mc:Choice Requires="x15">
      <x15ac:absPath xmlns:x15ac="http://schemas.microsoft.com/office/spreadsheetml/2010/11/ac" url="https://d.docs.live.net/8ed9c3e3b75d16b0/Documentos/SECRETARIA DE PLANEACION MPAL/INFORME DE ACTIVIDADES/REVISION DEPENDENCIAS/MATRIZ/MONITOREO/10-8-24 NUEVA REVISION/22 JUL- GEST PARTC CIUDADANA/"/>
    </mc:Choice>
  </mc:AlternateContent>
  <xr:revisionPtr revIDLastSave="0" documentId="11_360B6062B3AD4E5820B3706BFFCE46D2DE7F0C69" xr6:coauthVersionLast="47" xr6:coauthVersionMax="47" xr10:uidLastSave="{00000000-0000-0000-0000-000000000000}"/>
  <bookViews>
    <workbookView xWindow="-108" yWindow="-108" windowWidth="23256" windowHeight="12456"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 name="Hoja2" sheetId="21" r:id="rId10"/>
  </sheets>
  <externalReferences>
    <externalReference r:id="rId11"/>
  </externalReferences>
  <calcPr calcId="191029"/>
  <pivotCaches>
    <pivotCache cacheId="55"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1" l="1"/>
  <c r="V66" i="1" l="1"/>
  <c r="S66" i="1"/>
  <c r="V65" i="1"/>
  <c r="S65" i="1"/>
  <c r="AD66" i="1" s="1"/>
  <c r="AC66" i="1" s="1"/>
  <c r="V64" i="1"/>
  <c r="S64" i="1"/>
  <c r="V63" i="1"/>
  <c r="S63" i="1"/>
  <c r="AD64" i="1" s="1"/>
  <c r="AC64" i="1" s="1"/>
  <c r="V62" i="1"/>
  <c r="S62" i="1"/>
  <c r="V61" i="1"/>
  <c r="S61" i="1"/>
  <c r="V60" i="1"/>
  <c r="S60" i="1"/>
  <c r="V59" i="1"/>
  <c r="S59" i="1"/>
  <c r="AD60" i="1" s="1"/>
  <c r="AC60" i="1" s="1"/>
  <c r="V58" i="1"/>
  <c r="S58" i="1"/>
  <c r="V57" i="1"/>
  <c r="S57" i="1"/>
  <c r="AD58" i="1" s="1"/>
  <c r="AC58" i="1" s="1"/>
  <c r="V56" i="1"/>
  <c r="S56" i="1"/>
  <c r="V55" i="1"/>
  <c r="S55" i="1"/>
  <c r="AD56" i="1" s="1"/>
  <c r="AC56" i="1" s="1"/>
  <c r="V54" i="1"/>
  <c r="S54" i="1"/>
  <c r="V53" i="1"/>
  <c r="S53" i="1"/>
  <c r="AD54" i="1" s="1"/>
  <c r="AC54" i="1" s="1"/>
  <c r="V52" i="1"/>
  <c r="S52" i="1"/>
  <c r="V51" i="1"/>
  <c r="S51" i="1"/>
  <c r="AD52" i="1" s="1"/>
  <c r="AC52" i="1" s="1"/>
  <c r="V50" i="1"/>
  <c r="S50" i="1"/>
  <c r="V49" i="1"/>
  <c r="S49" i="1"/>
  <c r="AD50" i="1" s="1"/>
  <c r="AC50" i="1" s="1"/>
  <c r="V48" i="1"/>
  <c r="S48" i="1"/>
  <c r="V47" i="1"/>
  <c r="S47" i="1"/>
  <c r="AD48" i="1" s="1"/>
  <c r="AC48" i="1" s="1"/>
  <c r="V46" i="1"/>
  <c r="S46" i="1"/>
  <c r="V45" i="1"/>
  <c r="S45" i="1"/>
  <c r="AD46" i="1" s="1"/>
  <c r="AC46" i="1" s="1"/>
  <c r="V44" i="1"/>
  <c r="S44" i="1"/>
  <c r="V43" i="1"/>
  <c r="S43" i="1"/>
  <c r="AD44" i="1" s="1"/>
  <c r="AC44" i="1" s="1"/>
  <c r="V42" i="1"/>
  <c r="S42" i="1"/>
  <c r="V41" i="1"/>
  <c r="S41" i="1"/>
  <c r="AD42" i="1" s="1"/>
  <c r="AC42" i="1" s="1"/>
  <c r="V40" i="1"/>
  <c r="S40" i="1"/>
  <c r="V39" i="1"/>
  <c r="S39" i="1"/>
  <c r="AD40" i="1" s="1"/>
  <c r="AC40" i="1" s="1"/>
  <c r="V38" i="1"/>
  <c r="S38" i="1"/>
  <c r="V37" i="1"/>
  <c r="S37" i="1"/>
  <c r="AD38" i="1" s="1"/>
  <c r="AC38" i="1" s="1"/>
  <c r="V36" i="1"/>
  <c r="S36" i="1"/>
  <c r="V35" i="1"/>
  <c r="S35" i="1"/>
  <c r="AD36" i="1" s="1"/>
  <c r="AC36" i="1" s="1"/>
  <c r="V34" i="1"/>
  <c r="S34" i="1"/>
  <c r="V33" i="1"/>
  <c r="S33" i="1"/>
  <c r="AD34" i="1" s="1"/>
  <c r="AC34" i="1" s="1"/>
  <c r="V32" i="1"/>
  <c r="S32" i="1"/>
  <c r="V31" i="1"/>
  <c r="S31" i="1"/>
  <c r="AD32" i="1" s="1"/>
  <c r="AC32" i="1" s="1"/>
  <c r="V30" i="1"/>
  <c r="S30" i="1"/>
  <c r="V29" i="1"/>
  <c r="S29" i="1"/>
  <c r="AD30" i="1" s="1"/>
  <c r="AC30" i="1" s="1"/>
  <c r="V28" i="1"/>
  <c r="S28" i="1"/>
  <c r="V27" i="1"/>
  <c r="S27" i="1"/>
  <c r="AD28" i="1" s="1"/>
  <c r="AC28" i="1" s="1"/>
  <c r="V26" i="1"/>
  <c r="S26" i="1"/>
  <c r="V25" i="1"/>
  <c r="S25" i="1"/>
  <c r="AD26" i="1" s="1"/>
  <c r="AC26" i="1" s="1"/>
  <c r="V24" i="1"/>
  <c r="S24" i="1"/>
  <c r="V23" i="1"/>
  <c r="S23" i="1"/>
  <c r="AD24" i="1" s="1"/>
  <c r="AC24" i="1" s="1"/>
  <c r="V22" i="1"/>
  <c r="S22" i="1"/>
  <c r="V21" i="1"/>
  <c r="S21" i="1"/>
  <c r="AD22" i="1" s="1"/>
  <c r="AC22" i="1" s="1"/>
  <c r="V20" i="1"/>
  <c r="S20" i="1"/>
  <c r="V19" i="1"/>
  <c r="S19" i="1"/>
  <c r="AD20" i="1" s="1"/>
  <c r="AC20" i="1" s="1"/>
  <c r="V18" i="1"/>
  <c r="S18" i="1"/>
  <c r="V17" i="1"/>
  <c r="S17" i="1"/>
  <c r="AD18" i="1" s="1"/>
  <c r="AC18" i="1" s="1"/>
  <c r="V16" i="1"/>
  <c r="S16" i="1"/>
  <c r="V15" i="1"/>
  <c r="S15" i="1"/>
  <c r="AD16" i="1" s="1"/>
  <c r="AC16" i="1" s="1"/>
  <c r="V14" i="1"/>
  <c r="S14" i="1"/>
  <c r="V13" i="1"/>
  <c r="S13" i="1"/>
  <c r="AD14" i="1" s="1"/>
  <c r="AC14" i="1" s="1"/>
  <c r="AD62" i="1" l="1"/>
  <c r="AC62" i="1" s="1"/>
  <c r="AD15" i="1"/>
  <c r="AC15" i="1" s="1"/>
  <c r="AD17" i="1"/>
  <c r="AC17" i="1" s="1"/>
  <c r="AD21" i="1"/>
  <c r="AC21" i="1" s="1"/>
  <c r="AD23" i="1"/>
  <c r="AC23" i="1" s="1"/>
  <c r="AD27" i="1"/>
  <c r="AC27" i="1" s="1"/>
  <c r="AD29" i="1"/>
  <c r="AC29" i="1" s="1"/>
  <c r="AD33" i="1"/>
  <c r="AC33" i="1" s="1"/>
  <c r="AD35" i="1"/>
  <c r="AC35" i="1" s="1"/>
  <c r="AD39" i="1"/>
  <c r="AC39" i="1" s="1"/>
  <c r="AD41" i="1"/>
  <c r="AC41" i="1" s="1"/>
  <c r="AD45" i="1"/>
  <c r="AC45" i="1" s="1"/>
  <c r="AD47" i="1"/>
  <c r="AC47" i="1" s="1"/>
  <c r="AD51" i="1"/>
  <c r="AC51" i="1" s="1"/>
  <c r="AD53" i="1"/>
  <c r="AC53" i="1" s="1"/>
  <c r="AD57" i="1"/>
  <c r="AC57" i="1" s="1"/>
  <c r="AD59" i="1"/>
  <c r="AC59" i="1" s="1"/>
  <c r="AD63" i="1"/>
  <c r="AC63" i="1" s="1"/>
  <c r="AD65" i="1"/>
  <c r="AC65" i="1" s="1"/>
  <c r="Z61" i="1"/>
  <c r="Z63" i="1"/>
  <c r="Z65" i="1"/>
  <c r="AD61" i="1"/>
  <c r="AC61" i="1" s="1"/>
  <c r="Z62" i="1"/>
  <c r="Z64" i="1"/>
  <c r="Z66" i="1"/>
  <c r="Z55" i="1"/>
  <c r="Z57" i="1"/>
  <c r="Z59" i="1"/>
  <c r="AD55" i="1"/>
  <c r="AC55" i="1" s="1"/>
  <c r="Z56" i="1"/>
  <c r="Z58" i="1"/>
  <c r="Z60" i="1"/>
  <c r="Z49" i="1"/>
  <c r="Z51" i="1"/>
  <c r="Z53" i="1"/>
  <c r="AD49" i="1"/>
  <c r="AC49" i="1" s="1"/>
  <c r="Z50" i="1"/>
  <c r="Z52" i="1"/>
  <c r="Z54" i="1"/>
  <c r="Z43" i="1"/>
  <c r="Z45" i="1"/>
  <c r="Z47" i="1"/>
  <c r="AD43" i="1"/>
  <c r="AC43" i="1" s="1"/>
  <c r="Z44" i="1"/>
  <c r="Z46" i="1"/>
  <c r="Z48" i="1"/>
  <c r="Z37" i="1"/>
  <c r="Z39" i="1"/>
  <c r="Z41" i="1"/>
  <c r="AD37" i="1"/>
  <c r="AC37" i="1" s="1"/>
  <c r="Z38" i="1"/>
  <c r="Z40" i="1"/>
  <c r="Z42" i="1"/>
  <c r="Z31" i="1"/>
  <c r="Z33" i="1"/>
  <c r="Z35" i="1"/>
  <c r="AD31" i="1"/>
  <c r="AC31" i="1" s="1"/>
  <c r="Z32" i="1"/>
  <c r="Z34" i="1"/>
  <c r="Z36" i="1"/>
  <c r="Z25" i="1"/>
  <c r="Z27" i="1"/>
  <c r="Z29" i="1"/>
  <c r="AD25" i="1"/>
  <c r="AC25" i="1" s="1"/>
  <c r="Z26" i="1"/>
  <c r="Z28" i="1"/>
  <c r="Z30" i="1"/>
  <c r="Z19" i="1"/>
  <c r="Z21" i="1"/>
  <c r="Z23" i="1"/>
  <c r="AD19" i="1"/>
  <c r="AC19" i="1" s="1"/>
  <c r="Z20" i="1"/>
  <c r="Z22" i="1"/>
  <c r="Z24" i="1"/>
  <c r="Z13" i="1"/>
  <c r="Z15" i="1"/>
  <c r="Z17" i="1"/>
  <c r="Z14" i="1"/>
  <c r="Z16" i="1"/>
  <c r="Z18" i="1"/>
  <c r="AB66" i="1" l="1"/>
  <c r="AA66" i="1"/>
  <c r="AE66" i="1" s="1"/>
  <c r="AB64" i="1"/>
  <c r="AA64" i="1"/>
  <c r="AE64" i="1" s="1"/>
  <c r="AB62" i="1"/>
  <c r="AA62" i="1"/>
  <c r="AE62" i="1" s="1"/>
  <c r="AB65" i="1"/>
  <c r="AA65" i="1"/>
  <c r="AE65" i="1" s="1"/>
  <c r="AB63" i="1"/>
  <c r="AA63" i="1"/>
  <c r="AE63" i="1" s="1"/>
  <c r="AB61" i="1"/>
  <c r="AA61" i="1"/>
  <c r="AE61" i="1" s="1"/>
  <c r="AB60" i="1"/>
  <c r="AA60" i="1"/>
  <c r="AE60" i="1" s="1"/>
  <c r="AB58" i="1"/>
  <c r="AA58" i="1"/>
  <c r="AE58" i="1" s="1"/>
  <c r="AB56" i="1"/>
  <c r="AA56" i="1"/>
  <c r="AE56" i="1" s="1"/>
  <c r="AB59" i="1"/>
  <c r="AA59" i="1"/>
  <c r="AE59" i="1" s="1"/>
  <c r="AB57" i="1"/>
  <c r="AA57" i="1"/>
  <c r="AE57" i="1" s="1"/>
  <c r="AB55" i="1"/>
  <c r="AA55" i="1"/>
  <c r="AE55" i="1" s="1"/>
  <c r="AB54" i="1"/>
  <c r="AA54" i="1"/>
  <c r="AE54" i="1" s="1"/>
  <c r="AB52" i="1"/>
  <c r="AA52" i="1"/>
  <c r="AE52" i="1" s="1"/>
  <c r="AB50" i="1"/>
  <c r="AA50" i="1"/>
  <c r="AE50" i="1" s="1"/>
  <c r="AB53" i="1"/>
  <c r="AA53" i="1"/>
  <c r="AE53" i="1" s="1"/>
  <c r="AB51" i="1"/>
  <c r="AA51" i="1"/>
  <c r="AE51" i="1" s="1"/>
  <c r="AB49" i="1"/>
  <c r="AA49" i="1"/>
  <c r="AE49" i="1" s="1"/>
  <c r="AB48" i="1"/>
  <c r="AA48" i="1"/>
  <c r="AE48" i="1" s="1"/>
  <c r="AB46" i="1"/>
  <c r="AA46" i="1"/>
  <c r="AE46" i="1" s="1"/>
  <c r="AB44" i="1"/>
  <c r="AA44" i="1"/>
  <c r="AE44" i="1" s="1"/>
  <c r="AB47" i="1"/>
  <c r="AA47" i="1"/>
  <c r="AE47" i="1" s="1"/>
  <c r="AB45" i="1"/>
  <c r="AA45" i="1"/>
  <c r="AE45" i="1" s="1"/>
  <c r="AB43" i="1"/>
  <c r="AA43" i="1"/>
  <c r="AE43" i="1" s="1"/>
  <c r="AB42" i="1"/>
  <c r="AA42" i="1"/>
  <c r="AE42" i="1" s="1"/>
  <c r="AB40" i="1"/>
  <c r="AA40" i="1"/>
  <c r="AE40" i="1" s="1"/>
  <c r="AB38" i="1"/>
  <c r="AA38" i="1"/>
  <c r="AE38" i="1" s="1"/>
  <c r="AB41" i="1"/>
  <c r="AA41" i="1"/>
  <c r="AE41" i="1" s="1"/>
  <c r="AB39" i="1"/>
  <c r="AA39" i="1"/>
  <c r="AE39" i="1" s="1"/>
  <c r="AB37" i="1"/>
  <c r="AA37" i="1"/>
  <c r="AE37" i="1" s="1"/>
  <c r="AB36" i="1"/>
  <c r="AA36" i="1"/>
  <c r="AE36" i="1" s="1"/>
  <c r="AB34" i="1"/>
  <c r="AA34" i="1"/>
  <c r="AE34" i="1" s="1"/>
  <c r="AB32" i="1"/>
  <c r="AA32" i="1"/>
  <c r="AE32" i="1" s="1"/>
  <c r="AA35" i="1"/>
  <c r="AE35" i="1" s="1"/>
  <c r="AB35" i="1"/>
  <c r="AA33" i="1"/>
  <c r="AE33" i="1" s="1"/>
  <c r="AB33" i="1"/>
  <c r="AB31" i="1"/>
  <c r="AA31" i="1"/>
  <c r="AE31" i="1" s="1"/>
  <c r="AB30" i="1"/>
  <c r="AA30" i="1"/>
  <c r="AE30" i="1" s="1"/>
  <c r="AB28" i="1"/>
  <c r="AA28" i="1"/>
  <c r="AE28" i="1" s="1"/>
  <c r="AB26" i="1"/>
  <c r="AA26" i="1"/>
  <c r="AE26" i="1" s="1"/>
  <c r="AB29" i="1"/>
  <c r="AA29" i="1"/>
  <c r="AE29" i="1" s="1"/>
  <c r="AB27" i="1"/>
  <c r="AA27" i="1"/>
  <c r="AE27" i="1" s="1"/>
  <c r="AB25" i="1"/>
  <c r="AA25" i="1"/>
  <c r="AE25" i="1" s="1"/>
  <c r="AB22" i="1"/>
  <c r="AA22" i="1"/>
  <c r="AE22" i="1" s="1"/>
  <c r="AB20" i="1"/>
  <c r="AA20" i="1"/>
  <c r="AE20" i="1" s="1"/>
  <c r="AB23" i="1"/>
  <c r="AA23" i="1"/>
  <c r="AE23" i="1" s="1"/>
  <c r="AB24" i="1"/>
  <c r="AA24" i="1"/>
  <c r="AE24" i="1" s="1"/>
  <c r="AB21" i="1"/>
  <c r="AA21" i="1"/>
  <c r="AE21" i="1" s="1"/>
  <c r="AB19" i="1"/>
  <c r="AA19" i="1"/>
  <c r="AE19" i="1" s="1"/>
  <c r="AB18" i="1"/>
  <c r="AA18" i="1"/>
  <c r="AE18" i="1" s="1"/>
  <c r="AB16" i="1"/>
  <c r="AA16" i="1"/>
  <c r="AE16" i="1" s="1"/>
  <c r="AB17" i="1"/>
  <c r="AA17" i="1"/>
  <c r="AE17" i="1" s="1"/>
  <c r="AB15" i="1"/>
  <c r="AA15" i="1"/>
  <c r="AE15" i="1" s="1"/>
  <c r="AB14" i="1"/>
  <c r="AA14" i="1"/>
  <c r="AE14" i="1" s="1"/>
  <c r="AB13" i="1"/>
  <c r="AA13" i="1"/>
  <c r="J10" i="1" l="1"/>
  <c r="J19" i="1"/>
  <c r="K19" i="1" s="1"/>
  <c r="J25" i="1"/>
  <c r="J31" i="1"/>
  <c r="K31" i="1" s="1"/>
  <c r="J37" i="1"/>
  <c r="K37" i="1" s="1"/>
  <c r="J43" i="1"/>
  <c r="K43" i="1" s="1"/>
  <c r="J49" i="1"/>
  <c r="K49" i="1" s="1"/>
  <c r="J55" i="1"/>
  <c r="K55" i="1" s="1"/>
  <c r="J61" i="1"/>
  <c r="K61" i="1" s="1"/>
  <c r="V12" i="1"/>
  <c r="V11" i="1"/>
  <c r="M28" i="1"/>
  <c r="M52" i="1"/>
  <c r="M57" i="1"/>
  <c r="M33" i="1"/>
  <c r="M35" i="1"/>
  <c r="M63" i="1"/>
  <c r="M50" i="1"/>
  <c r="M26" i="1"/>
  <c r="M39" i="1"/>
  <c r="M20" i="1"/>
  <c r="M66" i="1"/>
  <c r="M65" i="1"/>
  <c r="M44" i="1"/>
  <c r="M46" i="1"/>
  <c r="M47" i="1"/>
  <c r="M40" i="1"/>
  <c r="M27" i="1"/>
  <c r="M34" i="1"/>
  <c r="M54" i="1"/>
  <c r="M48" i="1"/>
  <c r="M45" i="1"/>
  <c r="M62" i="1"/>
  <c r="M38" i="1"/>
  <c r="M36" i="1"/>
  <c r="M60" i="1"/>
  <c r="M32" i="1"/>
  <c r="M42" i="1"/>
  <c r="M23" i="1"/>
  <c r="M64" i="1"/>
  <c r="M30" i="1"/>
  <c r="M58" i="1"/>
  <c r="M51" i="1"/>
  <c r="M53" i="1"/>
  <c r="M59" i="1"/>
  <c r="M21" i="1"/>
  <c r="M56" i="1"/>
  <c r="M22" i="1"/>
  <c r="M41" i="1"/>
  <c r="M29" i="1"/>
  <c r="M24" i="1"/>
  <c r="K25" i="1" l="1"/>
  <c r="F217" i="13" l="1"/>
  <c r="S12" i="1"/>
  <c r="V10" i="1" l="1"/>
  <c r="S10" i="1"/>
  <c r="K10" i="1" l="1"/>
  <c r="M15" i="1"/>
  <c r="M14" i="1"/>
  <c r="M16" i="1"/>
  <c r="M18" i="1"/>
  <c r="M17" i="1"/>
  <c r="F221" i="13" l="1"/>
  <c r="F211" i="13"/>
  <c r="F212" i="13"/>
  <c r="F213" i="13"/>
  <c r="F214" i="13"/>
  <c r="F215" i="13"/>
  <c r="F216" i="13"/>
  <c r="F218" i="13"/>
  <c r="F219" i="13"/>
  <c r="F220" i="13"/>
  <c r="F210" i="13"/>
  <c r="M11" i="1"/>
  <c r="M12"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J13" i="1" l="1"/>
  <c r="K13"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10" i="1" l="1"/>
  <c r="AA10" i="1" s="1"/>
  <c r="AB10" i="1" l="1"/>
  <c r="Z11" i="1" l="1"/>
  <c r="Z12"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A12" i="1" l="1"/>
  <c r="AB12" i="1"/>
  <c r="AB11" i="1"/>
  <c r="AA11"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M19" i="1" l="1"/>
  <c r="N19" i="1" s="1"/>
  <c r="M25" i="1"/>
  <c r="N25" i="1" s="1"/>
  <c r="M31" i="1"/>
  <c r="N31" i="1" s="1"/>
  <c r="M37" i="1"/>
  <c r="N37" i="1" s="1"/>
  <c r="M43" i="1"/>
  <c r="N43" i="1" s="1"/>
  <c r="M49" i="1"/>
  <c r="N49" i="1" s="1"/>
  <c r="M55" i="1"/>
  <c r="N55" i="1" s="1"/>
  <c r="M61" i="1"/>
  <c r="N61" i="1" s="1"/>
  <c r="M13" i="1"/>
  <c r="N13" i="1" s="1"/>
  <c r="M10" i="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P13" i="1"/>
  <c r="R30" i="18"/>
  <c r="AD38" i="18"/>
  <c r="AD22" i="18"/>
  <c r="O13" i="1"/>
  <c r="AD13" i="1" s="1"/>
  <c r="AC13" i="1" s="1"/>
  <c r="AE13" i="1" s="1"/>
  <c r="L30" i="18"/>
  <c r="AJ14" i="18"/>
  <c r="L14" i="18"/>
  <c r="X38" i="18"/>
  <c r="L22" i="18"/>
  <c r="AD30" i="18"/>
  <c r="AJ22" i="18"/>
  <c r="X14" i="18"/>
  <c r="X6" i="18"/>
  <c r="R22" i="18"/>
  <c r="L6" i="18"/>
  <c r="X22" i="18"/>
  <c r="O61" i="1"/>
  <c r="P61"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O55" i="1"/>
  <c r="P55"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P49" i="1"/>
  <c r="O49"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O43" i="1"/>
  <c r="P43"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P37" i="1"/>
  <c r="O37"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P31" i="1"/>
  <c r="O31"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O25" i="1"/>
  <c r="P25"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O19" i="1"/>
  <c r="P19"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J26" i="19" l="1"/>
  <c r="J36" i="19"/>
  <c r="P26" i="19"/>
  <c r="AH26" i="19"/>
  <c r="J16" i="19"/>
  <c r="AH46" i="19"/>
  <c r="AE10" i="1"/>
  <c r="AB16" i="19"/>
  <c r="AB36" i="19"/>
  <c r="AH6" i="19"/>
  <c r="J46" i="19"/>
  <c r="V16" i="19"/>
  <c r="AB46" i="19"/>
  <c r="P6" i="19"/>
  <c r="V46" i="19"/>
  <c r="AH36" i="19"/>
  <c r="AB26" i="19"/>
  <c r="AH16" i="19"/>
  <c r="P46" i="19"/>
  <c r="AB6" i="19"/>
  <c r="V26" i="19"/>
  <c r="J6" i="19"/>
  <c r="P16" i="19"/>
  <c r="V36" i="19"/>
  <c r="V6" i="19"/>
  <c r="AC11" i="1"/>
  <c r="AD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<sst xmlns="http://schemas.openxmlformats.org/spreadsheetml/2006/main" count="368" uniqueCount="246">
  <si>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</si>
  <si>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</si>
  <si>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</si>
  <si>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</si>
  <si>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</si>
  <si>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</si>
  <si>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</si>
  <si>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</si>
  <si>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</si>
  <si>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</si>
  <si>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</si>
  <si>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</si>
  <si>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</si>
  <si>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</si>
  <si>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</si>
  <si>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</si>
  <si>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</si>
  <si>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</si>
  <si>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</si>
  <si>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</si>
  <si>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</si>
  <si>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</si>
  <si>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</si>
  <si>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</si>
  <si>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</si>
  <si>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</si>
  <si>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</si>
  <si>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</si>
  <si>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</si>
  <si>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</si>
  <si>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</si>
  <si>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</si>
  <si>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</si>
  <si>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</si>
  <si>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</si>
  <si>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</si>
  <si>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</si>
  <si>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</si>
  <si>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</si>
  <si>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</si>
  <si>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</si>
  <si>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</si>
  <si>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</si>
  <si>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</si>
  <si>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</si>
  <si>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</si>
  <si>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</si>
  <si>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</si>
  <si>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</si>
  <si>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</si>
  <si>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</si>
  <si>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</si>
  <si>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</si>
  <si>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</si>
  <si>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</si>
  <si>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</si>
  <si>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</si>
  <si>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</si>
  <si>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</si>
  <si>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</si>
  <si>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</si>
  <si>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</si>
  <si>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</si>
  <si>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</si>
  <si>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</si>
  <si>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</si>
  <si>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</si>
  <si>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</si>
  <si>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</si>
  <si>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</si>
  <si>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</si>
  <si>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</si>
  <si>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</si>
  <si>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</si>
  <si>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</si>
  <si>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</si>
  <si>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</si>
  <si>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</si>
  <si>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</si>
  <si>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</si>
  <si>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</si>
  <si>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</si>
  <si>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</si>
  <si>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</si>
  <si>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</si>
  <si>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</si>
  <si>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</si>
  <si>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</si>
  <si>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</si>
  <si>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</si>
  <si>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</si>
  <si>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</si>
  <si>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</si>
  <si>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</si>
  <si>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</si>
  <si>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</si>
  <si>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</si>
  <si>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</si>
  <si>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</si>
  <si>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</si>
  <si>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</si>
  <si>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</si>
  <si>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</si>
  <si>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</si>
  <si>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</si>
  <si>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</si>
  <si>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</si>
  <si>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</si>
  <si>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</si>
  <si>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</si>
  <si>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</si>
  <si>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</si>
  <si>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</si>
  <si>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</si>
  <si>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</si>
  <si>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</si>
  <si>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</si>
  <si>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</si>
  <si>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</si>
  <si>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</si>
  <si>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</si>
  <si>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</si>
  <si>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</si>
  <si>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</si>
  <si>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</si>
  <si>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</si>
  <si>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</si>
  <si>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</si>
  <si>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</si>
  <si>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</si>
  <si>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</si>
  <si>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</si>
  <si>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</si>
  <si>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</si>
  <si>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</si>
  <si>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</si>
  <si>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</si>
  <si>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</si>
  <si>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</si>
  <si>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</si>
  <si>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</si>
  <si>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</si>
  <si>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</si>
  <si>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</si>
  <si>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</si>
  <si>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</si>
  <si>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</si>
  <si>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</si>
  <si>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</si>
  <si>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</si>
  <si>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</si>
  <si>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</si>
  <si>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</si>
  <si>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</si>
  <si>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</si>
  <si>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</si>
  <si>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</si>
  <si>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</si>
  <si>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</si>
  <si>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</si>
  <si>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</si>
  <si>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</si>
  <si>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</si>
  <si>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</si>
  <si>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</si>
  <si>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</si>
  <si>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</si>
  <si>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</si>
  <si>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</si>
  <si>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</si>
  <si>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</si>
  <si>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</si>
  <si>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</si>
  <si>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</si>
  <si>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</si>
  <si>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</si>
  <si>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</si>
  <si>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</si>
  <si>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</si>
  <si>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</si>
  <si>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</si>
  <si>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</si>
  <si>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</si>
  <si>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</si>
  <si>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</si>
  <si>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</si>
  <si>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</si>
  <si>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</si>
  <si>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</si>
  <si>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</si>
  <si>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</si>
  <si>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</si>
  <si>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</si>
  <si>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</si>
  <si>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</si>
  <si>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</si>
  <si>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</si>
  <si>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</si>
  <si>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</si>
  <si>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</si>
  <si>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</si>
  <si>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</si>
  <si>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</si>
  <si>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</si>
  <si>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</si>
  <si>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</si>
  <si>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</si>
  <si>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</si>
  <si>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</si>
  <si>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</si>
  <si>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</si>
  <si>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</si>
  <si>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</si>
  <si>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</si>
  <si>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</si>
  <si>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FORMULAR, IMPLEMENTAR Y HACER SEGUIMIENTO CONTINUO A POLÍTICAS, PLANES, PROGRAMAS, PROYECTOS Y ESTRATEGIAS ENCAMINADOS A PROMOVER Y FORTALECER LA PARTICIPACIÓN CIUDADANA EN EL MARCO DE LA ÉTICA PUBLICA EN EL MUNICIPIO DE IBAGUÉ</t>
  </si>
  <si>
    <t>Investigaciones por parte de los organismos de control</t>
  </si>
  <si>
    <t xml:space="preserve"> POSIBILIDAD DE IMPACTO REPUTACIONAL A CAUSA DE INVESTIGACIONES POR PARTE DE LOS ORGANISMOS DE CONTROL DEBIDO AL INCUMPLIMIENTO EN LA PROMOCIÓN Y DEFICIENCIAS EN EL FORTALECIMIENTO DE  LA PARTICIPACIÓN CIUDADANA EN EL  EN EL MUNICIPIO DE IBAGUÉ</t>
  </si>
  <si>
    <t>INCUMPLIMIENTO EN LA PROMOCIÓN Y DEFICIENCIAS EN EL FORTALECIMIENTO DE  LA PARTICIPACIÓN CIUDADANA EN EL  EN EL MUNICIPIO DE IBAGUÉ</t>
  </si>
  <si>
    <t>Deficiencias en la planeación del proceso</t>
  </si>
  <si>
    <t>Deficiencia en las comunicación interna con los demás procesos</t>
  </si>
  <si>
    <t>Deficiencia de apropiación de la política de participación ciudadana por parte del personal de planta y contratistas</t>
  </si>
  <si>
    <t>Implementación de las actividades de la política de participación ciudadana</t>
  </si>
  <si>
    <t>Director (a) de participación ciudadna y comunitaria</t>
  </si>
  <si>
    <t>no existe control</t>
  </si>
  <si>
    <t>En comité técnico se revisara el plan estrategico de comunicacioens de la entidad, con el fin de definir una estrategia de comuniaciones adecuada las necesidades de la dirección y para la correcta implementación de la política</t>
  </si>
  <si>
    <t>El director (a) de participación ciudadana y comunitaria en los comités técnicos, revisa y socializa los diferentes componentes y avances de la política de participación ciudadana</t>
  </si>
  <si>
    <t>Realizar capacitación de la política de participación ciudadana al equipo de la dirección de participación ciudada y en comité técnico SIGAMI</t>
  </si>
  <si>
    <t>El director (a) de participación ciudadana y comunitaria de manera anual revisa el plan indicativo y POAI, con el fin de elaborar el plan de acción de la vigencia, dejando como evidencia el plan de acción</t>
  </si>
  <si>
    <t>PROCESO: PROCESO: GESTIÓN DE PARTICIPACION CIUDADANA</t>
  </si>
  <si>
    <t>Bimestral</t>
  </si>
  <si>
    <t>Se realiza segumiento a través del plan de acción y el POAI, verificando que estos se encuentren actualizados y se revisa porcentaje de cumplimiento de las metas y actividades de esta Dirección.</t>
  </si>
  <si>
    <t xml:space="preserve">Se realiza segumiento mediante actas de reunión de los comites técnicos y las evidencias presentadas, tales son las acta de reunión. </t>
  </si>
  <si>
    <t xml:space="preserve">No existe control </t>
  </si>
  <si>
    <t>En comité técnico se revisará el plan de acción de la presente vigencia, con el fin de determinar el cronograma de las actividades a desarralloarse durante el año 2024</t>
  </si>
  <si>
    <t>abril de 2024</t>
  </si>
  <si>
    <t>junio de 2024</t>
  </si>
  <si>
    <t xml:space="preserve">     SEGUIMIENTO ENERO Y FEBRERO 2024</t>
  </si>
  <si>
    <t xml:space="preserve">     SEGUIMIENTO MARZO Y ABRIL DE 2024</t>
  </si>
  <si>
    <t>Se revisa el Plan de Acción y el POAI, estructurados para el año 2024, por parte de la DPCC.</t>
  </si>
  <si>
    <t>Se revisa el Plan de Acción y el POAI, se encuentra Memorando de Remisión de los instrumentos de planeación.</t>
  </si>
  <si>
    <t xml:space="preserve">     SEGUIMIENTO MAYO Y JUNIO DE 2024</t>
  </si>
  <si>
    <t>Se revisa el Plan de Acción, a corte del 30 de junio de 2024.</t>
  </si>
  <si>
    <t xml:space="preserve">Se realiza revisión de la carpeta de comites tecnicos de la Dirección, en el que se encuentra lo sigueinte:                                 1) Acta N°001 DEL 16/01/2024, Folio #1-3.                  2)ActaN°002 DEL 26/01/2024, Folio #4-9.    </t>
  </si>
  <si>
    <t xml:space="preserve">Se realiza revisión de la carpeta de comites técnicos de la Dirección, en el que se encuentra lo sigueinte: Acta N°003 DEL 23/04/2024, Folio #10 al 18.  Donde se evidencia la socialización de puntos claves de la política de Participación Ciudadana y el codigo de integridad y buen gobierno. </t>
  </si>
  <si>
    <t xml:space="preserve">Se realiza revisión de la carpeta de comites tecnicos de la Dirección, en el que se encuentra lo sigueinte:  Acta N°004 DEL 24/05/2024, Folio #19 al 33.  Donde se evidencia que se hablo sobre la política de Participación Ciudadana y el codigo de integridad y buen gobierno.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</si>
</sst>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2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14" fontId="27" fillId="0" borderId="2" xfId="0" applyNumberFormat="1"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4" fillId="3" borderId="75" xfId="0" applyFont="1" applyFill="1" applyBorder="1" applyAlignment="1">
      <alignment vertical="center" wrapText="1"/>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1" fillId="0" borderId="5" xfId="0" applyFont="1" applyBorder="1" applyAlignment="1" applyProtection="1">
      <alignment horizontal="center" vertical="center" wrapText="1"/>
      <protection locked="0"/>
    </xf>
    <xf numFmtId="0" fontId="27" fillId="0" borderId="6"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33" xfId="0" applyFont="1" applyBorder="1" applyAlignment="1" applyProtection="1">
      <alignment vertical="center" wrapText="1"/>
      <protection locked="0"/>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 fillId="7" borderId="33"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6"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7" fillId="3" borderId="77" xfId="0" applyFont="1" applyFill="1" applyBorder="1" applyAlignment="1" applyProtection="1">
      <alignment horizontal="left" vertical="center"/>
      <protection locked="0"/>
    </xf>
    <xf numFmtId="0" fontId="27" fillId="3" borderId="78" xfId="0" applyFont="1" applyFill="1" applyBorder="1" applyAlignment="1" applyProtection="1">
      <alignment horizontal="left" vertical="center"/>
      <protection locked="0"/>
    </xf>
    <xf numFmtId="0" fontId="27" fillId="3" borderId="79"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TablaDinámica1" cacheId="5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workbookViewId="0"/>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153" t="s">
        <v>155</v>
      </c>
      <c r="C2" s="154"/>
      <c r="D2" s="154"/>
      <c r="E2" s="154"/>
      <c r="F2" s="154"/>
      <c r="G2" s="154"/>
      <c r="H2" s="155"/>
    </row>
    <row r="3" spans="2:8" x14ac:dyDescent="0.3">
      <c r="B3" s="68"/>
      <c r="C3" s="69"/>
      <c r="D3" s="69"/>
      <c r="E3" s="69"/>
      <c r="F3" s="69"/>
      <c r="G3" s="69"/>
      <c r="H3" s="70"/>
    </row>
    <row r="4" spans="2:8" ht="63" customHeight="1" x14ac:dyDescent="0.3">
      <c r="B4" s="156" t="s">
        <v>198</v>
      </c>
      <c r="C4" s="157"/>
      <c r="D4" s="157"/>
      <c r="E4" s="157"/>
      <c r="F4" s="157"/>
      <c r="G4" s="157"/>
      <c r="H4" s="158"/>
    </row>
    <row r="5" spans="2:8" ht="63" customHeight="1" x14ac:dyDescent="0.3">
      <c r="B5" s="159"/>
      <c r="C5" s="160"/>
      <c r="D5" s="160"/>
      <c r="E5" s="160"/>
      <c r="F5" s="160"/>
      <c r="G5" s="160"/>
      <c r="H5" s="161"/>
    </row>
    <row r="6" spans="2:8" x14ac:dyDescent="0.3">
      <c r="B6" s="162" t="s">
        <v>153</v>
      </c>
      <c r="C6" s="163"/>
      <c r="D6" s="163"/>
      <c r="E6" s="163"/>
      <c r="F6" s="163"/>
      <c r="G6" s="163"/>
      <c r="H6" s="164"/>
    </row>
    <row r="7" spans="2:8" ht="95.25" customHeight="1" x14ac:dyDescent="0.3">
      <c r="B7" s="172" t="s">
        <v>158</v>
      </c>
      <c r="C7" s="173"/>
      <c r="D7" s="173"/>
      <c r="E7" s="173"/>
      <c r="F7" s="173"/>
      <c r="G7" s="173"/>
      <c r="H7" s="174"/>
    </row>
    <row r="8" spans="2:8" x14ac:dyDescent="0.3">
      <c r="B8" s="102"/>
      <c r="C8" s="103"/>
      <c r="D8" s="103"/>
      <c r="E8" s="103"/>
      <c r="F8" s="103"/>
      <c r="G8" s="103"/>
      <c r="H8" s="104"/>
    </row>
    <row r="9" spans="2:8" ht="16.5" customHeight="1" x14ac:dyDescent="0.3">
      <c r="B9" s="165" t="s">
        <v>191</v>
      </c>
      <c r="C9" s="166"/>
      <c r="D9" s="166"/>
      <c r="E9" s="166"/>
      <c r="F9" s="166"/>
      <c r="G9" s="166"/>
      <c r="H9" s="167"/>
    </row>
    <row r="10" spans="2:8" ht="44.25" customHeight="1" x14ac:dyDescent="0.3">
      <c r="B10" s="165"/>
      <c r="C10" s="166"/>
      <c r="D10" s="166"/>
      <c r="E10" s="166"/>
      <c r="F10" s="166"/>
      <c r="G10" s="166"/>
      <c r="H10" s="167"/>
    </row>
    <row r="11" spans="2:8" ht="15" thickBot="1" x14ac:dyDescent="0.35">
      <c r="B11" s="91"/>
      <c r="C11" s="94"/>
      <c r="D11" s="99"/>
      <c r="E11" s="100"/>
      <c r="F11" s="100"/>
      <c r="G11" s="101"/>
      <c r="H11" s="95"/>
    </row>
    <row r="12" spans="2:8" ht="15" thickTop="1" x14ac:dyDescent="0.3">
      <c r="B12" s="91"/>
      <c r="C12" s="168" t="s">
        <v>154</v>
      </c>
      <c r="D12" s="169"/>
      <c r="E12" s="170" t="s">
        <v>192</v>
      </c>
      <c r="F12" s="171"/>
      <c r="G12" s="94"/>
      <c r="H12" s="95"/>
    </row>
    <row r="13" spans="2:8" ht="35.25" customHeight="1" x14ac:dyDescent="0.3">
      <c r="B13" s="91"/>
      <c r="C13" s="175" t="s">
        <v>185</v>
      </c>
      <c r="D13" s="176"/>
      <c r="E13" s="177" t="s">
        <v>190</v>
      </c>
      <c r="F13" s="178"/>
      <c r="G13" s="94"/>
      <c r="H13" s="95"/>
    </row>
    <row r="14" spans="2:8" ht="17.25" customHeight="1" x14ac:dyDescent="0.3">
      <c r="B14" s="91"/>
      <c r="C14" s="175" t="s">
        <v>186</v>
      </c>
      <c r="D14" s="176"/>
      <c r="E14" s="177" t="s">
        <v>188</v>
      </c>
      <c r="F14" s="178"/>
      <c r="G14" s="94"/>
      <c r="H14" s="95"/>
    </row>
    <row r="15" spans="2:8" ht="19.5" customHeight="1" x14ac:dyDescent="0.3">
      <c r="B15" s="91"/>
      <c r="C15" s="175" t="s">
        <v>187</v>
      </c>
      <c r="D15" s="176"/>
      <c r="E15" s="177" t="s">
        <v>189</v>
      </c>
      <c r="F15" s="178"/>
      <c r="G15" s="94"/>
      <c r="H15" s="95"/>
    </row>
    <row r="16" spans="2:8" ht="69.75" customHeight="1" x14ac:dyDescent="0.3">
      <c r="B16" s="91"/>
      <c r="C16" s="175" t="s">
        <v>156</v>
      </c>
      <c r="D16" s="176"/>
      <c r="E16" s="177" t="s">
        <v>157</v>
      </c>
      <c r="F16" s="178"/>
      <c r="G16" s="94"/>
      <c r="H16" s="95"/>
    </row>
    <row r="17" spans="2:8" ht="34.5" customHeight="1" x14ac:dyDescent="0.3">
      <c r="B17" s="91"/>
      <c r="C17" s="179" t="s">
        <v>2</v>
      </c>
      <c r="D17" s="180"/>
      <c r="E17" s="181" t="s">
        <v>199</v>
      </c>
      <c r="F17" s="182"/>
      <c r="G17" s="94"/>
      <c r="H17" s="95"/>
    </row>
    <row r="18" spans="2:8" ht="27.75" customHeight="1" x14ac:dyDescent="0.3">
      <c r="B18" s="91"/>
      <c r="C18" s="179" t="s">
        <v>3</v>
      </c>
      <c r="D18" s="180"/>
      <c r="E18" s="181" t="s">
        <v>200</v>
      </c>
      <c r="F18" s="182"/>
      <c r="G18" s="94"/>
      <c r="H18" s="95"/>
    </row>
    <row r="19" spans="2:8" ht="28.5" customHeight="1" x14ac:dyDescent="0.3">
      <c r="B19" s="91"/>
      <c r="C19" s="179" t="s">
        <v>42</v>
      </c>
      <c r="D19" s="180"/>
      <c r="E19" s="181" t="s">
        <v>201</v>
      </c>
      <c r="F19" s="182"/>
      <c r="G19" s="94"/>
      <c r="H19" s="95"/>
    </row>
    <row r="20" spans="2:8" ht="72.75" customHeight="1" x14ac:dyDescent="0.3">
      <c r="B20" s="91"/>
      <c r="C20" s="179" t="s">
        <v>1</v>
      </c>
      <c r="D20" s="180"/>
      <c r="E20" s="181" t="s">
        <v>202</v>
      </c>
      <c r="F20" s="182"/>
      <c r="G20" s="94"/>
      <c r="H20" s="95"/>
    </row>
    <row r="21" spans="2:8" ht="64.5" customHeight="1" x14ac:dyDescent="0.3">
      <c r="B21" s="91"/>
      <c r="C21" s="179" t="s">
        <v>50</v>
      </c>
      <c r="D21" s="180"/>
      <c r="E21" s="181" t="s">
        <v>160</v>
      </c>
      <c r="F21" s="182"/>
      <c r="G21" s="94"/>
      <c r="H21" s="95"/>
    </row>
    <row r="22" spans="2:8" ht="71.25" customHeight="1" x14ac:dyDescent="0.3">
      <c r="B22" s="91"/>
      <c r="C22" s="179" t="s">
        <v>159</v>
      </c>
      <c r="D22" s="180"/>
      <c r="E22" s="181" t="s">
        <v>161</v>
      </c>
      <c r="F22" s="182"/>
      <c r="G22" s="94"/>
      <c r="H22" s="95"/>
    </row>
    <row r="23" spans="2:8" ht="55.5" customHeight="1" x14ac:dyDescent="0.3">
      <c r="B23" s="91"/>
      <c r="C23" s="186" t="s">
        <v>162</v>
      </c>
      <c r="D23" s="187"/>
      <c r="E23" s="181" t="s">
        <v>163</v>
      </c>
      <c r="F23" s="182"/>
      <c r="G23" s="94"/>
      <c r="H23" s="95"/>
    </row>
    <row r="24" spans="2:8" ht="42" customHeight="1" x14ac:dyDescent="0.3">
      <c r="B24" s="91"/>
      <c r="C24" s="186" t="s">
        <v>48</v>
      </c>
      <c r="D24" s="187"/>
      <c r="E24" s="181" t="s">
        <v>164</v>
      </c>
      <c r="F24" s="182"/>
      <c r="G24" s="94"/>
      <c r="H24" s="95"/>
    </row>
    <row r="25" spans="2:8" ht="59.25" customHeight="1" x14ac:dyDescent="0.3">
      <c r="B25" s="91"/>
      <c r="C25" s="186" t="s">
        <v>152</v>
      </c>
      <c r="D25" s="187"/>
      <c r="E25" s="181" t="s">
        <v>165</v>
      </c>
      <c r="F25" s="182"/>
      <c r="G25" s="94"/>
      <c r="H25" s="95"/>
    </row>
    <row r="26" spans="2:8" ht="23.25" customHeight="1" x14ac:dyDescent="0.3">
      <c r="B26" s="91"/>
      <c r="C26" s="186" t="s">
        <v>12</v>
      </c>
      <c r="D26" s="187"/>
      <c r="E26" s="181" t="s">
        <v>166</v>
      </c>
      <c r="F26" s="182"/>
      <c r="G26" s="94"/>
      <c r="H26" s="95"/>
    </row>
    <row r="27" spans="2:8" ht="30.75" customHeight="1" x14ac:dyDescent="0.3">
      <c r="B27" s="91"/>
      <c r="C27" s="186" t="s">
        <v>170</v>
      </c>
      <c r="D27" s="187"/>
      <c r="E27" s="181" t="s">
        <v>167</v>
      </c>
      <c r="F27" s="182"/>
      <c r="G27" s="94"/>
      <c r="H27" s="95"/>
    </row>
    <row r="28" spans="2:8" ht="35.25" customHeight="1" x14ac:dyDescent="0.3">
      <c r="B28" s="91"/>
      <c r="C28" s="186" t="s">
        <v>171</v>
      </c>
      <c r="D28" s="187"/>
      <c r="E28" s="181" t="s">
        <v>168</v>
      </c>
      <c r="F28" s="182"/>
      <c r="G28" s="94"/>
      <c r="H28" s="95"/>
    </row>
    <row r="29" spans="2:8" ht="33" customHeight="1" x14ac:dyDescent="0.3">
      <c r="B29" s="91"/>
      <c r="C29" s="186" t="s">
        <v>171</v>
      </c>
      <c r="D29" s="187"/>
      <c r="E29" s="181" t="s">
        <v>168</v>
      </c>
      <c r="F29" s="182"/>
      <c r="G29" s="94"/>
      <c r="H29" s="95"/>
    </row>
    <row r="30" spans="2:8" ht="30" customHeight="1" x14ac:dyDescent="0.3">
      <c r="B30" s="91"/>
      <c r="C30" s="186" t="s">
        <v>172</v>
      </c>
      <c r="D30" s="187"/>
      <c r="E30" s="181" t="s">
        <v>169</v>
      </c>
      <c r="F30" s="182"/>
      <c r="G30" s="94"/>
      <c r="H30" s="95"/>
    </row>
    <row r="31" spans="2:8" ht="35.25" customHeight="1" x14ac:dyDescent="0.3">
      <c r="B31" s="91"/>
      <c r="C31" s="186" t="s">
        <v>173</v>
      </c>
      <c r="D31" s="187"/>
      <c r="E31" s="181" t="s">
        <v>174</v>
      </c>
      <c r="F31" s="182"/>
      <c r="G31" s="94"/>
      <c r="H31" s="95"/>
    </row>
    <row r="32" spans="2:8" ht="31.5" customHeight="1" x14ac:dyDescent="0.3">
      <c r="B32" s="91"/>
      <c r="C32" s="186" t="s">
        <v>175</v>
      </c>
      <c r="D32" s="187"/>
      <c r="E32" s="181" t="s">
        <v>176</v>
      </c>
      <c r="F32" s="182"/>
      <c r="G32" s="94"/>
      <c r="H32" s="95"/>
    </row>
    <row r="33" spans="2:8" ht="35.25" customHeight="1" x14ac:dyDescent="0.3">
      <c r="B33" s="91"/>
      <c r="C33" s="186" t="s">
        <v>177</v>
      </c>
      <c r="D33" s="187"/>
      <c r="E33" s="181" t="s">
        <v>178</v>
      </c>
      <c r="F33" s="182"/>
      <c r="G33" s="94"/>
      <c r="H33" s="95"/>
    </row>
    <row r="34" spans="2:8" ht="59.25" customHeight="1" x14ac:dyDescent="0.3">
      <c r="B34" s="91"/>
      <c r="C34" s="186" t="s">
        <v>179</v>
      </c>
      <c r="D34" s="187"/>
      <c r="E34" s="181" t="s">
        <v>180</v>
      </c>
      <c r="F34" s="182"/>
      <c r="G34" s="94"/>
      <c r="H34" s="95"/>
    </row>
    <row r="35" spans="2:8" ht="29.25" customHeight="1" x14ac:dyDescent="0.3">
      <c r="B35" s="91"/>
      <c r="C35" s="186" t="s">
        <v>29</v>
      </c>
      <c r="D35" s="187"/>
      <c r="E35" s="181" t="s">
        <v>181</v>
      </c>
      <c r="F35" s="182"/>
      <c r="G35" s="94"/>
      <c r="H35" s="95"/>
    </row>
    <row r="36" spans="2:8" ht="82.5" customHeight="1" x14ac:dyDescent="0.3">
      <c r="B36" s="91"/>
      <c r="C36" s="186" t="s">
        <v>183</v>
      </c>
      <c r="D36" s="187"/>
      <c r="E36" s="181" t="s">
        <v>182</v>
      </c>
      <c r="F36" s="182"/>
      <c r="G36" s="94"/>
      <c r="H36" s="95"/>
    </row>
    <row r="37" spans="2:8" ht="46.5" customHeight="1" x14ac:dyDescent="0.3">
      <c r="B37" s="91"/>
      <c r="C37" s="186" t="s">
        <v>39</v>
      </c>
      <c r="D37" s="187"/>
      <c r="E37" s="181" t="s">
        <v>184</v>
      </c>
      <c r="F37" s="182"/>
      <c r="G37" s="94"/>
      <c r="H37" s="95"/>
    </row>
    <row r="38" spans="2:8" ht="6.75" customHeight="1" thickBot="1" x14ac:dyDescent="0.35">
      <c r="B38" s="91"/>
      <c r="C38" s="188"/>
      <c r="D38" s="189"/>
      <c r="E38" s="190"/>
      <c r="F38" s="191"/>
      <c r="G38" s="94"/>
      <c r="H38" s="95"/>
    </row>
    <row r="39" spans="2:8" ht="15" thickTop="1" x14ac:dyDescent="0.3">
      <c r="B39" s="91"/>
      <c r="C39" s="92"/>
      <c r="D39" s="92"/>
      <c r="E39" s="93"/>
      <c r="F39" s="93"/>
      <c r="G39" s="94"/>
      <c r="H39" s="95"/>
    </row>
    <row r="40" spans="2:8" ht="21" customHeight="1" x14ac:dyDescent="0.3">
      <c r="B40" s="183" t="s">
        <v>193</v>
      </c>
      <c r="C40" s="184"/>
      <c r="D40" s="184"/>
      <c r="E40" s="184"/>
      <c r="F40" s="184"/>
      <c r="G40" s="184"/>
      <c r="H40" s="185"/>
    </row>
    <row r="41" spans="2:8" ht="20.25" customHeight="1" x14ac:dyDescent="0.3">
      <c r="B41" s="183" t="s">
        <v>194</v>
      </c>
      <c r="C41" s="184"/>
      <c r="D41" s="184"/>
      <c r="E41" s="184"/>
      <c r="F41" s="184"/>
      <c r="G41" s="184"/>
      <c r="H41" s="185"/>
    </row>
    <row r="42" spans="2:8" ht="20.25" customHeight="1" x14ac:dyDescent="0.3">
      <c r="B42" s="183" t="s">
        <v>195</v>
      </c>
      <c r="C42" s="184"/>
      <c r="D42" s="184"/>
      <c r="E42" s="184"/>
      <c r="F42" s="184"/>
      <c r="G42" s="184"/>
      <c r="H42" s="185"/>
    </row>
    <row r="43" spans="2:8" ht="20.25" customHeight="1" x14ac:dyDescent="0.3">
      <c r="B43" s="183" t="s">
        <v>196</v>
      </c>
      <c r="C43" s="184"/>
      <c r="D43" s="184"/>
      <c r="E43" s="184"/>
      <c r="F43" s="184"/>
      <c r="G43" s="184"/>
      <c r="H43" s="185"/>
    </row>
    <row r="44" spans="2:8" x14ac:dyDescent="0.3">
      <c r="B44" s="183" t="s">
        <v>197</v>
      </c>
      <c r="C44" s="184"/>
      <c r="D44" s="184"/>
      <c r="E44" s="184"/>
      <c r="F44" s="184"/>
      <c r="G44" s="184"/>
      <c r="H44" s="185"/>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69"/>
  <sheetViews>
    <sheetView tabSelected="1" topLeftCell="E7" zoomScale="70" zoomScaleNormal="70" workbookViewId="0">
      <pane xSplit="1" topLeftCell="F1" activePane="topRight" state="frozen"/>
      <selection activeCell="E10" sqref="E10"/>
      <selection pane="topRight" activeCell="N10" sqref="N10:N12"/>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6" width="20.109375" style="1" customWidth="1"/>
    <col min="7" max="7" width="21.33203125" style="1" customWidth="1"/>
    <col min="8" max="8" width="18.109375" style="5" customWidth="1"/>
    <col min="9" max="9" width="14.33203125" style="1" customWidth="1"/>
    <col min="10" max="10" width="12" style="1" customWidth="1"/>
    <col min="11" max="11" width="6.33203125" style="1" bestFit="1" customWidth="1"/>
    <col min="12" max="12" width="20.44140625" style="1" customWidth="1"/>
    <col min="13" max="13" width="28.33203125" style="1" hidden="1" customWidth="1"/>
    <col min="14" max="14" width="17.5546875" style="1" customWidth="1"/>
    <col min="15" max="15" width="6.33203125" style="1" bestFit="1" customWidth="1"/>
    <col min="16" max="16" width="16" style="1" customWidth="1"/>
    <col min="17" max="17" width="5.88671875" style="1" customWidth="1"/>
    <col min="18" max="18" width="25.6640625" style="1" customWidth="1"/>
    <col min="19" max="19" width="15.109375" style="1" bestFit="1" customWidth="1"/>
    <col min="20" max="20" width="6.88671875" style="1" customWidth="1"/>
    <col min="21" max="21" width="5" style="1" customWidth="1"/>
    <col min="22" max="22" width="5.5546875" style="1" customWidth="1"/>
    <col min="23" max="23" width="7.109375" style="1" customWidth="1"/>
    <col min="24" max="24" width="6.6640625" style="1" customWidth="1"/>
    <col min="25" max="25" width="4.6640625" style="1" bestFit="1" customWidth="1"/>
    <col min="26" max="26" width="9.5546875" style="1" customWidth="1"/>
    <col min="27" max="27" width="8.6640625" style="1" customWidth="1"/>
    <col min="28" max="28" width="10.44140625" style="1" customWidth="1"/>
    <col min="29" max="29" width="9.33203125" style="1" customWidth="1"/>
    <col min="30" max="30" width="9.109375" style="1" customWidth="1"/>
    <col min="31" max="31" width="8.44140625" style="1" customWidth="1"/>
    <col min="32" max="32" width="7.33203125" style="1" customWidth="1"/>
    <col min="33" max="33" width="23" style="1" customWidth="1"/>
    <col min="34" max="34" width="18.88671875" style="1" customWidth="1"/>
    <col min="35" max="35" width="16.88671875" style="1" customWidth="1"/>
    <col min="36" max="36" width="14.88671875" style="1" customWidth="1"/>
    <col min="37" max="37" width="18.5546875" style="1" customWidth="1"/>
    <col min="38" max="38" width="21" style="1" customWidth="1"/>
    <col min="39" max="39" width="25.88671875" style="1" customWidth="1"/>
    <col min="40" max="40" width="24" style="1" customWidth="1"/>
    <col min="41" max="41" width="21.5546875" style="1" customWidth="1"/>
    <col min="42" max="16384" width="11.44140625" style="1"/>
  </cols>
  <sheetData>
    <row r="1" spans="1:70" ht="16.5" customHeight="1" x14ac:dyDescent="0.25">
      <c r="A1" s="265" t="s">
        <v>139</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7"/>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25">
      <c r="A2" s="268"/>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70"/>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25">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25">
      <c r="A4" s="245" t="s">
        <v>43</v>
      </c>
      <c r="B4" s="246"/>
      <c r="C4" s="253" t="s">
        <v>229</v>
      </c>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5"/>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25">
      <c r="A5" s="245" t="s">
        <v>125</v>
      </c>
      <c r="B5" s="246"/>
      <c r="C5" s="256" t="s">
        <v>215</v>
      </c>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25">
      <c r="A6" s="245" t="s">
        <v>44</v>
      </c>
      <c r="B6" s="246"/>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25">
      <c r="A7" s="271" t="s">
        <v>134</v>
      </c>
      <c r="B7" s="272"/>
      <c r="C7" s="273"/>
      <c r="D7" s="273"/>
      <c r="E7" s="273"/>
      <c r="F7" s="273"/>
      <c r="G7" s="273"/>
      <c r="H7" s="273"/>
      <c r="I7" s="274"/>
      <c r="J7" s="218" t="s">
        <v>135</v>
      </c>
      <c r="K7" s="273"/>
      <c r="L7" s="273"/>
      <c r="M7" s="273"/>
      <c r="N7" s="273"/>
      <c r="O7" s="273"/>
      <c r="P7" s="274"/>
      <c r="Q7" s="218" t="s">
        <v>136</v>
      </c>
      <c r="R7" s="273"/>
      <c r="S7" s="273"/>
      <c r="T7" s="273"/>
      <c r="U7" s="273"/>
      <c r="V7" s="273"/>
      <c r="W7" s="273"/>
      <c r="X7" s="273"/>
      <c r="Y7" s="274"/>
      <c r="Z7" s="218" t="s">
        <v>137</v>
      </c>
      <c r="AA7" s="273"/>
      <c r="AB7" s="273"/>
      <c r="AC7" s="273"/>
      <c r="AD7" s="273"/>
      <c r="AE7" s="273"/>
      <c r="AF7" s="274"/>
      <c r="AG7" s="218" t="s">
        <v>34</v>
      </c>
      <c r="AH7" s="273"/>
      <c r="AI7" s="273"/>
      <c r="AJ7" s="273"/>
      <c r="AK7" s="273"/>
      <c r="AL7" s="274"/>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25">
      <c r="A8" s="247" t="s">
        <v>0</v>
      </c>
      <c r="B8" s="220" t="s">
        <v>2</v>
      </c>
      <c r="C8" s="214" t="s">
        <v>3</v>
      </c>
      <c r="D8" s="214" t="s">
        <v>42</v>
      </c>
      <c r="E8" s="221" t="s">
        <v>203</v>
      </c>
      <c r="F8" s="249" t="s">
        <v>1</v>
      </c>
      <c r="G8" s="138"/>
      <c r="H8" s="221" t="s">
        <v>50</v>
      </c>
      <c r="I8" s="214" t="s">
        <v>130</v>
      </c>
      <c r="J8" s="216" t="s">
        <v>33</v>
      </c>
      <c r="K8" s="217" t="s">
        <v>5</v>
      </c>
      <c r="L8" s="221" t="s">
        <v>86</v>
      </c>
      <c r="M8" s="221" t="s">
        <v>91</v>
      </c>
      <c r="N8" s="219" t="s">
        <v>45</v>
      </c>
      <c r="O8" s="217" t="s">
        <v>5</v>
      </c>
      <c r="P8" s="214" t="s">
        <v>48</v>
      </c>
      <c r="Q8" s="251" t="s">
        <v>11</v>
      </c>
      <c r="R8" s="215" t="s">
        <v>152</v>
      </c>
      <c r="S8" s="221" t="s">
        <v>12</v>
      </c>
      <c r="T8" s="215" t="s">
        <v>8</v>
      </c>
      <c r="U8" s="215"/>
      <c r="V8" s="215"/>
      <c r="W8" s="215"/>
      <c r="X8" s="215"/>
      <c r="Y8" s="215"/>
      <c r="Z8" s="213" t="s">
        <v>133</v>
      </c>
      <c r="AA8" s="213" t="s">
        <v>46</v>
      </c>
      <c r="AB8" s="213" t="s">
        <v>5</v>
      </c>
      <c r="AC8" s="213" t="s">
        <v>47</v>
      </c>
      <c r="AD8" s="213" t="s">
        <v>5</v>
      </c>
      <c r="AE8" s="213" t="s">
        <v>49</v>
      </c>
      <c r="AF8" s="251" t="s">
        <v>29</v>
      </c>
      <c r="AG8" s="215" t="s">
        <v>34</v>
      </c>
      <c r="AH8" s="215" t="s">
        <v>35</v>
      </c>
      <c r="AI8" s="215" t="s">
        <v>36</v>
      </c>
      <c r="AJ8" s="215" t="s">
        <v>38</v>
      </c>
      <c r="AK8" s="215" t="s">
        <v>37</v>
      </c>
      <c r="AL8" s="244" t="s">
        <v>39</v>
      </c>
      <c r="AM8" s="192" t="s">
        <v>237</v>
      </c>
      <c r="AN8" s="192" t="s">
        <v>238</v>
      </c>
      <c r="AO8" s="192" t="s">
        <v>241</v>
      </c>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3">
      <c r="A9" s="248"/>
      <c r="B9" s="220"/>
      <c r="C9" s="215"/>
      <c r="D9" s="215"/>
      <c r="E9" s="216"/>
      <c r="F9" s="250"/>
      <c r="G9" s="138" t="s">
        <v>204</v>
      </c>
      <c r="H9" s="214"/>
      <c r="I9" s="215"/>
      <c r="J9" s="214"/>
      <c r="K9" s="218"/>
      <c r="L9" s="214"/>
      <c r="M9" s="214"/>
      <c r="N9" s="218"/>
      <c r="O9" s="218"/>
      <c r="P9" s="215"/>
      <c r="Q9" s="252"/>
      <c r="R9" s="215"/>
      <c r="S9" s="214"/>
      <c r="T9" s="7" t="s">
        <v>13</v>
      </c>
      <c r="U9" s="7" t="s">
        <v>17</v>
      </c>
      <c r="V9" s="7" t="s">
        <v>28</v>
      </c>
      <c r="W9" s="7" t="s">
        <v>18</v>
      </c>
      <c r="X9" s="7" t="s">
        <v>21</v>
      </c>
      <c r="Y9" s="7" t="s">
        <v>24</v>
      </c>
      <c r="Z9" s="213"/>
      <c r="AA9" s="213"/>
      <c r="AB9" s="213"/>
      <c r="AC9" s="213"/>
      <c r="AD9" s="213"/>
      <c r="AE9" s="213"/>
      <c r="AF9" s="252"/>
      <c r="AG9" s="215"/>
      <c r="AH9" s="215"/>
      <c r="AI9" s="215"/>
      <c r="AJ9" s="215"/>
      <c r="AK9" s="215"/>
      <c r="AL9" s="244"/>
      <c r="AM9" s="192"/>
      <c r="AN9" s="192"/>
      <c r="AO9" s="192"/>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71.6" x14ac:dyDescent="0.3">
      <c r="A10" s="202">
        <v>1</v>
      </c>
      <c r="B10" s="204" t="s">
        <v>127</v>
      </c>
      <c r="C10" s="204" t="s">
        <v>216</v>
      </c>
      <c r="D10" s="206" t="s">
        <v>218</v>
      </c>
      <c r="E10" s="139" t="s">
        <v>219</v>
      </c>
      <c r="F10" s="206" t="s">
        <v>217</v>
      </c>
      <c r="G10" s="206" t="s">
        <v>222</v>
      </c>
      <c r="H10" s="196" t="s">
        <v>118</v>
      </c>
      <c r="I10" s="198">
        <v>243</v>
      </c>
      <c r="J10" s="200" t="str">
        <f>IF(I10&lt;=0,"",IF(I10&lt;=2,"Muy Baja",IF(I10&lt;=24,"Baja",IF(I10&lt;=500,"Media",IF(I10&lt;=5000,"Alta","Muy Alta")))))</f>
        <v>Media</v>
      </c>
      <c r="K10" s="209">
        <f>IF(J10="","",IF(J10="Muy Baja",0.2,IF(J10="Baja",0.4,IF(J10="Media",0.6,IF(J10="Alta",0.8,IF(J10="Muy Alta",1,))))))</f>
        <v>0.6</v>
      </c>
      <c r="L10" s="211" t="s">
        <v>145</v>
      </c>
      <c r="M10" s="209" t="str">
        <f>IF(NOT(ISERROR(MATCH(L10,'Tabla Impacto'!$B$221:$B$223,0))),'Tabla Impacto'!$F$223&amp;"Por favor no seleccionar los criterios de impacto(Afectación Económica o presupuestal y Pérdida Reputacional)",L10)</f>
        <v xml:space="preserve">     El riesgo afecta la imagen de la entidad con algunos usuarios de relevancia frente al logro de los objetivos</v>
      </c>
      <c r="N10" s="200" t="str">
        <f>IF(OR(M10='Tabla Impacto'!$C$11,M10='Tabla Impacto'!$D$11),"Leve",IF(OR(M10='Tabla Impacto'!$C$12,M10='Tabla Impacto'!$D$12),"Menor",IF(OR(M10='Tabla Impacto'!$C$13,M10='Tabla Impacto'!$D$13),"Moderado",IF(OR(M10='Tabla Impacto'!$C$14,M10='Tabla Impacto'!$D$14),"Mayor",IF(OR(M10='Tabla Impacto'!$C$15,M10='Tabla Impacto'!$D$15),"Catastrófico","")))))</f>
        <v>Moderado</v>
      </c>
      <c r="O10" s="209">
        <f>IF(N10="","",IF(N10="Leve",0.2,IF(N10="Menor",0.4,IF(N10="Moderado",0.6,IF(N10="Mayor",0.8,IF(N10="Catastrófico",1,))))))</f>
        <v>0.6</v>
      </c>
      <c r="P10" s="207" t="str">
        <f>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Moderado</v>
      </c>
      <c r="Q10" s="105">
        <v>1</v>
      </c>
      <c r="R10" s="113" t="s">
        <v>228</v>
      </c>
      <c r="S10" s="107" t="str">
        <f>IF(OR(T10="Preventivo",T10="Detectivo"),"Probabilidad",IF(T10="Correctivo","Impacto",""))</f>
        <v>Probabilidad</v>
      </c>
      <c r="T10" s="114" t="s">
        <v>14</v>
      </c>
      <c r="U10" s="114" t="s">
        <v>9</v>
      </c>
      <c r="V10" s="115" t="str">
        <f>IF(AND(T10="Preventivo",U10="Automático"),"50%",IF(AND(T10="Preventivo",U10="Manual"),"40%",IF(AND(T10="Detectivo",U10="Automático"),"40%",IF(AND(T10="Detectivo",U10="Manual"),"30%",IF(AND(T10="Correctivo",U10="Automático"),"35%",IF(AND(T10="Correctivo",U10="Manual"),"25%",""))))))</f>
        <v>40%</v>
      </c>
      <c r="W10" s="114" t="s">
        <v>19</v>
      </c>
      <c r="X10" s="114" t="s">
        <v>22</v>
      </c>
      <c r="Y10" s="114" t="s">
        <v>114</v>
      </c>
      <c r="Z10" s="108">
        <f>IFERROR(IF(S10="Probabilidad",(K10-(+K10*V10)),IF(S10="Impacto",K10,"")),"")</f>
        <v>0.36</v>
      </c>
      <c r="AA10" s="118" t="str">
        <f>IFERROR(IF(Z10="","",IF(Z10&lt;=0.2,"Muy Baja",IF(Z10&lt;=0.4,"Baja",IF(Z10&lt;=0.6,"Media",IF(Z10&lt;=0.8,"Alta","Muy Alta"))))),"")</f>
        <v>Baja</v>
      </c>
      <c r="AB10" s="119">
        <f>+Z10</f>
        <v>0.36</v>
      </c>
      <c r="AC10" s="118" t="str">
        <f>IFERROR(IF(AD10="","",IF(AD10&lt;=0.2,"Leve",IF(AD10&lt;=0.4,"Menor",IF(AD10&lt;=0.6,"Moderado",IF(AD10&lt;=0.8,"Mayor","Catastrófico"))))),"")</f>
        <v>Moderado</v>
      </c>
      <c r="AD10" s="119">
        <f>IFERROR(IF(S10="Impacto",(O10-(+O10*V10)),IF(S10="Probabilidad",O10,"")),"")</f>
        <v>0.6</v>
      </c>
      <c r="AE10" s="120" t="str">
        <f>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121" t="s">
        <v>131</v>
      </c>
      <c r="AG10" s="116" t="s">
        <v>234</v>
      </c>
      <c r="AH10" s="116" t="s">
        <v>223</v>
      </c>
      <c r="AI10" s="117" t="s">
        <v>235</v>
      </c>
      <c r="AJ10" s="117" t="s">
        <v>230</v>
      </c>
      <c r="AK10" s="116" t="s">
        <v>231</v>
      </c>
      <c r="AL10" s="150" t="s">
        <v>41</v>
      </c>
      <c r="AM10" s="152" t="s">
        <v>239</v>
      </c>
      <c r="AN10" s="152" t="s">
        <v>240</v>
      </c>
      <c r="AO10" s="152" t="s">
        <v>242</v>
      </c>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110.4" x14ac:dyDescent="0.25">
      <c r="A11" s="203"/>
      <c r="B11" s="205"/>
      <c r="C11" s="205"/>
      <c r="D11" s="206"/>
      <c r="E11" s="139" t="s">
        <v>220</v>
      </c>
      <c r="F11" s="206"/>
      <c r="G11" s="206"/>
      <c r="H11" s="197"/>
      <c r="I11" s="199"/>
      <c r="J11" s="201"/>
      <c r="K11" s="210"/>
      <c r="L11" s="212"/>
      <c r="M11" s="210">
        <f>IF(NOT(ISERROR(MATCH(L11,_xlfn.ANCHORARRAY(F19),0))),K21&amp;"Por favor no seleccionar los criterios de impacto",L11)</f>
        <v>0</v>
      </c>
      <c r="N11" s="201"/>
      <c r="O11" s="210"/>
      <c r="P11" s="208"/>
      <c r="Q11" s="105">
        <v>2</v>
      </c>
      <c r="R11" s="106" t="s">
        <v>224</v>
      </c>
      <c r="S11" s="107" t="str">
        <f>IF(OR(T11="Preventivo",T11="Detectivo"),"Probabilidad",IF(T11="Correctivo","Impacto",""))</f>
        <v>Impacto</v>
      </c>
      <c r="T11" s="114" t="s">
        <v>16</v>
      </c>
      <c r="U11" s="114" t="s">
        <v>9</v>
      </c>
      <c r="V11" s="115" t="str">
        <f t="shared" ref="V11" si="0">IF(AND(T11="Preventivo",U11="Automático"),"50%",IF(AND(T11="Preventivo",U11="Manual"),"40%",IF(AND(T11="Detectivo",U11="Automático"),"40%",IF(AND(T11="Detectivo",U11="Manual"),"30%",IF(AND(T11="Correctivo",U11="Automático"),"35%",IF(AND(T11="Correctivo",U11="Manual"),"25%",""))))))</f>
        <v>25%</v>
      </c>
      <c r="W11" s="114" t="s">
        <v>20</v>
      </c>
      <c r="X11" s="114" t="s">
        <v>23</v>
      </c>
      <c r="Y11" s="114" t="s">
        <v>115</v>
      </c>
      <c r="Z11" s="108">
        <f>IFERROR(IF(AND(S10="Probabilidad",S11="Probabilidad"),(AB10-(+AB10*V11)),IF(AND(S10="Impacto",S11="Probabilidad"),(K10-(+K10*V11)),IF(S11="Impacto",AB10,""))),"")</f>
        <v>0.36</v>
      </c>
      <c r="AA11" s="118" t="str">
        <f t="shared" ref="AA11" si="1">IFERROR(IF(Z11="","",IF(Z11&lt;=0.2,"Muy Baja",IF(Z11&lt;=0.4,"Baja",IF(Z11&lt;=0.6,"Media",IF(Z11&lt;=0.8,"Alta","Muy Alta"))))),"")</f>
        <v>Baja</v>
      </c>
      <c r="AB11" s="119">
        <f>+Z11</f>
        <v>0.36</v>
      </c>
      <c r="AC11" s="118" t="str">
        <f t="shared" ref="AC11" si="2">IFERROR(IF(AD11="","",IF(AD11&lt;=0.2,"Leve",IF(AD11&lt;=0.4,"Menor",IF(AD11&lt;=0.6,"Moderado",IF(AD11&lt;=0.8,"Mayor","Catastrófico"))))),"")</f>
        <v>Moderado</v>
      </c>
      <c r="AD11" s="119">
        <f>IFERROR(IF(AND(S10="Impacto",S11="Impacto"),(AD10-(+AD10*V11)),IF(AND(S10="Probabilidad",S11="Impacto"),(O10-(+O10*V11)),IF(S11="Probabilidad",AD10,""))),"")</f>
        <v>0.44999999999999996</v>
      </c>
      <c r="AE11" s="120" t="str">
        <f t="shared" ref="AE1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121" t="s">
        <v>131</v>
      </c>
      <c r="AG11" s="109" t="s">
        <v>225</v>
      </c>
      <c r="AH11" s="116" t="s">
        <v>223</v>
      </c>
      <c r="AI11" s="117" t="s">
        <v>236</v>
      </c>
      <c r="AJ11" s="117" t="s">
        <v>230</v>
      </c>
      <c r="AK11" s="106"/>
      <c r="AL11" s="151" t="s">
        <v>41</v>
      </c>
      <c r="AM11" s="152" t="s">
        <v>233</v>
      </c>
      <c r="AN11" s="152" t="s">
        <v>233</v>
      </c>
      <c r="AO11" s="152" t="s">
        <v>233</v>
      </c>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151.80000000000001" x14ac:dyDescent="0.25">
      <c r="A12" s="203"/>
      <c r="B12" s="205"/>
      <c r="C12" s="205"/>
      <c r="D12" s="206"/>
      <c r="E12" s="139" t="s">
        <v>221</v>
      </c>
      <c r="F12" s="206"/>
      <c r="G12" s="206"/>
      <c r="H12" s="197"/>
      <c r="I12" s="199"/>
      <c r="J12" s="201"/>
      <c r="K12" s="210"/>
      <c r="L12" s="212"/>
      <c r="M12" s="210">
        <f>IF(NOT(ISERROR(MATCH(L12,_xlfn.ANCHORARRAY(F20),0))),K22&amp;"Por favor no seleccionar los criterios de impacto",L12)</f>
        <v>0</v>
      </c>
      <c r="N12" s="201"/>
      <c r="O12" s="210"/>
      <c r="P12" s="208"/>
      <c r="Q12" s="105">
        <v>3</v>
      </c>
      <c r="R12" s="112" t="s">
        <v>226</v>
      </c>
      <c r="S12" s="107" t="str">
        <f t="shared" ref="S12" si="4">IF(OR(T12="Preventivo",T12="Detectivo"),"Probabilidad",IF(T12="Correctivo","Impacto",""))</f>
        <v>Probabilidad</v>
      </c>
      <c r="T12" s="114" t="s">
        <v>14</v>
      </c>
      <c r="U12" s="114" t="s">
        <v>9</v>
      </c>
      <c r="V12" s="115" t="str">
        <f t="shared" ref="V12" si="5">IF(AND(T12="Preventivo",U12="Automático"),"50%",IF(AND(T12="Preventivo",U12="Manual"),"40%",IF(AND(T12="Detectivo",U12="Automático"),"40%",IF(AND(T12="Detectivo",U12="Manual"),"30%",IF(AND(T12="Correctivo",U12="Automático"),"35%",IF(AND(T12="Correctivo",U12="Manual"),"25%",""))))))</f>
        <v>40%</v>
      </c>
      <c r="W12" s="114" t="s">
        <v>20</v>
      </c>
      <c r="X12" s="114" t="s">
        <v>23</v>
      </c>
      <c r="Y12" s="114" t="s">
        <v>114</v>
      </c>
      <c r="Z12" s="108">
        <f>IFERROR(IF(AND(S11="Probabilidad",S12="Probabilidad"),(AB11-(+AB11*V12)),IF(AND(S11="Impacto",S12="Probabilidad"),(AB10-(+AB10*V12)),IF(S12="Impacto",AB11,""))),"")</f>
        <v>0.216</v>
      </c>
      <c r="AA12" s="118" t="str">
        <f t="shared" ref="AA12" si="6">IFERROR(IF(Z12="","",IF(Z12&lt;=0.2,"Muy Baja",IF(Z12&lt;=0.4,"Baja",IF(Z12&lt;=0.6,"Media",IF(Z12&lt;=0.8,"Alta","Muy Alta"))))),"")</f>
        <v>Baja</v>
      </c>
      <c r="AB12" s="119">
        <f t="shared" ref="AB12" si="7">+Z12</f>
        <v>0.216</v>
      </c>
      <c r="AC12" s="118" t="str">
        <f t="shared" ref="AC12" si="8">IFERROR(IF(AD12="","",IF(AD12&lt;=0.2,"Leve",IF(AD12&lt;=0.4,"Menor",IF(AD12&lt;=0.6,"Moderado",IF(AD12&lt;=0.8,"Mayor","Catastrófico"))))),"")</f>
        <v>Moderado</v>
      </c>
      <c r="AD12" s="119">
        <f t="shared" ref="AD12" si="9">IFERROR(IF(AND(S11="Impacto",S12="Impacto"),(AD11-(+AD11*V12)),IF(AND(S11="Probabilidad",S12="Impacto"),(AD10-(+AD10*V12)),IF(S12="Probabilidad",AD11,""))),"")</f>
        <v>0.44999999999999996</v>
      </c>
      <c r="AE12" s="120" t="str">
        <f t="shared" ref="AE12"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121"/>
      <c r="AG12" s="109" t="s">
        <v>227</v>
      </c>
      <c r="AH12" s="116" t="s">
        <v>223</v>
      </c>
      <c r="AI12" s="117" t="s">
        <v>236</v>
      </c>
      <c r="AJ12" s="117" t="s">
        <v>230</v>
      </c>
      <c r="AK12" s="116" t="s">
        <v>232</v>
      </c>
      <c r="AL12" s="151" t="s">
        <v>41</v>
      </c>
      <c r="AM12" s="152" t="s">
        <v>243</v>
      </c>
      <c r="AN12" s="152" t="s">
        <v>244</v>
      </c>
      <c r="AO12" s="152" t="s">
        <v>245</v>
      </c>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71.25" customHeight="1" x14ac:dyDescent="0.25">
      <c r="A13" s="202">
        <v>2</v>
      </c>
      <c r="B13" s="259"/>
      <c r="C13" s="259"/>
      <c r="D13" s="222"/>
      <c r="E13" s="140"/>
      <c r="F13" s="225"/>
      <c r="G13" s="141"/>
      <c r="H13" s="235"/>
      <c r="I13" s="238"/>
      <c r="J13" s="229" t="str">
        <f>IF(I13&lt;=0,"",IF(I13&lt;=2,"Muy Baja",IF(I13&lt;=24,"Baja",IF(I13&lt;=500,"Media",IF(I13&lt;=5000,"Alta","Muy Alta")))))</f>
        <v/>
      </c>
      <c r="K13" s="226" t="str">
        <f>IF(J13="","",IF(J13="Muy Baja",0.2,IF(J13="Baja",0.4,IF(J13="Media",0.6,IF(J13="Alta",0.8,IF(J13="Muy Alta",1,))))))</f>
        <v/>
      </c>
      <c r="L13" s="241"/>
      <c r="M13" s="226">
        <f>IF(NOT(ISERROR(MATCH(L13,'Tabla Impacto'!$B$221:$B$223,0))),'Tabla Impacto'!$F$223&amp;"Por favor no seleccionar los criterios de impacto(Afectación Económica o presupuestal y Pérdida Reputacional)",L13)</f>
        <v>0</v>
      </c>
      <c r="N13" s="229" t="str">
        <f>IF(OR(M13='Tabla Impacto'!$C$11,M13='Tabla Impacto'!$D$11),"Leve",IF(OR(M13='Tabla Impacto'!$C$12,M13='Tabla Impacto'!$D$12),"Menor",IF(OR(M13='Tabla Impacto'!$C$13,M13='Tabla Impacto'!$D$13),"Moderado",IF(OR(M13='Tabla Impacto'!$C$14,M13='Tabla Impacto'!$D$14),"Mayor",IF(OR(M13='Tabla Impacto'!$C$15,M13='Tabla Impacto'!$D$15),"Catastrófico","")))))</f>
        <v/>
      </c>
      <c r="O13" s="226" t="str">
        <f>IF(N13="","",IF(N13="Leve",0.2,IF(N13="Menor",0.4,IF(N13="Moderado",0.6,IF(N13="Mayor",0.8,IF(N13="Catastrófico",1,))))))</f>
        <v/>
      </c>
      <c r="P13" s="232" t="str">
        <f>IF(OR(AND(J13="Muy Baja",N13="Leve"),AND(J13="Muy Baja",N13="Menor"),AND(J13="Baja",N13="Leve")),"Bajo",IF(OR(AND(J13="Muy baja",N13="Moderado"),AND(J13="Baja",N13="Menor"),AND(J13="Baja",N13="Moderado"),AND(J13="Media",N13="Leve"),AND(J13="Media",N13="Menor"),AND(J13="Media",N13="Moderado"),AND(J13="Alta",N13="Leve"),AND(J13="Alta",N13="Menor")),"Moderado",IF(OR(AND(J13="Muy Baja",N13="Mayor"),AND(J13="Baja",N13="Mayor"),AND(J13="Media",N13="Mayor"),AND(J13="Alta",N13="Moderado"),AND(J13="Alta",N13="Mayor"),AND(J13="Muy Alta",N13="Leve"),AND(J13="Muy Alta",N13="Menor"),AND(J13="Muy Alta",N13="Moderado"),AND(J13="Muy Alta",N13="Mayor")),"Alto",IF(OR(AND(J13="Muy Baja",N13="Catastrófico"),AND(J13="Baja",N13="Catastrófico"),AND(J13="Media",N13="Catastrófico"),AND(J13="Alta",N13="Catastrófico"),AND(J13="Muy Alta",N13="Catastrófico")),"Extremo",""))))</f>
        <v/>
      </c>
      <c r="Q13" s="105">
        <v>1</v>
      </c>
      <c r="R13" s="106"/>
      <c r="S13" s="107" t="str">
        <f>IF(OR(T13="Preventivo",T13="Detectivo"),"Probabilidad",IF(T13="Correctivo","Impacto",""))</f>
        <v/>
      </c>
      <c r="T13" s="114"/>
      <c r="U13" s="114"/>
      <c r="V13" s="115" t="str">
        <f>IF(AND(T13="Preventivo",U13="Automático"),"50%",IF(AND(T13="Preventivo",U13="Manual"),"40%",IF(AND(T13="Detectivo",U13="Automático"),"40%",IF(AND(T13="Detectivo",U13="Manual"),"30%",IF(AND(T13="Correctivo",U13="Automático"),"35%",IF(AND(T13="Correctivo",U13="Manual"),"25%",""))))))</f>
        <v/>
      </c>
      <c r="W13" s="114"/>
      <c r="X13" s="114"/>
      <c r="Y13" s="114"/>
      <c r="Z13" s="108" t="str">
        <f>IFERROR(IF(S13="Probabilidad",(K13-(+K13*V13)),IF(S13="Impacto",K13,"")),"")</f>
        <v/>
      </c>
      <c r="AA13" s="118" t="str">
        <f>IFERROR(IF(Z13="","",IF(Z13&lt;=0.2,"Muy Baja",IF(Z13&lt;=0.4,"Baja",IF(Z13&lt;=0.6,"Media",IF(Z13&lt;=0.8,"Alta","Muy Alta"))))),"")</f>
        <v/>
      </c>
      <c r="AB13" s="119" t="str">
        <f>+Z13</f>
        <v/>
      </c>
      <c r="AC13" s="118" t="str">
        <f>IFERROR(IF(AD13="","",IF(AD13&lt;=0.2,"Leve",IF(AD13&lt;=0.4,"Menor",IF(AD13&lt;=0.6,"Moderado",IF(AD13&lt;=0.8,"Mayor","Catastrófico"))))),"")</f>
        <v/>
      </c>
      <c r="AD13" s="119" t="str">
        <f>IFERROR(IF(S13="Impacto",(O13-(+O13*V13)),IF(S13="Probabilidad",O13,"")),"")</f>
        <v/>
      </c>
      <c r="AE13" s="120" t="str">
        <f>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
      </c>
      <c r="AF13" s="121"/>
      <c r="AG13" s="109"/>
      <c r="AH13" s="110"/>
      <c r="AI13" s="111"/>
      <c r="AJ13" s="111"/>
      <c r="AK13" s="109"/>
      <c r="AL13" s="110"/>
      <c r="AM13" s="149"/>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30" customHeight="1" x14ac:dyDescent="0.25">
      <c r="A14" s="203"/>
      <c r="B14" s="260"/>
      <c r="C14" s="260"/>
      <c r="D14" s="223"/>
      <c r="E14" s="140"/>
      <c r="F14" s="225"/>
      <c r="G14" s="141"/>
      <c r="H14" s="236"/>
      <c r="I14" s="239"/>
      <c r="J14" s="230"/>
      <c r="K14" s="227"/>
      <c r="L14" s="242"/>
      <c r="M14" s="227">
        <f>IF(NOT(ISERROR(MATCH(L14,_xlfn.ANCHORARRAY(F25),0))),K27&amp;"Por favor no seleccionar los criterios de impacto",L14)</f>
        <v>0</v>
      </c>
      <c r="N14" s="230"/>
      <c r="O14" s="227"/>
      <c r="P14" s="233"/>
      <c r="Q14" s="105">
        <v>2</v>
      </c>
      <c r="R14" s="106"/>
      <c r="S14" s="107" t="str">
        <f>IF(OR(T14="Preventivo",T14="Detectivo"),"Probabilidad",IF(T14="Correctivo","Impacto",""))</f>
        <v/>
      </c>
      <c r="T14" s="114"/>
      <c r="U14" s="114"/>
      <c r="V14" s="115" t="str">
        <f t="shared" ref="V14:V18" si="11">IF(AND(T14="Preventivo",U14="Automático"),"50%",IF(AND(T14="Preventivo",U14="Manual"),"40%",IF(AND(T14="Detectivo",U14="Automático"),"40%",IF(AND(T14="Detectivo",U14="Manual"),"30%",IF(AND(T14="Correctivo",U14="Automático"),"35%",IF(AND(T14="Correctivo",U14="Manual"),"25%",""))))))</f>
        <v/>
      </c>
      <c r="W14" s="114"/>
      <c r="X14" s="114"/>
      <c r="Y14" s="114"/>
      <c r="Z14" s="108" t="str">
        <f>IFERROR(IF(AND(S13="Probabilidad",S14="Probabilidad"),(AB13-(+AB13*V14)),IF(AND(S13="Impacto",S14="Probabilidad"),(K13-(+K13*V14)),IF(S14="Impacto",AB13,""))),"")</f>
        <v/>
      </c>
      <c r="AA14" s="118" t="str">
        <f t="shared" ref="AA14:AA18" si="12">IFERROR(IF(Z14="","",IF(Z14&lt;=0.2,"Muy Baja",IF(Z14&lt;=0.4,"Baja",IF(Z14&lt;=0.6,"Media",IF(Z14&lt;=0.8,"Alta","Muy Alta"))))),"")</f>
        <v/>
      </c>
      <c r="AB14" s="119" t="str">
        <f>+Z14</f>
        <v/>
      </c>
      <c r="AC14" s="118" t="str">
        <f t="shared" ref="AC14:AC18" si="13">IFERROR(IF(AD14="","",IF(AD14&lt;=0.2,"Leve",IF(AD14&lt;=0.4,"Menor",IF(AD14&lt;=0.6,"Moderado",IF(AD14&lt;=0.8,"Mayor","Catastrófico"))))),"")</f>
        <v/>
      </c>
      <c r="AD14" s="119" t="str">
        <f>IFERROR(IF(AND(S13="Impacto",S14="Impacto"),(AD13-(+AD13*V14)),IF(AND(S13="Probabilidad",S14="Impacto"),(O13-(+O13*V14)),IF(S14="Probabilidad",AD13,""))),"")</f>
        <v/>
      </c>
      <c r="AE14" s="120" t="str">
        <f t="shared" ref="AE14:AE18" si="14">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
      </c>
      <c r="AF14" s="121"/>
      <c r="AG14" s="109"/>
      <c r="AH14" s="110"/>
      <c r="AI14" s="111"/>
      <c r="AJ14" s="111"/>
      <c r="AK14" s="109"/>
      <c r="AL14" s="110"/>
      <c r="AM14" s="193"/>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25.5" customHeight="1" x14ac:dyDescent="0.25">
      <c r="A15" s="203"/>
      <c r="B15" s="260"/>
      <c r="C15" s="260"/>
      <c r="D15" s="223"/>
      <c r="E15" s="140"/>
      <c r="F15" s="225"/>
      <c r="G15" s="141"/>
      <c r="H15" s="236"/>
      <c r="I15" s="239"/>
      <c r="J15" s="230"/>
      <c r="K15" s="227"/>
      <c r="L15" s="242"/>
      <c r="M15" s="227">
        <f>IF(NOT(ISERROR(MATCH(L15,_xlfn.ANCHORARRAY(F26),0))),K28&amp;"Por favor no seleccionar los criterios de impacto",L15)</f>
        <v>0</v>
      </c>
      <c r="N15" s="230"/>
      <c r="O15" s="227"/>
      <c r="P15" s="233"/>
      <c r="Q15" s="105">
        <v>3</v>
      </c>
      <c r="R15" s="112"/>
      <c r="S15" s="107" t="str">
        <f t="shared" ref="S15:S18" si="15">IF(OR(T15="Preventivo",T15="Detectivo"),"Probabilidad",IF(T15="Correctivo","Impacto",""))</f>
        <v/>
      </c>
      <c r="T15" s="114"/>
      <c r="U15" s="114"/>
      <c r="V15" s="115" t="str">
        <f t="shared" si="11"/>
        <v/>
      </c>
      <c r="W15" s="114"/>
      <c r="X15" s="114"/>
      <c r="Y15" s="114"/>
      <c r="Z15" s="108" t="str">
        <f>IFERROR(IF(AND(S14="Probabilidad",S15="Probabilidad"),(AB14-(+AB14*V15)),IF(AND(S14="Impacto",S15="Probabilidad"),(AB13-(+AB13*V15)),IF(S15="Impacto",AB14,""))),"")</f>
        <v/>
      </c>
      <c r="AA15" s="118" t="str">
        <f t="shared" si="12"/>
        <v/>
      </c>
      <c r="AB15" s="119" t="str">
        <f t="shared" ref="AB15:AB18" si="16">+Z15</f>
        <v/>
      </c>
      <c r="AC15" s="118" t="str">
        <f t="shared" si="13"/>
        <v/>
      </c>
      <c r="AD15" s="119" t="str">
        <f t="shared" ref="AD15:AD18" si="17">IFERROR(IF(AND(S14="Impacto",S15="Impacto"),(AD14-(+AD14*V15)),IF(AND(S14="Probabilidad",S15="Impacto"),(AD13-(+AD13*V15)),IF(S15="Probabilidad",AD14,""))),"")</f>
        <v/>
      </c>
      <c r="AE15" s="120" t="str">
        <f t="shared" si="14"/>
        <v/>
      </c>
      <c r="AF15" s="121"/>
      <c r="AG15" s="109"/>
      <c r="AH15" s="110"/>
      <c r="AI15" s="111"/>
      <c r="AJ15" s="111"/>
      <c r="AK15" s="109"/>
      <c r="AL15" s="110"/>
      <c r="AM15" s="194"/>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25.5" customHeight="1" x14ac:dyDescent="0.25">
      <c r="A16" s="203"/>
      <c r="B16" s="260"/>
      <c r="C16" s="260"/>
      <c r="D16" s="223"/>
      <c r="E16" s="140"/>
      <c r="F16" s="225"/>
      <c r="G16" s="141"/>
      <c r="H16" s="236"/>
      <c r="I16" s="239"/>
      <c r="J16" s="230"/>
      <c r="K16" s="227"/>
      <c r="L16" s="242"/>
      <c r="M16" s="227">
        <f>IF(NOT(ISERROR(MATCH(L16,_xlfn.ANCHORARRAY(F27),0))),K29&amp;"Por favor no seleccionar los criterios de impacto",L16)</f>
        <v>0</v>
      </c>
      <c r="N16" s="230"/>
      <c r="O16" s="227"/>
      <c r="P16" s="233"/>
      <c r="Q16" s="105">
        <v>4</v>
      </c>
      <c r="R16" s="106"/>
      <c r="S16" s="107" t="str">
        <f t="shared" si="15"/>
        <v/>
      </c>
      <c r="T16" s="114"/>
      <c r="U16" s="114"/>
      <c r="V16" s="115" t="str">
        <f t="shared" si="11"/>
        <v/>
      </c>
      <c r="W16" s="114"/>
      <c r="X16" s="114"/>
      <c r="Y16" s="114"/>
      <c r="Z16" s="108" t="str">
        <f t="shared" ref="Z16:Z18" si="18">IFERROR(IF(AND(S15="Probabilidad",S16="Probabilidad"),(AB15-(+AB15*V16)),IF(AND(S15="Impacto",S16="Probabilidad"),(AB14-(+AB14*V16)),IF(S16="Impacto",AB15,""))),"")</f>
        <v/>
      </c>
      <c r="AA16" s="118" t="str">
        <f t="shared" si="12"/>
        <v/>
      </c>
      <c r="AB16" s="119" t="str">
        <f t="shared" si="16"/>
        <v/>
      </c>
      <c r="AC16" s="118" t="str">
        <f t="shared" si="13"/>
        <v/>
      </c>
      <c r="AD16" s="119" t="str">
        <f t="shared" si="17"/>
        <v/>
      </c>
      <c r="AE16" s="120" t="str">
        <f t="shared" si="14"/>
        <v/>
      </c>
      <c r="AF16" s="121"/>
      <c r="AG16" s="109"/>
      <c r="AH16" s="110"/>
      <c r="AI16" s="111"/>
      <c r="AJ16" s="111"/>
      <c r="AK16" s="109"/>
      <c r="AL16" s="110"/>
      <c r="AM16" s="195"/>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24" customHeight="1" x14ac:dyDescent="0.25">
      <c r="A17" s="203"/>
      <c r="B17" s="260"/>
      <c r="C17" s="260"/>
      <c r="D17" s="223"/>
      <c r="E17" s="140"/>
      <c r="F17" s="225"/>
      <c r="G17" s="141"/>
      <c r="H17" s="236"/>
      <c r="I17" s="239"/>
      <c r="J17" s="230"/>
      <c r="K17" s="227"/>
      <c r="L17" s="242"/>
      <c r="M17" s="227">
        <f>IF(NOT(ISERROR(MATCH(L17,_xlfn.ANCHORARRAY(F28),0))),K30&amp;"Por favor no seleccionar los criterios de impacto",L17)</f>
        <v>0</v>
      </c>
      <c r="N17" s="230"/>
      <c r="O17" s="227"/>
      <c r="P17" s="233"/>
      <c r="Q17" s="105">
        <v>5</v>
      </c>
      <c r="R17" s="106"/>
      <c r="S17" s="107" t="str">
        <f t="shared" si="15"/>
        <v/>
      </c>
      <c r="T17" s="114"/>
      <c r="U17" s="114"/>
      <c r="V17" s="115" t="str">
        <f t="shared" si="11"/>
        <v/>
      </c>
      <c r="W17" s="114"/>
      <c r="X17" s="114"/>
      <c r="Y17" s="114"/>
      <c r="Z17" s="108" t="str">
        <f t="shared" si="18"/>
        <v/>
      </c>
      <c r="AA17" s="118" t="str">
        <f t="shared" si="12"/>
        <v/>
      </c>
      <c r="AB17" s="119" t="str">
        <f t="shared" si="16"/>
        <v/>
      </c>
      <c r="AC17" s="118" t="str">
        <f t="shared" si="13"/>
        <v/>
      </c>
      <c r="AD17" s="119" t="str">
        <f t="shared" si="17"/>
        <v/>
      </c>
      <c r="AE17" s="120" t="str">
        <f t="shared" si="14"/>
        <v/>
      </c>
      <c r="AF17" s="121"/>
      <c r="AG17" s="109"/>
      <c r="AH17" s="110"/>
      <c r="AI17" s="111"/>
      <c r="AJ17" s="111"/>
      <c r="AK17" s="109"/>
      <c r="AL17" s="110"/>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5.5" customHeight="1" x14ac:dyDescent="0.25">
      <c r="A18" s="258"/>
      <c r="B18" s="261"/>
      <c r="C18" s="261"/>
      <c r="D18" s="224"/>
      <c r="E18" s="140"/>
      <c r="F18" s="225"/>
      <c r="G18" s="141"/>
      <c r="H18" s="237"/>
      <c r="I18" s="240"/>
      <c r="J18" s="231"/>
      <c r="K18" s="228"/>
      <c r="L18" s="243"/>
      <c r="M18" s="228">
        <f>IF(NOT(ISERROR(MATCH(L18,_xlfn.ANCHORARRAY(F29),0))),K31&amp;"Por favor no seleccionar los criterios de impacto",L18)</f>
        <v>0</v>
      </c>
      <c r="N18" s="231"/>
      <c r="O18" s="228"/>
      <c r="P18" s="234"/>
      <c r="Q18" s="105">
        <v>6</v>
      </c>
      <c r="R18" s="106"/>
      <c r="S18" s="107" t="str">
        <f t="shared" si="15"/>
        <v/>
      </c>
      <c r="T18" s="114"/>
      <c r="U18" s="114"/>
      <c r="V18" s="115" t="str">
        <f t="shared" si="11"/>
        <v/>
      </c>
      <c r="W18" s="114"/>
      <c r="X18" s="114"/>
      <c r="Y18" s="114"/>
      <c r="Z18" s="108" t="str">
        <f t="shared" si="18"/>
        <v/>
      </c>
      <c r="AA18" s="118" t="str">
        <f t="shared" si="12"/>
        <v/>
      </c>
      <c r="AB18" s="119" t="str">
        <f t="shared" si="16"/>
        <v/>
      </c>
      <c r="AC18" s="118" t="str">
        <f t="shared" si="13"/>
        <v/>
      </c>
      <c r="AD18" s="119" t="str">
        <f t="shared" si="17"/>
        <v/>
      </c>
      <c r="AE18" s="120" t="str">
        <f t="shared" si="14"/>
        <v/>
      </c>
      <c r="AF18" s="121"/>
      <c r="AG18" s="109"/>
      <c r="AH18" s="110"/>
      <c r="AI18" s="111"/>
      <c r="AJ18" s="111"/>
      <c r="AK18" s="109"/>
      <c r="AL18" s="110"/>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30.75" customHeight="1" x14ac:dyDescent="0.25">
      <c r="A19" s="202">
        <v>3</v>
      </c>
      <c r="B19" s="259"/>
      <c r="C19" s="259"/>
      <c r="D19" s="222"/>
      <c r="E19" s="140"/>
      <c r="F19" s="225"/>
      <c r="G19" s="141"/>
      <c r="H19" s="235"/>
      <c r="I19" s="238"/>
      <c r="J19" s="229" t="str">
        <f t="shared" ref="J19" si="19">IF(I19&lt;=0,"",IF(I19&lt;=2,"Muy Baja",IF(I19&lt;=24,"Baja",IF(I19&lt;=500,"Media",IF(I19&lt;=5000,"Alta","Muy Alta")))))</f>
        <v/>
      </c>
      <c r="K19" s="226" t="str">
        <f t="shared" ref="K19" si="20">IF(J19="","",IF(J19="Muy Baja",0.2,IF(J19="Baja",0.4,IF(J19="Media",0.6,IF(J19="Alta",0.8,IF(J19="Muy Alta",1,))))))</f>
        <v/>
      </c>
      <c r="L19" s="241"/>
      <c r="M19" s="226">
        <f>IF(NOT(ISERROR(MATCH(L19,'Tabla Impacto'!$B$221:$B$223,0))),'Tabla Impacto'!$F$223&amp;"Por favor no seleccionar los criterios de impacto(Afectación Económica o presupuestal y Pérdida Reputacional)",L19)</f>
        <v>0</v>
      </c>
      <c r="N19" s="229" t="str">
        <f>IF(OR(M19='Tabla Impacto'!$C$11,M19='Tabla Impacto'!$D$11),"Leve",IF(OR(M19='Tabla Impacto'!$C$12,M19='Tabla Impacto'!$D$12),"Menor",IF(OR(M19='Tabla Impacto'!$C$13,M19='Tabla Impacto'!$D$13),"Moderado",IF(OR(M19='Tabla Impacto'!$C$14,M19='Tabla Impacto'!$D$14),"Mayor",IF(OR(M19='Tabla Impacto'!$C$15,M19='Tabla Impacto'!$D$15),"Catastrófico","")))))</f>
        <v/>
      </c>
      <c r="O19" s="226" t="str">
        <f t="shared" ref="O19" si="21">IF(N19="","",IF(N19="Leve",0.2,IF(N19="Menor",0.4,IF(N19="Moderado",0.6,IF(N19="Mayor",0.8,IF(N19="Catastrófico",1,))))))</f>
        <v/>
      </c>
      <c r="P19" s="232" t="str">
        <f t="shared" ref="P19" si="22">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
      </c>
      <c r="Q19" s="105">
        <v>1</v>
      </c>
      <c r="R19" s="106"/>
      <c r="S19" s="107" t="str">
        <f>IF(OR(T19="Preventivo",T19="Detectivo"),"Probabilidad",IF(T19="Correctivo","Impacto",""))</f>
        <v/>
      </c>
      <c r="T19" s="114"/>
      <c r="U19" s="114"/>
      <c r="V19" s="115" t="str">
        <f>IF(AND(T19="Preventivo",U19="Automático"),"50%",IF(AND(T19="Preventivo",U19="Manual"),"40%",IF(AND(T19="Detectivo",U19="Automático"),"40%",IF(AND(T19="Detectivo",U19="Manual"),"30%",IF(AND(T19="Correctivo",U19="Automático"),"35%",IF(AND(T19="Correctivo",U19="Manual"),"25%",""))))))</f>
        <v/>
      </c>
      <c r="W19" s="114"/>
      <c r="X19" s="114"/>
      <c r="Y19" s="114"/>
      <c r="Z19" s="108" t="str">
        <f>IFERROR(IF(S19="Probabilidad",(K19-(+K19*V19)),IF(S19="Impacto",K19,"")),"")</f>
        <v/>
      </c>
      <c r="AA19" s="118" t="str">
        <f>IFERROR(IF(Z19="","",IF(Z19&lt;=0.2,"Muy Baja",IF(Z19&lt;=0.4,"Baja",IF(Z19&lt;=0.6,"Media",IF(Z19&lt;=0.8,"Alta","Muy Alta"))))),"")</f>
        <v/>
      </c>
      <c r="AB19" s="119" t="str">
        <f>+Z19</f>
        <v/>
      </c>
      <c r="AC19" s="118" t="str">
        <f>IFERROR(IF(AD19="","",IF(AD19&lt;=0.2,"Leve",IF(AD19&lt;=0.4,"Menor",IF(AD19&lt;=0.6,"Moderado",IF(AD19&lt;=0.8,"Mayor","Catastrófico"))))),"")</f>
        <v/>
      </c>
      <c r="AD19" s="119" t="str">
        <f>IFERROR(IF(S19="Impacto",(O19-(+O19*V19)),IF(S19="Probabilidad",O19,"")),"")</f>
        <v/>
      </c>
      <c r="AE19" s="120" t="str">
        <f>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21"/>
      <c r="AG19" s="109"/>
      <c r="AH19" s="110"/>
      <c r="AI19" s="111"/>
      <c r="AJ19" s="111"/>
      <c r="AK19" s="109"/>
      <c r="AL19" s="110"/>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6.25" customHeight="1" x14ac:dyDescent="0.25">
      <c r="A20" s="203"/>
      <c r="B20" s="260"/>
      <c r="C20" s="260"/>
      <c r="D20" s="223"/>
      <c r="E20" s="140"/>
      <c r="F20" s="225"/>
      <c r="G20" s="141"/>
      <c r="H20" s="236"/>
      <c r="I20" s="239"/>
      <c r="J20" s="230"/>
      <c r="K20" s="227"/>
      <c r="L20" s="242"/>
      <c r="M20" s="227">
        <f>IF(NOT(ISERROR(MATCH(L20,_xlfn.ANCHORARRAY(F31),0))),K33&amp;"Por favor no seleccionar los criterios de impacto",L20)</f>
        <v>0</v>
      </c>
      <c r="N20" s="230"/>
      <c r="O20" s="227"/>
      <c r="P20" s="233"/>
      <c r="Q20" s="105">
        <v>2</v>
      </c>
      <c r="R20" s="106"/>
      <c r="S20" s="107" t="str">
        <f>IF(OR(T20="Preventivo",T20="Detectivo"),"Probabilidad",IF(T20="Correctivo","Impacto",""))</f>
        <v/>
      </c>
      <c r="T20" s="114"/>
      <c r="U20" s="114"/>
      <c r="V20" s="115" t="str">
        <f t="shared" ref="V20:V24" si="23">IF(AND(T20="Preventivo",U20="Automático"),"50%",IF(AND(T20="Preventivo",U20="Manual"),"40%",IF(AND(T20="Detectivo",U20="Automático"),"40%",IF(AND(T20="Detectivo",U20="Manual"),"30%",IF(AND(T20="Correctivo",U20="Automático"),"35%",IF(AND(T20="Correctivo",U20="Manual"),"25%",""))))))</f>
        <v/>
      </c>
      <c r="W20" s="114"/>
      <c r="X20" s="114"/>
      <c r="Y20" s="114"/>
      <c r="Z20" s="108" t="str">
        <f>IFERROR(IF(AND(S19="Probabilidad",S20="Probabilidad"),(AB19-(+AB19*V20)),IF(AND(S19="Impacto",S20="Probabilidad"),(K19-(+K19*V20)),IF(S20="Impacto",AB19,""))),"")</f>
        <v/>
      </c>
      <c r="AA20" s="118" t="str">
        <f t="shared" ref="AA20:AA24" si="24">IFERROR(IF(Z20="","",IF(Z20&lt;=0.2,"Muy Baja",IF(Z20&lt;=0.4,"Baja",IF(Z20&lt;=0.6,"Media",IF(Z20&lt;=0.8,"Alta","Muy Alta"))))),"")</f>
        <v/>
      </c>
      <c r="AB20" s="119" t="str">
        <f>+Z20</f>
        <v/>
      </c>
      <c r="AC20" s="118" t="str">
        <f t="shared" ref="AC20:AC24" si="25">IFERROR(IF(AD20="","",IF(AD20&lt;=0.2,"Leve",IF(AD20&lt;=0.4,"Menor",IF(AD20&lt;=0.6,"Moderado",IF(AD20&lt;=0.8,"Mayor","Catastrófico"))))),"")</f>
        <v/>
      </c>
      <c r="AD20" s="119" t="str">
        <f>IFERROR(IF(AND(S19="Impacto",S20="Impacto"),(AD19-(+AD19*V20)),IF(AND(S19="Probabilidad",S20="Impacto"),(O19-(+O19*V20)),IF(S20="Probabilidad",AD19,""))),"")</f>
        <v/>
      </c>
      <c r="AE20" s="120" t="str">
        <f t="shared" ref="AE20:AE24" si="26">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21"/>
      <c r="AG20" s="109"/>
      <c r="AH20" s="110"/>
      <c r="AI20" s="111"/>
      <c r="AJ20" s="111"/>
      <c r="AK20" s="109"/>
      <c r="AL20" s="110"/>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6.25" customHeight="1" x14ac:dyDescent="0.25">
      <c r="A21" s="203"/>
      <c r="B21" s="260"/>
      <c r="C21" s="260"/>
      <c r="D21" s="223"/>
      <c r="E21" s="140"/>
      <c r="F21" s="225"/>
      <c r="G21" s="141"/>
      <c r="H21" s="236"/>
      <c r="I21" s="239"/>
      <c r="J21" s="230"/>
      <c r="K21" s="227"/>
      <c r="L21" s="242"/>
      <c r="M21" s="227">
        <f>IF(NOT(ISERROR(MATCH(L21,_xlfn.ANCHORARRAY(F32),0))),K34&amp;"Por favor no seleccionar los criterios de impacto",L21)</f>
        <v>0</v>
      </c>
      <c r="N21" s="230"/>
      <c r="O21" s="227"/>
      <c r="P21" s="233"/>
      <c r="Q21" s="105">
        <v>3</v>
      </c>
      <c r="R21" s="112"/>
      <c r="S21" s="107" t="str">
        <f t="shared" ref="S21:S24" si="27">IF(OR(T21="Preventivo",T21="Detectivo"),"Probabilidad",IF(T21="Correctivo","Impacto",""))</f>
        <v/>
      </c>
      <c r="T21" s="114"/>
      <c r="U21" s="114"/>
      <c r="V21" s="115" t="str">
        <f t="shared" si="23"/>
        <v/>
      </c>
      <c r="W21" s="114"/>
      <c r="X21" s="114"/>
      <c r="Y21" s="114"/>
      <c r="Z21" s="108" t="str">
        <f>IFERROR(IF(AND(S20="Probabilidad",S21="Probabilidad"),(AB20-(+AB20*V21)),IF(AND(S20="Impacto",S21="Probabilidad"),(AB19-(+AB19*V21)),IF(S21="Impacto",AB20,""))),"")</f>
        <v/>
      </c>
      <c r="AA21" s="118" t="str">
        <f t="shared" si="24"/>
        <v/>
      </c>
      <c r="AB21" s="119" t="str">
        <f t="shared" ref="AB21:AB24" si="28">+Z21</f>
        <v/>
      </c>
      <c r="AC21" s="118" t="str">
        <f t="shared" si="25"/>
        <v/>
      </c>
      <c r="AD21" s="119" t="str">
        <f t="shared" ref="AD21:AD24" si="29">IFERROR(IF(AND(S20="Impacto",S21="Impacto"),(AD20-(+AD20*V21)),IF(AND(S20="Probabilidad",S21="Impacto"),(AD19-(+AD19*V21)),IF(S21="Probabilidad",AD20,""))),"")</f>
        <v/>
      </c>
      <c r="AE21" s="120" t="str">
        <f t="shared" si="26"/>
        <v/>
      </c>
      <c r="AF21" s="121"/>
      <c r="AG21" s="109"/>
      <c r="AH21" s="110"/>
      <c r="AI21" s="111"/>
      <c r="AJ21" s="111"/>
      <c r="AK21" s="109"/>
      <c r="AL21" s="110"/>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26.25" customHeight="1" x14ac:dyDescent="0.25">
      <c r="A22" s="203"/>
      <c r="B22" s="260"/>
      <c r="C22" s="260"/>
      <c r="D22" s="223"/>
      <c r="E22" s="140"/>
      <c r="F22" s="225"/>
      <c r="G22" s="141"/>
      <c r="H22" s="236"/>
      <c r="I22" s="239"/>
      <c r="J22" s="230"/>
      <c r="K22" s="227"/>
      <c r="L22" s="242"/>
      <c r="M22" s="227">
        <f>IF(NOT(ISERROR(MATCH(L22,_xlfn.ANCHORARRAY(F33),0))),K35&amp;"Por favor no seleccionar los criterios de impacto",L22)</f>
        <v>0</v>
      </c>
      <c r="N22" s="230"/>
      <c r="O22" s="227"/>
      <c r="P22" s="233"/>
      <c r="Q22" s="105">
        <v>4</v>
      </c>
      <c r="R22" s="106"/>
      <c r="S22" s="107" t="str">
        <f t="shared" si="27"/>
        <v/>
      </c>
      <c r="T22" s="114"/>
      <c r="U22" s="114"/>
      <c r="V22" s="115" t="str">
        <f t="shared" si="23"/>
        <v/>
      </c>
      <c r="W22" s="114"/>
      <c r="X22" s="114"/>
      <c r="Y22" s="114"/>
      <c r="Z22" s="108" t="str">
        <f t="shared" ref="Z22:Z24" si="30">IFERROR(IF(AND(S21="Probabilidad",S22="Probabilidad"),(AB21-(+AB21*V22)),IF(AND(S21="Impacto",S22="Probabilidad"),(AB20-(+AB20*V22)),IF(S22="Impacto",AB21,""))),"")</f>
        <v/>
      </c>
      <c r="AA22" s="118" t="str">
        <f t="shared" si="24"/>
        <v/>
      </c>
      <c r="AB22" s="119" t="str">
        <f t="shared" si="28"/>
        <v/>
      </c>
      <c r="AC22" s="118" t="str">
        <f t="shared" si="25"/>
        <v/>
      </c>
      <c r="AD22" s="119" t="str">
        <f t="shared" si="29"/>
        <v/>
      </c>
      <c r="AE22" s="120" t="str">
        <f t="shared" si="26"/>
        <v/>
      </c>
      <c r="AF22" s="121"/>
      <c r="AG22" s="109"/>
      <c r="AH22" s="110"/>
      <c r="AI22" s="111"/>
      <c r="AJ22" s="111"/>
      <c r="AK22" s="109"/>
      <c r="AL22" s="110"/>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25">
      <c r="A23" s="203"/>
      <c r="B23" s="260"/>
      <c r="C23" s="260"/>
      <c r="D23" s="223"/>
      <c r="E23" s="140"/>
      <c r="F23" s="225"/>
      <c r="G23" s="141"/>
      <c r="H23" s="236"/>
      <c r="I23" s="239"/>
      <c r="J23" s="230"/>
      <c r="K23" s="227"/>
      <c r="L23" s="242"/>
      <c r="M23" s="227">
        <f>IF(NOT(ISERROR(MATCH(L23,_xlfn.ANCHORARRAY(F34),0))),K36&amp;"Por favor no seleccionar los criterios de impacto",L23)</f>
        <v>0</v>
      </c>
      <c r="N23" s="230"/>
      <c r="O23" s="227"/>
      <c r="P23" s="233"/>
      <c r="Q23" s="105">
        <v>5</v>
      </c>
      <c r="R23" s="106"/>
      <c r="S23" s="107" t="str">
        <f t="shared" si="27"/>
        <v/>
      </c>
      <c r="T23" s="114"/>
      <c r="U23" s="114"/>
      <c r="V23" s="115" t="str">
        <f t="shared" si="23"/>
        <v/>
      </c>
      <c r="W23" s="114"/>
      <c r="X23" s="114"/>
      <c r="Y23" s="114"/>
      <c r="Z23" s="108" t="str">
        <f t="shared" si="30"/>
        <v/>
      </c>
      <c r="AA23" s="118" t="str">
        <f t="shared" si="24"/>
        <v/>
      </c>
      <c r="AB23" s="119" t="str">
        <f t="shared" si="28"/>
        <v/>
      </c>
      <c r="AC23" s="118" t="str">
        <f t="shared" si="25"/>
        <v/>
      </c>
      <c r="AD23" s="119" t="str">
        <f t="shared" si="29"/>
        <v/>
      </c>
      <c r="AE23" s="120" t="str">
        <f t="shared" si="26"/>
        <v/>
      </c>
      <c r="AF23" s="121"/>
      <c r="AG23" s="109"/>
      <c r="AH23" s="110"/>
      <c r="AI23" s="111"/>
      <c r="AJ23" s="111"/>
      <c r="AK23" s="109"/>
      <c r="AL23" s="110"/>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25">
      <c r="A24" s="258"/>
      <c r="B24" s="261"/>
      <c r="C24" s="261"/>
      <c r="D24" s="224"/>
      <c r="E24" s="140"/>
      <c r="F24" s="225"/>
      <c r="G24" s="141"/>
      <c r="H24" s="237"/>
      <c r="I24" s="240"/>
      <c r="J24" s="231"/>
      <c r="K24" s="228"/>
      <c r="L24" s="243"/>
      <c r="M24" s="228">
        <f>IF(NOT(ISERROR(MATCH(L24,_xlfn.ANCHORARRAY(F35),0))),K37&amp;"Por favor no seleccionar los criterios de impacto",L24)</f>
        <v>0</v>
      </c>
      <c r="N24" s="231"/>
      <c r="O24" s="228"/>
      <c r="P24" s="234"/>
      <c r="Q24" s="105">
        <v>6</v>
      </c>
      <c r="R24" s="106"/>
      <c r="S24" s="107" t="str">
        <f t="shared" si="27"/>
        <v/>
      </c>
      <c r="T24" s="114"/>
      <c r="U24" s="114"/>
      <c r="V24" s="115" t="str">
        <f t="shared" si="23"/>
        <v/>
      </c>
      <c r="W24" s="114"/>
      <c r="X24" s="114"/>
      <c r="Y24" s="114"/>
      <c r="Z24" s="108" t="str">
        <f t="shared" si="30"/>
        <v/>
      </c>
      <c r="AA24" s="118" t="str">
        <f t="shared" si="24"/>
        <v/>
      </c>
      <c r="AB24" s="119" t="str">
        <f t="shared" si="28"/>
        <v/>
      </c>
      <c r="AC24" s="118" t="str">
        <f t="shared" si="25"/>
        <v/>
      </c>
      <c r="AD24" s="119" t="str">
        <f t="shared" si="29"/>
        <v/>
      </c>
      <c r="AE24" s="120" t="str">
        <f t="shared" si="26"/>
        <v/>
      </c>
      <c r="AF24" s="121"/>
      <c r="AG24" s="109"/>
      <c r="AH24" s="110"/>
      <c r="AI24" s="111"/>
      <c r="AJ24" s="111"/>
      <c r="AK24" s="109"/>
      <c r="AL24" s="110"/>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25">
      <c r="A25" s="202">
        <v>4</v>
      </c>
      <c r="B25" s="259"/>
      <c r="C25" s="259"/>
      <c r="D25" s="222"/>
      <c r="E25" s="140"/>
      <c r="F25" s="225"/>
      <c r="G25" s="141"/>
      <c r="H25" s="235"/>
      <c r="I25" s="238"/>
      <c r="J25" s="229" t="str">
        <f t="shared" ref="J25" si="31">IF(I25&lt;=0,"",IF(I25&lt;=2,"Muy Baja",IF(I25&lt;=24,"Baja",IF(I25&lt;=500,"Media",IF(I25&lt;=5000,"Alta","Muy Alta")))))</f>
        <v/>
      </c>
      <c r="K25" s="226" t="str">
        <f t="shared" ref="K25" si="32">IF(J25="","",IF(J25="Muy Baja",0.2,IF(J25="Baja",0.4,IF(J25="Media",0.6,IF(J25="Alta",0.8,IF(J25="Muy Alta",1,))))))</f>
        <v/>
      </c>
      <c r="L25" s="241"/>
      <c r="M25" s="226">
        <f>IF(NOT(ISERROR(MATCH(L25,'Tabla Impacto'!$B$221:$B$223,0))),'Tabla Impacto'!$F$223&amp;"Por favor no seleccionar los criterios de impacto(Afectación Económica o presupuestal y Pérdida Reputacional)",L25)</f>
        <v>0</v>
      </c>
      <c r="N25" s="229" t="str">
        <f>IF(OR(M25='Tabla Impacto'!$C$11,M25='Tabla Impacto'!$D$11),"Leve",IF(OR(M25='Tabla Impacto'!$C$12,M25='Tabla Impacto'!$D$12),"Menor",IF(OR(M25='Tabla Impacto'!$C$13,M25='Tabla Impacto'!$D$13),"Moderado",IF(OR(M25='Tabla Impacto'!$C$14,M25='Tabla Impacto'!$D$14),"Mayor",IF(OR(M25='Tabla Impacto'!$C$15,M25='Tabla Impacto'!$D$15),"Catastrófico","")))))</f>
        <v/>
      </c>
      <c r="O25" s="226" t="str">
        <f t="shared" ref="O25" si="33">IF(N25="","",IF(N25="Leve",0.2,IF(N25="Menor",0.4,IF(N25="Moderado",0.6,IF(N25="Mayor",0.8,IF(N25="Catastrófico",1,))))))</f>
        <v/>
      </c>
      <c r="P25" s="232" t="str">
        <f t="shared" ref="P25" si="34">IF(OR(AND(J25="Muy Baja",N25="Leve"),AND(J25="Muy Baja",N25="Menor"),AND(J25="Baja",N25="Leve")),"Bajo",IF(OR(AND(J25="Muy baja",N25="Moderado"),AND(J25="Baja",N25="Menor"),AND(J25="Baja",N25="Moderado"),AND(J25="Media",N25="Leve"),AND(J25="Media",N25="Menor"),AND(J25="Media",N25="Moderado"),AND(J25="Alta",N25="Leve"),AND(J25="Alta",N25="Menor")),"Moderado",IF(OR(AND(J25="Muy Baja",N25="Mayor"),AND(J25="Baja",N25="Mayor"),AND(J25="Media",N25="Mayor"),AND(J25="Alta",N25="Moderado"),AND(J25="Alta",N25="Mayor"),AND(J25="Muy Alta",N25="Leve"),AND(J25="Muy Alta",N25="Menor"),AND(J25="Muy Alta",N25="Moderado"),AND(J25="Muy Alta",N25="Mayor")),"Alto",IF(OR(AND(J25="Muy Baja",N25="Catastrófico"),AND(J25="Baja",N25="Catastrófico"),AND(J25="Media",N25="Catastrófico"),AND(J25="Alta",N25="Catastrófico"),AND(J25="Muy Alta",N25="Catastrófico")),"Extremo",""))))</f>
        <v/>
      </c>
      <c r="Q25" s="105">
        <v>1</v>
      </c>
      <c r="R25" s="106"/>
      <c r="S25" s="107" t="str">
        <f>IF(OR(T25="Preventivo",T25="Detectivo"),"Probabilidad",IF(T25="Correctivo","Impacto",""))</f>
        <v/>
      </c>
      <c r="T25" s="114"/>
      <c r="U25" s="114"/>
      <c r="V25" s="115" t="str">
        <f>IF(AND(T25="Preventivo",U25="Automático"),"50%",IF(AND(T25="Preventivo",U25="Manual"),"40%",IF(AND(T25="Detectivo",U25="Automático"),"40%",IF(AND(T25="Detectivo",U25="Manual"),"30%",IF(AND(T25="Correctivo",U25="Automático"),"35%",IF(AND(T25="Correctivo",U25="Manual"),"25%",""))))))</f>
        <v/>
      </c>
      <c r="W25" s="114"/>
      <c r="X25" s="114"/>
      <c r="Y25" s="114"/>
      <c r="Z25" s="108" t="str">
        <f>IFERROR(IF(S25="Probabilidad",(K25-(+K25*V25)),IF(S25="Impacto",K25,"")),"")</f>
        <v/>
      </c>
      <c r="AA25" s="118" t="str">
        <f>IFERROR(IF(Z25="","",IF(Z25&lt;=0.2,"Muy Baja",IF(Z25&lt;=0.4,"Baja",IF(Z25&lt;=0.6,"Media",IF(Z25&lt;=0.8,"Alta","Muy Alta"))))),"")</f>
        <v/>
      </c>
      <c r="AB25" s="119" t="str">
        <f>+Z25</f>
        <v/>
      </c>
      <c r="AC25" s="118" t="str">
        <f>IFERROR(IF(AD25="","",IF(AD25&lt;=0.2,"Leve",IF(AD25&lt;=0.4,"Menor",IF(AD25&lt;=0.6,"Moderado",IF(AD25&lt;=0.8,"Mayor","Catastrófico"))))),"")</f>
        <v/>
      </c>
      <c r="AD25" s="119" t="str">
        <f>IFERROR(IF(S25="Impacto",(O25-(+O25*V25)),IF(S25="Probabilidad",O25,"")),"")</f>
        <v/>
      </c>
      <c r="AE25" s="120" t="str">
        <f>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21"/>
      <c r="AG25" s="109"/>
      <c r="AH25" s="110"/>
      <c r="AI25" s="111"/>
      <c r="AJ25" s="111"/>
      <c r="AK25" s="109"/>
      <c r="AL25" s="110"/>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25">
      <c r="A26" s="203"/>
      <c r="B26" s="260"/>
      <c r="C26" s="260"/>
      <c r="D26" s="223"/>
      <c r="E26" s="140"/>
      <c r="F26" s="225"/>
      <c r="G26" s="141"/>
      <c r="H26" s="236"/>
      <c r="I26" s="239"/>
      <c r="J26" s="230"/>
      <c r="K26" s="227"/>
      <c r="L26" s="242"/>
      <c r="M26" s="227">
        <f>IF(NOT(ISERROR(MATCH(L26,_xlfn.ANCHORARRAY(F37),0))),K39&amp;"Por favor no seleccionar los criterios de impacto",L26)</f>
        <v>0</v>
      </c>
      <c r="N26" s="230"/>
      <c r="O26" s="227"/>
      <c r="P26" s="233"/>
      <c r="Q26" s="105">
        <v>2</v>
      </c>
      <c r="R26" s="106"/>
      <c r="S26" s="107" t="str">
        <f>IF(OR(T26="Preventivo",T26="Detectivo"),"Probabilidad",IF(T26="Correctivo","Impacto",""))</f>
        <v/>
      </c>
      <c r="T26" s="114"/>
      <c r="U26" s="114"/>
      <c r="V26" s="115" t="str">
        <f t="shared" ref="V26:V30" si="35">IF(AND(T26="Preventivo",U26="Automático"),"50%",IF(AND(T26="Preventivo",U26="Manual"),"40%",IF(AND(T26="Detectivo",U26="Automático"),"40%",IF(AND(T26="Detectivo",U26="Manual"),"30%",IF(AND(T26="Correctivo",U26="Automático"),"35%",IF(AND(T26="Correctivo",U26="Manual"),"25%",""))))))</f>
        <v/>
      </c>
      <c r="W26" s="114"/>
      <c r="X26" s="114"/>
      <c r="Y26" s="114"/>
      <c r="Z26" s="108" t="str">
        <f>IFERROR(IF(AND(S25="Probabilidad",S26="Probabilidad"),(AB25-(+AB25*V26)),IF(AND(S25="Impacto",S26="Probabilidad"),(K25-(+K25*V26)),IF(S26="Impacto",AB25,""))),"")</f>
        <v/>
      </c>
      <c r="AA26" s="118" t="str">
        <f t="shared" ref="AA26:AA30" si="36">IFERROR(IF(Z26="","",IF(Z26&lt;=0.2,"Muy Baja",IF(Z26&lt;=0.4,"Baja",IF(Z26&lt;=0.6,"Media",IF(Z26&lt;=0.8,"Alta","Muy Alta"))))),"")</f>
        <v/>
      </c>
      <c r="AB26" s="119" t="str">
        <f>+Z26</f>
        <v/>
      </c>
      <c r="AC26" s="118" t="str">
        <f t="shared" ref="AC26:AC30" si="37">IFERROR(IF(AD26="","",IF(AD26&lt;=0.2,"Leve",IF(AD26&lt;=0.4,"Menor",IF(AD26&lt;=0.6,"Moderado",IF(AD26&lt;=0.8,"Mayor","Catastrófico"))))),"")</f>
        <v/>
      </c>
      <c r="AD26" s="119" t="str">
        <f>IFERROR(IF(AND(S25="Impacto",S26="Impacto"),(AD25-(+AD25*V26)),IF(AND(S25="Probabilidad",S26="Impacto"),(O25-(+O25*V26)),IF(S26="Probabilidad",AD25,""))),"")</f>
        <v/>
      </c>
      <c r="AE26" s="120" t="str">
        <f t="shared" ref="AE26:AE30" si="38">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121"/>
      <c r="AG26" s="109"/>
      <c r="AH26" s="110"/>
      <c r="AI26" s="111"/>
      <c r="AJ26" s="111"/>
      <c r="AK26" s="109"/>
      <c r="AL26" s="110"/>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25">
      <c r="A27" s="203"/>
      <c r="B27" s="260"/>
      <c r="C27" s="260"/>
      <c r="D27" s="223"/>
      <c r="E27" s="140"/>
      <c r="F27" s="225"/>
      <c r="G27" s="141"/>
      <c r="H27" s="236"/>
      <c r="I27" s="239"/>
      <c r="J27" s="230"/>
      <c r="K27" s="227"/>
      <c r="L27" s="242"/>
      <c r="M27" s="227">
        <f>IF(NOT(ISERROR(MATCH(L27,_xlfn.ANCHORARRAY(F38),0))),K40&amp;"Por favor no seleccionar los criterios de impacto",L27)</f>
        <v>0</v>
      </c>
      <c r="N27" s="230"/>
      <c r="O27" s="227"/>
      <c r="P27" s="233"/>
      <c r="Q27" s="105">
        <v>3</v>
      </c>
      <c r="R27" s="112"/>
      <c r="S27" s="107" t="str">
        <f t="shared" ref="S27:S30" si="39">IF(OR(T27="Preventivo",T27="Detectivo"),"Probabilidad",IF(T27="Correctivo","Impacto",""))</f>
        <v/>
      </c>
      <c r="T27" s="114"/>
      <c r="U27" s="114"/>
      <c r="V27" s="115" t="str">
        <f t="shared" si="35"/>
        <v/>
      </c>
      <c r="W27" s="114"/>
      <c r="X27" s="114"/>
      <c r="Y27" s="114"/>
      <c r="Z27" s="108" t="str">
        <f>IFERROR(IF(AND(S26="Probabilidad",S27="Probabilidad"),(AB26-(+AB26*V27)),IF(AND(S26="Impacto",S27="Probabilidad"),(AB25-(+AB25*V27)),IF(S27="Impacto",AB26,""))),"")</f>
        <v/>
      </c>
      <c r="AA27" s="118" t="str">
        <f t="shared" si="36"/>
        <v/>
      </c>
      <c r="AB27" s="119" t="str">
        <f t="shared" ref="AB27:AB30" si="40">+Z27</f>
        <v/>
      </c>
      <c r="AC27" s="118" t="str">
        <f t="shared" si="37"/>
        <v/>
      </c>
      <c r="AD27" s="119" t="str">
        <f t="shared" ref="AD27:AD30" si="41">IFERROR(IF(AND(S26="Impacto",S27="Impacto"),(AD26-(+AD26*V27)),IF(AND(S26="Probabilidad",S27="Impacto"),(AD25-(+AD25*V27)),IF(S27="Probabilidad",AD26,""))),"")</f>
        <v/>
      </c>
      <c r="AE27" s="120" t="str">
        <f t="shared" si="38"/>
        <v/>
      </c>
      <c r="AF27" s="121"/>
      <c r="AG27" s="109"/>
      <c r="AH27" s="110"/>
      <c r="AI27" s="111"/>
      <c r="AJ27" s="111"/>
      <c r="AK27" s="109"/>
      <c r="AL27" s="110"/>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25">
      <c r="A28" s="203"/>
      <c r="B28" s="260"/>
      <c r="C28" s="260"/>
      <c r="D28" s="223"/>
      <c r="E28" s="140"/>
      <c r="F28" s="225"/>
      <c r="G28" s="141"/>
      <c r="H28" s="236"/>
      <c r="I28" s="239"/>
      <c r="J28" s="230"/>
      <c r="K28" s="227"/>
      <c r="L28" s="242"/>
      <c r="M28" s="227">
        <f>IF(NOT(ISERROR(MATCH(L28,_xlfn.ANCHORARRAY(F39),0))),K41&amp;"Por favor no seleccionar los criterios de impacto",L28)</f>
        <v>0</v>
      </c>
      <c r="N28" s="230"/>
      <c r="O28" s="227"/>
      <c r="P28" s="233"/>
      <c r="Q28" s="105">
        <v>4</v>
      </c>
      <c r="R28" s="106"/>
      <c r="S28" s="107" t="str">
        <f t="shared" si="39"/>
        <v/>
      </c>
      <c r="T28" s="114"/>
      <c r="U28" s="114"/>
      <c r="V28" s="115" t="str">
        <f t="shared" si="35"/>
        <v/>
      </c>
      <c r="W28" s="114"/>
      <c r="X28" s="114"/>
      <c r="Y28" s="114"/>
      <c r="Z28" s="108" t="str">
        <f t="shared" ref="Z28:Z30" si="42">IFERROR(IF(AND(S27="Probabilidad",S28="Probabilidad"),(AB27-(+AB27*V28)),IF(AND(S27="Impacto",S28="Probabilidad"),(AB26-(+AB26*V28)),IF(S28="Impacto",AB27,""))),"")</f>
        <v/>
      </c>
      <c r="AA28" s="118" t="str">
        <f t="shared" si="36"/>
        <v/>
      </c>
      <c r="AB28" s="119" t="str">
        <f t="shared" si="40"/>
        <v/>
      </c>
      <c r="AC28" s="118" t="str">
        <f t="shared" si="37"/>
        <v/>
      </c>
      <c r="AD28" s="119" t="str">
        <f t="shared" si="41"/>
        <v/>
      </c>
      <c r="AE28" s="120" t="str">
        <f t="shared" si="38"/>
        <v/>
      </c>
      <c r="AF28" s="121"/>
      <c r="AG28" s="109"/>
      <c r="AH28" s="110"/>
      <c r="AI28" s="111"/>
      <c r="AJ28" s="111"/>
      <c r="AK28" s="109"/>
      <c r="AL28" s="110"/>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25">
      <c r="A29" s="203"/>
      <c r="B29" s="260"/>
      <c r="C29" s="260"/>
      <c r="D29" s="223"/>
      <c r="E29" s="140"/>
      <c r="F29" s="225"/>
      <c r="G29" s="141"/>
      <c r="H29" s="236"/>
      <c r="I29" s="239"/>
      <c r="J29" s="230"/>
      <c r="K29" s="227"/>
      <c r="L29" s="242"/>
      <c r="M29" s="227">
        <f>IF(NOT(ISERROR(MATCH(L29,_xlfn.ANCHORARRAY(F40),0))),K42&amp;"Por favor no seleccionar los criterios de impacto",L29)</f>
        <v>0</v>
      </c>
      <c r="N29" s="230"/>
      <c r="O29" s="227"/>
      <c r="P29" s="233"/>
      <c r="Q29" s="105">
        <v>5</v>
      </c>
      <c r="R29" s="106"/>
      <c r="S29" s="107" t="str">
        <f t="shared" si="39"/>
        <v/>
      </c>
      <c r="T29" s="114"/>
      <c r="U29" s="114"/>
      <c r="V29" s="115" t="str">
        <f t="shared" si="35"/>
        <v/>
      </c>
      <c r="W29" s="114"/>
      <c r="X29" s="114"/>
      <c r="Y29" s="114"/>
      <c r="Z29" s="108" t="str">
        <f t="shared" si="42"/>
        <v/>
      </c>
      <c r="AA29" s="118" t="str">
        <f t="shared" si="36"/>
        <v/>
      </c>
      <c r="AB29" s="119" t="str">
        <f t="shared" si="40"/>
        <v/>
      </c>
      <c r="AC29" s="118" t="str">
        <f t="shared" si="37"/>
        <v/>
      </c>
      <c r="AD29" s="119" t="str">
        <f t="shared" si="41"/>
        <v/>
      </c>
      <c r="AE29" s="120" t="str">
        <f t="shared" si="38"/>
        <v/>
      </c>
      <c r="AF29" s="121"/>
      <c r="AG29" s="109"/>
      <c r="AH29" s="110"/>
      <c r="AI29" s="111"/>
      <c r="AJ29" s="111"/>
      <c r="AK29" s="109"/>
      <c r="AL29" s="110"/>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25">
      <c r="A30" s="258"/>
      <c r="B30" s="261"/>
      <c r="C30" s="261"/>
      <c r="D30" s="224"/>
      <c r="E30" s="140"/>
      <c r="F30" s="225"/>
      <c r="G30" s="141"/>
      <c r="H30" s="237"/>
      <c r="I30" s="240"/>
      <c r="J30" s="231"/>
      <c r="K30" s="228"/>
      <c r="L30" s="243"/>
      <c r="M30" s="228">
        <f>IF(NOT(ISERROR(MATCH(L30,_xlfn.ANCHORARRAY(F41),0))),K43&amp;"Por favor no seleccionar los criterios de impacto",L30)</f>
        <v>0</v>
      </c>
      <c r="N30" s="231"/>
      <c r="O30" s="228"/>
      <c r="P30" s="234"/>
      <c r="Q30" s="105">
        <v>6</v>
      </c>
      <c r="R30" s="106"/>
      <c r="S30" s="107" t="str">
        <f t="shared" si="39"/>
        <v/>
      </c>
      <c r="T30" s="114"/>
      <c r="U30" s="114"/>
      <c r="V30" s="115" t="str">
        <f t="shared" si="35"/>
        <v/>
      </c>
      <c r="W30" s="114"/>
      <c r="X30" s="114"/>
      <c r="Y30" s="114"/>
      <c r="Z30" s="108" t="str">
        <f t="shared" si="42"/>
        <v/>
      </c>
      <c r="AA30" s="118" t="str">
        <f t="shared" si="36"/>
        <v/>
      </c>
      <c r="AB30" s="119" t="str">
        <f t="shared" si="40"/>
        <v/>
      </c>
      <c r="AC30" s="118" t="str">
        <f t="shared" si="37"/>
        <v/>
      </c>
      <c r="AD30" s="119" t="str">
        <f t="shared" si="41"/>
        <v/>
      </c>
      <c r="AE30" s="120" t="str">
        <f t="shared" si="38"/>
        <v/>
      </c>
      <c r="AF30" s="121"/>
      <c r="AG30" s="109"/>
      <c r="AH30" s="110"/>
      <c r="AI30" s="111"/>
      <c r="AJ30" s="111"/>
      <c r="AK30" s="109"/>
      <c r="AL30" s="110"/>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25">
      <c r="A31" s="202">
        <v>5</v>
      </c>
      <c r="B31" s="259"/>
      <c r="C31" s="259"/>
      <c r="D31" s="222"/>
      <c r="E31" s="140"/>
      <c r="F31" s="225"/>
      <c r="G31" s="141"/>
      <c r="H31" s="235"/>
      <c r="I31" s="238"/>
      <c r="J31" s="229" t="str">
        <f t="shared" ref="J31" si="43">IF(I31&lt;=0,"",IF(I31&lt;=2,"Muy Baja",IF(I31&lt;=24,"Baja",IF(I31&lt;=500,"Media",IF(I31&lt;=5000,"Alta","Muy Alta")))))</f>
        <v/>
      </c>
      <c r="K31" s="226" t="str">
        <f t="shared" ref="K31" si="44">IF(J31="","",IF(J31="Muy Baja",0.2,IF(J31="Baja",0.4,IF(J31="Media",0.6,IF(J31="Alta",0.8,IF(J31="Muy Alta",1,))))))</f>
        <v/>
      </c>
      <c r="L31" s="241"/>
      <c r="M31" s="226">
        <f>IF(NOT(ISERROR(MATCH(L31,'Tabla Impacto'!$B$221:$B$223,0))),'Tabla Impacto'!$F$223&amp;"Por favor no seleccionar los criterios de impacto(Afectación Económica o presupuestal y Pérdida Reputacional)",L31)</f>
        <v>0</v>
      </c>
      <c r="N31" s="229" t="str">
        <f>IF(OR(M31='Tabla Impacto'!$C$11,M31='Tabla Impacto'!$D$11),"Leve",IF(OR(M31='Tabla Impacto'!$C$12,M31='Tabla Impacto'!$D$12),"Menor",IF(OR(M31='Tabla Impacto'!$C$13,M31='Tabla Impacto'!$D$13),"Moderado",IF(OR(M31='Tabla Impacto'!$C$14,M31='Tabla Impacto'!$D$14),"Mayor",IF(OR(M31='Tabla Impacto'!$C$15,M31='Tabla Impacto'!$D$15),"Catastrófico","")))))</f>
        <v/>
      </c>
      <c r="O31" s="226" t="str">
        <f t="shared" ref="O31" si="45">IF(N31="","",IF(N31="Leve",0.2,IF(N31="Menor",0.4,IF(N31="Moderado",0.6,IF(N31="Mayor",0.8,IF(N31="Catastrófico",1,))))))</f>
        <v/>
      </c>
      <c r="P31" s="232" t="str">
        <f t="shared" ref="P31" si="46">IF(OR(AND(J31="Muy Baja",N31="Leve"),AND(J31="Muy Baja",N31="Menor"),AND(J31="Baja",N31="Leve")),"Bajo",IF(OR(AND(J31="Muy baja",N31="Moderado"),AND(J31="Baja",N31="Menor"),AND(J31="Baja",N31="Moderado"),AND(J31="Media",N31="Leve"),AND(J31="Media",N31="Menor"),AND(J31="Media",N31="Moderado"),AND(J31="Alta",N31="Leve"),AND(J31="Alta",N31="Menor")),"Moderado",IF(OR(AND(J31="Muy Baja",N31="Mayor"),AND(J31="Baja",N31="Mayor"),AND(J31="Media",N31="Mayor"),AND(J31="Alta",N31="Moderado"),AND(J31="Alta",N31="Mayor"),AND(J31="Muy Alta",N31="Leve"),AND(J31="Muy Alta",N31="Menor"),AND(J31="Muy Alta",N31="Moderado"),AND(J31="Muy Alta",N31="Mayor")),"Alto",IF(OR(AND(J31="Muy Baja",N31="Catastrófico"),AND(J31="Baja",N31="Catastrófico"),AND(J31="Media",N31="Catastrófico"),AND(J31="Alta",N31="Catastrófico"),AND(J31="Muy Alta",N31="Catastrófico")),"Extremo",""))))</f>
        <v/>
      </c>
      <c r="Q31" s="105">
        <v>1</v>
      </c>
      <c r="R31" s="106"/>
      <c r="S31" s="107" t="str">
        <f>IF(OR(T31="Preventivo",T31="Detectivo"),"Probabilidad",IF(T31="Correctivo","Impacto",""))</f>
        <v/>
      </c>
      <c r="T31" s="114"/>
      <c r="U31" s="114"/>
      <c r="V31" s="115" t="str">
        <f>IF(AND(T31="Preventivo",U31="Automático"),"50%",IF(AND(T31="Preventivo",U31="Manual"),"40%",IF(AND(T31="Detectivo",U31="Automático"),"40%",IF(AND(T31="Detectivo",U31="Manual"),"30%",IF(AND(T31="Correctivo",U31="Automático"),"35%",IF(AND(T31="Correctivo",U31="Manual"),"25%",""))))))</f>
        <v/>
      </c>
      <c r="W31" s="114"/>
      <c r="X31" s="114"/>
      <c r="Y31" s="114"/>
      <c r="Z31" s="108" t="str">
        <f>IFERROR(IF(S31="Probabilidad",(K31-(+K31*V31)),IF(S31="Impacto",K31,"")),"")</f>
        <v/>
      </c>
      <c r="AA31" s="118" t="str">
        <f>IFERROR(IF(Z31="","",IF(Z31&lt;=0.2,"Muy Baja",IF(Z31&lt;=0.4,"Baja",IF(Z31&lt;=0.6,"Media",IF(Z31&lt;=0.8,"Alta","Muy Alta"))))),"")</f>
        <v/>
      </c>
      <c r="AB31" s="119" t="str">
        <f>+Z31</f>
        <v/>
      </c>
      <c r="AC31" s="118" t="str">
        <f>IFERROR(IF(AD31="","",IF(AD31&lt;=0.2,"Leve",IF(AD31&lt;=0.4,"Menor",IF(AD31&lt;=0.6,"Moderado",IF(AD31&lt;=0.8,"Mayor","Catastrófico"))))),"")</f>
        <v/>
      </c>
      <c r="AD31" s="119" t="str">
        <f>IFERROR(IF(S31="Impacto",(O31-(+O31*V31)),IF(S31="Probabilidad",O31,"")),"")</f>
        <v/>
      </c>
      <c r="AE31" s="120" t="str">
        <f>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121"/>
      <c r="AG31" s="109"/>
      <c r="AH31" s="110"/>
      <c r="AI31" s="111"/>
      <c r="AJ31" s="111"/>
      <c r="AK31" s="109"/>
      <c r="AL31" s="110"/>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25">
      <c r="A32" s="203"/>
      <c r="B32" s="260"/>
      <c r="C32" s="260"/>
      <c r="D32" s="223"/>
      <c r="E32" s="140"/>
      <c r="F32" s="225"/>
      <c r="G32" s="141"/>
      <c r="H32" s="236"/>
      <c r="I32" s="239"/>
      <c r="J32" s="230"/>
      <c r="K32" s="227"/>
      <c r="L32" s="242"/>
      <c r="M32" s="227">
        <f>IF(NOT(ISERROR(MATCH(L32,_xlfn.ANCHORARRAY(F43),0))),K45&amp;"Por favor no seleccionar los criterios de impacto",L32)</f>
        <v>0</v>
      </c>
      <c r="N32" s="230"/>
      <c r="O32" s="227"/>
      <c r="P32" s="233"/>
      <c r="Q32" s="105">
        <v>2</v>
      </c>
      <c r="R32" s="106"/>
      <c r="S32" s="107" t="str">
        <f>IF(OR(T32="Preventivo",T32="Detectivo"),"Probabilidad",IF(T32="Correctivo","Impacto",""))</f>
        <v/>
      </c>
      <c r="T32" s="114"/>
      <c r="U32" s="114"/>
      <c r="V32" s="115" t="str">
        <f t="shared" ref="V32:V36" si="47">IF(AND(T32="Preventivo",U32="Automático"),"50%",IF(AND(T32="Preventivo",U32="Manual"),"40%",IF(AND(T32="Detectivo",U32="Automático"),"40%",IF(AND(T32="Detectivo",U32="Manual"),"30%",IF(AND(T32="Correctivo",U32="Automático"),"35%",IF(AND(T32="Correctivo",U32="Manual"),"25%",""))))))</f>
        <v/>
      </c>
      <c r="W32" s="114"/>
      <c r="X32" s="114"/>
      <c r="Y32" s="114"/>
      <c r="Z32" s="108" t="str">
        <f>IFERROR(IF(AND(S31="Probabilidad",S32="Probabilidad"),(AB31-(+AB31*V32)),IF(AND(S31="Impacto",S32="Probabilidad"),(K31-(+K31*V32)),IF(S32="Impacto",AB31,""))),"")</f>
        <v/>
      </c>
      <c r="AA32" s="118" t="str">
        <f t="shared" ref="AA32:AA36" si="48">IFERROR(IF(Z32="","",IF(Z32&lt;=0.2,"Muy Baja",IF(Z32&lt;=0.4,"Baja",IF(Z32&lt;=0.6,"Media",IF(Z32&lt;=0.8,"Alta","Muy Alta"))))),"")</f>
        <v/>
      </c>
      <c r="AB32" s="119" t="str">
        <f>+Z32</f>
        <v/>
      </c>
      <c r="AC32" s="118" t="str">
        <f t="shared" ref="AC32:AC36" si="49">IFERROR(IF(AD32="","",IF(AD32&lt;=0.2,"Leve",IF(AD32&lt;=0.4,"Menor",IF(AD32&lt;=0.6,"Moderado",IF(AD32&lt;=0.8,"Mayor","Catastrófico"))))),"")</f>
        <v/>
      </c>
      <c r="AD32" s="119" t="str">
        <f>IFERROR(IF(AND(S31="Impacto",S32="Impacto"),(AD31-(+AD31*V32)),IF(AND(S31="Probabilidad",S32="Impacto"),(O31-(+O31*V32)),IF(S32="Probabilidad",AD31,""))),"")</f>
        <v/>
      </c>
      <c r="AE32" s="120" t="str">
        <f t="shared" ref="AE32:AE36" si="50">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21"/>
      <c r="AG32" s="109"/>
      <c r="AH32" s="110"/>
      <c r="AI32" s="111"/>
      <c r="AJ32" s="111"/>
      <c r="AK32" s="109"/>
      <c r="AL32" s="110"/>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25">
      <c r="A33" s="203"/>
      <c r="B33" s="260"/>
      <c r="C33" s="260"/>
      <c r="D33" s="223"/>
      <c r="E33" s="140"/>
      <c r="F33" s="225"/>
      <c r="G33" s="141"/>
      <c r="H33" s="236"/>
      <c r="I33" s="239"/>
      <c r="J33" s="230"/>
      <c r="K33" s="227"/>
      <c r="L33" s="242"/>
      <c r="M33" s="227">
        <f>IF(NOT(ISERROR(MATCH(L33,_xlfn.ANCHORARRAY(F44),0))),K46&amp;"Por favor no seleccionar los criterios de impacto",L33)</f>
        <v>0</v>
      </c>
      <c r="N33" s="230"/>
      <c r="O33" s="227"/>
      <c r="P33" s="233"/>
      <c r="Q33" s="105">
        <v>3</v>
      </c>
      <c r="R33" s="112"/>
      <c r="S33" s="107" t="str">
        <f t="shared" ref="S33:S36" si="51">IF(OR(T33="Preventivo",T33="Detectivo"),"Probabilidad",IF(T33="Correctivo","Impacto",""))</f>
        <v/>
      </c>
      <c r="T33" s="114"/>
      <c r="U33" s="114"/>
      <c r="V33" s="115" t="str">
        <f t="shared" si="47"/>
        <v/>
      </c>
      <c r="W33" s="114"/>
      <c r="X33" s="114"/>
      <c r="Y33" s="114"/>
      <c r="Z33" s="108" t="str">
        <f>IFERROR(IF(AND(S32="Probabilidad",S33="Probabilidad"),(AB32-(+AB32*V33)),IF(AND(S32="Impacto",S33="Probabilidad"),(AB31-(+AB31*V33)),IF(S33="Impacto",AB32,""))),"")</f>
        <v/>
      </c>
      <c r="AA33" s="118" t="str">
        <f t="shared" si="48"/>
        <v/>
      </c>
      <c r="AB33" s="119" t="str">
        <f t="shared" ref="AB33:AB36" si="52">+Z33</f>
        <v/>
      </c>
      <c r="AC33" s="118" t="str">
        <f t="shared" si="49"/>
        <v/>
      </c>
      <c r="AD33" s="119" t="str">
        <f t="shared" ref="AD33:AD36" si="53">IFERROR(IF(AND(S32="Impacto",S33="Impacto"),(AD32-(+AD32*V33)),IF(AND(S32="Probabilidad",S33="Impacto"),(AD31-(+AD31*V33)),IF(S33="Probabilidad",AD32,""))),"")</f>
        <v/>
      </c>
      <c r="AE33" s="120" t="str">
        <f t="shared" si="50"/>
        <v/>
      </c>
      <c r="AF33" s="121"/>
      <c r="AG33" s="109"/>
      <c r="AH33" s="110"/>
      <c r="AI33" s="111"/>
      <c r="AJ33" s="111"/>
      <c r="AK33" s="109"/>
      <c r="AL33" s="110"/>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25">
      <c r="A34" s="203"/>
      <c r="B34" s="260"/>
      <c r="C34" s="260"/>
      <c r="D34" s="223"/>
      <c r="E34" s="140"/>
      <c r="F34" s="225"/>
      <c r="G34" s="141"/>
      <c r="H34" s="236"/>
      <c r="I34" s="239"/>
      <c r="J34" s="230"/>
      <c r="K34" s="227"/>
      <c r="L34" s="242"/>
      <c r="M34" s="227">
        <f>IF(NOT(ISERROR(MATCH(L34,_xlfn.ANCHORARRAY(F45),0))),K47&amp;"Por favor no seleccionar los criterios de impacto",L34)</f>
        <v>0</v>
      </c>
      <c r="N34" s="230"/>
      <c r="O34" s="227"/>
      <c r="P34" s="233"/>
      <c r="Q34" s="105">
        <v>4</v>
      </c>
      <c r="R34" s="106"/>
      <c r="S34" s="107" t="str">
        <f t="shared" si="51"/>
        <v/>
      </c>
      <c r="T34" s="114"/>
      <c r="U34" s="114"/>
      <c r="V34" s="115" t="str">
        <f t="shared" si="47"/>
        <v/>
      </c>
      <c r="W34" s="114"/>
      <c r="X34" s="114"/>
      <c r="Y34" s="114"/>
      <c r="Z34" s="108" t="str">
        <f t="shared" ref="Z34:Z36" si="54">IFERROR(IF(AND(S33="Probabilidad",S34="Probabilidad"),(AB33-(+AB33*V34)),IF(AND(S33="Impacto",S34="Probabilidad"),(AB32-(+AB32*V34)),IF(S34="Impacto",AB33,""))),"")</f>
        <v/>
      </c>
      <c r="AA34" s="118" t="str">
        <f t="shared" si="48"/>
        <v/>
      </c>
      <c r="AB34" s="119" t="str">
        <f t="shared" si="52"/>
        <v/>
      </c>
      <c r="AC34" s="118" t="str">
        <f t="shared" si="49"/>
        <v/>
      </c>
      <c r="AD34" s="119" t="str">
        <f t="shared" si="53"/>
        <v/>
      </c>
      <c r="AE34" s="120" t="str">
        <f t="shared" si="50"/>
        <v/>
      </c>
      <c r="AF34" s="121"/>
      <c r="AG34" s="109"/>
      <c r="AH34" s="110"/>
      <c r="AI34" s="111"/>
      <c r="AJ34" s="111"/>
      <c r="AK34" s="109"/>
      <c r="AL34" s="110"/>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25">
      <c r="A35" s="203"/>
      <c r="B35" s="260"/>
      <c r="C35" s="260"/>
      <c r="D35" s="223"/>
      <c r="E35" s="140"/>
      <c r="F35" s="225"/>
      <c r="G35" s="141"/>
      <c r="H35" s="236"/>
      <c r="I35" s="239"/>
      <c r="J35" s="230"/>
      <c r="K35" s="227"/>
      <c r="L35" s="242"/>
      <c r="M35" s="227">
        <f>IF(NOT(ISERROR(MATCH(L35,_xlfn.ANCHORARRAY(F46),0))),K48&amp;"Por favor no seleccionar los criterios de impacto",L35)</f>
        <v>0</v>
      </c>
      <c r="N35" s="230"/>
      <c r="O35" s="227"/>
      <c r="P35" s="233"/>
      <c r="Q35" s="105">
        <v>5</v>
      </c>
      <c r="R35" s="106"/>
      <c r="S35" s="107" t="str">
        <f t="shared" si="51"/>
        <v/>
      </c>
      <c r="T35" s="114"/>
      <c r="U35" s="114"/>
      <c r="V35" s="115" t="str">
        <f t="shared" si="47"/>
        <v/>
      </c>
      <c r="W35" s="114"/>
      <c r="X35" s="114"/>
      <c r="Y35" s="114"/>
      <c r="Z35" s="108" t="str">
        <f t="shared" si="54"/>
        <v/>
      </c>
      <c r="AA35" s="118" t="str">
        <f t="shared" si="48"/>
        <v/>
      </c>
      <c r="AB35" s="119" t="str">
        <f t="shared" si="52"/>
        <v/>
      </c>
      <c r="AC35" s="118" t="str">
        <f t="shared" si="49"/>
        <v/>
      </c>
      <c r="AD35" s="119" t="str">
        <f t="shared" si="53"/>
        <v/>
      </c>
      <c r="AE35" s="120" t="str">
        <f t="shared" si="50"/>
        <v/>
      </c>
      <c r="AF35" s="121"/>
      <c r="AG35" s="109"/>
      <c r="AH35" s="110"/>
      <c r="AI35" s="111"/>
      <c r="AJ35" s="111"/>
      <c r="AK35" s="109"/>
      <c r="AL35" s="110"/>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25">
      <c r="A36" s="258"/>
      <c r="B36" s="261"/>
      <c r="C36" s="261"/>
      <c r="D36" s="224"/>
      <c r="E36" s="140"/>
      <c r="F36" s="225"/>
      <c r="G36" s="141"/>
      <c r="H36" s="237"/>
      <c r="I36" s="240"/>
      <c r="J36" s="231"/>
      <c r="K36" s="228"/>
      <c r="L36" s="243"/>
      <c r="M36" s="228">
        <f>IF(NOT(ISERROR(MATCH(L36,_xlfn.ANCHORARRAY(F47),0))),K49&amp;"Por favor no seleccionar los criterios de impacto",L36)</f>
        <v>0</v>
      </c>
      <c r="N36" s="231"/>
      <c r="O36" s="228"/>
      <c r="P36" s="234"/>
      <c r="Q36" s="105">
        <v>6</v>
      </c>
      <c r="R36" s="106"/>
      <c r="S36" s="107" t="str">
        <f t="shared" si="51"/>
        <v/>
      </c>
      <c r="T36" s="114"/>
      <c r="U36" s="114"/>
      <c r="V36" s="115" t="str">
        <f t="shared" si="47"/>
        <v/>
      </c>
      <c r="W36" s="114"/>
      <c r="X36" s="114"/>
      <c r="Y36" s="114"/>
      <c r="Z36" s="108" t="str">
        <f t="shared" si="54"/>
        <v/>
      </c>
      <c r="AA36" s="118" t="str">
        <f t="shared" si="48"/>
        <v/>
      </c>
      <c r="AB36" s="119" t="str">
        <f t="shared" si="52"/>
        <v/>
      </c>
      <c r="AC36" s="118" t="str">
        <f t="shared" si="49"/>
        <v/>
      </c>
      <c r="AD36" s="119" t="str">
        <f t="shared" si="53"/>
        <v/>
      </c>
      <c r="AE36" s="120" t="str">
        <f t="shared" si="50"/>
        <v/>
      </c>
      <c r="AF36" s="121"/>
      <c r="AG36" s="109"/>
      <c r="AH36" s="110"/>
      <c r="AI36" s="111"/>
      <c r="AJ36" s="111"/>
      <c r="AK36" s="109"/>
      <c r="AL36" s="110"/>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25">
      <c r="A37" s="202">
        <v>6</v>
      </c>
      <c r="B37" s="259"/>
      <c r="C37" s="259"/>
      <c r="D37" s="222"/>
      <c r="E37" s="140"/>
      <c r="F37" s="225"/>
      <c r="G37" s="141"/>
      <c r="H37" s="235"/>
      <c r="I37" s="238"/>
      <c r="J37" s="229" t="str">
        <f t="shared" ref="J37" si="55">IF(I37&lt;=0,"",IF(I37&lt;=2,"Muy Baja",IF(I37&lt;=24,"Baja",IF(I37&lt;=500,"Media",IF(I37&lt;=5000,"Alta","Muy Alta")))))</f>
        <v/>
      </c>
      <c r="K37" s="226" t="str">
        <f t="shared" ref="K37" si="56">IF(J37="","",IF(J37="Muy Baja",0.2,IF(J37="Baja",0.4,IF(J37="Media",0.6,IF(J37="Alta",0.8,IF(J37="Muy Alta",1,))))))</f>
        <v/>
      </c>
      <c r="L37" s="241"/>
      <c r="M37" s="226">
        <f>IF(NOT(ISERROR(MATCH(L37,'Tabla Impacto'!$B$221:$B$223,0))),'Tabla Impacto'!$F$223&amp;"Por favor no seleccionar los criterios de impacto(Afectación Económica o presupuestal y Pérdida Reputacional)",L37)</f>
        <v>0</v>
      </c>
      <c r="N37" s="229" t="str">
        <f>IF(OR(M37='Tabla Impacto'!$C$11,M37='Tabla Impacto'!$D$11),"Leve",IF(OR(M37='Tabla Impacto'!$C$12,M37='Tabla Impacto'!$D$12),"Menor",IF(OR(M37='Tabla Impacto'!$C$13,M37='Tabla Impacto'!$D$13),"Moderado",IF(OR(M37='Tabla Impacto'!$C$14,M37='Tabla Impacto'!$D$14),"Mayor",IF(OR(M37='Tabla Impacto'!$C$15,M37='Tabla Impacto'!$D$15),"Catastrófico","")))))</f>
        <v/>
      </c>
      <c r="O37" s="226" t="str">
        <f t="shared" ref="O37" si="57">IF(N37="","",IF(N37="Leve",0.2,IF(N37="Menor",0.4,IF(N37="Moderado",0.6,IF(N37="Mayor",0.8,IF(N37="Catastrófico",1,))))))</f>
        <v/>
      </c>
      <c r="P37" s="232" t="str">
        <f t="shared" ref="P37" si="58">IF(OR(AND(J37="Muy Baja",N37="Leve"),AND(J37="Muy Baja",N37="Menor"),AND(J37="Baja",N37="Leve")),"Bajo",IF(OR(AND(J37="Muy baja",N37="Moderado"),AND(J37="Baja",N37="Menor"),AND(J37="Baja",N37="Moderado"),AND(J37="Media",N37="Leve"),AND(J37="Media",N37="Menor"),AND(J37="Media",N37="Moderado"),AND(J37="Alta",N37="Leve"),AND(J37="Alta",N37="Menor")),"Moderado",IF(OR(AND(J37="Muy Baja",N37="Mayor"),AND(J37="Baja",N37="Mayor"),AND(J37="Media",N37="Mayor"),AND(J37="Alta",N37="Moderado"),AND(J37="Alta",N37="Mayor"),AND(J37="Muy Alta",N37="Leve"),AND(J37="Muy Alta",N37="Menor"),AND(J37="Muy Alta",N37="Moderado"),AND(J37="Muy Alta",N37="Mayor")),"Alto",IF(OR(AND(J37="Muy Baja",N37="Catastrófico"),AND(J37="Baja",N37="Catastrófico"),AND(J37="Media",N37="Catastrófico"),AND(J37="Alta",N37="Catastrófico"),AND(J37="Muy Alta",N37="Catastrófico")),"Extremo",""))))</f>
        <v/>
      </c>
      <c r="Q37" s="105">
        <v>1</v>
      </c>
      <c r="R37" s="106"/>
      <c r="S37" s="107" t="str">
        <f>IF(OR(T37="Preventivo",T37="Detectivo"),"Probabilidad",IF(T37="Correctivo","Impacto",""))</f>
        <v/>
      </c>
      <c r="T37" s="114"/>
      <c r="U37" s="114"/>
      <c r="V37" s="115" t="str">
        <f>IF(AND(T37="Preventivo",U37="Automático"),"50%",IF(AND(T37="Preventivo",U37="Manual"),"40%",IF(AND(T37="Detectivo",U37="Automático"),"40%",IF(AND(T37="Detectivo",U37="Manual"),"30%",IF(AND(T37="Correctivo",U37="Automático"),"35%",IF(AND(T37="Correctivo",U37="Manual"),"25%",""))))))</f>
        <v/>
      </c>
      <c r="W37" s="114"/>
      <c r="X37" s="114"/>
      <c r="Y37" s="114"/>
      <c r="Z37" s="108" t="str">
        <f>IFERROR(IF(S37="Probabilidad",(K37-(+K37*V37)),IF(S37="Impacto",K37,"")),"")</f>
        <v/>
      </c>
      <c r="AA37" s="118" t="str">
        <f>IFERROR(IF(Z37="","",IF(Z37&lt;=0.2,"Muy Baja",IF(Z37&lt;=0.4,"Baja",IF(Z37&lt;=0.6,"Media",IF(Z37&lt;=0.8,"Alta","Muy Alta"))))),"")</f>
        <v/>
      </c>
      <c r="AB37" s="119" t="str">
        <f>+Z37</f>
        <v/>
      </c>
      <c r="AC37" s="118" t="str">
        <f>IFERROR(IF(AD37="","",IF(AD37&lt;=0.2,"Leve",IF(AD37&lt;=0.4,"Menor",IF(AD37&lt;=0.6,"Moderado",IF(AD37&lt;=0.8,"Mayor","Catastrófico"))))),"")</f>
        <v/>
      </c>
      <c r="AD37" s="119" t="str">
        <f>IFERROR(IF(S37="Impacto",(O37-(+O37*V37)),IF(S37="Probabilidad",O37,"")),"")</f>
        <v/>
      </c>
      <c r="AE37" s="120" t="str">
        <f>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121"/>
      <c r="AG37" s="109"/>
      <c r="AH37" s="110"/>
      <c r="AI37" s="111"/>
      <c r="AJ37" s="111"/>
      <c r="AK37" s="109"/>
      <c r="AL37" s="110"/>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25">
      <c r="A38" s="203"/>
      <c r="B38" s="260"/>
      <c r="C38" s="260"/>
      <c r="D38" s="223"/>
      <c r="E38" s="140"/>
      <c r="F38" s="225"/>
      <c r="G38" s="141"/>
      <c r="H38" s="236"/>
      <c r="I38" s="239"/>
      <c r="J38" s="230"/>
      <c r="K38" s="227"/>
      <c r="L38" s="242"/>
      <c r="M38" s="227">
        <f>IF(NOT(ISERROR(MATCH(L38,_xlfn.ANCHORARRAY(F49),0))),K51&amp;"Por favor no seleccionar los criterios de impacto",L38)</f>
        <v>0</v>
      </c>
      <c r="N38" s="230"/>
      <c r="O38" s="227"/>
      <c r="P38" s="233"/>
      <c r="Q38" s="105">
        <v>2</v>
      </c>
      <c r="R38" s="106"/>
      <c r="S38" s="107" t="str">
        <f>IF(OR(T38="Preventivo",T38="Detectivo"),"Probabilidad",IF(T38="Correctivo","Impacto",""))</f>
        <v/>
      </c>
      <c r="T38" s="114"/>
      <c r="U38" s="114"/>
      <c r="V38" s="115" t="str">
        <f t="shared" ref="V38:V42" si="59">IF(AND(T38="Preventivo",U38="Automático"),"50%",IF(AND(T38="Preventivo",U38="Manual"),"40%",IF(AND(T38="Detectivo",U38="Automático"),"40%",IF(AND(T38="Detectivo",U38="Manual"),"30%",IF(AND(T38="Correctivo",U38="Automático"),"35%",IF(AND(T38="Correctivo",U38="Manual"),"25%",""))))))</f>
        <v/>
      </c>
      <c r="W38" s="114"/>
      <c r="X38" s="114"/>
      <c r="Y38" s="114"/>
      <c r="Z38" s="108" t="str">
        <f>IFERROR(IF(AND(S37="Probabilidad",S38="Probabilidad"),(AB37-(+AB37*V38)),IF(AND(S37="Impacto",S38="Probabilidad"),(K37-(+K37*V38)),IF(S38="Impacto",AB37,""))),"")</f>
        <v/>
      </c>
      <c r="AA38" s="118" t="str">
        <f t="shared" ref="AA38:AA42" si="60">IFERROR(IF(Z38="","",IF(Z38&lt;=0.2,"Muy Baja",IF(Z38&lt;=0.4,"Baja",IF(Z38&lt;=0.6,"Media",IF(Z38&lt;=0.8,"Alta","Muy Alta"))))),"")</f>
        <v/>
      </c>
      <c r="AB38" s="119" t="str">
        <f>+Z38</f>
        <v/>
      </c>
      <c r="AC38" s="118" t="str">
        <f t="shared" ref="AC38:AC42" si="61">IFERROR(IF(AD38="","",IF(AD38&lt;=0.2,"Leve",IF(AD38&lt;=0.4,"Menor",IF(AD38&lt;=0.6,"Moderado",IF(AD38&lt;=0.8,"Mayor","Catastrófico"))))),"")</f>
        <v/>
      </c>
      <c r="AD38" s="119" t="str">
        <f>IFERROR(IF(AND(S37="Impacto",S38="Impacto"),(AD37-(+AD37*V38)),IF(AND(S37="Probabilidad",S38="Impacto"),(O37-(+O37*V38)),IF(S38="Probabilidad",AD37,""))),"")</f>
        <v/>
      </c>
      <c r="AE38" s="120" t="str">
        <f t="shared" ref="AE38:AE42" si="62">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21"/>
      <c r="AG38" s="109"/>
      <c r="AH38" s="110"/>
      <c r="AI38" s="111"/>
      <c r="AJ38" s="111"/>
      <c r="AK38" s="109"/>
      <c r="AL38" s="110"/>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25">
      <c r="A39" s="203"/>
      <c r="B39" s="260"/>
      <c r="C39" s="260"/>
      <c r="D39" s="223"/>
      <c r="E39" s="140"/>
      <c r="F39" s="225"/>
      <c r="G39" s="141"/>
      <c r="H39" s="236"/>
      <c r="I39" s="239"/>
      <c r="J39" s="230"/>
      <c r="K39" s="227"/>
      <c r="L39" s="242"/>
      <c r="M39" s="227">
        <f>IF(NOT(ISERROR(MATCH(L39,_xlfn.ANCHORARRAY(F50),0))),K52&amp;"Por favor no seleccionar los criterios de impacto",L39)</f>
        <v>0</v>
      </c>
      <c r="N39" s="230"/>
      <c r="O39" s="227"/>
      <c r="P39" s="233"/>
      <c r="Q39" s="105">
        <v>3</v>
      </c>
      <c r="R39" s="112"/>
      <c r="S39" s="107" t="str">
        <f t="shared" ref="S39:S42" si="63">IF(OR(T39="Preventivo",T39="Detectivo"),"Probabilidad",IF(T39="Correctivo","Impacto",""))</f>
        <v/>
      </c>
      <c r="T39" s="114"/>
      <c r="U39" s="114"/>
      <c r="V39" s="115" t="str">
        <f t="shared" si="59"/>
        <v/>
      </c>
      <c r="W39" s="114"/>
      <c r="X39" s="114"/>
      <c r="Y39" s="114"/>
      <c r="Z39" s="108" t="str">
        <f>IFERROR(IF(AND(S38="Probabilidad",S39="Probabilidad"),(AB38-(+AB38*V39)),IF(AND(S38="Impacto",S39="Probabilidad"),(AB37-(+AB37*V39)),IF(S39="Impacto",AB38,""))),"")</f>
        <v/>
      </c>
      <c r="AA39" s="118" t="str">
        <f t="shared" si="60"/>
        <v/>
      </c>
      <c r="AB39" s="119" t="str">
        <f t="shared" ref="AB39:AB42" si="64">+Z39</f>
        <v/>
      </c>
      <c r="AC39" s="118" t="str">
        <f t="shared" si="61"/>
        <v/>
      </c>
      <c r="AD39" s="119" t="str">
        <f t="shared" ref="AD39:AD42" si="65">IFERROR(IF(AND(S38="Impacto",S39="Impacto"),(AD38-(+AD38*V39)),IF(AND(S38="Probabilidad",S39="Impacto"),(AD37-(+AD37*V39)),IF(S39="Probabilidad",AD38,""))),"")</f>
        <v/>
      </c>
      <c r="AE39" s="120" t="str">
        <f t="shared" si="62"/>
        <v/>
      </c>
      <c r="AF39" s="121"/>
      <c r="AG39" s="109"/>
      <c r="AH39" s="110"/>
      <c r="AI39" s="111"/>
      <c r="AJ39" s="111"/>
      <c r="AK39" s="109"/>
      <c r="AL39" s="110"/>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25">
      <c r="A40" s="203"/>
      <c r="B40" s="260"/>
      <c r="C40" s="260"/>
      <c r="D40" s="223"/>
      <c r="E40" s="140"/>
      <c r="F40" s="225"/>
      <c r="G40" s="141"/>
      <c r="H40" s="236"/>
      <c r="I40" s="239"/>
      <c r="J40" s="230"/>
      <c r="K40" s="227"/>
      <c r="L40" s="242"/>
      <c r="M40" s="227">
        <f>IF(NOT(ISERROR(MATCH(L40,_xlfn.ANCHORARRAY(F51),0))),K53&amp;"Por favor no seleccionar los criterios de impacto",L40)</f>
        <v>0</v>
      </c>
      <c r="N40" s="230"/>
      <c r="O40" s="227"/>
      <c r="P40" s="233"/>
      <c r="Q40" s="105">
        <v>4</v>
      </c>
      <c r="R40" s="106"/>
      <c r="S40" s="107" t="str">
        <f t="shared" si="63"/>
        <v/>
      </c>
      <c r="T40" s="114"/>
      <c r="U40" s="114"/>
      <c r="V40" s="115" t="str">
        <f t="shared" si="59"/>
        <v/>
      </c>
      <c r="W40" s="114"/>
      <c r="X40" s="114"/>
      <c r="Y40" s="114"/>
      <c r="Z40" s="108" t="str">
        <f t="shared" ref="Z40:Z42" si="66">IFERROR(IF(AND(S39="Probabilidad",S40="Probabilidad"),(AB39-(+AB39*V40)),IF(AND(S39="Impacto",S40="Probabilidad"),(AB38-(+AB38*V40)),IF(S40="Impacto",AB39,""))),"")</f>
        <v/>
      </c>
      <c r="AA40" s="118" t="str">
        <f t="shared" si="60"/>
        <v/>
      </c>
      <c r="AB40" s="119" t="str">
        <f t="shared" si="64"/>
        <v/>
      </c>
      <c r="AC40" s="118" t="str">
        <f t="shared" si="61"/>
        <v/>
      </c>
      <c r="AD40" s="119" t="str">
        <f t="shared" si="65"/>
        <v/>
      </c>
      <c r="AE40" s="120" t="str">
        <f t="shared" si="62"/>
        <v/>
      </c>
      <c r="AF40" s="121"/>
      <c r="AG40" s="109"/>
      <c r="AH40" s="110"/>
      <c r="AI40" s="111"/>
      <c r="AJ40" s="111"/>
      <c r="AK40" s="109"/>
      <c r="AL40" s="110"/>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25">
      <c r="A41" s="203"/>
      <c r="B41" s="260"/>
      <c r="C41" s="260"/>
      <c r="D41" s="223"/>
      <c r="E41" s="140"/>
      <c r="F41" s="225"/>
      <c r="G41" s="141"/>
      <c r="H41" s="236"/>
      <c r="I41" s="239"/>
      <c r="J41" s="230"/>
      <c r="K41" s="227"/>
      <c r="L41" s="242"/>
      <c r="M41" s="227">
        <f>IF(NOT(ISERROR(MATCH(L41,_xlfn.ANCHORARRAY(F52),0))),K54&amp;"Por favor no seleccionar los criterios de impacto",L41)</f>
        <v>0</v>
      </c>
      <c r="N41" s="230"/>
      <c r="O41" s="227"/>
      <c r="P41" s="233"/>
      <c r="Q41" s="105">
        <v>5</v>
      </c>
      <c r="R41" s="106"/>
      <c r="S41" s="107" t="str">
        <f t="shared" si="63"/>
        <v/>
      </c>
      <c r="T41" s="114"/>
      <c r="U41" s="114"/>
      <c r="V41" s="115" t="str">
        <f t="shared" si="59"/>
        <v/>
      </c>
      <c r="W41" s="114"/>
      <c r="X41" s="114"/>
      <c r="Y41" s="114"/>
      <c r="Z41" s="108" t="str">
        <f t="shared" si="66"/>
        <v/>
      </c>
      <c r="AA41" s="118" t="str">
        <f t="shared" si="60"/>
        <v/>
      </c>
      <c r="AB41" s="119" t="str">
        <f t="shared" si="64"/>
        <v/>
      </c>
      <c r="AC41" s="118" t="str">
        <f t="shared" si="61"/>
        <v/>
      </c>
      <c r="AD41" s="119" t="str">
        <f t="shared" si="65"/>
        <v/>
      </c>
      <c r="AE41" s="120" t="str">
        <f t="shared" si="62"/>
        <v/>
      </c>
      <c r="AF41" s="121"/>
      <c r="AG41" s="109"/>
      <c r="AH41" s="110"/>
      <c r="AI41" s="111"/>
      <c r="AJ41" s="111"/>
      <c r="AK41" s="109"/>
      <c r="AL41" s="110"/>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25">
      <c r="A42" s="258"/>
      <c r="B42" s="261"/>
      <c r="C42" s="261"/>
      <c r="D42" s="224"/>
      <c r="E42" s="140"/>
      <c r="F42" s="225"/>
      <c r="G42" s="141"/>
      <c r="H42" s="237"/>
      <c r="I42" s="240"/>
      <c r="J42" s="231"/>
      <c r="K42" s="228"/>
      <c r="L42" s="243"/>
      <c r="M42" s="228">
        <f>IF(NOT(ISERROR(MATCH(L42,_xlfn.ANCHORARRAY(F53),0))),K55&amp;"Por favor no seleccionar los criterios de impacto",L42)</f>
        <v>0</v>
      </c>
      <c r="N42" s="231"/>
      <c r="O42" s="228"/>
      <c r="P42" s="234"/>
      <c r="Q42" s="105">
        <v>6</v>
      </c>
      <c r="R42" s="106"/>
      <c r="S42" s="107" t="str">
        <f t="shared" si="63"/>
        <v/>
      </c>
      <c r="T42" s="114"/>
      <c r="U42" s="114"/>
      <c r="V42" s="115" t="str">
        <f t="shared" si="59"/>
        <v/>
      </c>
      <c r="W42" s="114"/>
      <c r="X42" s="114"/>
      <c r="Y42" s="114"/>
      <c r="Z42" s="108" t="str">
        <f t="shared" si="66"/>
        <v/>
      </c>
      <c r="AA42" s="118" t="str">
        <f t="shared" si="60"/>
        <v/>
      </c>
      <c r="AB42" s="119" t="str">
        <f t="shared" si="64"/>
        <v/>
      </c>
      <c r="AC42" s="118" t="str">
        <f t="shared" si="61"/>
        <v/>
      </c>
      <c r="AD42" s="119" t="str">
        <f t="shared" si="65"/>
        <v/>
      </c>
      <c r="AE42" s="120" t="str">
        <f t="shared" si="62"/>
        <v/>
      </c>
      <c r="AF42" s="121"/>
      <c r="AG42" s="109"/>
      <c r="AH42" s="110"/>
      <c r="AI42" s="111"/>
      <c r="AJ42" s="111"/>
      <c r="AK42" s="109"/>
      <c r="AL42" s="110"/>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25">
      <c r="A43" s="202">
        <v>7</v>
      </c>
      <c r="B43" s="259"/>
      <c r="C43" s="259"/>
      <c r="D43" s="259"/>
      <c r="E43" s="123"/>
      <c r="F43" s="263"/>
      <c r="G43" s="126"/>
      <c r="H43" s="259"/>
      <c r="I43" s="238"/>
      <c r="J43" s="229" t="str">
        <f t="shared" ref="J43" si="67">IF(I43&lt;=0,"",IF(I43&lt;=2,"Muy Baja",IF(I43&lt;=24,"Baja",IF(I43&lt;=500,"Media",IF(I43&lt;=5000,"Alta","Muy Alta")))))</f>
        <v/>
      </c>
      <c r="K43" s="226" t="str">
        <f t="shared" ref="K43" si="68">IF(J43="","",IF(J43="Muy Baja",0.2,IF(J43="Baja",0.4,IF(J43="Media",0.6,IF(J43="Alta",0.8,IF(J43="Muy Alta",1,))))))</f>
        <v/>
      </c>
      <c r="L43" s="241"/>
      <c r="M43" s="226">
        <f>IF(NOT(ISERROR(MATCH(L43,'Tabla Impacto'!$B$221:$B$223,0))),'Tabla Impacto'!$F$223&amp;"Por favor no seleccionar los criterios de impacto(Afectación Económica o presupuestal y Pérdida Reputacional)",L43)</f>
        <v>0</v>
      </c>
      <c r="N43" s="229" t="str">
        <f>IF(OR(M43='Tabla Impacto'!$C$11,M43='Tabla Impacto'!$D$11),"Leve",IF(OR(M43='Tabla Impacto'!$C$12,M43='Tabla Impacto'!$D$12),"Menor",IF(OR(M43='Tabla Impacto'!$C$13,M43='Tabla Impacto'!$D$13),"Moderado",IF(OR(M43='Tabla Impacto'!$C$14,M43='Tabla Impacto'!$D$14),"Mayor",IF(OR(M43='Tabla Impacto'!$C$15,M43='Tabla Impacto'!$D$15),"Catastrófico","")))))</f>
        <v/>
      </c>
      <c r="O43" s="226" t="str">
        <f t="shared" ref="O43" si="69">IF(N43="","",IF(N43="Leve",0.2,IF(N43="Menor",0.4,IF(N43="Moderado",0.6,IF(N43="Mayor",0.8,IF(N43="Catastrófico",1,))))))</f>
        <v/>
      </c>
      <c r="P43" s="232" t="str">
        <f t="shared" ref="P43" si="70">IF(OR(AND(J43="Muy Baja",N43="Leve"),AND(J43="Muy Baja",N43="Menor"),AND(J43="Baja",N43="Leve")),"Bajo",IF(OR(AND(J43="Muy baja",N43="Moderado"),AND(J43="Baja",N43="Menor"),AND(J43="Baja",N43="Moderado"),AND(J43="Media",N43="Leve"),AND(J43="Media",N43="Menor"),AND(J43="Media",N43="Moderado"),AND(J43="Alta",N43="Leve"),AND(J43="Alta",N43="Menor")),"Moderado",IF(OR(AND(J43="Muy Baja",N43="Mayor"),AND(J43="Baja",N43="Mayor"),AND(J43="Media",N43="Mayor"),AND(J43="Alta",N43="Moderado"),AND(J43="Alta",N43="Mayor"),AND(J43="Muy Alta",N43="Leve"),AND(J43="Muy Alta",N43="Menor"),AND(J43="Muy Alta",N43="Moderado"),AND(J43="Muy Alta",N43="Mayor")),"Alto",IF(OR(AND(J43="Muy Baja",N43="Catastrófico"),AND(J43="Baja",N43="Catastrófico"),AND(J43="Media",N43="Catastrófico"),AND(J43="Alta",N43="Catastrófico"),AND(J43="Muy Alta",N43="Catastrófico")),"Extremo",""))))</f>
        <v/>
      </c>
      <c r="Q43" s="105">
        <v>1</v>
      </c>
      <c r="R43" s="106"/>
      <c r="S43" s="107" t="str">
        <f>IF(OR(T43="Preventivo",T43="Detectivo"),"Probabilidad",IF(T43="Correctivo","Impacto",""))</f>
        <v/>
      </c>
      <c r="T43" s="114"/>
      <c r="U43" s="114"/>
      <c r="V43" s="115" t="str">
        <f>IF(AND(T43="Preventivo",U43="Automático"),"50%",IF(AND(T43="Preventivo",U43="Manual"),"40%",IF(AND(T43="Detectivo",U43="Automático"),"40%",IF(AND(T43="Detectivo",U43="Manual"),"30%",IF(AND(T43="Correctivo",U43="Automático"),"35%",IF(AND(T43="Correctivo",U43="Manual"),"25%",""))))))</f>
        <v/>
      </c>
      <c r="W43" s="114"/>
      <c r="X43" s="114"/>
      <c r="Y43" s="114"/>
      <c r="Z43" s="108" t="str">
        <f>IFERROR(IF(S43="Probabilidad",(K43-(+K43*V43)),IF(S43="Impacto",K43,"")),"")</f>
        <v/>
      </c>
      <c r="AA43" s="118" t="str">
        <f>IFERROR(IF(Z43="","",IF(Z43&lt;=0.2,"Muy Baja",IF(Z43&lt;=0.4,"Baja",IF(Z43&lt;=0.6,"Media",IF(Z43&lt;=0.8,"Alta","Muy Alta"))))),"")</f>
        <v/>
      </c>
      <c r="AB43" s="119" t="str">
        <f>+Z43</f>
        <v/>
      </c>
      <c r="AC43" s="118" t="str">
        <f>IFERROR(IF(AD43="","",IF(AD43&lt;=0.2,"Leve",IF(AD43&lt;=0.4,"Menor",IF(AD43&lt;=0.6,"Moderado",IF(AD43&lt;=0.8,"Mayor","Catastrófico"))))),"")</f>
        <v/>
      </c>
      <c r="AD43" s="119" t="str">
        <f>IFERROR(IF(S43="Impacto",(O43-(+O43*V43)),IF(S43="Probabilidad",O43,"")),"")</f>
        <v/>
      </c>
      <c r="AE43" s="120" t="str">
        <f>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121"/>
      <c r="AG43" s="109"/>
      <c r="AH43" s="110"/>
      <c r="AI43" s="111"/>
      <c r="AJ43" s="111"/>
      <c r="AK43" s="109"/>
      <c r="AL43" s="110"/>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25">
      <c r="A44" s="203"/>
      <c r="B44" s="260"/>
      <c r="C44" s="260"/>
      <c r="D44" s="260"/>
      <c r="E44" s="123"/>
      <c r="F44" s="263"/>
      <c r="G44" s="126"/>
      <c r="H44" s="260"/>
      <c r="I44" s="239"/>
      <c r="J44" s="230"/>
      <c r="K44" s="227"/>
      <c r="L44" s="242"/>
      <c r="M44" s="227">
        <f>IF(NOT(ISERROR(MATCH(L44,_xlfn.ANCHORARRAY(F55),0))),K57&amp;"Por favor no seleccionar los criterios de impacto",L44)</f>
        <v>0</v>
      </c>
      <c r="N44" s="230"/>
      <c r="O44" s="227"/>
      <c r="P44" s="233"/>
      <c r="Q44" s="105">
        <v>2</v>
      </c>
      <c r="R44" s="106"/>
      <c r="S44" s="107" t="str">
        <f>IF(OR(T44="Preventivo",T44="Detectivo"),"Probabilidad",IF(T44="Correctivo","Impacto",""))</f>
        <v/>
      </c>
      <c r="T44" s="114"/>
      <c r="U44" s="114"/>
      <c r="V44" s="115" t="str">
        <f t="shared" ref="V44:V48" si="71">IF(AND(T44="Preventivo",U44="Automático"),"50%",IF(AND(T44="Preventivo",U44="Manual"),"40%",IF(AND(T44="Detectivo",U44="Automático"),"40%",IF(AND(T44="Detectivo",U44="Manual"),"30%",IF(AND(T44="Correctivo",U44="Automático"),"35%",IF(AND(T44="Correctivo",U44="Manual"),"25%",""))))))</f>
        <v/>
      </c>
      <c r="W44" s="114"/>
      <c r="X44" s="114"/>
      <c r="Y44" s="114"/>
      <c r="Z44" s="108" t="str">
        <f>IFERROR(IF(AND(S43="Probabilidad",S44="Probabilidad"),(AB43-(+AB43*V44)),IF(AND(S43="Impacto",S44="Probabilidad"),(K43-(+K43*V44)),IF(S44="Impacto",AB43,""))),"")</f>
        <v/>
      </c>
      <c r="AA44" s="118" t="str">
        <f t="shared" ref="AA44:AA48" si="72">IFERROR(IF(Z44="","",IF(Z44&lt;=0.2,"Muy Baja",IF(Z44&lt;=0.4,"Baja",IF(Z44&lt;=0.6,"Media",IF(Z44&lt;=0.8,"Alta","Muy Alta"))))),"")</f>
        <v/>
      </c>
      <c r="AB44" s="119" t="str">
        <f>+Z44</f>
        <v/>
      </c>
      <c r="AC44" s="118" t="str">
        <f t="shared" ref="AC44:AC48" si="73">IFERROR(IF(AD44="","",IF(AD44&lt;=0.2,"Leve",IF(AD44&lt;=0.4,"Menor",IF(AD44&lt;=0.6,"Moderado",IF(AD44&lt;=0.8,"Mayor","Catastrófico"))))),"")</f>
        <v/>
      </c>
      <c r="AD44" s="119" t="str">
        <f>IFERROR(IF(AND(S43="Impacto",S44="Impacto"),(AD43-(+AD43*V44)),IF(AND(S43="Probabilidad",S44="Impacto"),(O43-(+O43*V44)),IF(S44="Probabilidad",AD43,""))),"")</f>
        <v/>
      </c>
      <c r="AE44" s="120" t="str">
        <f t="shared" ref="AE44:AE48" si="74">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21"/>
      <c r="AG44" s="109"/>
      <c r="AH44" s="110"/>
      <c r="AI44" s="111"/>
      <c r="AJ44" s="111"/>
      <c r="AK44" s="109"/>
      <c r="AL44" s="110"/>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25">
      <c r="A45" s="203"/>
      <c r="B45" s="260"/>
      <c r="C45" s="260"/>
      <c r="D45" s="260"/>
      <c r="E45" s="123"/>
      <c r="F45" s="263"/>
      <c r="G45" s="126"/>
      <c r="H45" s="260"/>
      <c r="I45" s="239"/>
      <c r="J45" s="230"/>
      <c r="K45" s="227"/>
      <c r="L45" s="242"/>
      <c r="M45" s="227">
        <f>IF(NOT(ISERROR(MATCH(L45,_xlfn.ANCHORARRAY(F56),0))),K58&amp;"Por favor no seleccionar los criterios de impacto",L45)</f>
        <v>0</v>
      </c>
      <c r="N45" s="230"/>
      <c r="O45" s="227"/>
      <c r="P45" s="233"/>
      <c r="Q45" s="105">
        <v>3</v>
      </c>
      <c r="R45" s="112"/>
      <c r="S45" s="107" t="str">
        <f t="shared" ref="S45:S48" si="75">IF(OR(T45="Preventivo",T45="Detectivo"),"Probabilidad",IF(T45="Correctivo","Impacto",""))</f>
        <v/>
      </c>
      <c r="T45" s="114"/>
      <c r="U45" s="114"/>
      <c r="V45" s="115" t="str">
        <f t="shared" si="71"/>
        <v/>
      </c>
      <c r="W45" s="114"/>
      <c r="X45" s="114"/>
      <c r="Y45" s="114"/>
      <c r="Z45" s="108" t="str">
        <f>IFERROR(IF(AND(S44="Probabilidad",S45="Probabilidad"),(AB44-(+AB44*V45)),IF(AND(S44="Impacto",S45="Probabilidad"),(AB43-(+AB43*V45)),IF(S45="Impacto",AB44,""))),"")</f>
        <v/>
      </c>
      <c r="AA45" s="118" t="str">
        <f t="shared" si="72"/>
        <v/>
      </c>
      <c r="AB45" s="119" t="str">
        <f t="shared" ref="AB45:AB48" si="76">+Z45</f>
        <v/>
      </c>
      <c r="AC45" s="118" t="str">
        <f t="shared" si="73"/>
        <v/>
      </c>
      <c r="AD45" s="119" t="str">
        <f t="shared" ref="AD45:AD48" si="77">IFERROR(IF(AND(S44="Impacto",S45="Impacto"),(AD44-(+AD44*V45)),IF(AND(S44="Probabilidad",S45="Impacto"),(AD43-(+AD43*V45)),IF(S45="Probabilidad",AD44,""))),"")</f>
        <v/>
      </c>
      <c r="AE45" s="120" t="str">
        <f t="shared" si="74"/>
        <v/>
      </c>
      <c r="AF45" s="121"/>
      <c r="AG45" s="109"/>
      <c r="AH45" s="110"/>
      <c r="AI45" s="111"/>
      <c r="AJ45" s="111"/>
      <c r="AK45" s="109"/>
      <c r="AL45" s="110"/>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25">
      <c r="A46" s="203"/>
      <c r="B46" s="260"/>
      <c r="C46" s="260"/>
      <c r="D46" s="260"/>
      <c r="E46" s="123"/>
      <c r="F46" s="263"/>
      <c r="G46" s="126"/>
      <c r="H46" s="260"/>
      <c r="I46" s="239"/>
      <c r="J46" s="230"/>
      <c r="K46" s="227"/>
      <c r="L46" s="242"/>
      <c r="M46" s="227">
        <f>IF(NOT(ISERROR(MATCH(L46,_xlfn.ANCHORARRAY(F57),0))),K59&amp;"Por favor no seleccionar los criterios de impacto",L46)</f>
        <v>0</v>
      </c>
      <c r="N46" s="230"/>
      <c r="O46" s="227"/>
      <c r="P46" s="233"/>
      <c r="Q46" s="105">
        <v>4</v>
      </c>
      <c r="R46" s="106"/>
      <c r="S46" s="107" t="str">
        <f t="shared" si="75"/>
        <v/>
      </c>
      <c r="T46" s="114"/>
      <c r="U46" s="114"/>
      <c r="V46" s="115" t="str">
        <f t="shared" si="71"/>
        <v/>
      </c>
      <c r="W46" s="114"/>
      <c r="X46" s="114"/>
      <c r="Y46" s="114"/>
      <c r="Z46" s="108" t="str">
        <f t="shared" ref="Z46:Z48" si="78">IFERROR(IF(AND(S45="Probabilidad",S46="Probabilidad"),(AB45-(+AB45*V46)),IF(AND(S45="Impacto",S46="Probabilidad"),(AB44-(+AB44*V46)),IF(S46="Impacto",AB45,""))),"")</f>
        <v/>
      </c>
      <c r="AA46" s="118" t="str">
        <f t="shared" si="72"/>
        <v/>
      </c>
      <c r="AB46" s="119" t="str">
        <f t="shared" si="76"/>
        <v/>
      </c>
      <c r="AC46" s="118" t="str">
        <f t="shared" si="73"/>
        <v/>
      </c>
      <c r="AD46" s="119" t="str">
        <f t="shared" si="77"/>
        <v/>
      </c>
      <c r="AE46" s="120" t="str">
        <f t="shared" si="74"/>
        <v/>
      </c>
      <c r="AF46" s="121"/>
      <c r="AG46" s="109"/>
      <c r="AH46" s="110"/>
      <c r="AI46" s="111"/>
      <c r="AJ46" s="111"/>
      <c r="AK46" s="109"/>
      <c r="AL46" s="110"/>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25">
      <c r="A47" s="203"/>
      <c r="B47" s="260"/>
      <c r="C47" s="260"/>
      <c r="D47" s="260"/>
      <c r="E47" s="123"/>
      <c r="F47" s="263"/>
      <c r="G47" s="126"/>
      <c r="H47" s="260"/>
      <c r="I47" s="239"/>
      <c r="J47" s="230"/>
      <c r="K47" s="227"/>
      <c r="L47" s="242"/>
      <c r="M47" s="227">
        <f>IF(NOT(ISERROR(MATCH(L47,_xlfn.ANCHORARRAY(F58),0))),K60&amp;"Por favor no seleccionar los criterios de impacto",L47)</f>
        <v>0</v>
      </c>
      <c r="N47" s="230"/>
      <c r="O47" s="227"/>
      <c r="P47" s="233"/>
      <c r="Q47" s="105">
        <v>5</v>
      </c>
      <c r="R47" s="106"/>
      <c r="S47" s="107" t="str">
        <f t="shared" si="75"/>
        <v/>
      </c>
      <c r="T47" s="114"/>
      <c r="U47" s="114"/>
      <c r="V47" s="115" t="str">
        <f t="shared" si="71"/>
        <v/>
      </c>
      <c r="W47" s="114"/>
      <c r="X47" s="114"/>
      <c r="Y47" s="114"/>
      <c r="Z47" s="108" t="str">
        <f t="shared" si="78"/>
        <v/>
      </c>
      <c r="AA47" s="118" t="str">
        <f t="shared" si="72"/>
        <v/>
      </c>
      <c r="AB47" s="119" t="str">
        <f t="shared" si="76"/>
        <v/>
      </c>
      <c r="AC47" s="118" t="str">
        <f t="shared" si="73"/>
        <v/>
      </c>
      <c r="AD47" s="119" t="str">
        <f t="shared" si="77"/>
        <v/>
      </c>
      <c r="AE47" s="120" t="str">
        <f t="shared" si="74"/>
        <v/>
      </c>
      <c r="AF47" s="121"/>
      <c r="AG47" s="109"/>
      <c r="AH47" s="110"/>
      <c r="AI47" s="111"/>
      <c r="AJ47" s="111"/>
      <c r="AK47" s="109"/>
      <c r="AL47" s="110"/>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25">
      <c r="A48" s="258"/>
      <c r="B48" s="261"/>
      <c r="C48" s="261"/>
      <c r="D48" s="261"/>
      <c r="E48" s="124"/>
      <c r="F48" s="264"/>
      <c r="G48" s="127"/>
      <c r="H48" s="261"/>
      <c r="I48" s="240"/>
      <c r="J48" s="231"/>
      <c r="K48" s="228"/>
      <c r="L48" s="243"/>
      <c r="M48" s="228">
        <f>IF(NOT(ISERROR(MATCH(L48,_xlfn.ANCHORARRAY(F59),0))),K61&amp;"Por favor no seleccionar los criterios de impacto",L48)</f>
        <v>0</v>
      </c>
      <c r="N48" s="231"/>
      <c r="O48" s="228"/>
      <c r="P48" s="234"/>
      <c r="Q48" s="105">
        <v>6</v>
      </c>
      <c r="R48" s="106"/>
      <c r="S48" s="107" t="str">
        <f t="shared" si="75"/>
        <v/>
      </c>
      <c r="T48" s="114"/>
      <c r="U48" s="114"/>
      <c r="V48" s="115" t="str">
        <f t="shared" si="71"/>
        <v/>
      </c>
      <c r="W48" s="114"/>
      <c r="X48" s="114"/>
      <c r="Y48" s="114"/>
      <c r="Z48" s="108" t="str">
        <f t="shared" si="78"/>
        <v/>
      </c>
      <c r="AA48" s="118" t="str">
        <f t="shared" si="72"/>
        <v/>
      </c>
      <c r="AB48" s="119" t="str">
        <f t="shared" si="76"/>
        <v/>
      </c>
      <c r="AC48" s="118" t="str">
        <f t="shared" si="73"/>
        <v/>
      </c>
      <c r="AD48" s="119" t="str">
        <f t="shared" si="77"/>
        <v/>
      </c>
      <c r="AE48" s="120" t="str">
        <f t="shared" si="74"/>
        <v/>
      </c>
      <c r="AF48" s="121"/>
      <c r="AG48" s="109"/>
      <c r="AH48" s="110"/>
      <c r="AI48" s="111"/>
      <c r="AJ48" s="111"/>
      <c r="AK48" s="109"/>
      <c r="AL48" s="110"/>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25">
      <c r="A49" s="202">
        <v>8</v>
      </c>
      <c r="B49" s="259"/>
      <c r="C49" s="259"/>
      <c r="D49" s="259"/>
      <c r="E49" s="122"/>
      <c r="F49" s="262"/>
      <c r="G49" s="125"/>
      <c r="H49" s="259"/>
      <c r="I49" s="238"/>
      <c r="J49" s="229" t="str">
        <f t="shared" ref="J49" si="79">IF(I49&lt;=0,"",IF(I49&lt;=2,"Muy Baja",IF(I49&lt;=24,"Baja",IF(I49&lt;=500,"Media",IF(I49&lt;=5000,"Alta","Muy Alta")))))</f>
        <v/>
      </c>
      <c r="K49" s="226" t="str">
        <f t="shared" ref="K49" si="80">IF(J49="","",IF(J49="Muy Baja",0.2,IF(J49="Baja",0.4,IF(J49="Media",0.6,IF(J49="Alta",0.8,IF(J49="Muy Alta",1,))))))</f>
        <v/>
      </c>
      <c r="L49" s="241"/>
      <c r="M49" s="226">
        <f>IF(NOT(ISERROR(MATCH(L49,'Tabla Impacto'!$B$221:$B$223,0))),'Tabla Impacto'!$F$223&amp;"Por favor no seleccionar los criterios de impacto(Afectación Económica o presupuestal y Pérdida Reputacional)",L49)</f>
        <v>0</v>
      </c>
      <c r="N49" s="229" t="str">
        <f>IF(OR(M49='Tabla Impacto'!$C$11,M49='Tabla Impacto'!$D$11),"Leve",IF(OR(M49='Tabla Impacto'!$C$12,M49='Tabla Impacto'!$D$12),"Menor",IF(OR(M49='Tabla Impacto'!$C$13,M49='Tabla Impacto'!$D$13),"Moderado",IF(OR(M49='Tabla Impacto'!$C$14,M49='Tabla Impacto'!$D$14),"Mayor",IF(OR(M49='Tabla Impacto'!$C$15,M49='Tabla Impacto'!$D$15),"Catastrófico","")))))</f>
        <v/>
      </c>
      <c r="O49" s="226" t="str">
        <f t="shared" ref="O49" si="81">IF(N49="","",IF(N49="Leve",0.2,IF(N49="Menor",0.4,IF(N49="Moderado",0.6,IF(N49="Mayor",0.8,IF(N49="Catastrófico",1,))))))</f>
        <v/>
      </c>
      <c r="P49" s="232" t="str">
        <f t="shared" ref="P49" si="82">IF(OR(AND(J49="Muy Baja",N49="Leve"),AND(J49="Muy Baja",N49="Menor"),AND(J49="Baja",N49="Leve")),"Bajo",IF(OR(AND(J49="Muy baja",N49="Moderado"),AND(J49="Baja",N49="Menor"),AND(J49="Baja",N49="Moderado"),AND(J49="Media",N49="Leve"),AND(J49="Media",N49="Menor"),AND(J49="Media",N49="Moderado"),AND(J49="Alta",N49="Leve"),AND(J49="Alta",N49="Menor")),"Moderado",IF(OR(AND(J49="Muy Baja",N49="Mayor"),AND(J49="Baja",N49="Mayor"),AND(J49="Media",N49="Mayor"),AND(J49="Alta",N49="Moderado"),AND(J49="Alta",N49="Mayor"),AND(J49="Muy Alta",N49="Leve"),AND(J49="Muy Alta",N49="Menor"),AND(J49="Muy Alta",N49="Moderado"),AND(J49="Muy Alta",N49="Mayor")),"Alto",IF(OR(AND(J49="Muy Baja",N49="Catastrófico"),AND(J49="Baja",N49="Catastrófico"),AND(J49="Media",N49="Catastrófico"),AND(J49="Alta",N49="Catastrófico"),AND(J49="Muy Alta",N49="Catastrófico")),"Extremo",""))))</f>
        <v/>
      </c>
      <c r="Q49" s="105">
        <v>1</v>
      </c>
      <c r="R49" s="106"/>
      <c r="S49" s="107" t="str">
        <f>IF(OR(T49="Preventivo",T49="Detectivo"),"Probabilidad",IF(T49="Correctivo","Impacto",""))</f>
        <v/>
      </c>
      <c r="T49" s="114"/>
      <c r="U49" s="114"/>
      <c r="V49" s="115" t="str">
        <f>IF(AND(T49="Preventivo",U49="Automático"),"50%",IF(AND(T49="Preventivo",U49="Manual"),"40%",IF(AND(T49="Detectivo",U49="Automático"),"40%",IF(AND(T49="Detectivo",U49="Manual"),"30%",IF(AND(T49="Correctivo",U49="Automático"),"35%",IF(AND(T49="Correctivo",U49="Manual"),"25%",""))))))</f>
        <v/>
      </c>
      <c r="W49" s="114"/>
      <c r="X49" s="114"/>
      <c r="Y49" s="114"/>
      <c r="Z49" s="108" t="str">
        <f>IFERROR(IF(S49="Probabilidad",(K49-(+K49*V49)),IF(S49="Impacto",K49,"")),"")</f>
        <v/>
      </c>
      <c r="AA49" s="118" t="str">
        <f>IFERROR(IF(Z49="","",IF(Z49&lt;=0.2,"Muy Baja",IF(Z49&lt;=0.4,"Baja",IF(Z49&lt;=0.6,"Media",IF(Z49&lt;=0.8,"Alta","Muy Alta"))))),"")</f>
        <v/>
      </c>
      <c r="AB49" s="119" t="str">
        <f>+Z49</f>
        <v/>
      </c>
      <c r="AC49" s="118" t="str">
        <f>IFERROR(IF(AD49="","",IF(AD49&lt;=0.2,"Leve",IF(AD49&lt;=0.4,"Menor",IF(AD49&lt;=0.6,"Moderado",IF(AD49&lt;=0.8,"Mayor","Catastrófico"))))),"")</f>
        <v/>
      </c>
      <c r="AD49" s="119" t="str">
        <f>IFERROR(IF(S49="Impacto",(O49-(+O49*V49)),IF(S49="Probabilidad",O49,"")),"")</f>
        <v/>
      </c>
      <c r="AE49" s="120" t="str">
        <f>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21"/>
      <c r="AG49" s="109"/>
      <c r="AH49" s="110"/>
      <c r="AI49" s="111"/>
      <c r="AJ49" s="111"/>
      <c r="AK49" s="109"/>
      <c r="AL49" s="110"/>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25">
      <c r="A50" s="203"/>
      <c r="B50" s="260"/>
      <c r="C50" s="260"/>
      <c r="D50" s="260"/>
      <c r="E50" s="123"/>
      <c r="F50" s="263"/>
      <c r="G50" s="126"/>
      <c r="H50" s="260"/>
      <c r="I50" s="239"/>
      <c r="J50" s="230"/>
      <c r="K50" s="227"/>
      <c r="L50" s="242"/>
      <c r="M50" s="227">
        <f>IF(NOT(ISERROR(MATCH(L50,_xlfn.ANCHORARRAY(F61),0))),K63&amp;"Por favor no seleccionar los criterios de impacto",L50)</f>
        <v>0</v>
      </c>
      <c r="N50" s="230"/>
      <c r="O50" s="227"/>
      <c r="P50" s="233"/>
      <c r="Q50" s="105">
        <v>2</v>
      </c>
      <c r="R50" s="106"/>
      <c r="S50" s="107" t="str">
        <f>IF(OR(T50="Preventivo",T50="Detectivo"),"Probabilidad",IF(T50="Correctivo","Impacto",""))</f>
        <v/>
      </c>
      <c r="T50" s="114"/>
      <c r="U50" s="114"/>
      <c r="V50" s="115" t="str">
        <f t="shared" ref="V50:V54" si="83">IF(AND(T50="Preventivo",U50="Automático"),"50%",IF(AND(T50="Preventivo",U50="Manual"),"40%",IF(AND(T50="Detectivo",U50="Automático"),"40%",IF(AND(T50="Detectivo",U50="Manual"),"30%",IF(AND(T50="Correctivo",U50="Automático"),"35%",IF(AND(T50="Correctivo",U50="Manual"),"25%",""))))))</f>
        <v/>
      </c>
      <c r="W50" s="114"/>
      <c r="X50" s="114"/>
      <c r="Y50" s="114"/>
      <c r="Z50" s="108" t="str">
        <f>IFERROR(IF(AND(S49="Probabilidad",S50="Probabilidad"),(AB49-(+AB49*V50)),IF(AND(S49="Impacto",S50="Probabilidad"),(K49-(+K49*V50)),IF(S50="Impacto",AB49,""))),"")</f>
        <v/>
      </c>
      <c r="AA50" s="118" t="str">
        <f t="shared" ref="AA50:AA54" si="84">IFERROR(IF(Z50="","",IF(Z50&lt;=0.2,"Muy Baja",IF(Z50&lt;=0.4,"Baja",IF(Z50&lt;=0.6,"Media",IF(Z50&lt;=0.8,"Alta","Muy Alta"))))),"")</f>
        <v/>
      </c>
      <c r="AB50" s="119" t="str">
        <f>+Z50</f>
        <v/>
      </c>
      <c r="AC50" s="118" t="str">
        <f t="shared" ref="AC50:AC54" si="85">IFERROR(IF(AD50="","",IF(AD50&lt;=0.2,"Leve",IF(AD50&lt;=0.4,"Menor",IF(AD50&lt;=0.6,"Moderado",IF(AD50&lt;=0.8,"Mayor","Catastrófico"))))),"")</f>
        <v/>
      </c>
      <c r="AD50" s="119" t="str">
        <f>IFERROR(IF(AND(S49="Impacto",S50="Impacto"),(AD49-(+AD49*V50)),IF(AND(S49="Probabilidad",S50="Impacto"),(O49-(+O49*V50)),IF(S50="Probabilidad",AD49,""))),"")</f>
        <v/>
      </c>
      <c r="AE50" s="120" t="str">
        <f t="shared" ref="AE50:AE54" si="86">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21"/>
      <c r="AG50" s="109"/>
      <c r="AH50" s="110"/>
      <c r="AI50" s="111"/>
      <c r="AJ50" s="111"/>
      <c r="AK50" s="109"/>
      <c r="AL50" s="110"/>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25">
      <c r="A51" s="203"/>
      <c r="B51" s="260"/>
      <c r="C51" s="260"/>
      <c r="D51" s="260"/>
      <c r="E51" s="123"/>
      <c r="F51" s="263"/>
      <c r="G51" s="126"/>
      <c r="H51" s="260"/>
      <c r="I51" s="239"/>
      <c r="J51" s="230"/>
      <c r="K51" s="227"/>
      <c r="L51" s="242"/>
      <c r="M51" s="227">
        <f>IF(NOT(ISERROR(MATCH(L51,_xlfn.ANCHORARRAY(F62),0))),K64&amp;"Por favor no seleccionar los criterios de impacto",L51)</f>
        <v>0</v>
      </c>
      <c r="N51" s="230"/>
      <c r="O51" s="227"/>
      <c r="P51" s="233"/>
      <c r="Q51" s="105">
        <v>3</v>
      </c>
      <c r="R51" s="112"/>
      <c r="S51" s="107" t="str">
        <f t="shared" ref="S51:S54" si="87">IF(OR(T51="Preventivo",T51="Detectivo"),"Probabilidad",IF(T51="Correctivo","Impacto",""))</f>
        <v/>
      </c>
      <c r="T51" s="114"/>
      <c r="U51" s="114"/>
      <c r="V51" s="115" t="str">
        <f t="shared" si="83"/>
        <v/>
      </c>
      <c r="W51" s="114"/>
      <c r="X51" s="114"/>
      <c r="Y51" s="114"/>
      <c r="Z51" s="108" t="str">
        <f>IFERROR(IF(AND(S50="Probabilidad",S51="Probabilidad"),(AB50-(+AB50*V51)),IF(AND(S50="Impacto",S51="Probabilidad"),(AB49-(+AB49*V51)),IF(S51="Impacto",AB50,""))),"")</f>
        <v/>
      </c>
      <c r="AA51" s="118" t="str">
        <f t="shared" si="84"/>
        <v/>
      </c>
      <c r="AB51" s="119" t="str">
        <f t="shared" ref="AB51:AB54" si="88">+Z51</f>
        <v/>
      </c>
      <c r="AC51" s="118" t="str">
        <f t="shared" si="85"/>
        <v/>
      </c>
      <c r="AD51" s="119" t="str">
        <f t="shared" ref="AD51:AD54" si="89">IFERROR(IF(AND(S50="Impacto",S51="Impacto"),(AD50-(+AD50*V51)),IF(AND(S50="Probabilidad",S51="Impacto"),(AD49-(+AD49*V51)),IF(S51="Probabilidad",AD50,""))),"")</f>
        <v/>
      </c>
      <c r="AE51" s="120" t="str">
        <f t="shared" si="86"/>
        <v/>
      </c>
      <c r="AF51" s="121"/>
      <c r="AG51" s="109"/>
      <c r="AH51" s="110"/>
      <c r="AI51" s="111"/>
      <c r="AJ51" s="111"/>
      <c r="AK51" s="109"/>
      <c r="AL51" s="110"/>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25">
      <c r="A52" s="203"/>
      <c r="B52" s="260"/>
      <c r="C52" s="260"/>
      <c r="D52" s="260"/>
      <c r="E52" s="123"/>
      <c r="F52" s="263"/>
      <c r="G52" s="126"/>
      <c r="H52" s="260"/>
      <c r="I52" s="239"/>
      <c r="J52" s="230"/>
      <c r="K52" s="227"/>
      <c r="L52" s="242"/>
      <c r="M52" s="227">
        <f>IF(NOT(ISERROR(MATCH(L52,_xlfn.ANCHORARRAY(F63),0))),K65&amp;"Por favor no seleccionar los criterios de impacto",L52)</f>
        <v>0</v>
      </c>
      <c r="N52" s="230"/>
      <c r="O52" s="227"/>
      <c r="P52" s="233"/>
      <c r="Q52" s="105">
        <v>4</v>
      </c>
      <c r="R52" s="106"/>
      <c r="S52" s="107" t="str">
        <f t="shared" si="87"/>
        <v/>
      </c>
      <c r="T52" s="114"/>
      <c r="U52" s="114"/>
      <c r="V52" s="115" t="str">
        <f t="shared" si="83"/>
        <v/>
      </c>
      <c r="W52" s="114"/>
      <c r="X52" s="114"/>
      <c r="Y52" s="114"/>
      <c r="Z52" s="108" t="str">
        <f t="shared" ref="Z52:Z54" si="90">IFERROR(IF(AND(S51="Probabilidad",S52="Probabilidad"),(AB51-(+AB51*V52)),IF(AND(S51="Impacto",S52="Probabilidad"),(AB50-(+AB50*V52)),IF(S52="Impacto",AB51,""))),"")</f>
        <v/>
      </c>
      <c r="AA52" s="118" t="str">
        <f t="shared" si="84"/>
        <v/>
      </c>
      <c r="AB52" s="119" t="str">
        <f t="shared" si="88"/>
        <v/>
      </c>
      <c r="AC52" s="118" t="str">
        <f t="shared" si="85"/>
        <v/>
      </c>
      <c r="AD52" s="119" t="str">
        <f t="shared" si="89"/>
        <v/>
      </c>
      <c r="AE52" s="120" t="str">
        <f t="shared" si="86"/>
        <v/>
      </c>
      <c r="AF52" s="121"/>
      <c r="AG52" s="109"/>
      <c r="AH52" s="110"/>
      <c r="AI52" s="111"/>
      <c r="AJ52" s="111"/>
      <c r="AK52" s="109"/>
      <c r="AL52" s="110"/>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25">
      <c r="A53" s="203"/>
      <c r="B53" s="260"/>
      <c r="C53" s="260"/>
      <c r="D53" s="260"/>
      <c r="E53" s="123"/>
      <c r="F53" s="263"/>
      <c r="G53" s="126"/>
      <c r="H53" s="260"/>
      <c r="I53" s="239"/>
      <c r="J53" s="230"/>
      <c r="K53" s="227"/>
      <c r="L53" s="242"/>
      <c r="M53" s="227">
        <f>IF(NOT(ISERROR(MATCH(L53,_xlfn.ANCHORARRAY(F64),0))),K66&amp;"Por favor no seleccionar los criterios de impacto",L53)</f>
        <v>0</v>
      </c>
      <c r="N53" s="230"/>
      <c r="O53" s="227"/>
      <c r="P53" s="233"/>
      <c r="Q53" s="105">
        <v>5</v>
      </c>
      <c r="R53" s="106"/>
      <c r="S53" s="107" t="str">
        <f t="shared" si="87"/>
        <v/>
      </c>
      <c r="T53" s="114"/>
      <c r="U53" s="114"/>
      <c r="V53" s="115" t="str">
        <f t="shared" si="83"/>
        <v/>
      </c>
      <c r="W53" s="114"/>
      <c r="X53" s="114"/>
      <c r="Y53" s="114"/>
      <c r="Z53" s="108" t="str">
        <f t="shared" si="90"/>
        <v/>
      </c>
      <c r="AA53" s="118" t="str">
        <f t="shared" si="84"/>
        <v/>
      </c>
      <c r="AB53" s="119" t="str">
        <f t="shared" si="88"/>
        <v/>
      </c>
      <c r="AC53" s="118" t="str">
        <f t="shared" si="85"/>
        <v/>
      </c>
      <c r="AD53" s="119" t="str">
        <f t="shared" si="89"/>
        <v/>
      </c>
      <c r="AE53" s="120" t="str">
        <f t="shared" si="86"/>
        <v/>
      </c>
      <c r="AF53" s="121"/>
      <c r="AG53" s="109"/>
      <c r="AH53" s="110"/>
      <c r="AI53" s="111"/>
      <c r="AJ53" s="111"/>
      <c r="AK53" s="109"/>
      <c r="AL53" s="110"/>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25">
      <c r="A54" s="258"/>
      <c r="B54" s="261"/>
      <c r="C54" s="261"/>
      <c r="D54" s="261"/>
      <c r="E54" s="124"/>
      <c r="F54" s="264"/>
      <c r="G54" s="127"/>
      <c r="H54" s="261"/>
      <c r="I54" s="240"/>
      <c r="J54" s="231"/>
      <c r="K54" s="228"/>
      <c r="L54" s="243"/>
      <c r="M54" s="228">
        <f>IF(NOT(ISERROR(MATCH(L54,_xlfn.ANCHORARRAY(F65),0))),K67&amp;"Por favor no seleccionar los criterios de impacto",L54)</f>
        <v>0</v>
      </c>
      <c r="N54" s="231"/>
      <c r="O54" s="228"/>
      <c r="P54" s="234"/>
      <c r="Q54" s="105">
        <v>6</v>
      </c>
      <c r="R54" s="106"/>
      <c r="S54" s="107" t="str">
        <f t="shared" si="87"/>
        <v/>
      </c>
      <c r="T54" s="114"/>
      <c r="U54" s="114"/>
      <c r="V54" s="115" t="str">
        <f t="shared" si="83"/>
        <v/>
      </c>
      <c r="W54" s="114"/>
      <c r="X54" s="114"/>
      <c r="Y54" s="114"/>
      <c r="Z54" s="108" t="str">
        <f t="shared" si="90"/>
        <v/>
      </c>
      <c r="AA54" s="118" t="str">
        <f t="shared" si="84"/>
        <v/>
      </c>
      <c r="AB54" s="119" t="str">
        <f t="shared" si="88"/>
        <v/>
      </c>
      <c r="AC54" s="118" t="str">
        <f t="shared" si="85"/>
        <v/>
      </c>
      <c r="AD54" s="119" t="str">
        <f t="shared" si="89"/>
        <v/>
      </c>
      <c r="AE54" s="120" t="str">
        <f t="shared" si="86"/>
        <v/>
      </c>
      <c r="AF54" s="121"/>
      <c r="AG54" s="109"/>
      <c r="AH54" s="110"/>
      <c r="AI54" s="111"/>
      <c r="AJ54" s="111"/>
      <c r="AK54" s="109"/>
      <c r="AL54" s="110"/>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25">
      <c r="A55" s="202">
        <v>9</v>
      </c>
      <c r="B55" s="259"/>
      <c r="C55" s="259"/>
      <c r="D55" s="259"/>
      <c r="E55" s="122"/>
      <c r="F55" s="262"/>
      <c r="G55" s="125"/>
      <c r="H55" s="259"/>
      <c r="I55" s="238"/>
      <c r="J55" s="229" t="str">
        <f t="shared" ref="J55" si="91">IF(I55&lt;=0,"",IF(I55&lt;=2,"Muy Baja",IF(I55&lt;=24,"Baja",IF(I55&lt;=500,"Media",IF(I55&lt;=5000,"Alta","Muy Alta")))))</f>
        <v/>
      </c>
      <c r="K55" s="226" t="str">
        <f t="shared" ref="K55" si="92">IF(J55="","",IF(J55="Muy Baja",0.2,IF(J55="Baja",0.4,IF(J55="Media",0.6,IF(J55="Alta",0.8,IF(J55="Muy Alta",1,))))))</f>
        <v/>
      </c>
      <c r="L55" s="241"/>
      <c r="M55" s="226">
        <f>IF(NOT(ISERROR(MATCH(L55,'Tabla Impacto'!$B$221:$B$223,0))),'Tabla Impacto'!$F$223&amp;"Por favor no seleccionar los criterios de impacto(Afectación Económica o presupuestal y Pérdida Reputacional)",L55)</f>
        <v>0</v>
      </c>
      <c r="N55" s="229" t="str">
        <f>IF(OR(M55='Tabla Impacto'!$C$11,M55='Tabla Impacto'!$D$11),"Leve",IF(OR(M55='Tabla Impacto'!$C$12,M55='Tabla Impacto'!$D$12),"Menor",IF(OR(M55='Tabla Impacto'!$C$13,M55='Tabla Impacto'!$D$13),"Moderado",IF(OR(M55='Tabla Impacto'!$C$14,M55='Tabla Impacto'!$D$14),"Mayor",IF(OR(M55='Tabla Impacto'!$C$15,M55='Tabla Impacto'!$D$15),"Catastrófico","")))))</f>
        <v/>
      </c>
      <c r="O55" s="226" t="str">
        <f t="shared" ref="O55" si="93">IF(N55="","",IF(N55="Leve",0.2,IF(N55="Menor",0.4,IF(N55="Moderado",0.6,IF(N55="Mayor",0.8,IF(N55="Catastrófico",1,))))))</f>
        <v/>
      </c>
      <c r="P55" s="232" t="str">
        <f t="shared" ref="P55" si="94">IF(OR(AND(J55="Muy Baja",N55="Leve"),AND(J55="Muy Baja",N55="Menor"),AND(J55="Baja",N55="Leve")),"Bajo",IF(OR(AND(J55="Muy baja",N55="Moderado"),AND(J55="Baja",N55="Menor"),AND(J55="Baja",N55="Moderado"),AND(J55="Media",N55="Leve"),AND(J55="Media",N55="Menor"),AND(J55="Media",N55="Moderado"),AND(J55="Alta",N55="Leve"),AND(J55="Alta",N55="Menor")),"Moderado",IF(OR(AND(J55="Muy Baja",N55="Mayor"),AND(J55="Baja",N55="Mayor"),AND(J55="Media",N55="Mayor"),AND(J55="Alta",N55="Moderado"),AND(J55="Alta",N55="Mayor"),AND(J55="Muy Alta",N55="Leve"),AND(J55="Muy Alta",N55="Menor"),AND(J55="Muy Alta",N55="Moderado"),AND(J55="Muy Alta",N55="Mayor")),"Alto",IF(OR(AND(J55="Muy Baja",N55="Catastrófico"),AND(J55="Baja",N55="Catastrófico"),AND(J55="Media",N55="Catastrófico"),AND(J55="Alta",N55="Catastrófico"),AND(J55="Muy Alta",N55="Catastrófico")),"Extremo",""))))</f>
        <v/>
      </c>
      <c r="Q55" s="105">
        <v>1</v>
      </c>
      <c r="R55" s="106"/>
      <c r="S55" s="107" t="str">
        <f>IF(OR(T55="Preventivo",T55="Detectivo"),"Probabilidad",IF(T55="Correctivo","Impacto",""))</f>
        <v/>
      </c>
      <c r="T55" s="114"/>
      <c r="U55" s="114"/>
      <c r="V55" s="115" t="str">
        <f>IF(AND(T55="Preventivo",U55="Automático"),"50%",IF(AND(T55="Preventivo",U55="Manual"),"40%",IF(AND(T55="Detectivo",U55="Automático"),"40%",IF(AND(T55="Detectivo",U55="Manual"),"30%",IF(AND(T55="Correctivo",U55="Automático"),"35%",IF(AND(T55="Correctivo",U55="Manual"),"25%",""))))))</f>
        <v/>
      </c>
      <c r="W55" s="114"/>
      <c r="X55" s="114"/>
      <c r="Y55" s="114"/>
      <c r="Z55" s="108" t="str">
        <f>IFERROR(IF(S55="Probabilidad",(K55-(+K55*V55)),IF(S55="Impacto",K55,"")),"")</f>
        <v/>
      </c>
      <c r="AA55" s="118" t="str">
        <f>IFERROR(IF(Z55="","",IF(Z55&lt;=0.2,"Muy Baja",IF(Z55&lt;=0.4,"Baja",IF(Z55&lt;=0.6,"Media",IF(Z55&lt;=0.8,"Alta","Muy Alta"))))),"")</f>
        <v/>
      </c>
      <c r="AB55" s="119" t="str">
        <f>+Z55</f>
        <v/>
      </c>
      <c r="AC55" s="118" t="str">
        <f>IFERROR(IF(AD55="","",IF(AD55&lt;=0.2,"Leve",IF(AD55&lt;=0.4,"Menor",IF(AD55&lt;=0.6,"Moderado",IF(AD55&lt;=0.8,"Mayor","Catastrófico"))))),"")</f>
        <v/>
      </c>
      <c r="AD55" s="119" t="str">
        <f>IFERROR(IF(S55="Impacto",(O55-(+O55*V55)),IF(S55="Probabilidad",O55,"")),"")</f>
        <v/>
      </c>
      <c r="AE55" s="120"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21"/>
      <c r="AG55" s="109"/>
      <c r="AH55" s="110"/>
      <c r="AI55" s="111"/>
      <c r="AJ55" s="111"/>
      <c r="AK55" s="109"/>
      <c r="AL55" s="110"/>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25">
      <c r="A56" s="203"/>
      <c r="B56" s="260"/>
      <c r="C56" s="260"/>
      <c r="D56" s="260"/>
      <c r="E56" s="123"/>
      <c r="F56" s="263"/>
      <c r="G56" s="126"/>
      <c r="H56" s="260"/>
      <c r="I56" s="239"/>
      <c r="J56" s="230"/>
      <c r="K56" s="227"/>
      <c r="L56" s="242"/>
      <c r="M56" s="227">
        <f>IF(NOT(ISERROR(MATCH(L56,_xlfn.ANCHORARRAY(F67),0))),K69&amp;"Por favor no seleccionar los criterios de impacto",L56)</f>
        <v>0</v>
      </c>
      <c r="N56" s="230"/>
      <c r="O56" s="227"/>
      <c r="P56" s="233"/>
      <c r="Q56" s="105">
        <v>2</v>
      </c>
      <c r="R56" s="106"/>
      <c r="S56" s="107" t="str">
        <f>IF(OR(T56="Preventivo",T56="Detectivo"),"Probabilidad",IF(T56="Correctivo","Impacto",""))</f>
        <v/>
      </c>
      <c r="T56" s="114"/>
      <c r="U56" s="114"/>
      <c r="V56" s="115" t="str">
        <f t="shared" ref="V56:V60" si="95">IF(AND(T56="Preventivo",U56="Automático"),"50%",IF(AND(T56="Preventivo",U56="Manual"),"40%",IF(AND(T56="Detectivo",U56="Automático"),"40%",IF(AND(T56="Detectivo",U56="Manual"),"30%",IF(AND(T56="Correctivo",U56="Automático"),"35%",IF(AND(T56="Correctivo",U56="Manual"),"25%",""))))))</f>
        <v/>
      </c>
      <c r="W56" s="114"/>
      <c r="X56" s="114"/>
      <c r="Y56" s="114"/>
      <c r="Z56" s="108" t="str">
        <f>IFERROR(IF(AND(S55="Probabilidad",S56="Probabilidad"),(AB55-(+AB55*V56)),IF(AND(S55="Impacto",S56="Probabilidad"),(K55-(+K55*V56)),IF(S56="Impacto",AB55,""))),"")</f>
        <v/>
      </c>
      <c r="AA56" s="118" t="str">
        <f t="shared" ref="AA56:AA60" si="96">IFERROR(IF(Z56="","",IF(Z56&lt;=0.2,"Muy Baja",IF(Z56&lt;=0.4,"Baja",IF(Z56&lt;=0.6,"Media",IF(Z56&lt;=0.8,"Alta","Muy Alta"))))),"")</f>
        <v/>
      </c>
      <c r="AB56" s="119" t="str">
        <f>+Z56</f>
        <v/>
      </c>
      <c r="AC56" s="118" t="str">
        <f t="shared" ref="AC56:AC60" si="97">IFERROR(IF(AD56="","",IF(AD56&lt;=0.2,"Leve",IF(AD56&lt;=0.4,"Menor",IF(AD56&lt;=0.6,"Moderado",IF(AD56&lt;=0.8,"Mayor","Catastrófico"))))),"")</f>
        <v/>
      </c>
      <c r="AD56" s="119" t="str">
        <f>IFERROR(IF(AND(S55="Impacto",S56="Impacto"),(AD55-(+AD55*V56)),IF(AND(S55="Probabilidad",S56="Impacto"),(O55-(+O55*V56)),IF(S56="Probabilidad",AD55,""))),"")</f>
        <v/>
      </c>
      <c r="AE56" s="120" t="str">
        <f t="shared" ref="AE56:AE60" si="98">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21"/>
      <c r="AG56" s="109"/>
      <c r="AH56" s="110"/>
      <c r="AI56" s="111"/>
      <c r="AJ56" s="111"/>
      <c r="AK56" s="109"/>
      <c r="AL56" s="110"/>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25">
      <c r="A57" s="203"/>
      <c r="B57" s="260"/>
      <c r="C57" s="260"/>
      <c r="D57" s="260"/>
      <c r="E57" s="123"/>
      <c r="F57" s="263"/>
      <c r="G57" s="126"/>
      <c r="H57" s="260"/>
      <c r="I57" s="239"/>
      <c r="J57" s="230"/>
      <c r="K57" s="227"/>
      <c r="L57" s="242"/>
      <c r="M57" s="227">
        <f>IF(NOT(ISERROR(MATCH(L57,_xlfn.ANCHORARRAY(F68),0))),K70&amp;"Por favor no seleccionar los criterios de impacto",L57)</f>
        <v>0</v>
      </c>
      <c r="N57" s="230"/>
      <c r="O57" s="227"/>
      <c r="P57" s="233"/>
      <c r="Q57" s="105">
        <v>3</v>
      </c>
      <c r="R57" s="112"/>
      <c r="S57" s="107" t="str">
        <f t="shared" ref="S57:S60" si="99">IF(OR(T57="Preventivo",T57="Detectivo"),"Probabilidad",IF(T57="Correctivo","Impacto",""))</f>
        <v/>
      </c>
      <c r="T57" s="114"/>
      <c r="U57" s="114"/>
      <c r="V57" s="115" t="str">
        <f t="shared" si="95"/>
        <v/>
      </c>
      <c r="W57" s="114"/>
      <c r="X57" s="114"/>
      <c r="Y57" s="114"/>
      <c r="Z57" s="108" t="str">
        <f>IFERROR(IF(AND(S56="Probabilidad",S57="Probabilidad"),(AB56-(+AB56*V57)),IF(AND(S56="Impacto",S57="Probabilidad"),(AB55-(+AB55*V57)),IF(S57="Impacto",AB56,""))),"")</f>
        <v/>
      </c>
      <c r="AA57" s="118" t="str">
        <f t="shared" si="96"/>
        <v/>
      </c>
      <c r="AB57" s="119" t="str">
        <f t="shared" ref="AB57:AB60" si="100">+Z57</f>
        <v/>
      </c>
      <c r="AC57" s="118" t="str">
        <f t="shared" si="97"/>
        <v/>
      </c>
      <c r="AD57" s="119" t="str">
        <f t="shared" ref="AD57:AD60" si="101">IFERROR(IF(AND(S56="Impacto",S57="Impacto"),(AD56-(+AD56*V57)),IF(AND(S56="Probabilidad",S57="Impacto"),(AD55-(+AD55*V57)),IF(S57="Probabilidad",AD56,""))),"")</f>
        <v/>
      </c>
      <c r="AE57" s="120" t="str">
        <f t="shared" si="98"/>
        <v/>
      </c>
      <c r="AF57" s="121"/>
      <c r="AG57" s="109"/>
      <c r="AH57" s="110"/>
      <c r="AI57" s="111"/>
      <c r="AJ57" s="111"/>
      <c r="AK57" s="109"/>
      <c r="AL57" s="110"/>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25">
      <c r="A58" s="203"/>
      <c r="B58" s="260"/>
      <c r="C58" s="260"/>
      <c r="D58" s="260"/>
      <c r="E58" s="123"/>
      <c r="F58" s="263"/>
      <c r="G58" s="126"/>
      <c r="H58" s="260"/>
      <c r="I58" s="239"/>
      <c r="J58" s="230"/>
      <c r="K58" s="227"/>
      <c r="L58" s="242"/>
      <c r="M58" s="227">
        <f>IF(NOT(ISERROR(MATCH(L58,_xlfn.ANCHORARRAY(F69),0))),K71&amp;"Por favor no seleccionar los criterios de impacto",L58)</f>
        <v>0</v>
      </c>
      <c r="N58" s="230"/>
      <c r="O58" s="227"/>
      <c r="P58" s="233"/>
      <c r="Q58" s="105">
        <v>4</v>
      </c>
      <c r="R58" s="106"/>
      <c r="S58" s="107" t="str">
        <f t="shared" si="99"/>
        <v/>
      </c>
      <c r="T58" s="114"/>
      <c r="U58" s="114"/>
      <c r="V58" s="115" t="str">
        <f t="shared" si="95"/>
        <v/>
      </c>
      <c r="W58" s="114"/>
      <c r="X58" s="114"/>
      <c r="Y58" s="114"/>
      <c r="Z58" s="108" t="str">
        <f t="shared" ref="Z58:Z60" si="102">IFERROR(IF(AND(S57="Probabilidad",S58="Probabilidad"),(AB57-(+AB57*V58)),IF(AND(S57="Impacto",S58="Probabilidad"),(AB56-(+AB56*V58)),IF(S58="Impacto",AB57,""))),"")</f>
        <v/>
      </c>
      <c r="AA58" s="118" t="str">
        <f t="shared" si="96"/>
        <v/>
      </c>
      <c r="AB58" s="119" t="str">
        <f t="shared" si="100"/>
        <v/>
      </c>
      <c r="AC58" s="118" t="str">
        <f t="shared" si="97"/>
        <v/>
      </c>
      <c r="AD58" s="119" t="str">
        <f t="shared" si="101"/>
        <v/>
      </c>
      <c r="AE58" s="120" t="str">
        <f t="shared" si="98"/>
        <v/>
      </c>
      <c r="AF58" s="121"/>
      <c r="AG58" s="109"/>
      <c r="AH58" s="110"/>
      <c r="AI58" s="111"/>
      <c r="AJ58" s="111"/>
      <c r="AK58" s="109"/>
      <c r="AL58" s="110"/>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25">
      <c r="A59" s="203"/>
      <c r="B59" s="260"/>
      <c r="C59" s="260"/>
      <c r="D59" s="260"/>
      <c r="E59" s="123"/>
      <c r="F59" s="263"/>
      <c r="G59" s="126"/>
      <c r="H59" s="260"/>
      <c r="I59" s="239"/>
      <c r="J59" s="230"/>
      <c r="K59" s="227"/>
      <c r="L59" s="242"/>
      <c r="M59" s="227">
        <f>IF(NOT(ISERROR(MATCH(L59,_xlfn.ANCHORARRAY(F70),0))),K72&amp;"Por favor no seleccionar los criterios de impacto",L59)</f>
        <v>0</v>
      </c>
      <c r="N59" s="230"/>
      <c r="O59" s="227"/>
      <c r="P59" s="233"/>
      <c r="Q59" s="105">
        <v>5</v>
      </c>
      <c r="R59" s="106"/>
      <c r="S59" s="107" t="str">
        <f t="shared" si="99"/>
        <v/>
      </c>
      <c r="T59" s="114"/>
      <c r="U59" s="114"/>
      <c r="V59" s="115" t="str">
        <f t="shared" si="95"/>
        <v/>
      </c>
      <c r="W59" s="114"/>
      <c r="X59" s="114"/>
      <c r="Y59" s="114"/>
      <c r="Z59" s="108" t="str">
        <f t="shared" si="102"/>
        <v/>
      </c>
      <c r="AA59" s="118" t="str">
        <f t="shared" si="96"/>
        <v/>
      </c>
      <c r="AB59" s="119" t="str">
        <f t="shared" si="100"/>
        <v/>
      </c>
      <c r="AC59" s="118" t="str">
        <f t="shared" si="97"/>
        <v/>
      </c>
      <c r="AD59" s="119" t="str">
        <f t="shared" si="101"/>
        <v/>
      </c>
      <c r="AE59" s="120" t="str">
        <f t="shared" si="98"/>
        <v/>
      </c>
      <c r="AF59" s="121"/>
      <c r="AG59" s="109"/>
      <c r="AH59" s="110"/>
      <c r="AI59" s="111"/>
      <c r="AJ59" s="111"/>
      <c r="AK59" s="109"/>
      <c r="AL59" s="110"/>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26.25" customHeight="1" x14ac:dyDescent="0.25">
      <c r="A60" s="258"/>
      <c r="B60" s="261"/>
      <c r="C60" s="261"/>
      <c r="D60" s="261"/>
      <c r="E60" s="124"/>
      <c r="F60" s="264"/>
      <c r="G60" s="127"/>
      <c r="H60" s="261"/>
      <c r="I60" s="240"/>
      <c r="J60" s="231"/>
      <c r="K60" s="228"/>
      <c r="L60" s="243"/>
      <c r="M60" s="228">
        <f>IF(NOT(ISERROR(MATCH(L60,_xlfn.ANCHORARRAY(F71),0))),K73&amp;"Por favor no seleccionar los criterios de impacto",L60)</f>
        <v>0</v>
      </c>
      <c r="N60" s="231"/>
      <c r="O60" s="228"/>
      <c r="P60" s="234"/>
      <c r="Q60" s="105">
        <v>6</v>
      </c>
      <c r="R60" s="106"/>
      <c r="S60" s="107" t="str">
        <f t="shared" si="99"/>
        <v/>
      </c>
      <c r="T60" s="114"/>
      <c r="U60" s="114"/>
      <c r="V60" s="115" t="str">
        <f t="shared" si="95"/>
        <v/>
      </c>
      <c r="W60" s="114"/>
      <c r="X60" s="114"/>
      <c r="Y60" s="114"/>
      <c r="Z60" s="108" t="str">
        <f t="shared" si="102"/>
        <v/>
      </c>
      <c r="AA60" s="118" t="str">
        <f t="shared" si="96"/>
        <v/>
      </c>
      <c r="AB60" s="119" t="str">
        <f t="shared" si="100"/>
        <v/>
      </c>
      <c r="AC60" s="118" t="str">
        <f t="shared" si="97"/>
        <v/>
      </c>
      <c r="AD60" s="119" t="str">
        <f t="shared" si="101"/>
        <v/>
      </c>
      <c r="AE60" s="120" t="str">
        <f t="shared" si="98"/>
        <v/>
      </c>
      <c r="AF60" s="121"/>
      <c r="AG60" s="109"/>
      <c r="AH60" s="110"/>
      <c r="AI60" s="111"/>
      <c r="AJ60" s="111"/>
      <c r="AK60" s="109"/>
      <c r="AL60" s="110"/>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9.5" customHeight="1" x14ac:dyDescent="0.25">
      <c r="A61" s="202">
        <v>10</v>
      </c>
      <c r="B61" s="259"/>
      <c r="C61" s="259"/>
      <c r="D61" s="259"/>
      <c r="E61" s="122"/>
      <c r="F61" s="262"/>
      <c r="G61" s="125"/>
      <c r="H61" s="259"/>
      <c r="I61" s="238"/>
      <c r="J61" s="229" t="str">
        <f t="shared" ref="J61" si="103">IF(I61&lt;=0,"",IF(I61&lt;=2,"Muy Baja",IF(I61&lt;=24,"Baja",IF(I61&lt;=500,"Media",IF(I61&lt;=5000,"Alta","Muy Alta")))))</f>
        <v/>
      </c>
      <c r="K61" s="226" t="str">
        <f t="shared" ref="K61" si="104">IF(J61="","",IF(J61="Muy Baja",0.2,IF(J61="Baja",0.4,IF(J61="Media",0.6,IF(J61="Alta",0.8,IF(J61="Muy Alta",1,))))))</f>
        <v/>
      </c>
      <c r="L61" s="241"/>
      <c r="M61" s="226">
        <f>IF(NOT(ISERROR(MATCH(L61,'Tabla Impacto'!$B$221:$B$223,0))),'Tabla Impacto'!$F$223&amp;"Por favor no seleccionar los criterios de impacto(Afectación Económica o presupuestal y Pérdida Reputacional)",L61)</f>
        <v>0</v>
      </c>
      <c r="N61" s="229" t="str">
        <f>IF(OR(M61='Tabla Impacto'!$C$11,M61='Tabla Impacto'!$D$11),"Leve",IF(OR(M61='Tabla Impacto'!$C$12,M61='Tabla Impacto'!$D$12),"Menor",IF(OR(M61='Tabla Impacto'!$C$13,M61='Tabla Impacto'!$D$13),"Moderado",IF(OR(M61='Tabla Impacto'!$C$14,M61='Tabla Impacto'!$D$14),"Mayor",IF(OR(M61='Tabla Impacto'!$C$15,M61='Tabla Impacto'!$D$15),"Catastrófico","")))))</f>
        <v/>
      </c>
      <c r="O61" s="226" t="str">
        <f t="shared" ref="O61" si="105">IF(N61="","",IF(N61="Leve",0.2,IF(N61="Menor",0.4,IF(N61="Moderado",0.6,IF(N61="Mayor",0.8,IF(N61="Catastrófico",1,))))))</f>
        <v/>
      </c>
      <c r="P61" s="232" t="str">
        <f t="shared" ref="P61" si="106">IF(OR(AND(J61="Muy Baja",N61="Leve"),AND(J61="Muy Baja",N61="Menor"),AND(J61="Baja",N61="Leve")),"Bajo",IF(OR(AND(J61="Muy baja",N61="Moderado"),AND(J61="Baja",N61="Menor"),AND(J61="Baja",N61="Moderado"),AND(J61="Media",N61="Leve"),AND(J61="Media",N61="Menor"),AND(J61="Media",N61="Moderado"),AND(J61="Alta",N61="Leve"),AND(J61="Alta",N61="Menor")),"Moderado",IF(OR(AND(J61="Muy Baja",N61="Mayor"),AND(J61="Baja",N61="Mayor"),AND(J61="Media",N61="Mayor"),AND(J61="Alta",N61="Moderado"),AND(J61="Alta",N61="Mayor"),AND(J61="Muy Alta",N61="Leve"),AND(J61="Muy Alta",N61="Menor"),AND(J61="Muy Alta",N61="Moderado"),AND(J61="Muy Alta",N61="Mayor")),"Alto",IF(OR(AND(J61="Muy Baja",N61="Catastrófico"),AND(J61="Baja",N61="Catastrófico"),AND(J61="Media",N61="Catastrófico"),AND(J61="Alta",N61="Catastrófico"),AND(J61="Muy Alta",N61="Catastrófico")),"Extremo",""))))</f>
        <v/>
      </c>
      <c r="Q61" s="105">
        <v>1</v>
      </c>
      <c r="R61" s="106"/>
      <c r="S61" s="107" t="str">
        <f>IF(OR(T61="Preventivo",T61="Detectivo"),"Probabilidad",IF(T61="Correctivo","Impacto",""))</f>
        <v/>
      </c>
      <c r="T61" s="114"/>
      <c r="U61" s="114"/>
      <c r="V61" s="115" t="str">
        <f>IF(AND(T61="Preventivo",U61="Automático"),"50%",IF(AND(T61="Preventivo",U61="Manual"),"40%",IF(AND(T61="Detectivo",U61="Automático"),"40%",IF(AND(T61="Detectivo",U61="Manual"),"30%",IF(AND(T61="Correctivo",U61="Automático"),"35%",IF(AND(T61="Correctivo",U61="Manual"),"25%",""))))))</f>
        <v/>
      </c>
      <c r="W61" s="114"/>
      <c r="X61" s="114"/>
      <c r="Y61" s="114"/>
      <c r="Z61" s="108" t="str">
        <f>IFERROR(IF(S61="Probabilidad",(K61-(+K61*V61)),IF(S61="Impacto",K61,"")),"")</f>
        <v/>
      </c>
      <c r="AA61" s="118" t="str">
        <f>IFERROR(IF(Z61="","",IF(Z61&lt;=0.2,"Muy Baja",IF(Z61&lt;=0.4,"Baja",IF(Z61&lt;=0.6,"Media",IF(Z61&lt;=0.8,"Alta","Muy Alta"))))),"")</f>
        <v/>
      </c>
      <c r="AB61" s="119" t="str">
        <f>+Z61</f>
        <v/>
      </c>
      <c r="AC61" s="118" t="str">
        <f>IFERROR(IF(AD61="","",IF(AD61&lt;=0.2,"Leve",IF(AD61&lt;=0.4,"Menor",IF(AD61&lt;=0.6,"Moderado",IF(AD61&lt;=0.8,"Mayor","Catastrófico"))))),"")</f>
        <v/>
      </c>
      <c r="AD61" s="119" t="str">
        <f>IFERROR(IF(S61="Impacto",(O61-(+O61*V61)),IF(S61="Probabilidad",O61,"")),"")</f>
        <v/>
      </c>
      <c r="AE61" s="120"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21"/>
      <c r="AG61" s="109"/>
      <c r="AH61" s="110"/>
      <c r="AI61" s="111"/>
      <c r="AJ61" s="111"/>
      <c r="AK61" s="109"/>
      <c r="AL61" s="110"/>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19.5" customHeight="1" x14ac:dyDescent="0.25">
      <c r="A62" s="203"/>
      <c r="B62" s="260"/>
      <c r="C62" s="260"/>
      <c r="D62" s="260"/>
      <c r="E62" s="123"/>
      <c r="F62" s="263"/>
      <c r="G62" s="126"/>
      <c r="H62" s="260"/>
      <c r="I62" s="239"/>
      <c r="J62" s="230"/>
      <c r="K62" s="227"/>
      <c r="L62" s="242"/>
      <c r="M62" s="227">
        <f>IF(NOT(ISERROR(MATCH(L62,_xlfn.ANCHORARRAY(F73),0))),K75&amp;"Por favor no seleccionar los criterios de impacto",L62)</f>
        <v>0</v>
      </c>
      <c r="N62" s="230"/>
      <c r="O62" s="227"/>
      <c r="P62" s="233"/>
      <c r="Q62" s="105">
        <v>2</v>
      </c>
      <c r="R62" s="106"/>
      <c r="S62" s="107" t="str">
        <f>IF(OR(T62="Preventivo",T62="Detectivo"),"Probabilidad",IF(T62="Correctivo","Impacto",""))</f>
        <v/>
      </c>
      <c r="T62" s="114"/>
      <c r="U62" s="114"/>
      <c r="V62" s="115" t="str">
        <f t="shared" ref="V62:V66" si="107">IF(AND(T62="Preventivo",U62="Automático"),"50%",IF(AND(T62="Preventivo",U62="Manual"),"40%",IF(AND(T62="Detectivo",U62="Automático"),"40%",IF(AND(T62="Detectivo",U62="Manual"),"30%",IF(AND(T62="Correctivo",U62="Automático"),"35%",IF(AND(T62="Correctivo",U62="Manual"),"25%",""))))))</f>
        <v/>
      </c>
      <c r="W62" s="114"/>
      <c r="X62" s="114"/>
      <c r="Y62" s="114"/>
      <c r="Z62" s="108" t="str">
        <f>IFERROR(IF(AND(S61="Probabilidad",S62="Probabilidad"),(AB61-(+AB61*V62)),IF(AND(S61="Impacto",S62="Probabilidad"),(K61-(+K61*V62)),IF(S62="Impacto",AB61,""))),"")</f>
        <v/>
      </c>
      <c r="AA62" s="118" t="str">
        <f t="shared" ref="AA62:AA66" si="108">IFERROR(IF(Z62="","",IF(Z62&lt;=0.2,"Muy Baja",IF(Z62&lt;=0.4,"Baja",IF(Z62&lt;=0.6,"Media",IF(Z62&lt;=0.8,"Alta","Muy Alta"))))),"")</f>
        <v/>
      </c>
      <c r="AB62" s="119" t="str">
        <f>+Z62</f>
        <v/>
      </c>
      <c r="AC62" s="118" t="str">
        <f t="shared" ref="AC62:AC66" si="109">IFERROR(IF(AD62="","",IF(AD62&lt;=0.2,"Leve",IF(AD62&lt;=0.4,"Menor",IF(AD62&lt;=0.6,"Moderado",IF(AD62&lt;=0.8,"Mayor","Catastrófico"))))),"")</f>
        <v/>
      </c>
      <c r="AD62" s="119" t="str">
        <f>IFERROR(IF(AND(S61="Impacto",S62="Impacto"),(AD61-(+AD61*V62)),IF(AND(S61="Probabilidad",S62="Impacto"),(O61-(+O61*V62)),IF(S62="Probabilidad",AD61,""))),"")</f>
        <v/>
      </c>
      <c r="AE62" s="120" t="str">
        <f t="shared" ref="AE62:AE66" si="110">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21"/>
      <c r="AG62" s="109"/>
      <c r="AH62" s="110"/>
      <c r="AI62" s="111"/>
      <c r="AJ62" s="111"/>
      <c r="AK62" s="109"/>
      <c r="AL62" s="110"/>
    </row>
    <row r="63" spans="1:70" ht="19.5" customHeight="1" x14ac:dyDescent="0.25">
      <c r="A63" s="203"/>
      <c r="B63" s="260"/>
      <c r="C63" s="260"/>
      <c r="D63" s="260"/>
      <c r="E63" s="123"/>
      <c r="F63" s="263"/>
      <c r="G63" s="126"/>
      <c r="H63" s="260"/>
      <c r="I63" s="239"/>
      <c r="J63" s="230"/>
      <c r="K63" s="227"/>
      <c r="L63" s="242"/>
      <c r="M63" s="227">
        <f>IF(NOT(ISERROR(MATCH(L63,_xlfn.ANCHORARRAY(F74),0))),K76&amp;"Por favor no seleccionar los criterios de impacto",L63)</f>
        <v>0</v>
      </c>
      <c r="N63" s="230"/>
      <c r="O63" s="227"/>
      <c r="P63" s="233"/>
      <c r="Q63" s="105">
        <v>3</v>
      </c>
      <c r="R63" s="112"/>
      <c r="S63" s="107" t="str">
        <f t="shared" ref="S63:S66" si="111">IF(OR(T63="Preventivo",T63="Detectivo"),"Probabilidad",IF(T63="Correctivo","Impacto",""))</f>
        <v/>
      </c>
      <c r="T63" s="114"/>
      <c r="U63" s="114"/>
      <c r="V63" s="115" t="str">
        <f t="shared" si="107"/>
        <v/>
      </c>
      <c r="W63" s="114"/>
      <c r="X63" s="114"/>
      <c r="Y63" s="114"/>
      <c r="Z63" s="108" t="str">
        <f>IFERROR(IF(AND(S62="Probabilidad",S63="Probabilidad"),(AB62-(+AB62*V63)),IF(AND(S62="Impacto",S63="Probabilidad"),(AB61-(+AB61*V63)),IF(S63="Impacto",AB62,""))),"")</f>
        <v/>
      </c>
      <c r="AA63" s="118" t="str">
        <f t="shared" si="108"/>
        <v/>
      </c>
      <c r="AB63" s="119" t="str">
        <f t="shared" ref="AB63:AB66" si="112">+Z63</f>
        <v/>
      </c>
      <c r="AC63" s="118" t="str">
        <f t="shared" si="109"/>
        <v/>
      </c>
      <c r="AD63" s="119" t="str">
        <f t="shared" ref="AD63:AD66" si="113">IFERROR(IF(AND(S62="Impacto",S63="Impacto"),(AD62-(+AD62*V63)),IF(AND(S62="Probabilidad",S63="Impacto"),(AD61-(+AD61*V63)),IF(S63="Probabilidad",AD62,""))),"")</f>
        <v/>
      </c>
      <c r="AE63" s="120" t="str">
        <f t="shared" si="110"/>
        <v/>
      </c>
      <c r="AF63" s="121"/>
      <c r="AG63" s="109"/>
      <c r="AH63" s="110"/>
      <c r="AI63" s="111"/>
      <c r="AJ63" s="111"/>
      <c r="AK63" s="109"/>
      <c r="AL63" s="110"/>
    </row>
    <row r="64" spans="1:70" ht="19.5" customHeight="1" x14ac:dyDescent="0.25">
      <c r="A64" s="203"/>
      <c r="B64" s="260"/>
      <c r="C64" s="260"/>
      <c r="D64" s="260"/>
      <c r="E64" s="123"/>
      <c r="F64" s="263"/>
      <c r="G64" s="126"/>
      <c r="H64" s="260"/>
      <c r="I64" s="239"/>
      <c r="J64" s="230"/>
      <c r="K64" s="227"/>
      <c r="L64" s="242"/>
      <c r="M64" s="227">
        <f>IF(NOT(ISERROR(MATCH(L64,_xlfn.ANCHORARRAY(F75),0))),K77&amp;"Por favor no seleccionar los criterios de impacto",L64)</f>
        <v>0</v>
      </c>
      <c r="N64" s="230"/>
      <c r="O64" s="227"/>
      <c r="P64" s="233"/>
      <c r="Q64" s="105">
        <v>4</v>
      </c>
      <c r="R64" s="106"/>
      <c r="S64" s="107" t="str">
        <f t="shared" si="111"/>
        <v/>
      </c>
      <c r="T64" s="114"/>
      <c r="U64" s="114"/>
      <c r="V64" s="115" t="str">
        <f t="shared" si="107"/>
        <v/>
      </c>
      <c r="W64" s="114"/>
      <c r="X64" s="114"/>
      <c r="Y64" s="114"/>
      <c r="Z64" s="108" t="str">
        <f t="shared" ref="Z64:Z66" si="114">IFERROR(IF(AND(S63="Probabilidad",S64="Probabilidad"),(AB63-(+AB63*V64)),IF(AND(S63="Impacto",S64="Probabilidad"),(AB62-(+AB62*V64)),IF(S64="Impacto",AB63,""))),"")</f>
        <v/>
      </c>
      <c r="AA64" s="118" t="str">
        <f t="shared" si="108"/>
        <v/>
      </c>
      <c r="AB64" s="119" t="str">
        <f t="shared" si="112"/>
        <v/>
      </c>
      <c r="AC64" s="118" t="str">
        <f t="shared" si="109"/>
        <v/>
      </c>
      <c r="AD64" s="119" t="str">
        <f t="shared" si="113"/>
        <v/>
      </c>
      <c r="AE64" s="120" t="str">
        <f t="shared" si="110"/>
        <v/>
      </c>
      <c r="AF64" s="121"/>
      <c r="AG64" s="109"/>
      <c r="AH64" s="110"/>
      <c r="AI64" s="111"/>
      <c r="AJ64" s="111"/>
      <c r="AK64" s="109"/>
      <c r="AL64" s="110"/>
    </row>
    <row r="65" spans="1:38" ht="19.5" customHeight="1" x14ac:dyDescent="0.25">
      <c r="A65" s="203"/>
      <c r="B65" s="260"/>
      <c r="C65" s="260"/>
      <c r="D65" s="260"/>
      <c r="E65" s="123"/>
      <c r="F65" s="263"/>
      <c r="G65" s="126"/>
      <c r="H65" s="260"/>
      <c r="I65" s="239"/>
      <c r="J65" s="230"/>
      <c r="K65" s="227"/>
      <c r="L65" s="242"/>
      <c r="M65" s="227">
        <f>IF(NOT(ISERROR(MATCH(L65,_xlfn.ANCHORARRAY(F76),0))),K78&amp;"Por favor no seleccionar los criterios de impacto",L65)</f>
        <v>0</v>
      </c>
      <c r="N65" s="230"/>
      <c r="O65" s="227"/>
      <c r="P65" s="233"/>
      <c r="Q65" s="105">
        <v>5</v>
      </c>
      <c r="R65" s="106"/>
      <c r="S65" s="107" t="str">
        <f t="shared" si="111"/>
        <v/>
      </c>
      <c r="T65" s="114"/>
      <c r="U65" s="114"/>
      <c r="V65" s="115" t="str">
        <f t="shared" si="107"/>
        <v/>
      </c>
      <c r="W65" s="114"/>
      <c r="X65" s="114"/>
      <c r="Y65" s="114"/>
      <c r="Z65" s="108" t="str">
        <f t="shared" si="114"/>
        <v/>
      </c>
      <c r="AA65" s="118" t="str">
        <f t="shared" si="108"/>
        <v/>
      </c>
      <c r="AB65" s="119" t="str">
        <f t="shared" si="112"/>
        <v/>
      </c>
      <c r="AC65" s="118" t="str">
        <f t="shared" si="109"/>
        <v/>
      </c>
      <c r="AD65" s="119" t="str">
        <f t="shared" si="113"/>
        <v/>
      </c>
      <c r="AE65" s="120" t="str">
        <f t="shared" si="110"/>
        <v/>
      </c>
      <c r="AF65" s="121"/>
      <c r="AG65" s="109"/>
      <c r="AH65" s="110"/>
      <c r="AI65" s="111"/>
      <c r="AJ65" s="111"/>
      <c r="AK65" s="109"/>
      <c r="AL65" s="110"/>
    </row>
    <row r="66" spans="1:38" ht="19.5" customHeight="1" x14ac:dyDescent="0.25">
      <c r="A66" s="258"/>
      <c r="B66" s="261"/>
      <c r="C66" s="261"/>
      <c r="D66" s="261"/>
      <c r="E66" s="124"/>
      <c r="F66" s="264"/>
      <c r="G66" s="127"/>
      <c r="H66" s="261"/>
      <c r="I66" s="240"/>
      <c r="J66" s="231"/>
      <c r="K66" s="228"/>
      <c r="L66" s="243"/>
      <c r="M66" s="228">
        <f>IF(NOT(ISERROR(MATCH(L66,_xlfn.ANCHORARRAY(F77),0))),K79&amp;"Por favor no seleccionar los criterios de impacto",L66)</f>
        <v>0</v>
      </c>
      <c r="N66" s="231"/>
      <c r="O66" s="228"/>
      <c r="P66" s="234"/>
      <c r="Q66" s="105">
        <v>6</v>
      </c>
      <c r="R66" s="106"/>
      <c r="S66" s="107" t="str">
        <f t="shared" si="111"/>
        <v/>
      </c>
      <c r="T66" s="114"/>
      <c r="U66" s="114"/>
      <c r="V66" s="115" t="str">
        <f t="shared" si="107"/>
        <v/>
      </c>
      <c r="W66" s="114"/>
      <c r="X66" s="114"/>
      <c r="Y66" s="114"/>
      <c r="Z66" s="108" t="str">
        <f t="shared" si="114"/>
        <v/>
      </c>
      <c r="AA66" s="118" t="str">
        <f t="shared" si="108"/>
        <v/>
      </c>
      <c r="AB66" s="119" t="str">
        <f t="shared" si="112"/>
        <v/>
      </c>
      <c r="AC66" s="118" t="str">
        <f t="shared" si="109"/>
        <v/>
      </c>
      <c r="AD66" s="119" t="str">
        <f t="shared" si="113"/>
        <v/>
      </c>
      <c r="AE66" s="120" t="str">
        <f t="shared" si="110"/>
        <v/>
      </c>
      <c r="AF66" s="121"/>
      <c r="AG66" s="109"/>
      <c r="AH66" s="110"/>
      <c r="AI66" s="111"/>
      <c r="AJ66" s="111"/>
      <c r="AK66" s="109"/>
      <c r="AL66" s="110"/>
    </row>
    <row r="67" spans="1:38" ht="49.5" customHeight="1" x14ac:dyDescent="0.25">
      <c r="A67" s="6"/>
      <c r="B67" s="275" t="s">
        <v>126</v>
      </c>
      <c r="C67" s="276"/>
      <c r="D67" s="276"/>
      <c r="E67" s="276"/>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c r="AI67" s="276"/>
      <c r="AJ67" s="276"/>
      <c r="AK67" s="276"/>
      <c r="AL67" s="277"/>
    </row>
    <row r="69" spans="1:38" x14ac:dyDescent="0.25">
      <c r="A69" s="1"/>
      <c r="B69" s="24" t="s">
        <v>138</v>
      </c>
      <c r="C69" s="1"/>
      <c r="D69" s="1"/>
      <c r="E69" s="1"/>
      <c r="H69" s="1"/>
    </row>
  </sheetData>
  <dataConsolidate/>
  <mergeCells count="190">
    <mergeCell ref="AN8:AN9"/>
    <mergeCell ref="A1:AL2"/>
    <mergeCell ref="A7:I7"/>
    <mergeCell ref="J7:P7"/>
    <mergeCell ref="Q7:Y7"/>
    <mergeCell ref="Z7:AF7"/>
    <mergeCell ref="AG7:AL7"/>
    <mergeCell ref="B67:AL67"/>
    <mergeCell ref="O55:O60"/>
    <mergeCell ref="P55:P60"/>
    <mergeCell ref="A61:A66"/>
    <mergeCell ref="B61:B66"/>
    <mergeCell ref="C61:C66"/>
    <mergeCell ref="D61:D66"/>
    <mergeCell ref="F61:F66"/>
    <mergeCell ref="H61:H66"/>
    <mergeCell ref="I61:I66"/>
    <mergeCell ref="J61:J66"/>
    <mergeCell ref="K61:K66"/>
    <mergeCell ref="L61:L66"/>
    <mergeCell ref="M61:M66"/>
    <mergeCell ref="N61:N66"/>
    <mergeCell ref="O61:O66"/>
    <mergeCell ref="P61:P66"/>
    <mergeCell ref="L55:L60"/>
    <mergeCell ref="M55:M60"/>
    <mergeCell ref="N55:N60"/>
    <mergeCell ref="A55:A60"/>
    <mergeCell ref="B55:B60"/>
    <mergeCell ref="C55:C60"/>
    <mergeCell ref="D55:D60"/>
    <mergeCell ref="F55:F60"/>
    <mergeCell ref="H55:H60"/>
    <mergeCell ref="I55:I60"/>
    <mergeCell ref="J55:J60"/>
    <mergeCell ref="K55:K60"/>
    <mergeCell ref="O43:O48"/>
    <mergeCell ref="P43:P48"/>
    <mergeCell ref="H49:H54"/>
    <mergeCell ref="I49:I54"/>
    <mergeCell ref="J49:J54"/>
    <mergeCell ref="K49:K54"/>
    <mergeCell ref="L49:L54"/>
    <mergeCell ref="H43:H48"/>
    <mergeCell ref="I43:I48"/>
    <mergeCell ref="J43:J48"/>
    <mergeCell ref="K43:K48"/>
    <mergeCell ref="M49:M54"/>
    <mergeCell ref="N49:N54"/>
    <mergeCell ref="O49:O54"/>
    <mergeCell ref="P49:P54"/>
    <mergeCell ref="K31:K36"/>
    <mergeCell ref="L31:L36"/>
    <mergeCell ref="I37:I42"/>
    <mergeCell ref="J37:J42"/>
    <mergeCell ref="K37:K42"/>
    <mergeCell ref="M31:M36"/>
    <mergeCell ref="N31:N36"/>
    <mergeCell ref="A49:A54"/>
    <mergeCell ref="B49:B54"/>
    <mergeCell ref="C49:C54"/>
    <mergeCell ref="D49:D54"/>
    <mergeCell ref="F49:F54"/>
    <mergeCell ref="A43:A48"/>
    <mergeCell ref="B43:B48"/>
    <mergeCell ref="C43:C48"/>
    <mergeCell ref="D43:D48"/>
    <mergeCell ref="F43:F48"/>
    <mergeCell ref="O31:O36"/>
    <mergeCell ref="P31:P36"/>
    <mergeCell ref="O37:O42"/>
    <mergeCell ref="P37:P42"/>
    <mergeCell ref="L43:L48"/>
    <mergeCell ref="M43:M48"/>
    <mergeCell ref="N43:N48"/>
    <mergeCell ref="A31:A36"/>
    <mergeCell ref="B31:B36"/>
    <mergeCell ref="C31:C36"/>
    <mergeCell ref="A37:A42"/>
    <mergeCell ref="B37:B42"/>
    <mergeCell ref="C37:C42"/>
    <mergeCell ref="D37:D42"/>
    <mergeCell ref="F37:F42"/>
    <mergeCell ref="H37:H42"/>
    <mergeCell ref="D31:D36"/>
    <mergeCell ref="F31:F36"/>
    <mergeCell ref="L37:L42"/>
    <mergeCell ref="M37:M42"/>
    <mergeCell ref="N37:N42"/>
    <mergeCell ref="H31:H36"/>
    <mergeCell ref="I31:I36"/>
    <mergeCell ref="J31:J36"/>
    <mergeCell ref="I19:I24"/>
    <mergeCell ref="J19:J24"/>
    <mergeCell ref="K19:K24"/>
    <mergeCell ref="O19:O24"/>
    <mergeCell ref="P19:P24"/>
    <mergeCell ref="A25:A30"/>
    <mergeCell ref="B25:B30"/>
    <mergeCell ref="C25:C30"/>
    <mergeCell ref="D25:D30"/>
    <mergeCell ref="F25:F30"/>
    <mergeCell ref="H25:H30"/>
    <mergeCell ref="I25:I30"/>
    <mergeCell ref="J25:J30"/>
    <mergeCell ref="K25:K30"/>
    <mergeCell ref="L25:L30"/>
    <mergeCell ref="M25:M30"/>
    <mergeCell ref="N25:N30"/>
    <mergeCell ref="O25:O30"/>
    <mergeCell ref="P25:P30"/>
    <mergeCell ref="L19:L24"/>
    <mergeCell ref="M19:M24"/>
    <mergeCell ref="N19:N24"/>
    <mergeCell ref="A13:A18"/>
    <mergeCell ref="B13:B18"/>
    <mergeCell ref="C13:C18"/>
    <mergeCell ref="A19:A24"/>
    <mergeCell ref="B19:B24"/>
    <mergeCell ref="C19:C24"/>
    <mergeCell ref="D19:D24"/>
    <mergeCell ref="F19:F24"/>
    <mergeCell ref="H19:H24"/>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C4:AL4"/>
    <mergeCell ref="C5:AL5"/>
    <mergeCell ref="C6:AL6"/>
    <mergeCell ref="AG8:AG9"/>
    <mergeCell ref="M13:M18"/>
    <mergeCell ref="N13:N18"/>
    <mergeCell ref="O13:O18"/>
    <mergeCell ref="P13:P18"/>
    <mergeCell ref="H13:H18"/>
    <mergeCell ref="I13:I18"/>
    <mergeCell ref="J13:J18"/>
    <mergeCell ref="K13:K18"/>
    <mergeCell ref="L13:L18"/>
    <mergeCell ref="B8:B9"/>
    <mergeCell ref="P8:P9"/>
    <mergeCell ref="L8:L9"/>
    <mergeCell ref="M8:M9"/>
    <mergeCell ref="S8:S9"/>
    <mergeCell ref="T8:Y8"/>
    <mergeCell ref="E8:E9"/>
    <mergeCell ref="D13:D18"/>
    <mergeCell ref="F13:F18"/>
    <mergeCell ref="AO8:AO9"/>
    <mergeCell ref="AM8:AM9"/>
    <mergeCell ref="AM14:AM16"/>
    <mergeCell ref="H10:H12"/>
    <mergeCell ref="I10:I12"/>
    <mergeCell ref="J10:J12"/>
    <mergeCell ref="A10:A12"/>
    <mergeCell ref="B10:B12"/>
    <mergeCell ref="C10:C12"/>
    <mergeCell ref="D10:D12"/>
    <mergeCell ref="F10:F12"/>
    <mergeCell ref="P10:P12"/>
    <mergeCell ref="K10:K12"/>
    <mergeCell ref="L10:L12"/>
    <mergeCell ref="M10:M12"/>
    <mergeCell ref="N10:N12"/>
    <mergeCell ref="O10:O12"/>
    <mergeCell ref="G10:G12"/>
    <mergeCell ref="AB8:AB9"/>
    <mergeCell ref="I8:I9"/>
    <mergeCell ref="J8:J9"/>
    <mergeCell ref="K8:K9"/>
    <mergeCell ref="N8:N9"/>
    <mergeCell ref="O8:O9"/>
  </mergeCells>
  <conditionalFormatting sqref="J10 J13 J19 J25 J31 J37 J43 J49 J55 J61">
    <cfRule type="cellIs" dxfId="32" priority="644" operator="equal">
      <formula>"Baja"</formula>
    </cfRule>
    <cfRule type="cellIs" dxfId="31" priority="643" operator="equal">
      <formula>"Media"</formula>
    </cfRule>
    <cfRule type="cellIs" dxfId="30" priority="642" operator="equal">
      <formula>"Alta"</formula>
    </cfRule>
    <cfRule type="cellIs" dxfId="29" priority="641" operator="equal">
      <formula>"Muy Alta"</formula>
    </cfRule>
    <cfRule type="cellIs" dxfId="28" priority="645" operator="equal">
      <formula>"Muy Baja"</formula>
    </cfRule>
  </conditionalFormatting>
  <conditionalFormatting sqref="M10:M66">
    <cfRule type="containsText" dxfId="27" priority="323" operator="containsText" text="❌">
      <formula>NOT(ISERROR(SEARCH("❌",M10)))</formula>
    </cfRule>
  </conditionalFormatting>
  <conditionalFormatting sqref="N10 N13 N19 N25 N31 N37 N43 N49 N55 N61">
    <cfRule type="cellIs" dxfId="26" priority="640" operator="equal">
      <formula>"Leve"</formula>
    </cfRule>
    <cfRule type="cellIs" dxfId="25" priority="639" operator="equal">
      <formula>"Menor"</formula>
    </cfRule>
    <cfRule type="cellIs" dxfId="24" priority="638" operator="equal">
      <formula>"Moderado"</formula>
    </cfRule>
    <cfRule type="cellIs" dxfId="23" priority="637" operator="equal">
      <formula>"Mayor"</formula>
    </cfRule>
    <cfRule type="cellIs" dxfId="22" priority="636" operator="equal">
      <formula>"Catastrófico"</formula>
    </cfRule>
  </conditionalFormatting>
  <conditionalFormatting sqref="P10">
    <cfRule type="cellIs" dxfId="21" priority="635" operator="equal">
      <formula>"Bajo"</formula>
    </cfRule>
    <cfRule type="cellIs" dxfId="20" priority="634" operator="equal">
      <formula>"Moderado"</formula>
    </cfRule>
    <cfRule type="cellIs" dxfId="19" priority="633" operator="equal">
      <formula>"Alto"</formula>
    </cfRule>
    <cfRule type="cellIs" dxfId="18" priority="632" operator="equal">
      <formula>"Extremo"</formula>
    </cfRule>
  </conditionalFormatting>
  <conditionalFormatting sqref="P13 P19 P25 P31 P37 P43 P49 P55 P61">
    <cfRule type="cellIs" dxfId="17" priority="565" operator="equal">
      <formula>"Bajo"</formula>
    </cfRule>
    <cfRule type="cellIs" dxfId="16" priority="562" operator="equal">
      <formula>"Extremo"</formula>
    </cfRule>
    <cfRule type="cellIs" dxfId="15" priority="563" operator="equal">
      <formula>"Alto"</formula>
    </cfRule>
    <cfRule type="cellIs" dxfId="14" priority="564" operator="equal">
      <formula>"Moderado"</formula>
    </cfRule>
  </conditionalFormatting>
  <conditionalFormatting sqref="AA10:AA66">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C10:AC66">
    <cfRule type="cellIs" dxfId="8" priority="9" operator="equal">
      <formula>"Leve"</formula>
    </cfRule>
    <cfRule type="cellIs" dxfId="7" priority="8" operator="equal">
      <formula>"Menor"</formula>
    </cfRule>
    <cfRule type="cellIs" dxfId="6" priority="7" operator="equal">
      <formula>"Moderado"</formula>
    </cfRule>
    <cfRule type="cellIs" dxfId="5" priority="6" operator="equal">
      <formula>"Mayor"</formula>
    </cfRule>
    <cfRule type="cellIs" dxfId="4" priority="5" operator="equal">
      <formula>"Catastrófico"</formula>
    </cfRule>
  </conditionalFormatting>
  <conditionalFormatting sqref="AE10:AE66">
    <cfRule type="cellIs" dxfId="3" priority="2" operator="equal">
      <formula>"Alto"</formula>
    </cfRule>
    <cfRule type="cellIs" dxfId="2" priority="4" operator="equal">
      <formula>"Bajo"</formula>
    </cfRule>
    <cfRule type="cellIs" dxfId="1" priority="3" operator="equal">
      <formula>"Moderado"</formula>
    </cfRule>
    <cfRule type="cellIs" dxfId="0" priority="1" operator="equal">
      <formula>"Extremo"</formula>
    </cfRule>
  </conditionalFormatting>
  <pageMargins left="0.23622047244094491" right="0.23622047244094491" top="0.74803149606299213" bottom="0.74803149606299213" header="0.31496062992125984" footer="0.31496062992125984"/>
  <pageSetup paperSize="5" scale="30" fitToWidth="0" orientation="landscape"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'Opciones Tratamiento'!$B$9:$B$10</xm:f>
          </x14:formula1>
          <xm:sqref>AL10:AL14 AL16:AL17 AL19:AL20 AL22:AL23 AL25:AL26 AL28:AL29 AL31:AL32 AL34:AL35 AL37:AL38 AL40:AL41 AL43:AL44 AL46:AL47 AL49:AL50 AL52:AL53 AL55:AL56 AL58:AL59 AL61:AL62 AL64:AL65</xm:sqref>
        </x14:dataValidation>
        <x14:dataValidation type="list" allowBlank="1" showInputMessage="1" showErrorMessage="1" xr:uid="{00000000-0002-0000-0100-000001000000}">
          <x14:formula1>
            <xm:f>'Opciones Tratamiento'!$B$2:$B$5</xm:f>
          </x14:formula1>
          <xm:sqref>AF15:AF19 AF21:AF25 AF27:AF31 AF33:AF37 AF39:AF43 AF45:AF49 AF51:AF55 AF57:AF61 AF63:AF66 AF10:AF13</xm:sqref>
        </x14:dataValidation>
        <x14:dataValidation type="custom" allowBlank="1" showInputMessage="1" showErrorMessage="1" error="Recuerde que las acciones se generan bajo la medida de mitigar el riesgo" xr:uid="{00000000-0002-0000-0100-000002000000}">
          <x14:formula1>
            <xm:f>IF(OR(AF10='Opciones Tratamiento'!$B$2,AF10='Opciones Tratamiento'!$B$3,AF10='Opciones Tratamiento'!$B$4),ISBLANK(AF10),ISTEXT(AF10))</xm:f>
          </x14:formula1>
          <xm:sqref>AK10 AK12:AK66</xm:sqref>
        </x14:dataValidation>
        <x14:dataValidation type="list" allowBlank="1" showInputMessage="1" showErrorMessage="1" xr:uid="{00000000-0002-0000-0100-000003000000}">
          <x14:formula1>
            <xm:f>'https://d.docs.live.net/Users/HOME/Downloads/[Formato Matriz de Riesgos 2021 (1).xlsx]Opciones Tratamiento'!#REF!</xm:f>
          </x14:formula1>
          <xm:sqref>AF62 AF14 AF20 AF26 AF32 AF38 AF44 AF50 AF56</xm:sqref>
        </x14:dataValidation>
        <x14:dataValidation type="list" allowBlank="1" showInputMessage="1" showErrorMessage="1" xr:uid="{00000000-0002-0000-0100-000004000000}">
          <x14:formula1>
            <xm:f>'Tabla Valoración controles'!$D$4:$D$6</xm:f>
          </x14:formula1>
          <xm:sqref>T10:T66</xm:sqref>
        </x14:dataValidation>
        <x14:dataValidation type="list" allowBlank="1" showInputMessage="1" showErrorMessage="1" xr:uid="{00000000-0002-0000-0100-000005000000}">
          <x14:formula1>
            <xm:f>'Tabla Valoración controles'!$D$7:$D$8</xm:f>
          </x14:formula1>
          <xm:sqref>U10:U66</xm:sqref>
        </x14:dataValidation>
        <x14:dataValidation type="list" allowBlank="1" showInputMessage="1" showErrorMessage="1" xr:uid="{00000000-0002-0000-0100-000006000000}">
          <x14:formula1>
            <xm:f>'Tabla Valoración controles'!$D$9:$D$10</xm:f>
          </x14:formula1>
          <xm:sqref>W10:W66</xm:sqref>
        </x14:dataValidation>
        <x14:dataValidation type="list" allowBlank="1" showInputMessage="1" showErrorMessage="1" xr:uid="{00000000-0002-0000-0100-000007000000}">
          <x14:formula1>
            <xm:f>'Tabla Valoración controles'!$D$11:$D$12</xm:f>
          </x14:formula1>
          <xm:sqref>X10:X66</xm:sqref>
        </x14:dataValidation>
        <x14:dataValidation type="list" allowBlank="1" showInputMessage="1" showErrorMessage="1" xr:uid="{00000000-0002-0000-0100-000008000000}">
          <x14:formula1>
            <xm:f>'Tabla Valoración controles'!$D$13:$D$14</xm:f>
          </x14:formula1>
          <xm:sqref>Y10:Y66</xm:sqref>
        </x14:dataValidation>
        <x14:dataValidation type="list" allowBlank="1" showInputMessage="1" showErrorMessage="1" xr:uid="{00000000-0002-0000-0100-000009000000}">
          <x14:formula1>
            <xm:f>'Opciones Tratamiento'!$B$13:$B$19</xm:f>
          </x14:formula1>
          <xm:sqref>H10:H66</xm:sqref>
        </x14:dataValidation>
        <x14:dataValidation type="list" allowBlank="1" showInputMessage="1" showErrorMessage="1" xr:uid="{00000000-0002-0000-0100-00000A000000}">
          <x14:formula1>
            <xm:f>'Opciones Tratamiento'!$E$2:$E$4</xm:f>
          </x14:formula1>
          <xm:sqref>B10:B66</xm:sqref>
        </x14:dataValidation>
        <x14:dataValidation type="list" allowBlank="1" showInputMessage="1" showErrorMessage="1" xr:uid="{00000000-0002-0000-0100-00000B000000}">
          <x14:formula1>
            <xm:f>'Tabla Impacto'!$F$210:$F$221</xm:f>
          </x14:formula1>
          <xm:sqref>L10:L66</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AG10:AG66</xm:sqref>
        </x14:dataValidation>
        <x14:dataValidation type="custom" allowBlank="1" showInputMessage="1" showErrorMessage="1" error="Recuerde que las acciones se generan bajo la medida de mitigar el riesgo" xr:uid="{00000000-0002-0000-0100-00000D000000}">
          <x14:formula1>
            <xm:f>IF(OR(AF10='Opciones Tratamiento'!$B$2,AF10='Opciones Tratamiento'!$B$3,AF10='Opciones Tratamiento'!$B$4),ISBLANK(AF10),ISTEXT(AF10))</xm:f>
          </x14:formula1>
          <xm:sqref>AH10:AH66</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AI10:AI66</xm:sqref>
        </x14:dataValidation>
        <x14:dataValidation type="custom" allowBlank="1" showInputMessage="1" showErrorMessage="1" error="Recuerde que las acciones se generan bajo la medida de mitigar el riesgo" xr:uid="{00000000-0002-0000-0100-00000F000000}">
          <x14:formula1>
            <xm:f>IF(OR(AF10='Opciones Tratamiento'!$B$2,AF10='Opciones Tratamiento'!$B$3,AF10='Opciones Tratamiento'!$B$4),ISBLANK(AF10),ISTEXT(AF10))</xm:f>
          </x14:formula1>
          <xm:sqref>AJ10:AJ66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278" t="s">
        <v>150</v>
      </c>
      <c r="C2" s="278"/>
      <c r="D2" s="278"/>
      <c r="E2" s="278"/>
      <c r="F2" s="278"/>
      <c r="G2" s="278"/>
      <c r="H2" s="278"/>
      <c r="I2" s="278"/>
      <c r="J2" s="315" t="s">
        <v>2</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278"/>
      <c r="C3" s="278"/>
      <c r="D3" s="278"/>
      <c r="E3" s="278"/>
      <c r="F3" s="278"/>
      <c r="G3" s="278"/>
      <c r="H3" s="278"/>
      <c r="I3" s="278"/>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278"/>
      <c r="C4" s="278"/>
      <c r="D4" s="278"/>
      <c r="E4" s="278"/>
      <c r="F4" s="278"/>
      <c r="G4" s="278"/>
      <c r="H4" s="278"/>
      <c r="I4" s="278"/>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326" t="s">
        <v>4</v>
      </c>
      <c r="C6" s="326"/>
      <c r="D6" s="327"/>
      <c r="E6" s="316" t="s">
        <v>111</v>
      </c>
      <c r="F6" s="317"/>
      <c r="G6" s="317"/>
      <c r="H6" s="317"/>
      <c r="I6" s="318"/>
      <c r="J6" s="312" t="str">
        <f>IF(AND('Mapa final'!$J$10="Muy Alta",'Mapa final'!$N$10="Leve"),CONCATENATE("R",'Mapa final'!$A$10),"")</f>
        <v/>
      </c>
      <c r="K6" s="313"/>
      <c r="L6" s="313" t="str">
        <f>IF(AND('Mapa final'!$J$13="Muy Alta",'Mapa final'!$N$13="Leve"),CONCATENATE("R",'Mapa final'!$A$13),"")</f>
        <v/>
      </c>
      <c r="M6" s="313"/>
      <c r="N6" s="313" t="str">
        <f>IF(AND('Mapa final'!$J$19="Muy Alta",'Mapa final'!$N$19="Leve"),CONCATENATE("R",'Mapa final'!$A$19),"")</f>
        <v/>
      </c>
      <c r="O6" s="314"/>
      <c r="P6" s="312" t="str">
        <f>IF(AND('Mapa final'!$J$10="Muy Alta",'Mapa final'!$N$10="Menor"),CONCATENATE("R",'Mapa final'!$A$10),"")</f>
        <v/>
      </c>
      <c r="Q6" s="313"/>
      <c r="R6" s="313" t="str">
        <f>IF(AND('Mapa final'!$J$13="Muy Alta",'Mapa final'!$N$13="Menor"),CONCATENATE("R",'Mapa final'!$A$13),"")</f>
        <v/>
      </c>
      <c r="S6" s="313"/>
      <c r="T6" s="313" t="str">
        <f>IF(AND('Mapa final'!$J$19="Muy Alta",'Mapa final'!$N$19="Menor"),CONCATENATE("R",'Mapa final'!$A$19),"")</f>
        <v/>
      </c>
      <c r="U6" s="314"/>
      <c r="V6" s="312" t="str">
        <f>IF(AND('Mapa final'!$J$10="Muy Alta",'Mapa final'!$N$10="Moderado"),CONCATENATE("R",'Mapa final'!$A$10),"")</f>
        <v/>
      </c>
      <c r="W6" s="313"/>
      <c r="X6" s="313" t="str">
        <f>IF(AND('Mapa final'!$J$13="Muy Alta",'Mapa final'!$N$13="Moderado"),CONCATENATE("R",'Mapa final'!$A$13),"")</f>
        <v/>
      </c>
      <c r="Y6" s="313"/>
      <c r="Z6" s="313" t="str">
        <f>IF(AND('Mapa final'!$J$19="Muy Alta",'Mapa final'!$N$19="Moderado"),CONCATENATE("R",'Mapa final'!$A$19),"")</f>
        <v/>
      </c>
      <c r="AA6" s="314"/>
      <c r="AB6" s="312" t="str">
        <f>IF(AND('Mapa final'!$J$10="Muy Alta",'Mapa final'!$N$10="Mayor"),CONCATENATE("R",'Mapa final'!$A$10),"")</f>
        <v/>
      </c>
      <c r="AC6" s="313"/>
      <c r="AD6" s="313" t="str">
        <f>IF(AND('Mapa final'!$J$13="Muy Alta",'Mapa final'!$N$13="Mayor"),CONCATENATE("R",'Mapa final'!$A$13),"")</f>
        <v/>
      </c>
      <c r="AE6" s="313"/>
      <c r="AF6" s="313" t="str">
        <f>IF(AND('Mapa final'!$J$19="Muy Alta",'Mapa final'!$N$19="Mayor"),CONCATENATE("R",'Mapa final'!$A$19),"")</f>
        <v/>
      </c>
      <c r="AG6" s="314"/>
      <c r="AH6" s="303" t="str">
        <f>IF(AND('Mapa final'!$J$10="Muy Alta",'Mapa final'!$N$10="Catastrófico"),CONCATENATE("R",'Mapa final'!$A$10),"")</f>
        <v/>
      </c>
      <c r="AI6" s="304"/>
      <c r="AJ6" s="304" t="str">
        <f>IF(AND('Mapa final'!$J$13="Muy Alta",'Mapa final'!$N$13="Catastrófico"),CONCATENATE("R",'Mapa final'!$A$13),"")</f>
        <v/>
      </c>
      <c r="AK6" s="304"/>
      <c r="AL6" s="304" t="str">
        <f>IF(AND('Mapa final'!$J$19="Muy Alta",'Mapa final'!$N$19="Catastrófico"),CONCATENATE("R",'Mapa final'!$A$19),"")</f>
        <v/>
      </c>
      <c r="AM6" s="305"/>
      <c r="AO6" s="328" t="s">
        <v>78</v>
      </c>
      <c r="AP6" s="329"/>
      <c r="AQ6" s="329"/>
      <c r="AR6" s="329"/>
      <c r="AS6" s="329"/>
      <c r="AT6" s="330"/>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326"/>
      <c r="C7" s="326"/>
      <c r="D7" s="327"/>
      <c r="E7" s="319"/>
      <c r="F7" s="320"/>
      <c r="G7" s="320"/>
      <c r="H7" s="320"/>
      <c r="I7" s="321"/>
      <c r="J7" s="306"/>
      <c r="K7" s="307"/>
      <c r="L7" s="307"/>
      <c r="M7" s="307"/>
      <c r="N7" s="307"/>
      <c r="O7" s="308"/>
      <c r="P7" s="306"/>
      <c r="Q7" s="307"/>
      <c r="R7" s="307"/>
      <c r="S7" s="307"/>
      <c r="T7" s="307"/>
      <c r="U7" s="308"/>
      <c r="V7" s="306"/>
      <c r="W7" s="307"/>
      <c r="X7" s="307"/>
      <c r="Y7" s="307"/>
      <c r="Z7" s="307"/>
      <c r="AA7" s="308"/>
      <c r="AB7" s="306"/>
      <c r="AC7" s="307"/>
      <c r="AD7" s="307"/>
      <c r="AE7" s="307"/>
      <c r="AF7" s="307"/>
      <c r="AG7" s="308"/>
      <c r="AH7" s="297"/>
      <c r="AI7" s="298"/>
      <c r="AJ7" s="298"/>
      <c r="AK7" s="298"/>
      <c r="AL7" s="298"/>
      <c r="AM7" s="299"/>
      <c r="AN7" s="67"/>
      <c r="AO7" s="331"/>
      <c r="AP7" s="332"/>
      <c r="AQ7" s="332"/>
      <c r="AR7" s="332"/>
      <c r="AS7" s="332"/>
      <c r="AT7" s="333"/>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326"/>
      <c r="C8" s="326"/>
      <c r="D8" s="327"/>
      <c r="E8" s="319"/>
      <c r="F8" s="320"/>
      <c r="G8" s="320"/>
      <c r="H8" s="320"/>
      <c r="I8" s="321"/>
      <c r="J8" s="306" t="str">
        <f>IF(AND('Mapa final'!$J$25="Muy Alta",'Mapa final'!$N$25="Leve"),CONCATENATE("R",'Mapa final'!$A$25),"")</f>
        <v/>
      </c>
      <c r="K8" s="307"/>
      <c r="L8" s="307" t="str">
        <f>IF(AND('Mapa final'!$J$31="Muy Alta",'Mapa final'!$N$31="Leve"),CONCATENATE("R",'Mapa final'!$A$31),"")</f>
        <v/>
      </c>
      <c r="M8" s="307"/>
      <c r="N8" s="307" t="str">
        <f>IF(AND('Mapa final'!$J$37="Muy Alta",'Mapa final'!$N$37="Leve"),CONCATENATE("R",'Mapa final'!$A$37),"")</f>
        <v/>
      </c>
      <c r="O8" s="308"/>
      <c r="P8" s="306" t="str">
        <f>IF(AND('Mapa final'!$J$25="Muy Alta",'Mapa final'!$N$25="Menor"),CONCATENATE("R",'Mapa final'!$A$25),"")</f>
        <v/>
      </c>
      <c r="Q8" s="307"/>
      <c r="R8" s="307" t="str">
        <f>IF(AND('Mapa final'!$J$31="Muy Alta",'Mapa final'!$N$31="Menor"),CONCATENATE("R",'Mapa final'!$A$31),"")</f>
        <v/>
      </c>
      <c r="S8" s="307"/>
      <c r="T8" s="307" t="str">
        <f>IF(AND('Mapa final'!$J$37="Muy Alta",'Mapa final'!$N$37="Menor"),CONCATENATE("R",'Mapa final'!$A$37),"")</f>
        <v/>
      </c>
      <c r="U8" s="308"/>
      <c r="V8" s="306" t="str">
        <f>IF(AND('Mapa final'!$J$25="Muy Alta",'Mapa final'!$N$25="Moderado"),CONCATENATE("R",'Mapa final'!$A$25),"")</f>
        <v/>
      </c>
      <c r="W8" s="307"/>
      <c r="X8" s="307" t="str">
        <f>IF(AND('Mapa final'!$J$31="Muy Alta",'Mapa final'!$N$31="Moderado"),CONCATENATE("R",'Mapa final'!$A$31),"")</f>
        <v/>
      </c>
      <c r="Y8" s="307"/>
      <c r="Z8" s="307" t="str">
        <f>IF(AND('Mapa final'!$J$37="Muy Alta",'Mapa final'!$N$37="Moderado"),CONCATENATE("R",'Mapa final'!$A$37),"")</f>
        <v/>
      </c>
      <c r="AA8" s="308"/>
      <c r="AB8" s="306" t="str">
        <f>IF(AND('Mapa final'!$J$25="Muy Alta",'Mapa final'!$N$25="Mayor"),CONCATENATE("R",'Mapa final'!$A$25),"")</f>
        <v/>
      </c>
      <c r="AC8" s="307"/>
      <c r="AD8" s="307" t="str">
        <f>IF(AND('Mapa final'!$J$31="Muy Alta",'Mapa final'!$N$31="Mayor"),CONCATENATE("R",'Mapa final'!$A$31),"")</f>
        <v/>
      </c>
      <c r="AE8" s="307"/>
      <c r="AF8" s="307" t="str">
        <f>IF(AND('Mapa final'!$J$37="Muy Alta",'Mapa final'!$N$37="Mayor"),CONCATENATE("R",'Mapa final'!$A$37),"")</f>
        <v/>
      </c>
      <c r="AG8" s="308"/>
      <c r="AH8" s="297" t="str">
        <f>IF(AND('Mapa final'!$J$25="Muy Alta",'Mapa final'!$N$25="Catastrófico"),CONCATENATE("R",'Mapa final'!$A$25),"")</f>
        <v/>
      </c>
      <c r="AI8" s="298"/>
      <c r="AJ8" s="298" t="str">
        <f>IF(AND('Mapa final'!$J$31="Muy Alta",'Mapa final'!$N$31="Catastrófico"),CONCATENATE("R",'Mapa final'!$A$31),"")</f>
        <v/>
      </c>
      <c r="AK8" s="298"/>
      <c r="AL8" s="298" t="str">
        <f>IF(AND('Mapa final'!$J$37="Muy Alta",'Mapa final'!$N$37="Catastrófico"),CONCATENATE("R",'Mapa final'!$A$37),"")</f>
        <v/>
      </c>
      <c r="AM8" s="299"/>
      <c r="AN8" s="67"/>
      <c r="AO8" s="331"/>
      <c r="AP8" s="332"/>
      <c r="AQ8" s="332"/>
      <c r="AR8" s="332"/>
      <c r="AS8" s="332"/>
      <c r="AT8" s="333"/>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326"/>
      <c r="C9" s="326"/>
      <c r="D9" s="327"/>
      <c r="E9" s="319"/>
      <c r="F9" s="320"/>
      <c r="G9" s="320"/>
      <c r="H9" s="320"/>
      <c r="I9" s="321"/>
      <c r="J9" s="306"/>
      <c r="K9" s="307"/>
      <c r="L9" s="307"/>
      <c r="M9" s="307"/>
      <c r="N9" s="307"/>
      <c r="O9" s="308"/>
      <c r="P9" s="306"/>
      <c r="Q9" s="307"/>
      <c r="R9" s="307"/>
      <c r="S9" s="307"/>
      <c r="T9" s="307"/>
      <c r="U9" s="308"/>
      <c r="V9" s="306"/>
      <c r="W9" s="307"/>
      <c r="X9" s="307"/>
      <c r="Y9" s="307"/>
      <c r="Z9" s="307"/>
      <c r="AA9" s="308"/>
      <c r="AB9" s="306"/>
      <c r="AC9" s="307"/>
      <c r="AD9" s="307"/>
      <c r="AE9" s="307"/>
      <c r="AF9" s="307"/>
      <c r="AG9" s="308"/>
      <c r="AH9" s="297"/>
      <c r="AI9" s="298"/>
      <c r="AJ9" s="298"/>
      <c r="AK9" s="298"/>
      <c r="AL9" s="298"/>
      <c r="AM9" s="299"/>
      <c r="AN9" s="67"/>
      <c r="AO9" s="331"/>
      <c r="AP9" s="332"/>
      <c r="AQ9" s="332"/>
      <c r="AR9" s="332"/>
      <c r="AS9" s="332"/>
      <c r="AT9" s="333"/>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326"/>
      <c r="C10" s="326"/>
      <c r="D10" s="327"/>
      <c r="E10" s="319"/>
      <c r="F10" s="320"/>
      <c r="G10" s="320"/>
      <c r="H10" s="320"/>
      <c r="I10" s="321"/>
      <c r="J10" s="306" t="str">
        <f>IF(AND('Mapa final'!$J$43="Muy Alta",'Mapa final'!$N$43="Leve"),CONCATENATE("R",'Mapa final'!$A$43),"")</f>
        <v/>
      </c>
      <c r="K10" s="307"/>
      <c r="L10" s="307" t="str">
        <f>IF(AND('Mapa final'!$J$49="Muy Alta",'Mapa final'!$N$49="Leve"),CONCATENATE("R",'Mapa final'!$A$49),"")</f>
        <v/>
      </c>
      <c r="M10" s="307"/>
      <c r="N10" s="307" t="str">
        <f>IF(AND('Mapa final'!$J$55="Muy Alta",'Mapa final'!$N$55="Leve"),CONCATENATE("R",'Mapa final'!$A$55),"")</f>
        <v/>
      </c>
      <c r="O10" s="308"/>
      <c r="P10" s="306" t="str">
        <f>IF(AND('Mapa final'!$J$43="Muy Alta",'Mapa final'!$N$43="Menor"),CONCATENATE("R",'Mapa final'!$A$43),"")</f>
        <v/>
      </c>
      <c r="Q10" s="307"/>
      <c r="R10" s="307" t="str">
        <f>IF(AND('Mapa final'!$J$49="Muy Alta",'Mapa final'!$N$49="Menor"),CONCATENATE("R",'Mapa final'!$A$49),"")</f>
        <v/>
      </c>
      <c r="S10" s="307"/>
      <c r="T10" s="307" t="str">
        <f>IF(AND('Mapa final'!$J$55="Muy Alta",'Mapa final'!$N$55="Menor"),CONCATENATE("R",'Mapa final'!$A$55),"")</f>
        <v/>
      </c>
      <c r="U10" s="308"/>
      <c r="V10" s="306" t="str">
        <f>IF(AND('Mapa final'!$J$43="Muy Alta",'Mapa final'!$N$43="Moderado"),CONCATENATE("R",'Mapa final'!$A$43),"")</f>
        <v/>
      </c>
      <c r="W10" s="307"/>
      <c r="X10" s="307" t="str">
        <f>IF(AND('Mapa final'!$J$49="Muy Alta",'Mapa final'!$N$49="Moderado"),CONCATENATE("R",'Mapa final'!$A$49),"")</f>
        <v/>
      </c>
      <c r="Y10" s="307"/>
      <c r="Z10" s="307" t="str">
        <f>IF(AND('Mapa final'!$J$55="Muy Alta",'Mapa final'!$N$55="Moderado"),CONCATENATE("R",'Mapa final'!$A$55),"")</f>
        <v/>
      </c>
      <c r="AA10" s="308"/>
      <c r="AB10" s="306" t="str">
        <f>IF(AND('Mapa final'!$J$43="Muy Alta",'Mapa final'!$N$43="Mayor"),CONCATENATE("R",'Mapa final'!$A$43),"")</f>
        <v/>
      </c>
      <c r="AC10" s="307"/>
      <c r="AD10" s="307" t="str">
        <f>IF(AND('Mapa final'!$J$49="Muy Alta",'Mapa final'!$N$49="Mayor"),CONCATENATE("R",'Mapa final'!$A$49),"")</f>
        <v/>
      </c>
      <c r="AE10" s="307"/>
      <c r="AF10" s="307" t="str">
        <f>IF(AND('Mapa final'!$J$55="Muy Alta",'Mapa final'!$N$55="Mayor"),CONCATENATE("R",'Mapa final'!$A$55),"")</f>
        <v/>
      </c>
      <c r="AG10" s="308"/>
      <c r="AH10" s="297" t="str">
        <f>IF(AND('Mapa final'!$J$43="Muy Alta",'Mapa final'!$N$43="Catastrófico"),CONCATENATE("R",'Mapa final'!$A$43),"")</f>
        <v/>
      </c>
      <c r="AI10" s="298"/>
      <c r="AJ10" s="298" t="str">
        <f>IF(AND('Mapa final'!$J$49="Muy Alta",'Mapa final'!$N$49="Catastrófico"),CONCATENATE("R",'Mapa final'!$A$49),"")</f>
        <v/>
      </c>
      <c r="AK10" s="298"/>
      <c r="AL10" s="298" t="str">
        <f>IF(AND('Mapa final'!$J$55="Muy Alta",'Mapa final'!$N$55="Catastrófico"),CONCATENATE("R",'Mapa final'!$A$55),"")</f>
        <v/>
      </c>
      <c r="AM10" s="299"/>
      <c r="AN10" s="67"/>
      <c r="AO10" s="331"/>
      <c r="AP10" s="332"/>
      <c r="AQ10" s="332"/>
      <c r="AR10" s="332"/>
      <c r="AS10" s="332"/>
      <c r="AT10" s="333"/>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326"/>
      <c r="C11" s="326"/>
      <c r="D11" s="327"/>
      <c r="E11" s="319"/>
      <c r="F11" s="320"/>
      <c r="G11" s="320"/>
      <c r="H11" s="320"/>
      <c r="I11" s="321"/>
      <c r="J11" s="306"/>
      <c r="K11" s="307"/>
      <c r="L11" s="307"/>
      <c r="M11" s="307"/>
      <c r="N11" s="307"/>
      <c r="O11" s="308"/>
      <c r="P11" s="306"/>
      <c r="Q11" s="307"/>
      <c r="R11" s="307"/>
      <c r="S11" s="307"/>
      <c r="T11" s="307"/>
      <c r="U11" s="308"/>
      <c r="V11" s="306"/>
      <c r="W11" s="307"/>
      <c r="X11" s="307"/>
      <c r="Y11" s="307"/>
      <c r="Z11" s="307"/>
      <c r="AA11" s="308"/>
      <c r="AB11" s="306"/>
      <c r="AC11" s="307"/>
      <c r="AD11" s="307"/>
      <c r="AE11" s="307"/>
      <c r="AF11" s="307"/>
      <c r="AG11" s="308"/>
      <c r="AH11" s="297"/>
      <c r="AI11" s="298"/>
      <c r="AJ11" s="298"/>
      <c r="AK11" s="298"/>
      <c r="AL11" s="298"/>
      <c r="AM11" s="299"/>
      <c r="AN11" s="67"/>
      <c r="AO11" s="331"/>
      <c r="AP11" s="332"/>
      <c r="AQ11" s="332"/>
      <c r="AR11" s="332"/>
      <c r="AS11" s="332"/>
      <c r="AT11" s="333"/>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326"/>
      <c r="C12" s="326"/>
      <c r="D12" s="327"/>
      <c r="E12" s="319"/>
      <c r="F12" s="320"/>
      <c r="G12" s="320"/>
      <c r="H12" s="320"/>
      <c r="I12" s="321"/>
      <c r="J12" s="306" t="str">
        <f>IF(AND('Mapa final'!$J$61="Muy Alta",'Mapa final'!$N$61="Leve"),CONCATENATE("R",'Mapa final'!$A$61),"")</f>
        <v/>
      </c>
      <c r="K12" s="307"/>
      <c r="L12" s="307" t="str">
        <f>IF(AND('Mapa final'!$J$67="Muy Alta",'Mapa final'!$N$67="Leve"),CONCATENATE("R",'Mapa final'!$A$67),"")</f>
        <v/>
      </c>
      <c r="M12" s="307"/>
      <c r="N12" s="307" t="str">
        <f>IF(AND('Mapa final'!$J$73="Muy Alta",'Mapa final'!$N$73="Leve"),CONCATENATE("R",'Mapa final'!$A$73),"")</f>
        <v/>
      </c>
      <c r="O12" s="308"/>
      <c r="P12" s="306" t="str">
        <f>IF(AND('Mapa final'!$J$61="Muy Alta",'Mapa final'!$N$61="Menor"),CONCATENATE("R",'Mapa final'!$A$61),"")</f>
        <v/>
      </c>
      <c r="Q12" s="307"/>
      <c r="R12" s="307" t="str">
        <f>IF(AND('Mapa final'!$J$67="Muy Alta",'Mapa final'!$N$67="Menor"),CONCATENATE("R",'Mapa final'!$A$67),"")</f>
        <v/>
      </c>
      <c r="S12" s="307"/>
      <c r="T12" s="307" t="str">
        <f>IF(AND('Mapa final'!$J$73="Muy Alta",'Mapa final'!$N$73="Menor"),CONCATENATE("R",'Mapa final'!$A$73),"")</f>
        <v/>
      </c>
      <c r="U12" s="308"/>
      <c r="V12" s="306" t="str">
        <f>IF(AND('Mapa final'!$J$61="Muy Alta",'Mapa final'!$N$61="Moderado"),CONCATENATE("R",'Mapa final'!$A$61),"")</f>
        <v/>
      </c>
      <c r="W12" s="307"/>
      <c r="X12" s="307" t="str">
        <f>IF(AND('Mapa final'!$J$67="Muy Alta",'Mapa final'!$N$67="Moderado"),CONCATENATE("R",'Mapa final'!$A$67),"")</f>
        <v/>
      </c>
      <c r="Y12" s="307"/>
      <c r="Z12" s="307" t="str">
        <f>IF(AND('Mapa final'!$J$73="Muy Alta",'Mapa final'!$N$73="Moderado"),CONCATENATE("R",'Mapa final'!$A$73),"")</f>
        <v/>
      </c>
      <c r="AA12" s="308"/>
      <c r="AB12" s="306" t="str">
        <f>IF(AND('Mapa final'!$J$61="Muy Alta",'Mapa final'!$N$61="Mayor"),CONCATENATE("R",'Mapa final'!$A$61),"")</f>
        <v/>
      </c>
      <c r="AC12" s="307"/>
      <c r="AD12" s="307" t="str">
        <f>IF(AND('Mapa final'!$J$67="Muy Alta",'Mapa final'!$N$67="Mayor"),CONCATENATE("R",'Mapa final'!$A$67),"")</f>
        <v/>
      </c>
      <c r="AE12" s="307"/>
      <c r="AF12" s="307" t="str">
        <f>IF(AND('Mapa final'!$J$73="Muy Alta",'Mapa final'!$N$73="Mayor"),CONCATENATE("R",'Mapa final'!$A$73),"")</f>
        <v/>
      </c>
      <c r="AG12" s="308"/>
      <c r="AH12" s="297" t="str">
        <f>IF(AND('Mapa final'!$J$61="Muy Alta",'Mapa final'!$N$61="Catastrófico"),CONCATENATE("R",'Mapa final'!$A$61),"")</f>
        <v/>
      </c>
      <c r="AI12" s="298"/>
      <c r="AJ12" s="298" t="str">
        <f>IF(AND('Mapa final'!$J$67="Muy Alta",'Mapa final'!$N$67="Catastrófico"),CONCATENATE("R",'Mapa final'!$A$67),"")</f>
        <v/>
      </c>
      <c r="AK12" s="298"/>
      <c r="AL12" s="298" t="str">
        <f>IF(AND('Mapa final'!$J$73="Muy Alta",'Mapa final'!$N$73="Catastrófico"),CONCATENATE("R",'Mapa final'!$A$73),"")</f>
        <v/>
      </c>
      <c r="AM12" s="299"/>
      <c r="AN12" s="67"/>
      <c r="AO12" s="331"/>
      <c r="AP12" s="332"/>
      <c r="AQ12" s="332"/>
      <c r="AR12" s="332"/>
      <c r="AS12" s="332"/>
      <c r="AT12" s="333"/>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326"/>
      <c r="C13" s="326"/>
      <c r="D13" s="327"/>
      <c r="E13" s="322"/>
      <c r="F13" s="323"/>
      <c r="G13" s="323"/>
      <c r="H13" s="323"/>
      <c r="I13" s="324"/>
      <c r="J13" s="306"/>
      <c r="K13" s="307"/>
      <c r="L13" s="307"/>
      <c r="M13" s="307"/>
      <c r="N13" s="307"/>
      <c r="O13" s="308"/>
      <c r="P13" s="306"/>
      <c r="Q13" s="307"/>
      <c r="R13" s="307"/>
      <c r="S13" s="307"/>
      <c r="T13" s="307"/>
      <c r="U13" s="308"/>
      <c r="V13" s="306"/>
      <c r="W13" s="307"/>
      <c r="X13" s="307"/>
      <c r="Y13" s="307"/>
      <c r="Z13" s="307"/>
      <c r="AA13" s="308"/>
      <c r="AB13" s="306"/>
      <c r="AC13" s="307"/>
      <c r="AD13" s="307"/>
      <c r="AE13" s="307"/>
      <c r="AF13" s="307"/>
      <c r="AG13" s="308"/>
      <c r="AH13" s="300"/>
      <c r="AI13" s="301"/>
      <c r="AJ13" s="301"/>
      <c r="AK13" s="301"/>
      <c r="AL13" s="301"/>
      <c r="AM13" s="302"/>
      <c r="AN13" s="67"/>
      <c r="AO13" s="334"/>
      <c r="AP13" s="335"/>
      <c r="AQ13" s="335"/>
      <c r="AR13" s="335"/>
      <c r="AS13" s="335"/>
      <c r="AT13" s="336"/>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326"/>
      <c r="C14" s="326"/>
      <c r="D14" s="327"/>
      <c r="E14" s="316" t="s">
        <v>110</v>
      </c>
      <c r="F14" s="317"/>
      <c r="G14" s="317"/>
      <c r="H14" s="317"/>
      <c r="I14" s="317"/>
      <c r="J14" s="294" t="str">
        <f>IF(AND('Mapa final'!$J$10="Alta",'Mapa final'!$N$10="Leve"),CONCATENATE("R",'Mapa final'!$A$10),"")</f>
        <v/>
      </c>
      <c r="K14" s="295"/>
      <c r="L14" s="295" t="str">
        <f>IF(AND('Mapa final'!$J$13="Alta",'Mapa final'!$N$13="Leve"),CONCATENATE("R",'Mapa final'!$A$13),"")</f>
        <v/>
      </c>
      <c r="M14" s="295"/>
      <c r="N14" s="295" t="str">
        <f>IF(AND('Mapa final'!$J$19="Alta",'Mapa final'!$N$19="Leve"),CONCATENATE("R",'Mapa final'!$A$19),"")</f>
        <v/>
      </c>
      <c r="O14" s="296"/>
      <c r="P14" s="294" t="str">
        <f>IF(AND('Mapa final'!$J$10="Alta",'Mapa final'!$N$10="Menor"),CONCATENATE("R",'Mapa final'!$A$10),"")</f>
        <v/>
      </c>
      <c r="Q14" s="295"/>
      <c r="R14" s="295" t="str">
        <f>IF(AND('Mapa final'!$J$13="Alta",'Mapa final'!$N$13="Menor"),CONCATENATE("R",'Mapa final'!$A$13),"")</f>
        <v/>
      </c>
      <c r="S14" s="295"/>
      <c r="T14" s="295" t="str">
        <f>IF(AND('Mapa final'!$J$19="Alta",'Mapa final'!$N$19="Menor"),CONCATENATE("R",'Mapa final'!$A$19),"")</f>
        <v/>
      </c>
      <c r="U14" s="296"/>
      <c r="V14" s="312" t="str">
        <f>IF(AND('Mapa final'!$J$10="Alta",'Mapa final'!$N$10="Moderado"),CONCATENATE("R",'Mapa final'!$A$10),"")</f>
        <v/>
      </c>
      <c r="W14" s="313"/>
      <c r="X14" s="313" t="str">
        <f>IF(AND('Mapa final'!$J$13="Alta",'Mapa final'!$N$13="Moderado"),CONCATENATE("R",'Mapa final'!$A$13),"")</f>
        <v/>
      </c>
      <c r="Y14" s="313"/>
      <c r="Z14" s="313" t="str">
        <f>IF(AND('Mapa final'!$J$19="Alta",'Mapa final'!$N$19="Moderado"),CONCATENATE("R",'Mapa final'!$A$19),"")</f>
        <v/>
      </c>
      <c r="AA14" s="314"/>
      <c r="AB14" s="312" t="str">
        <f>IF(AND('Mapa final'!$J$10="Alta",'Mapa final'!$N$10="Mayor"),CONCATENATE("R",'Mapa final'!$A$10),"")</f>
        <v/>
      </c>
      <c r="AC14" s="313"/>
      <c r="AD14" s="313" t="str">
        <f>IF(AND('Mapa final'!$J$13="Alta",'Mapa final'!$N$13="Mayor"),CONCATENATE("R",'Mapa final'!$A$13),"")</f>
        <v/>
      </c>
      <c r="AE14" s="313"/>
      <c r="AF14" s="313" t="str">
        <f>IF(AND('Mapa final'!$J$19="Alta",'Mapa final'!$N$19="Mayor"),CONCATENATE("R",'Mapa final'!$A$19),"")</f>
        <v/>
      </c>
      <c r="AG14" s="314"/>
      <c r="AH14" s="303" t="str">
        <f>IF(AND('Mapa final'!$J$10="Alta",'Mapa final'!$N$10="Catastrófico"),CONCATENATE("R",'Mapa final'!$A$10),"")</f>
        <v/>
      </c>
      <c r="AI14" s="304"/>
      <c r="AJ14" s="304" t="str">
        <f>IF(AND('Mapa final'!$J$13="Alta",'Mapa final'!$N$13="Catastrófico"),CONCATENATE("R",'Mapa final'!$A$13),"")</f>
        <v/>
      </c>
      <c r="AK14" s="304"/>
      <c r="AL14" s="304" t="str">
        <f>IF(AND('Mapa final'!$J$19="Alta",'Mapa final'!$N$19="Catastrófico"),CONCATENATE("R",'Mapa final'!$A$19),"")</f>
        <v/>
      </c>
      <c r="AM14" s="305"/>
      <c r="AN14" s="67"/>
      <c r="AO14" s="337" t="s">
        <v>79</v>
      </c>
      <c r="AP14" s="338"/>
      <c r="AQ14" s="338"/>
      <c r="AR14" s="338"/>
      <c r="AS14" s="338"/>
      <c r="AT14" s="339"/>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326"/>
      <c r="C15" s="326"/>
      <c r="D15" s="327"/>
      <c r="E15" s="319"/>
      <c r="F15" s="320"/>
      <c r="G15" s="320"/>
      <c r="H15" s="320"/>
      <c r="I15" s="320"/>
      <c r="J15" s="288"/>
      <c r="K15" s="289"/>
      <c r="L15" s="289"/>
      <c r="M15" s="289"/>
      <c r="N15" s="289"/>
      <c r="O15" s="290"/>
      <c r="P15" s="288"/>
      <c r="Q15" s="289"/>
      <c r="R15" s="289"/>
      <c r="S15" s="289"/>
      <c r="T15" s="289"/>
      <c r="U15" s="290"/>
      <c r="V15" s="306"/>
      <c r="W15" s="307"/>
      <c r="X15" s="307"/>
      <c r="Y15" s="307"/>
      <c r="Z15" s="307"/>
      <c r="AA15" s="308"/>
      <c r="AB15" s="306"/>
      <c r="AC15" s="307"/>
      <c r="AD15" s="307"/>
      <c r="AE15" s="307"/>
      <c r="AF15" s="307"/>
      <c r="AG15" s="308"/>
      <c r="AH15" s="297"/>
      <c r="AI15" s="298"/>
      <c r="AJ15" s="298"/>
      <c r="AK15" s="298"/>
      <c r="AL15" s="298"/>
      <c r="AM15" s="299"/>
      <c r="AN15" s="67"/>
      <c r="AO15" s="340"/>
      <c r="AP15" s="341"/>
      <c r="AQ15" s="341"/>
      <c r="AR15" s="341"/>
      <c r="AS15" s="341"/>
      <c r="AT15" s="342"/>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326"/>
      <c r="C16" s="326"/>
      <c r="D16" s="327"/>
      <c r="E16" s="319"/>
      <c r="F16" s="320"/>
      <c r="G16" s="320"/>
      <c r="H16" s="320"/>
      <c r="I16" s="320"/>
      <c r="J16" s="288" t="str">
        <f>IF(AND('Mapa final'!$J$25="Alta",'Mapa final'!$N$25="Leve"),CONCATENATE("R",'Mapa final'!$A$25),"")</f>
        <v/>
      </c>
      <c r="K16" s="289"/>
      <c r="L16" s="289" t="str">
        <f>IF(AND('Mapa final'!$J$31="Alta",'Mapa final'!$N$31="Leve"),CONCATENATE("R",'Mapa final'!$A$31),"")</f>
        <v/>
      </c>
      <c r="M16" s="289"/>
      <c r="N16" s="289" t="str">
        <f>IF(AND('Mapa final'!$J$37="Alta",'Mapa final'!$N$37="Leve"),CONCATENATE("R",'Mapa final'!$A$37),"")</f>
        <v/>
      </c>
      <c r="O16" s="290"/>
      <c r="P16" s="288" t="str">
        <f>IF(AND('Mapa final'!$J$25="Alta",'Mapa final'!$N$25="Menor"),CONCATENATE("R",'Mapa final'!$A$25),"")</f>
        <v/>
      </c>
      <c r="Q16" s="289"/>
      <c r="R16" s="289" t="str">
        <f>IF(AND('Mapa final'!$J$31="Alta",'Mapa final'!$N$31="Menor"),CONCATENATE("R",'Mapa final'!$A$31),"")</f>
        <v/>
      </c>
      <c r="S16" s="289"/>
      <c r="T16" s="289" t="str">
        <f>IF(AND('Mapa final'!$J$37="Alta",'Mapa final'!$N$37="Menor"),CONCATENATE("R",'Mapa final'!$A$37),"")</f>
        <v/>
      </c>
      <c r="U16" s="290"/>
      <c r="V16" s="306" t="str">
        <f>IF(AND('Mapa final'!$J$25="Alta",'Mapa final'!$N$25="Moderado"),CONCATENATE("R",'Mapa final'!$A$25),"")</f>
        <v/>
      </c>
      <c r="W16" s="307"/>
      <c r="X16" s="307" t="str">
        <f>IF(AND('Mapa final'!$J$31="Alta",'Mapa final'!$N$31="Moderado"),CONCATENATE("R",'Mapa final'!$A$31),"")</f>
        <v/>
      </c>
      <c r="Y16" s="307"/>
      <c r="Z16" s="307" t="str">
        <f>IF(AND('Mapa final'!$J$37="Alta",'Mapa final'!$N$37="Moderado"),CONCATENATE("R",'Mapa final'!$A$37),"")</f>
        <v/>
      </c>
      <c r="AA16" s="308"/>
      <c r="AB16" s="306" t="str">
        <f>IF(AND('Mapa final'!$J$25="Alta",'Mapa final'!$N$25="Mayor"),CONCATENATE("R",'Mapa final'!$A$25),"")</f>
        <v/>
      </c>
      <c r="AC16" s="307"/>
      <c r="AD16" s="307" t="str">
        <f>IF(AND('Mapa final'!$J$31="Alta",'Mapa final'!$N$31="Mayor"),CONCATENATE("R",'Mapa final'!$A$31),"")</f>
        <v/>
      </c>
      <c r="AE16" s="307"/>
      <c r="AF16" s="307" t="str">
        <f>IF(AND('Mapa final'!$J$37="Alta",'Mapa final'!$N$37="Mayor"),CONCATENATE("R",'Mapa final'!$A$37),"")</f>
        <v/>
      </c>
      <c r="AG16" s="308"/>
      <c r="AH16" s="297" t="str">
        <f>IF(AND('Mapa final'!$J$25="Alta",'Mapa final'!$N$25="Catastrófico"),CONCATENATE("R",'Mapa final'!$A$25),"")</f>
        <v/>
      </c>
      <c r="AI16" s="298"/>
      <c r="AJ16" s="298" t="str">
        <f>IF(AND('Mapa final'!$J$31="Alta",'Mapa final'!$N$31="Catastrófico"),CONCATENATE("R",'Mapa final'!$A$31),"")</f>
        <v/>
      </c>
      <c r="AK16" s="298"/>
      <c r="AL16" s="298" t="str">
        <f>IF(AND('Mapa final'!$J$37="Alta",'Mapa final'!$N$37="Catastrófico"),CONCATENATE("R",'Mapa final'!$A$37),"")</f>
        <v/>
      </c>
      <c r="AM16" s="299"/>
      <c r="AN16" s="67"/>
      <c r="AO16" s="340"/>
      <c r="AP16" s="341"/>
      <c r="AQ16" s="341"/>
      <c r="AR16" s="341"/>
      <c r="AS16" s="341"/>
      <c r="AT16" s="342"/>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326"/>
      <c r="C17" s="326"/>
      <c r="D17" s="327"/>
      <c r="E17" s="319"/>
      <c r="F17" s="320"/>
      <c r="G17" s="320"/>
      <c r="H17" s="320"/>
      <c r="I17" s="320"/>
      <c r="J17" s="288"/>
      <c r="K17" s="289"/>
      <c r="L17" s="289"/>
      <c r="M17" s="289"/>
      <c r="N17" s="289"/>
      <c r="O17" s="290"/>
      <c r="P17" s="288"/>
      <c r="Q17" s="289"/>
      <c r="R17" s="289"/>
      <c r="S17" s="289"/>
      <c r="T17" s="289"/>
      <c r="U17" s="290"/>
      <c r="V17" s="306"/>
      <c r="W17" s="307"/>
      <c r="X17" s="307"/>
      <c r="Y17" s="307"/>
      <c r="Z17" s="307"/>
      <c r="AA17" s="308"/>
      <c r="AB17" s="306"/>
      <c r="AC17" s="307"/>
      <c r="AD17" s="307"/>
      <c r="AE17" s="307"/>
      <c r="AF17" s="307"/>
      <c r="AG17" s="308"/>
      <c r="AH17" s="297"/>
      <c r="AI17" s="298"/>
      <c r="AJ17" s="298"/>
      <c r="AK17" s="298"/>
      <c r="AL17" s="298"/>
      <c r="AM17" s="299"/>
      <c r="AN17" s="67"/>
      <c r="AO17" s="340"/>
      <c r="AP17" s="341"/>
      <c r="AQ17" s="341"/>
      <c r="AR17" s="341"/>
      <c r="AS17" s="341"/>
      <c r="AT17" s="34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326"/>
      <c r="C18" s="326"/>
      <c r="D18" s="327"/>
      <c r="E18" s="319"/>
      <c r="F18" s="320"/>
      <c r="G18" s="320"/>
      <c r="H18" s="320"/>
      <c r="I18" s="320"/>
      <c r="J18" s="288" t="str">
        <f>IF(AND('Mapa final'!$J$43="Alta",'Mapa final'!$N$43="Leve"),CONCATENATE("R",'Mapa final'!$A$43),"")</f>
        <v/>
      </c>
      <c r="K18" s="289"/>
      <c r="L18" s="289" t="str">
        <f>IF(AND('Mapa final'!$J$49="Alta",'Mapa final'!$N$49="Leve"),CONCATENATE("R",'Mapa final'!$A$49),"")</f>
        <v/>
      </c>
      <c r="M18" s="289"/>
      <c r="N18" s="289" t="str">
        <f>IF(AND('Mapa final'!$J$55="Alta",'Mapa final'!$N$55="Leve"),CONCATENATE("R",'Mapa final'!$A$55),"")</f>
        <v/>
      </c>
      <c r="O18" s="290"/>
      <c r="P18" s="288" t="str">
        <f>IF(AND('Mapa final'!$J$43="Alta",'Mapa final'!$N$43="Menor"),CONCATENATE("R",'Mapa final'!$A$43),"")</f>
        <v/>
      </c>
      <c r="Q18" s="289"/>
      <c r="R18" s="289" t="str">
        <f>IF(AND('Mapa final'!$J$49="Alta",'Mapa final'!$N$49="Menor"),CONCATENATE("R",'Mapa final'!$A$49),"")</f>
        <v/>
      </c>
      <c r="S18" s="289"/>
      <c r="T18" s="289" t="str">
        <f>IF(AND('Mapa final'!$J$55="Alta",'Mapa final'!$N$55="Menor"),CONCATENATE("R",'Mapa final'!$A$55),"")</f>
        <v/>
      </c>
      <c r="U18" s="290"/>
      <c r="V18" s="306" t="str">
        <f>IF(AND('Mapa final'!$J$43="Alta",'Mapa final'!$N$43="Moderado"),CONCATENATE("R",'Mapa final'!$A$43),"")</f>
        <v/>
      </c>
      <c r="W18" s="307"/>
      <c r="X18" s="307" t="str">
        <f>IF(AND('Mapa final'!$J$49="Alta",'Mapa final'!$N$49="Moderado"),CONCATENATE("R",'Mapa final'!$A$49),"")</f>
        <v/>
      </c>
      <c r="Y18" s="307"/>
      <c r="Z18" s="307" t="str">
        <f>IF(AND('Mapa final'!$J$55="Alta",'Mapa final'!$N$55="Moderado"),CONCATENATE("R",'Mapa final'!$A$55),"")</f>
        <v/>
      </c>
      <c r="AA18" s="308"/>
      <c r="AB18" s="306" t="str">
        <f>IF(AND('Mapa final'!$J$43="Alta",'Mapa final'!$N$43="Mayor"),CONCATENATE("R",'Mapa final'!$A$43),"")</f>
        <v/>
      </c>
      <c r="AC18" s="307"/>
      <c r="AD18" s="307" t="str">
        <f>IF(AND('Mapa final'!$J$49="Alta",'Mapa final'!$N$49="Mayor"),CONCATENATE("R",'Mapa final'!$A$49),"")</f>
        <v/>
      </c>
      <c r="AE18" s="307"/>
      <c r="AF18" s="307" t="str">
        <f>IF(AND('Mapa final'!$J$55="Alta",'Mapa final'!$N$55="Mayor"),CONCATENATE("R",'Mapa final'!$A$55),"")</f>
        <v/>
      </c>
      <c r="AG18" s="308"/>
      <c r="AH18" s="297" t="str">
        <f>IF(AND('Mapa final'!$J$43="Alta",'Mapa final'!$N$43="Catastrófico"),CONCATENATE("R",'Mapa final'!$A$43),"")</f>
        <v/>
      </c>
      <c r="AI18" s="298"/>
      <c r="AJ18" s="298" t="str">
        <f>IF(AND('Mapa final'!$J$49="Alta",'Mapa final'!$N$49="Catastrófico"),CONCATENATE("R",'Mapa final'!$A$49),"")</f>
        <v/>
      </c>
      <c r="AK18" s="298"/>
      <c r="AL18" s="298" t="str">
        <f>IF(AND('Mapa final'!$J$55="Alta",'Mapa final'!$N$55="Catastrófico"),CONCATENATE("R",'Mapa final'!$A$55),"")</f>
        <v/>
      </c>
      <c r="AM18" s="299"/>
      <c r="AN18" s="67"/>
      <c r="AO18" s="340"/>
      <c r="AP18" s="341"/>
      <c r="AQ18" s="341"/>
      <c r="AR18" s="341"/>
      <c r="AS18" s="341"/>
      <c r="AT18" s="342"/>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326"/>
      <c r="C19" s="326"/>
      <c r="D19" s="327"/>
      <c r="E19" s="319"/>
      <c r="F19" s="320"/>
      <c r="G19" s="320"/>
      <c r="H19" s="320"/>
      <c r="I19" s="320"/>
      <c r="J19" s="288"/>
      <c r="K19" s="289"/>
      <c r="L19" s="289"/>
      <c r="M19" s="289"/>
      <c r="N19" s="289"/>
      <c r="O19" s="290"/>
      <c r="P19" s="288"/>
      <c r="Q19" s="289"/>
      <c r="R19" s="289"/>
      <c r="S19" s="289"/>
      <c r="T19" s="289"/>
      <c r="U19" s="290"/>
      <c r="V19" s="306"/>
      <c r="W19" s="307"/>
      <c r="X19" s="307"/>
      <c r="Y19" s="307"/>
      <c r="Z19" s="307"/>
      <c r="AA19" s="308"/>
      <c r="AB19" s="306"/>
      <c r="AC19" s="307"/>
      <c r="AD19" s="307"/>
      <c r="AE19" s="307"/>
      <c r="AF19" s="307"/>
      <c r="AG19" s="308"/>
      <c r="AH19" s="297"/>
      <c r="AI19" s="298"/>
      <c r="AJ19" s="298"/>
      <c r="AK19" s="298"/>
      <c r="AL19" s="298"/>
      <c r="AM19" s="299"/>
      <c r="AN19" s="67"/>
      <c r="AO19" s="340"/>
      <c r="AP19" s="341"/>
      <c r="AQ19" s="341"/>
      <c r="AR19" s="341"/>
      <c r="AS19" s="341"/>
      <c r="AT19" s="342"/>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326"/>
      <c r="C20" s="326"/>
      <c r="D20" s="327"/>
      <c r="E20" s="319"/>
      <c r="F20" s="320"/>
      <c r="G20" s="320"/>
      <c r="H20" s="320"/>
      <c r="I20" s="320"/>
      <c r="J20" s="288" t="str">
        <f>IF(AND('Mapa final'!$J$61="Alta",'Mapa final'!$N$61="Leve"),CONCATENATE("R",'Mapa final'!$A$61),"")</f>
        <v/>
      </c>
      <c r="K20" s="289"/>
      <c r="L20" s="289" t="str">
        <f>IF(AND('Mapa final'!$J$67="Alta",'Mapa final'!$N$67="Leve"),CONCATENATE("R",'Mapa final'!$A$67),"")</f>
        <v/>
      </c>
      <c r="M20" s="289"/>
      <c r="N20" s="289" t="str">
        <f>IF(AND('Mapa final'!$J$73="Alta",'Mapa final'!$N$73="Leve"),CONCATENATE("R",'Mapa final'!$A$73),"")</f>
        <v/>
      </c>
      <c r="O20" s="290"/>
      <c r="P20" s="288" t="str">
        <f>IF(AND('Mapa final'!$J$61="Alta",'Mapa final'!$N$61="Menor"),CONCATENATE("R",'Mapa final'!$A$61),"")</f>
        <v/>
      </c>
      <c r="Q20" s="289"/>
      <c r="R20" s="289" t="str">
        <f>IF(AND('Mapa final'!$J$67="Alta",'Mapa final'!$N$67="Menor"),CONCATENATE("R",'Mapa final'!$A$67),"")</f>
        <v/>
      </c>
      <c r="S20" s="289"/>
      <c r="T20" s="289" t="str">
        <f>IF(AND('Mapa final'!$J$73="Alta",'Mapa final'!$N$73="Menor"),CONCATENATE("R",'Mapa final'!$A$73),"")</f>
        <v/>
      </c>
      <c r="U20" s="290"/>
      <c r="V20" s="306" t="str">
        <f>IF(AND('Mapa final'!$J$61="Alta",'Mapa final'!$N$61="Moderado"),CONCATENATE("R",'Mapa final'!$A$61),"")</f>
        <v/>
      </c>
      <c r="W20" s="307"/>
      <c r="X20" s="307" t="str">
        <f>IF(AND('Mapa final'!$J$67="Alta",'Mapa final'!$N$67="Moderado"),CONCATENATE("R",'Mapa final'!$A$67),"")</f>
        <v/>
      </c>
      <c r="Y20" s="307"/>
      <c r="Z20" s="307" t="str">
        <f>IF(AND('Mapa final'!$J$73="Alta",'Mapa final'!$N$73="Moderado"),CONCATENATE("R",'Mapa final'!$A$73),"")</f>
        <v/>
      </c>
      <c r="AA20" s="308"/>
      <c r="AB20" s="306" t="str">
        <f>IF(AND('Mapa final'!$J$61="Alta",'Mapa final'!$N$61="Mayor"),CONCATENATE("R",'Mapa final'!$A$61),"")</f>
        <v/>
      </c>
      <c r="AC20" s="307"/>
      <c r="AD20" s="307" t="str">
        <f>IF(AND('Mapa final'!$J$67="Alta",'Mapa final'!$N$67="Mayor"),CONCATENATE("R",'Mapa final'!$A$67),"")</f>
        <v/>
      </c>
      <c r="AE20" s="307"/>
      <c r="AF20" s="307" t="str">
        <f>IF(AND('Mapa final'!$J$73="Alta",'Mapa final'!$N$73="Mayor"),CONCATENATE("R",'Mapa final'!$A$73),"")</f>
        <v/>
      </c>
      <c r="AG20" s="308"/>
      <c r="AH20" s="297" t="str">
        <f>IF(AND('Mapa final'!$J$61="Alta",'Mapa final'!$N$61="Catastrófico"),CONCATENATE("R",'Mapa final'!$A$61),"")</f>
        <v/>
      </c>
      <c r="AI20" s="298"/>
      <c r="AJ20" s="298" t="str">
        <f>IF(AND('Mapa final'!$J$67="Alta",'Mapa final'!$N$67="Catastrófico"),CONCATENATE("R",'Mapa final'!$A$67),"")</f>
        <v/>
      </c>
      <c r="AK20" s="298"/>
      <c r="AL20" s="298" t="str">
        <f>IF(AND('Mapa final'!$J$73="Alta",'Mapa final'!$N$73="Catastrófico"),CONCATENATE("R",'Mapa final'!$A$73),"")</f>
        <v/>
      </c>
      <c r="AM20" s="299"/>
      <c r="AN20" s="67"/>
      <c r="AO20" s="340"/>
      <c r="AP20" s="341"/>
      <c r="AQ20" s="341"/>
      <c r="AR20" s="341"/>
      <c r="AS20" s="341"/>
      <c r="AT20" s="342"/>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326"/>
      <c r="C21" s="326"/>
      <c r="D21" s="327"/>
      <c r="E21" s="322"/>
      <c r="F21" s="323"/>
      <c r="G21" s="323"/>
      <c r="H21" s="323"/>
      <c r="I21" s="323"/>
      <c r="J21" s="291"/>
      <c r="K21" s="292"/>
      <c r="L21" s="292"/>
      <c r="M21" s="292"/>
      <c r="N21" s="292"/>
      <c r="O21" s="293"/>
      <c r="P21" s="291"/>
      <c r="Q21" s="292"/>
      <c r="R21" s="292"/>
      <c r="S21" s="292"/>
      <c r="T21" s="292"/>
      <c r="U21" s="293"/>
      <c r="V21" s="309"/>
      <c r="W21" s="310"/>
      <c r="X21" s="310"/>
      <c r="Y21" s="310"/>
      <c r="Z21" s="310"/>
      <c r="AA21" s="311"/>
      <c r="AB21" s="309"/>
      <c r="AC21" s="310"/>
      <c r="AD21" s="310"/>
      <c r="AE21" s="310"/>
      <c r="AF21" s="310"/>
      <c r="AG21" s="311"/>
      <c r="AH21" s="300"/>
      <c r="AI21" s="301"/>
      <c r="AJ21" s="301"/>
      <c r="AK21" s="301"/>
      <c r="AL21" s="301"/>
      <c r="AM21" s="302"/>
      <c r="AN21" s="67"/>
      <c r="AO21" s="343"/>
      <c r="AP21" s="344"/>
      <c r="AQ21" s="344"/>
      <c r="AR21" s="344"/>
      <c r="AS21" s="344"/>
      <c r="AT21" s="345"/>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326"/>
      <c r="C22" s="326"/>
      <c r="D22" s="327"/>
      <c r="E22" s="316" t="s">
        <v>112</v>
      </c>
      <c r="F22" s="317"/>
      <c r="G22" s="317"/>
      <c r="H22" s="317"/>
      <c r="I22" s="318"/>
      <c r="J22" s="294" t="str">
        <f>IF(AND('Mapa final'!$J$10="Media",'Mapa final'!$N$10="Leve"),CONCATENATE("R",'Mapa final'!$A$10),"")</f>
        <v/>
      </c>
      <c r="K22" s="295"/>
      <c r="L22" s="295" t="str">
        <f>IF(AND('Mapa final'!$J$13="Media",'Mapa final'!$N$13="Leve"),CONCATENATE("R",'Mapa final'!$A$13),"")</f>
        <v/>
      </c>
      <c r="M22" s="295"/>
      <c r="N22" s="295" t="str">
        <f>IF(AND('Mapa final'!$J$19="Media",'Mapa final'!$N$19="Leve"),CONCATENATE("R",'Mapa final'!$A$19),"")</f>
        <v/>
      </c>
      <c r="O22" s="296"/>
      <c r="P22" s="294" t="str">
        <f>IF(AND('Mapa final'!$J$10="Media",'Mapa final'!$N$10="Menor"),CONCATENATE("R",'Mapa final'!$A$10),"")</f>
        <v/>
      </c>
      <c r="Q22" s="295"/>
      <c r="R22" s="295" t="str">
        <f>IF(AND('Mapa final'!$J$13="Media",'Mapa final'!$N$13="Menor"),CONCATENATE("R",'Mapa final'!$A$13),"")</f>
        <v/>
      </c>
      <c r="S22" s="295"/>
      <c r="T22" s="295" t="str">
        <f>IF(AND('Mapa final'!$J$19="Media",'Mapa final'!$N$19="Menor"),CONCATENATE("R",'Mapa final'!$A$19),"")</f>
        <v/>
      </c>
      <c r="U22" s="296"/>
      <c r="V22" s="294" t="str">
        <f>IF(AND('Mapa final'!$J$10="Media",'Mapa final'!$N$10="Moderado"),CONCATENATE("R",'Mapa final'!$A$10),"")</f>
        <v>R1</v>
      </c>
      <c r="W22" s="295"/>
      <c r="X22" s="295" t="str">
        <f>IF(AND('Mapa final'!$J$13="Media",'Mapa final'!$N$13="Moderado"),CONCATENATE("R",'Mapa final'!$A$13),"")</f>
        <v/>
      </c>
      <c r="Y22" s="295"/>
      <c r="Z22" s="295" t="str">
        <f>IF(AND('Mapa final'!$J$19="Media",'Mapa final'!$N$19="Moderado"),CONCATENATE("R",'Mapa final'!$A$19),"")</f>
        <v/>
      </c>
      <c r="AA22" s="296"/>
      <c r="AB22" s="312" t="str">
        <f>IF(AND('Mapa final'!$J$10="Media",'Mapa final'!$N$10="Mayor"),CONCATENATE("R",'Mapa final'!$A$10),"")</f>
        <v/>
      </c>
      <c r="AC22" s="313"/>
      <c r="AD22" s="313" t="str">
        <f>IF(AND('Mapa final'!$J$13="Media",'Mapa final'!$N$13="Mayor"),CONCATENATE("R",'Mapa final'!$A$13),"")</f>
        <v/>
      </c>
      <c r="AE22" s="313"/>
      <c r="AF22" s="313" t="str">
        <f>IF(AND('Mapa final'!$J$19="Media",'Mapa final'!$N$19="Mayor"),CONCATENATE("R",'Mapa final'!$A$19),"")</f>
        <v/>
      </c>
      <c r="AG22" s="314"/>
      <c r="AH22" s="303" t="str">
        <f>IF(AND('Mapa final'!$J$10="Media",'Mapa final'!$N$10="Catastrófico"),CONCATENATE("R",'Mapa final'!$A$10),"")</f>
        <v/>
      </c>
      <c r="AI22" s="304"/>
      <c r="AJ22" s="304" t="str">
        <f>IF(AND('Mapa final'!$J$13="Media",'Mapa final'!$N$13="Catastrófico"),CONCATENATE("R",'Mapa final'!$A$13),"")</f>
        <v/>
      </c>
      <c r="AK22" s="304"/>
      <c r="AL22" s="304" t="str">
        <f>IF(AND('Mapa final'!$J$19="Media",'Mapa final'!$N$19="Catastrófico"),CONCATENATE("R",'Mapa final'!$A$19),"")</f>
        <v/>
      </c>
      <c r="AM22" s="305"/>
      <c r="AN22" s="67"/>
      <c r="AO22" s="346" t="s">
        <v>80</v>
      </c>
      <c r="AP22" s="347"/>
      <c r="AQ22" s="347"/>
      <c r="AR22" s="347"/>
      <c r="AS22" s="347"/>
      <c r="AT22" s="348"/>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326"/>
      <c r="C23" s="326"/>
      <c r="D23" s="327"/>
      <c r="E23" s="319"/>
      <c r="F23" s="320"/>
      <c r="G23" s="320"/>
      <c r="H23" s="320"/>
      <c r="I23" s="321"/>
      <c r="J23" s="288"/>
      <c r="K23" s="289"/>
      <c r="L23" s="289"/>
      <c r="M23" s="289"/>
      <c r="N23" s="289"/>
      <c r="O23" s="290"/>
      <c r="P23" s="288"/>
      <c r="Q23" s="289"/>
      <c r="R23" s="289"/>
      <c r="S23" s="289"/>
      <c r="T23" s="289"/>
      <c r="U23" s="290"/>
      <c r="V23" s="288"/>
      <c r="W23" s="289"/>
      <c r="X23" s="289"/>
      <c r="Y23" s="289"/>
      <c r="Z23" s="289"/>
      <c r="AA23" s="290"/>
      <c r="AB23" s="306"/>
      <c r="AC23" s="307"/>
      <c r="AD23" s="307"/>
      <c r="AE23" s="307"/>
      <c r="AF23" s="307"/>
      <c r="AG23" s="308"/>
      <c r="AH23" s="297"/>
      <c r="AI23" s="298"/>
      <c r="AJ23" s="298"/>
      <c r="AK23" s="298"/>
      <c r="AL23" s="298"/>
      <c r="AM23" s="299"/>
      <c r="AN23" s="67"/>
      <c r="AO23" s="349"/>
      <c r="AP23" s="350"/>
      <c r="AQ23" s="350"/>
      <c r="AR23" s="350"/>
      <c r="AS23" s="350"/>
      <c r="AT23" s="351"/>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326"/>
      <c r="C24" s="326"/>
      <c r="D24" s="327"/>
      <c r="E24" s="319"/>
      <c r="F24" s="320"/>
      <c r="G24" s="320"/>
      <c r="H24" s="320"/>
      <c r="I24" s="321"/>
      <c r="J24" s="288" t="str">
        <f>IF(AND('Mapa final'!$J$25="Media",'Mapa final'!$N$25="Leve"),CONCATENATE("R",'Mapa final'!$A$25),"")</f>
        <v/>
      </c>
      <c r="K24" s="289"/>
      <c r="L24" s="289" t="str">
        <f>IF(AND('Mapa final'!$J$31="Media",'Mapa final'!$N$31="Leve"),CONCATENATE("R",'Mapa final'!$A$31),"")</f>
        <v/>
      </c>
      <c r="M24" s="289"/>
      <c r="N24" s="289" t="str">
        <f>IF(AND('Mapa final'!$J$37="Media",'Mapa final'!$N$37="Leve"),CONCATENATE("R",'Mapa final'!$A$37),"")</f>
        <v/>
      </c>
      <c r="O24" s="290"/>
      <c r="P24" s="288" t="str">
        <f>IF(AND('Mapa final'!$J$25="Media",'Mapa final'!$N$25="Menor"),CONCATENATE("R",'Mapa final'!$A$25),"")</f>
        <v/>
      </c>
      <c r="Q24" s="289"/>
      <c r="R24" s="289" t="str">
        <f>IF(AND('Mapa final'!$J$31="Media",'Mapa final'!$N$31="Menor"),CONCATENATE("R",'Mapa final'!$A$31),"")</f>
        <v/>
      </c>
      <c r="S24" s="289"/>
      <c r="T24" s="289" t="str">
        <f>IF(AND('Mapa final'!$J$37="Media",'Mapa final'!$N$37="Menor"),CONCATENATE("R",'Mapa final'!$A$37),"")</f>
        <v/>
      </c>
      <c r="U24" s="290"/>
      <c r="V24" s="288" t="str">
        <f>IF(AND('Mapa final'!$J$25="Media",'Mapa final'!$N$25="Moderado"),CONCATENATE("R",'Mapa final'!$A$25),"")</f>
        <v/>
      </c>
      <c r="W24" s="289"/>
      <c r="X24" s="289" t="str">
        <f>IF(AND('Mapa final'!$J$31="Media",'Mapa final'!$N$31="Moderado"),CONCATENATE("R",'Mapa final'!$A$31),"")</f>
        <v/>
      </c>
      <c r="Y24" s="289"/>
      <c r="Z24" s="289" t="str">
        <f>IF(AND('Mapa final'!$J$37="Media",'Mapa final'!$N$37="Moderado"),CONCATENATE("R",'Mapa final'!$A$37),"")</f>
        <v/>
      </c>
      <c r="AA24" s="290"/>
      <c r="AB24" s="306" t="str">
        <f>IF(AND('Mapa final'!$J$25="Media",'Mapa final'!$N$25="Mayor"),CONCATENATE("R",'Mapa final'!$A$25),"")</f>
        <v/>
      </c>
      <c r="AC24" s="307"/>
      <c r="AD24" s="307" t="str">
        <f>IF(AND('Mapa final'!$J$31="Media",'Mapa final'!$N$31="Mayor"),CONCATENATE("R",'Mapa final'!$A$31),"")</f>
        <v/>
      </c>
      <c r="AE24" s="307"/>
      <c r="AF24" s="307" t="str">
        <f>IF(AND('Mapa final'!$J$37="Media",'Mapa final'!$N$37="Mayor"),CONCATENATE("R",'Mapa final'!$A$37),"")</f>
        <v/>
      </c>
      <c r="AG24" s="308"/>
      <c r="AH24" s="297" t="str">
        <f>IF(AND('Mapa final'!$J$25="Media",'Mapa final'!$N$25="Catastrófico"),CONCATENATE("R",'Mapa final'!$A$25),"")</f>
        <v/>
      </c>
      <c r="AI24" s="298"/>
      <c r="AJ24" s="298" t="str">
        <f>IF(AND('Mapa final'!$J$31="Media",'Mapa final'!$N$31="Catastrófico"),CONCATENATE("R",'Mapa final'!$A$31),"")</f>
        <v/>
      </c>
      <c r="AK24" s="298"/>
      <c r="AL24" s="298" t="str">
        <f>IF(AND('Mapa final'!$J$37="Media",'Mapa final'!$N$37="Catastrófico"),CONCATENATE("R",'Mapa final'!$A$37),"")</f>
        <v/>
      </c>
      <c r="AM24" s="299"/>
      <c r="AN24" s="67"/>
      <c r="AO24" s="349"/>
      <c r="AP24" s="350"/>
      <c r="AQ24" s="350"/>
      <c r="AR24" s="350"/>
      <c r="AS24" s="350"/>
      <c r="AT24" s="351"/>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326"/>
      <c r="C25" s="326"/>
      <c r="D25" s="327"/>
      <c r="E25" s="319"/>
      <c r="F25" s="320"/>
      <c r="G25" s="320"/>
      <c r="H25" s="320"/>
      <c r="I25" s="321"/>
      <c r="J25" s="288"/>
      <c r="K25" s="289"/>
      <c r="L25" s="289"/>
      <c r="M25" s="289"/>
      <c r="N25" s="289"/>
      <c r="O25" s="290"/>
      <c r="P25" s="288"/>
      <c r="Q25" s="289"/>
      <c r="R25" s="289"/>
      <c r="S25" s="289"/>
      <c r="T25" s="289"/>
      <c r="U25" s="290"/>
      <c r="V25" s="288"/>
      <c r="W25" s="289"/>
      <c r="X25" s="289"/>
      <c r="Y25" s="289"/>
      <c r="Z25" s="289"/>
      <c r="AA25" s="290"/>
      <c r="AB25" s="306"/>
      <c r="AC25" s="307"/>
      <c r="AD25" s="307"/>
      <c r="AE25" s="307"/>
      <c r="AF25" s="307"/>
      <c r="AG25" s="308"/>
      <c r="AH25" s="297"/>
      <c r="AI25" s="298"/>
      <c r="AJ25" s="298"/>
      <c r="AK25" s="298"/>
      <c r="AL25" s="298"/>
      <c r="AM25" s="299"/>
      <c r="AN25" s="67"/>
      <c r="AO25" s="349"/>
      <c r="AP25" s="350"/>
      <c r="AQ25" s="350"/>
      <c r="AR25" s="350"/>
      <c r="AS25" s="350"/>
      <c r="AT25" s="351"/>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326"/>
      <c r="C26" s="326"/>
      <c r="D26" s="327"/>
      <c r="E26" s="319"/>
      <c r="F26" s="320"/>
      <c r="G26" s="320"/>
      <c r="H26" s="320"/>
      <c r="I26" s="321"/>
      <c r="J26" s="288" t="str">
        <f>IF(AND('Mapa final'!$J$43="Media",'Mapa final'!$N$43="Leve"),CONCATENATE("R",'Mapa final'!$A$43),"")</f>
        <v/>
      </c>
      <c r="K26" s="289"/>
      <c r="L26" s="289" t="str">
        <f>IF(AND('Mapa final'!$J$49="Media",'Mapa final'!$N$49="Leve"),CONCATENATE("R",'Mapa final'!$A$49),"")</f>
        <v/>
      </c>
      <c r="M26" s="289"/>
      <c r="N26" s="289" t="str">
        <f>IF(AND('Mapa final'!$J$55="Media",'Mapa final'!$N$55="Leve"),CONCATENATE("R",'Mapa final'!$A$55),"")</f>
        <v/>
      </c>
      <c r="O26" s="290"/>
      <c r="P26" s="288" t="str">
        <f>IF(AND('Mapa final'!$J$43="Media",'Mapa final'!$N$43="Menor"),CONCATENATE("R",'Mapa final'!$A$43),"")</f>
        <v/>
      </c>
      <c r="Q26" s="289"/>
      <c r="R26" s="289" t="str">
        <f>IF(AND('Mapa final'!$J$49="Media",'Mapa final'!$N$49="Menor"),CONCATENATE("R",'Mapa final'!$A$49),"")</f>
        <v/>
      </c>
      <c r="S26" s="289"/>
      <c r="T26" s="289" t="str">
        <f>IF(AND('Mapa final'!$J$55="Media",'Mapa final'!$N$55="Menor"),CONCATENATE("R",'Mapa final'!$A$55),"")</f>
        <v/>
      </c>
      <c r="U26" s="290"/>
      <c r="V26" s="288" t="str">
        <f>IF(AND('Mapa final'!$J$43="Media",'Mapa final'!$N$43="Moderado"),CONCATENATE("R",'Mapa final'!$A$43),"")</f>
        <v/>
      </c>
      <c r="W26" s="289"/>
      <c r="X26" s="289" t="str">
        <f>IF(AND('Mapa final'!$J$49="Media",'Mapa final'!$N$49="Moderado"),CONCATENATE("R",'Mapa final'!$A$49),"")</f>
        <v/>
      </c>
      <c r="Y26" s="289"/>
      <c r="Z26" s="289" t="str">
        <f>IF(AND('Mapa final'!$J$55="Media",'Mapa final'!$N$55="Moderado"),CONCATENATE("R",'Mapa final'!$A$55),"")</f>
        <v/>
      </c>
      <c r="AA26" s="290"/>
      <c r="AB26" s="306" t="str">
        <f>IF(AND('Mapa final'!$J$43="Media",'Mapa final'!$N$43="Mayor"),CONCATENATE("R",'Mapa final'!$A$43),"")</f>
        <v/>
      </c>
      <c r="AC26" s="307"/>
      <c r="AD26" s="307" t="str">
        <f>IF(AND('Mapa final'!$J$49="Media",'Mapa final'!$N$49="Mayor"),CONCATENATE("R",'Mapa final'!$A$49),"")</f>
        <v/>
      </c>
      <c r="AE26" s="307"/>
      <c r="AF26" s="307" t="str">
        <f>IF(AND('Mapa final'!$J$55="Media",'Mapa final'!$N$55="Mayor"),CONCATENATE("R",'Mapa final'!$A$55),"")</f>
        <v/>
      </c>
      <c r="AG26" s="308"/>
      <c r="AH26" s="297" t="str">
        <f>IF(AND('Mapa final'!$J$43="Media",'Mapa final'!$N$43="Catastrófico"),CONCATENATE("R",'Mapa final'!$A$43),"")</f>
        <v/>
      </c>
      <c r="AI26" s="298"/>
      <c r="AJ26" s="298" t="str">
        <f>IF(AND('Mapa final'!$J$49="Media",'Mapa final'!$N$49="Catastrófico"),CONCATENATE("R",'Mapa final'!$A$49),"")</f>
        <v/>
      </c>
      <c r="AK26" s="298"/>
      <c r="AL26" s="298" t="str">
        <f>IF(AND('Mapa final'!$J$55="Media",'Mapa final'!$N$55="Catastrófico"),CONCATENATE("R",'Mapa final'!$A$55),"")</f>
        <v/>
      </c>
      <c r="AM26" s="299"/>
      <c r="AN26" s="67"/>
      <c r="AO26" s="349"/>
      <c r="AP26" s="350"/>
      <c r="AQ26" s="350"/>
      <c r="AR26" s="350"/>
      <c r="AS26" s="350"/>
      <c r="AT26" s="351"/>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326"/>
      <c r="C27" s="326"/>
      <c r="D27" s="327"/>
      <c r="E27" s="319"/>
      <c r="F27" s="320"/>
      <c r="G27" s="320"/>
      <c r="H27" s="320"/>
      <c r="I27" s="321"/>
      <c r="J27" s="288"/>
      <c r="K27" s="289"/>
      <c r="L27" s="289"/>
      <c r="M27" s="289"/>
      <c r="N27" s="289"/>
      <c r="O27" s="290"/>
      <c r="P27" s="288"/>
      <c r="Q27" s="289"/>
      <c r="R27" s="289"/>
      <c r="S27" s="289"/>
      <c r="T27" s="289"/>
      <c r="U27" s="290"/>
      <c r="V27" s="288"/>
      <c r="W27" s="289"/>
      <c r="X27" s="289"/>
      <c r="Y27" s="289"/>
      <c r="Z27" s="289"/>
      <c r="AA27" s="290"/>
      <c r="AB27" s="306"/>
      <c r="AC27" s="307"/>
      <c r="AD27" s="307"/>
      <c r="AE27" s="307"/>
      <c r="AF27" s="307"/>
      <c r="AG27" s="308"/>
      <c r="AH27" s="297"/>
      <c r="AI27" s="298"/>
      <c r="AJ27" s="298"/>
      <c r="AK27" s="298"/>
      <c r="AL27" s="298"/>
      <c r="AM27" s="299"/>
      <c r="AN27" s="67"/>
      <c r="AO27" s="349"/>
      <c r="AP27" s="350"/>
      <c r="AQ27" s="350"/>
      <c r="AR27" s="350"/>
      <c r="AS27" s="350"/>
      <c r="AT27" s="351"/>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326"/>
      <c r="C28" s="326"/>
      <c r="D28" s="327"/>
      <c r="E28" s="319"/>
      <c r="F28" s="320"/>
      <c r="G28" s="320"/>
      <c r="H28" s="320"/>
      <c r="I28" s="321"/>
      <c r="J28" s="288" t="str">
        <f>IF(AND('Mapa final'!$J$61="Media",'Mapa final'!$N$61="Leve"),CONCATENATE("R",'Mapa final'!$A$61),"")</f>
        <v/>
      </c>
      <c r="K28" s="289"/>
      <c r="L28" s="289" t="str">
        <f>IF(AND('Mapa final'!$J$67="Media",'Mapa final'!$N$67="Leve"),CONCATENATE("R",'Mapa final'!$A$67),"")</f>
        <v/>
      </c>
      <c r="M28" s="289"/>
      <c r="N28" s="289" t="str">
        <f>IF(AND('Mapa final'!$J$73="Media",'Mapa final'!$N$73="Leve"),CONCATENATE("R",'Mapa final'!$A$73),"")</f>
        <v/>
      </c>
      <c r="O28" s="290"/>
      <c r="P28" s="288" t="str">
        <f>IF(AND('Mapa final'!$J$61="Media",'Mapa final'!$N$61="Menor"),CONCATENATE("R",'Mapa final'!$A$61),"")</f>
        <v/>
      </c>
      <c r="Q28" s="289"/>
      <c r="R28" s="289" t="str">
        <f>IF(AND('Mapa final'!$J$67="Media",'Mapa final'!$N$67="Menor"),CONCATENATE("R",'Mapa final'!$A$67),"")</f>
        <v/>
      </c>
      <c r="S28" s="289"/>
      <c r="T28" s="289" t="str">
        <f>IF(AND('Mapa final'!$J$73="Media",'Mapa final'!$N$73="Menor"),CONCATENATE("R",'Mapa final'!$A$73),"")</f>
        <v/>
      </c>
      <c r="U28" s="290"/>
      <c r="V28" s="288" t="str">
        <f>IF(AND('Mapa final'!$J$61="Media",'Mapa final'!$N$61="Moderado"),CONCATENATE("R",'Mapa final'!$A$61),"")</f>
        <v/>
      </c>
      <c r="W28" s="289"/>
      <c r="X28" s="289" t="str">
        <f>IF(AND('Mapa final'!$J$67="Media",'Mapa final'!$N$67="Moderado"),CONCATENATE("R",'Mapa final'!$A$67),"")</f>
        <v/>
      </c>
      <c r="Y28" s="289"/>
      <c r="Z28" s="289" t="str">
        <f>IF(AND('Mapa final'!$J$73="Media",'Mapa final'!$N$73="Moderado"),CONCATENATE("R",'Mapa final'!$A$73),"")</f>
        <v/>
      </c>
      <c r="AA28" s="290"/>
      <c r="AB28" s="306" t="str">
        <f>IF(AND('Mapa final'!$J$61="Media",'Mapa final'!$N$61="Mayor"),CONCATENATE("R",'Mapa final'!$A$61),"")</f>
        <v/>
      </c>
      <c r="AC28" s="307"/>
      <c r="AD28" s="307" t="str">
        <f>IF(AND('Mapa final'!$J$67="Media",'Mapa final'!$N$67="Mayor"),CONCATENATE("R",'Mapa final'!$A$67),"")</f>
        <v/>
      </c>
      <c r="AE28" s="307"/>
      <c r="AF28" s="307" t="str">
        <f>IF(AND('Mapa final'!$J$73="Media",'Mapa final'!$N$73="Mayor"),CONCATENATE("R",'Mapa final'!$A$73),"")</f>
        <v/>
      </c>
      <c r="AG28" s="308"/>
      <c r="AH28" s="297" t="str">
        <f>IF(AND('Mapa final'!$J$61="Media",'Mapa final'!$N$61="Catastrófico"),CONCATENATE("R",'Mapa final'!$A$61),"")</f>
        <v/>
      </c>
      <c r="AI28" s="298"/>
      <c r="AJ28" s="298" t="str">
        <f>IF(AND('Mapa final'!$J$67="Media",'Mapa final'!$N$67="Catastrófico"),CONCATENATE("R",'Mapa final'!$A$67),"")</f>
        <v/>
      </c>
      <c r="AK28" s="298"/>
      <c r="AL28" s="298" t="str">
        <f>IF(AND('Mapa final'!$J$73="Media",'Mapa final'!$N$73="Catastrófico"),CONCATENATE("R",'Mapa final'!$A$73),"")</f>
        <v/>
      </c>
      <c r="AM28" s="299"/>
      <c r="AN28" s="67"/>
      <c r="AO28" s="349"/>
      <c r="AP28" s="350"/>
      <c r="AQ28" s="350"/>
      <c r="AR28" s="350"/>
      <c r="AS28" s="350"/>
      <c r="AT28" s="351"/>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326"/>
      <c r="C29" s="326"/>
      <c r="D29" s="327"/>
      <c r="E29" s="322"/>
      <c r="F29" s="323"/>
      <c r="G29" s="323"/>
      <c r="H29" s="323"/>
      <c r="I29" s="324"/>
      <c r="J29" s="288"/>
      <c r="K29" s="289"/>
      <c r="L29" s="289"/>
      <c r="M29" s="289"/>
      <c r="N29" s="289"/>
      <c r="O29" s="290"/>
      <c r="P29" s="291"/>
      <c r="Q29" s="292"/>
      <c r="R29" s="292"/>
      <c r="S29" s="292"/>
      <c r="T29" s="292"/>
      <c r="U29" s="293"/>
      <c r="V29" s="291"/>
      <c r="W29" s="292"/>
      <c r="X29" s="292"/>
      <c r="Y29" s="292"/>
      <c r="Z29" s="292"/>
      <c r="AA29" s="293"/>
      <c r="AB29" s="309"/>
      <c r="AC29" s="310"/>
      <c r="AD29" s="310"/>
      <c r="AE29" s="310"/>
      <c r="AF29" s="310"/>
      <c r="AG29" s="311"/>
      <c r="AH29" s="300"/>
      <c r="AI29" s="301"/>
      <c r="AJ29" s="301"/>
      <c r="AK29" s="301"/>
      <c r="AL29" s="301"/>
      <c r="AM29" s="302"/>
      <c r="AN29" s="67"/>
      <c r="AO29" s="352"/>
      <c r="AP29" s="353"/>
      <c r="AQ29" s="353"/>
      <c r="AR29" s="353"/>
      <c r="AS29" s="353"/>
      <c r="AT29" s="354"/>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326"/>
      <c r="C30" s="326"/>
      <c r="D30" s="327"/>
      <c r="E30" s="316" t="s">
        <v>109</v>
      </c>
      <c r="F30" s="317"/>
      <c r="G30" s="317"/>
      <c r="H30" s="317"/>
      <c r="I30" s="317"/>
      <c r="J30" s="285" t="str">
        <f>IF(AND('Mapa final'!$J$10="Baja",'Mapa final'!$N$10="Leve"),CONCATENATE("R",'Mapa final'!$A$10),"")</f>
        <v/>
      </c>
      <c r="K30" s="286"/>
      <c r="L30" s="286" t="str">
        <f>IF(AND('Mapa final'!$J$13="Baja",'Mapa final'!$N$13="Leve"),CONCATENATE("R",'Mapa final'!$A$13),"")</f>
        <v/>
      </c>
      <c r="M30" s="286"/>
      <c r="N30" s="286" t="str">
        <f>IF(AND('Mapa final'!$J$19="Baja",'Mapa final'!$N$19="Leve"),CONCATENATE("R",'Mapa final'!$A$19),"")</f>
        <v/>
      </c>
      <c r="O30" s="287"/>
      <c r="P30" s="295" t="str">
        <f>IF(AND('Mapa final'!$J$10="Baja",'Mapa final'!$N$10="Menor"),CONCATENATE("R",'Mapa final'!$A$10),"")</f>
        <v/>
      </c>
      <c r="Q30" s="295"/>
      <c r="R30" s="295" t="str">
        <f>IF(AND('Mapa final'!$J$13="Baja",'Mapa final'!$N$13="Menor"),CONCATENATE("R",'Mapa final'!$A$13),"")</f>
        <v/>
      </c>
      <c r="S30" s="295"/>
      <c r="T30" s="295" t="str">
        <f>IF(AND('Mapa final'!$J$19="Baja",'Mapa final'!$N$19="Menor"),CONCATENATE("R",'Mapa final'!$A$19),"")</f>
        <v/>
      </c>
      <c r="U30" s="296"/>
      <c r="V30" s="294" t="str">
        <f>IF(AND('Mapa final'!$J$10="Baja",'Mapa final'!$N$10="Moderado"),CONCATENATE("R",'Mapa final'!$A$10),"")</f>
        <v/>
      </c>
      <c r="W30" s="295"/>
      <c r="X30" s="295" t="str">
        <f>IF(AND('Mapa final'!$J$13="Baja",'Mapa final'!$N$13="Moderado"),CONCATENATE("R",'Mapa final'!$A$13),"")</f>
        <v/>
      </c>
      <c r="Y30" s="295"/>
      <c r="Z30" s="295" t="str">
        <f>IF(AND('Mapa final'!$J$19="Baja",'Mapa final'!$N$19="Moderado"),CONCATENATE("R",'Mapa final'!$A$19),"")</f>
        <v/>
      </c>
      <c r="AA30" s="296"/>
      <c r="AB30" s="312" t="str">
        <f>IF(AND('Mapa final'!$J$10="Baja",'Mapa final'!$N$10="Mayor"),CONCATENATE("R",'Mapa final'!$A$10),"")</f>
        <v/>
      </c>
      <c r="AC30" s="313"/>
      <c r="AD30" s="313" t="str">
        <f>IF(AND('Mapa final'!$J$13="Baja",'Mapa final'!$N$13="Mayor"),CONCATENATE("R",'Mapa final'!$A$13),"")</f>
        <v/>
      </c>
      <c r="AE30" s="313"/>
      <c r="AF30" s="313" t="str">
        <f>IF(AND('Mapa final'!$J$19="Baja",'Mapa final'!$N$19="Mayor"),CONCATENATE("R",'Mapa final'!$A$19),"")</f>
        <v/>
      </c>
      <c r="AG30" s="314"/>
      <c r="AH30" s="303" t="str">
        <f>IF(AND('Mapa final'!$J$10="Baja",'Mapa final'!$N$10="Catastrófico"),CONCATENATE("R",'Mapa final'!$A$10),"")</f>
        <v/>
      </c>
      <c r="AI30" s="304"/>
      <c r="AJ30" s="304" t="str">
        <f>IF(AND('Mapa final'!$J$13="Baja",'Mapa final'!$N$13="Catastrófico"),CONCATENATE("R",'Mapa final'!$A$13),"")</f>
        <v/>
      </c>
      <c r="AK30" s="304"/>
      <c r="AL30" s="304" t="str">
        <f>IF(AND('Mapa final'!$J$19="Baja",'Mapa final'!$N$19="Catastrófico"),CONCATENATE("R",'Mapa final'!$A$19),"")</f>
        <v/>
      </c>
      <c r="AM30" s="305"/>
      <c r="AN30" s="67"/>
      <c r="AO30" s="355" t="s">
        <v>81</v>
      </c>
      <c r="AP30" s="356"/>
      <c r="AQ30" s="356"/>
      <c r="AR30" s="356"/>
      <c r="AS30" s="356"/>
      <c r="AT30" s="35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326"/>
      <c r="C31" s="326"/>
      <c r="D31" s="327"/>
      <c r="E31" s="319"/>
      <c r="F31" s="320"/>
      <c r="G31" s="320"/>
      <c r="H31" s="320"/>
      <c r="I31" s="320"/>
      <c r="J31" s="279"/>
      <c r="K31" s="280"/>
      <c r="L31" s="280"/>
      <c r="M31" s="280"/>
      <c r="N31" s="280"/>
      <c r="O31" s="281"/>
      <c r="P31" s="289"/>
      <c r="Q31" s="289"/>
      <c r="R31" s="289"/>
      <c r="S31" s="289"/>
      <c r="T31" s="289"/>
      <c r="U31" s="290"/>
      <c r="V31" s="288"/>
      <c r="W31" s="289"/>
      <c r="X31" s="289"/>
      <c r="Y31" s="289"/>
      <c r="Z31" s="289"/>
      <c r="AA31" s="290"/>
      <c r="AB31" s="306"/>
      <c r="AC31" s="307"/>
      <c r="AD31" s="307"/>
      <c r="AE31" s="307"/>
      <c r="AF31" s="307"/>
      <c r="AG31" s="308"/>
      <c r="AH31" s="297"/>
      <c r="AI31" s="298"/>
      <c r="AJ31" s="298"/>
      <c r="AK31" s="298"/>
      <c r="AL31" s="298"/>
      <c r="AM31" s="299"/>
      <c r="AN31" s="67"/>
      <c r="AO31" s="358"/>
      <c r="AP31" s="359"/>
      <c r="AQ31" s="359"/>
      <c r="AR31" s="359"/>
      <c r="AS31" s="359"/>
      <c r="AT31" s="36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326"/>
      <c r="C32" s="326"/>
      <c r="D32" s="327"/>
      <c r="E32" s="319"/>
      <c r="F32" s="320"/>
      <c r="G32" s="320"/>
      <c r="H32" s="320"/>
      <c r="I32" s="320"/>
      <c r="J32" s="279" t="str">
        <f>IF(AND('Mapa final'!$J$25="Baja",'Mapa final'!$N$25="Leve"),CONCATENATE("R",'Mapa final'!$A$25),"")</f>
        <v/>
      </c>
      <c r="K32" s="280"/>
      <c r="L32" s="280" t="str">
        <f>IF(AND('Mapa final'!$J$31="Baja",'Mapa final'!$N$31="Leve"),CONCATENATE("R",'Mapa final'!$A$31),"")</f>
        <v/>
      </c>
      <c r="M32" s="280"/>
      <c r="N32" s="280" t="str">
        <f>IF(AND('Mapa final'!$J$37="Baja",'Mapa final'!$N$37="Leve"),CONCATENATE("R",'Mapa final'!$A$37),"")</f>
        <v/>
      </c>
      <c r="O32" s="281"/>
      <c r="P32" s="289" t="str">
        <f>IF(AND('Mapa final'!$J$25="Baja",'Mapa final'!$N$25="Menor"),CONCATENATE("R",'Mapa final'!$A$25),"")</f>
        <v/>
      </c>
      <c r="Q32" s="289"/>
      <c r="R32" s="289" t="str">
        <f>IF(AND('Mapa final'!$J$31="Baja",'Mapa final'!$N$31="Menor"),CONCATENATE("R",'Mapa final'!$A$31),"")</f>
        <v/>
      </c>
      <c r="S32" s="289"/>
      <c r="T32" s="289" t="str">
        <f>IF(AND('Mapa final'!$J$37="Baja",'Mapa final'!$N$37="Menor"),CONCATENATE("R",'Mapa final'!$A$37),"")</f>
        <v/>
      </c>
      <c r="U32" s="290"/>
      <c r="V32" s="288" t="str">
        <f>IF(AND('Mapa final'!$J$25="Baja",'Mapa final'!$N$25="Moderado"),CONCATENATE("R",'Mapa final'!$A$25),"")</f>
        <v/>
      </c>
      <c r="W32" s="289"/>
      <c r="X32" s="289" t="str">
        <f>IF(AND('Mapa final'!$J$31="Baja",'Mapa final'!$N$31="Moderado"),CONCATENATE("R",'Mapa final'!$A$31),"")</f>
        <v/>
      </c>
      <c r="Y32" s="289"/>
      <c r="Z32" s="289" t="str">
        <f>IF(AND('Mapa final'!$J$37="Baja",'Mapa final'!$N$37="Moderado"),CONCATENATE("R",'Mapa final'!$A$37),"")</f>
        <v/>
      </c>
      <c r="AA32" s="290"/>
      <c r="AB32" s="306" t="str">
        <f>IF(AND('Mapa final'!$J$25="Baja",'Mapa final'!$N$25="Mayor"),CONCATENATE("R",'Mapa final'!$A$25),"")</f>
        <v/>
      </c>
      <c r="AC32" s="307"/>
      <c r="AD32" s="307" t="str">
        <f>IF(AND('Mapa final'!$J$31="Baja",'Mapa final'!$N$31="Mayor"),CONCATENATE("R",'Mapa final'!$A$31),"")</f>
        <v/>
      </c>
      <c r="AE32" s="307"/>
      <c r="AF32" s="307" t="str">
        <f>IF(AND('Mapa final'!$J$37="Baja",'Mapa final'!$N$37="Mayor"),CONCATENATE("R",'Mapa final'!$A$37),"")</f>
        <v/>
      </c>
      <c r="AG32" s="308"/>
      <c r="AH32" s="297" t="str">
        <f>IF(AND('Mapa final'!$J$25="Baja",'Mapa final'!$N$25="Catastrófico"),CONCATENATE("R",'Mapa final'!$A$25),"")</f>
        <v/>
      </c>
      <c r="AI32" s="298"/>
      <c r="AJ32" s="298" t="str">
        <f>IF(AND('Mapa final'!$J$31="Baja",'Mapa final'!$N$31="Catastrófico"),CONCATENATE("R",'Mapa final'!$A$31),"")</f>
        <v/>
      </c>
      <c r="AK32" s="298"/>
      <c r="AL32" s="298" t="str">
        <f>IF(AND('Mapa final'!$J$37="Baja",'Mapa final'!$N$37="Catastrófico"),CONCATENATE("R",'Mapa final'!$A$37),"")</f>
        <v/>
      </c>
      <c r="AM32" s="299"/>
      <c r="AN32" s="67"/>
      <c r="AO32" s="358"/>
      <c r="AP32" s="359"/>
      <c r="AQ32" s="359"/>
      <c r="AR32" s="359"/>
      <c r="AS32" s="359"/>
      <c r="AT32" s="36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326"/>
      <c r="C33" s="326"/>
      <c r="D33" s="327"/>
      <c r="E33" s="319"/>
      <c r="F33" s="320"/>
      <c r="G33" s="320"/>
      <c r="H33" s="320"/>
      <c r="I33" s="320"/>
      <c r="J33" s="279"/>
      <c r="K33" s="280"/>
      <c r="L33" s="280"/>
      <c r="M33" s="280"/>
      <c r="N33" s="280"/>
      <c r="O33" s="281"/>
      <c r="P33" s="289"/>
      <c r="Q33" s="289"/>
      <c r="R33" s="289"/>
      <c r="S33" s="289"/>
      <c r="T33" s="289"/>
      <c r="U33" s="290"/>
      <c r="V33" s="288"/>
      <c r="W33" s="289"/>
      <c r="X33" s="289"/>
      <c r="Y33" s="289"/>
      <c r="Z33" s="289"/>
      <c r="AA33" s="290"/>
      <c r="AB33" s="306"/>
      <c r="AC33" s="307"/>
      <c r="AD33" s="307"/>
      <c r="AE33" s="307"/>
      <c r="AF33" s="307"/>
      <c r="AG33" s="308"/>
      <c r="AH33" s="297"/>
      <c r="AI33" s="298"/>
      <c r="AJ33" s="298"/>
      <c r="AK33" s="298"/>
      <c r="AL33" s="298"/>
      <c r="AM33" s="299"/>
      <c r="AN33" s="67"/>
      <c r="AO33" s="358"/>
      <c r="AP33" s="359"/>
      <c r="AQ33" s="359"/>
      <c r="AR33" s="359"/>
      <c r="AS33" s="359"/>
      <c r="AT33" s="36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326"/>
      <c r="C34" s="326"/>
      <c r="D34" s="327"/>
      <c r="E34" s="319"/>
      <c r="F34" s="320"/>
      <c r="G34" s="320"/>
      <c r="H34" s="320"/>
      <c r="I34" s="320"/>
      <c r="J34" s="279" t="str">
        <f>IF(AND('Mapa final'!$J$43="Baja",'Mapa final'!$N$43="Leve"),CONCATENATE("R",'Mapa final'!$A$43),"")</f>
        <v/>
      </c>
      <c r="K34" s="280"/>
      <c r="L34" s="280" t="str">
        <f>IF(AND('Mapa final'!$J$49="Baja",'Mapa final'!$N$49="Leve"),CONCATENATE("R",'Mapa final'!$A$49),"")</f>
        <v/>
      </c>
      <c r="M34" s="280"/>
      <c r="N34" s="280" t="str">
        <f>IF(AND('Mapa final'!$J$55="Baja",'Mapa final'!$N$55="Leve"),CONCATENATE("R",'Mapa final'!$A$55),"")</f>
        <v/>
      </c>
      <c r="O34" s="281"/>
      <c r="P34" s="289" t="str">
        <f>IF(AND('Mapa final'!$J$43="Baja",'Mapa final'!$N$43="Menor"),CONCATENATE("R",'Mapa final'!$A$43),"")</f>
        <v/>
      </c>
      <c r="Q34" s="289"/>
      <c r="R34" s="289" t="str">
        <f>IF(AND('Mapa final'!$J$49="Baja",'Mapa final'!$N$49="Menor"),CONCATENATE("R",'Mapa final'!$A$49),"")</f>
        <v/>
      </c>
      <c r="S34" s="289"/>
      <c r="T34" s="289" t="str">
        <f>IF(AND('Mapa final'!$J$55="Baja",'Mapa final'!$N$55="Menor"),CONCATENATE("R",'Mapa final'!$A$55),"")</f>
        <v/>
      </c>
      <c r="U34" s="290"/>
      <c r="V34" s="288" t="str">
        <f>IF(AND('Mapa final'!$J$43="Baja",'Mapa final'!$N$43="Moderado"),CONCATENATE("R",'Mapa final'!$A$43),"")</f>
        <v/>
      </c>
      <c r="W34" s="289"/>
      <c r="X34" s="289" t="str">
        <f>IF(AND('Mapa final'!$J$49="Baja",'Mapa final'!$N$49="Moderado"),CONCATENATE("R",'Mapa final'!$A$49),"")</f>
        <v/>
      </c>
      <c r="Y34" s="289"/>
      <c r="Z34" s="289" t="str">
        <f>IF(AND('Mapa final'!$J$55="Baja",'Mapa final'!$N$55="Moderado"),CONCATENATE("R",'Mapa final'!$A$55),"")</f>
        <v/>
      </c>
      <c r="AA34" s="290"/>
      <c r="AB34" s="306" t="str">
        <f>IF(AND('Mapa final'!$J$43="Baja",'Mapa final'!$N$43="Mayor"),CONCATENATE("R",'Mapa final'!$A$43),"")</f>
        <v/>
      </c>
      <c r="AC34" s="307"/>
      <c r="AD34" s="307" t="str">
        <f>IF(AND('Mapa final'!$J$49="Baja",'Mapa final'!$N$49="Mayor"),CONCATENATE("R",'Mapa final'!$A$49),"")</f>
        <v/>
      </c>
      <c r="AE34" s="307"/>
      <c r="AF34" s="307" t="str">
        <f>IF(AND('Mapa final'!$J$55="Baja",'Mapa final'!$N$55="Mayor"),CONCATENATE("R",'Mapa final'!$A$55),"")</f>
        <v/>
      </c>
      <c r="AG34" s="308"/>
      <c r="AH34" s="297" t="str">
        <f>IF(AND('Mapa final'!$J$43="Baja",'Mapa final'!$N$43="Catastrófico"),CONCATENATE("R",'Mapa final'!$A$43),"")</f>
        <v/>
      </c>
      <c r="AI34" s="298"/>
      <c r="AJ34" s="298" t="str">
        <f>IF(AND('Mapa final'!$J$49="Baja",'Mapa final'!$N$49="Catastrófico"),CONCATENATE("R",'Mapa final'!$A$49),"")</f>
        <v/>
      </c>
      <c r="AK34" s="298"/>
      <c r="AL34" s="298" t="str">
        <f>IF(AND('Mapa final'!$J$55="Baja",'Mapa final'!$N$55="Catastrófico"),CONCATENATE("R",'Mapa final'!$A$55),"")</f>
        <v/>
      </c>
      <c r="AM34" s="299"/>
      <c r="AN34" s="67"/>
      <c r="AO34" s="358"/>
      <c r="AP34" s="359"/>
      <c r="AQ34" s="359"/>
      <c r="AR34" s="359"/>
      <c r="AS34" s="359"/>
      <c r="AT34" s="36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326"/>
      <c r="C35" s="326"/>
      <c r="D35" s="327"/>
      <c r="E35" s="319"/>
      <c r="F35" s="320"/>
      <c r="G35" s="320"/>
      <c r="H35" s="320"/>
      <c r="I35" s="320"/>
      <c r="J35" s="279"/>
      <c r="K35" s="280"/>
      <c r="L35" s="280"/>
      <c r="M35" s="280"/>
      <c r="N35" s="280"/>
      <c r="O35" s="281"/>
      <c r="P35" s="289"/>
      <c r="Q35" s="289"/>
      <c r="R35" s="289"/>
      <c r="S35" s="289"/>
      <c r="T35" s="289"/>
      <c r="U35" s="290"/>
      <c r="V35" s="288"/>
      <c r="W35" s="289"/>
      <c r="X35" s="289"/>
      <c r="Y35" s="289"/>
      <c r="Z35" s="289"/>
      <c r="AA35" s="290"/>
      <c r="AB35" s="306"/>
      <c r="AC35" s="307"/>
      <c r="AD35" s="307"/>
      <c r="AE35" s="307"/>
      <c r="AF35" s="307"/>
      <c r="AG35" s="308"/>
      <c r="AH35" s="297"/>
      <c r="AI35" s="298"/>
      <c r="AJ35" s="298"/>
      <c r="AK35" s="298"/>
      <c r="AL35" s="298"/>
      <c r="AM35" s="299"/>
      <c r="AN35" s="67"/>
      <c r="AO35" s="358"/>
      <c r="AP35" s="359"/>
      <c r="AQ35" s="359"/>
      <c r="AR35" s="359"/>
      <c r="AS35" s="359"/>
      <c r="AT35" s="360"/>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326"/>
      <c r="C36" s="326"/>
      <c r="D36" s="327"/>
      <c r="E36" s="319"/>
      <c r="F36" s="320"/>
      <c r="G36" s="320"/>
      <c r="H36" s="320"/>
      <c r="I36" s="320"/>
      <c r="J36" s="279" t="str">
        <f>IF(AND('Mapa final'!$J$61="Baja",'Mapa final'!$N$61="Leve"),CONCATENATE("R",'Mapa final'!$A$61),"")</f>
        <v/>
      </c>
      <c r="K36" s="280"/>
      <c r="L36" s="280" t="str">
        <f>IF(AND('Mapa final'!$J$67="Baja",'Mapa final'!$N$67="Leve"),CONCATENATE("R",'Mapa final'!$A$67),"")</f>
        <v/>
      </c>
      <c r="M36" s="280"/>
      <c r="N36" s="280" t="str">
        <f>IF(AND('Mapa final'!$J$73="Baja",'Mapa final'!$N$73="Leve"),CONCATENATE("R",'Mapa final'!$A$73),"")</f>
        <v/>
      </c>
      <c r="O36" s="281"/>
      <c r="P36" s="289" t="str">
        <f>IF(AND('Mapa final'!$J$61="Baja",'Mapa final'!$N$61="Menor"),CONCATENATE("R",'Mapa final'!$A$61),"")</f>
        <v/>
      </c>
      <c r="Q36" s="289"/>
      <c r="R36" s="289" t="str">
        <f>IF(AND('Mapa final'!$J$67="Baja",'Mapa final'!$N$67="Menor"),CONCATENATE("R",'Mapa final'!$A$67),"")</f>
        <v/>
      </c>
      <c r="S36" s="289"/>
      <c r="T36" s="289" t="str">
        <f>IF(AND('Mapa final'!$J$73="Baja",'Mapa final'!$N$73="Menor"),CONCATENATE("R",'Mapa final'!$A$73),"")</f>
        <v/>
      </c>
      <c r="U36" s="290"/>
      <c r="V36" s="288" t="str">
        <f>IF(AND('Mapa final'!$J$61="Baja",'Mapa final'!$N$61="Moderado"),CONCATENATE("R",'Mapa final'!$A$61),"")</f>
        <v/>
      </c>
      <c r="W36" s="289"/>
      <c r="X36" s="289" t="str">
        <f>IF(AND('Mapa final'!$J$67="Baja",'Mapa final'!$N$67="Moderado"),CONCATENATE("R",'Mapa final'!$A$67),"")</f>
        <v/>
      </c>
      <c r="Y36" s="289"/>
      <c r="Z36" s="289" t="str">
        <f>IF(AND('Mapa final'!$J$73="Baja",'Mapa final'!$N$73="Moderado"),CONCATENATE("R",'Mapa final'!$A$73),"")</f>
        <v/>
      </c>
      <c r="AA36" s="290"/>
      <c r="AB36" s="306" t="str">
        <f>IF(AND('Mapa final'!$J$61="Baja",'Mapa final'!$N$61="Mayor"),CONCATENATE("R",'Mapa final'!$A$61),"")</f>
        <v/>
      </c>
      <c r="AC36" s="307"/>
      <c r="AD36" s="307" t="str">
        <f>IF(AND('Mapa final'!$J$67="Baja",'Mapa final'!$N$67="Mayor"),CONCATENATE("R",'Mapa final'!$A$67),"")</f>
        <v/>
      </c>
      <c r="AE36" s="307"/>
      <c r="AF36" s="307" t="str">
        <f>IF(AND('Mapa final'!$J$73="Baja",'Mapa final'!$N$73="Mayor"),CONCATENATE("R",'Mapa final'!$A$73),"")</f>
        <v/>
      </c>
      <c r="AG36" s="308"/>
      <c r="AH36" s="297" t="str">
        <f>IF(AND('Mapa final'!$J$61="Baja",'Mapa final'!$N$61="Catastrófico"),CONCATENATE("R",'Mapa final'!$A$61),"")</f>
        <v/>
      </c>
      <c r="AI36" s="298"/>
      <c r="AJ36" s="298" t="str">
        <f>IF(AND('Mapa final'!$J$67="Baja",'Mapa final'!$N$67="Catastrófico"),CONCATENATE("R",'Mapa final'!$A$67),"")</f>
        <v/>
      </c>
      <c r="AK36" s="298"/>
      <c r="AL36" s="298" t="str">
        <f>IF(AND('Mapa final'!$J$73="Baja",'Mapa final'!$N$73="Catastrófico"),CONCATENATE("R",'Mapa final'!$A$73),"")</f>
        <v/>
      </c>
      <c r="AM36" s="299"/>
      <c r="AN36" s="67"/>
      <c r="AO36" s="358"/>
      <c r="AP36" s="359"/>
      <c r="AQ36" s="359"/>
      <c r="AR36" s="359"/>
      <c r="AS36" s="359"/>
      <c r="AT36" s="360"/>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326"/>
      <c r="C37" s="326"/>
      <c r="D37" s="327"/>
      <c r="E37" s="322"/>
      <c r="F37" s="323"/>
      <c r="G37" s="323"/>
      <c r="H37" s="323"/>
      <c r="I37" s="323"/>
      <c r="J37" s="282"/>
      <c r="K37" s="283"/>
      <c r="L37" s="283"/>
      <c r="M37" s="283"/>
      <c r="N37" s="283"/>
      <c r="O37" s="284"/>
      <c r="P37" s="292"/>
      <c r="Q37" s="292"/>
      <c r="R37" s="292"/>
      <c r="S37" s="292"/>
      <c r="T37" s="292"/>
      <c r="U37" s="293"/>
      <c r="V37" s="291"/>
      <c r="W37" s="292"/>
      <c r="X37" s="292"/>
      <c r="Y37" s="292"/>
      <c r="Z37" s="292"/>
      <c r="AA37" s="293"/>
      <c r="AB37" s="309"/>
      <c r="AC37" s="310"/>
      <c r="AD37" s="310"/>
      <c r="AE37" s="310"/>
      <c r="AF37" s="310"/>
      <c r="AG37" s="311"/>
      <c r="AH37" s="300"/>
      <c r="AI37" s="301"/>
      <c r="AJ37" s="301"/>
      <c r="AK37" s="301"/>
      <c r="AL37" s="301"/>
      <c r="AM37" s="302"/>
      <c r="AN37" s="67"/>
      <c r="AO37" s="361"/>
      <c r="AP37" s="362"/>
      <c r="AQ37" s="362"/>
      <c r="AR37" s="362"/>
      <c r="AS37" s="362"/>
      <c r="AT37" s="363"/>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326"/>
      <c r="C38" s="326"/>
      <c r="D38" s="327"/>
      <c r="E38" s="316" t="s">
        <v>108</v>
      </c>
      <c r="F38" s="317"/>
      <c r="G38" s="317"/>
      <c r="H38" s="317"/>
      <c r="I38" s="318"/>
      <c r="J38" s="285" t="str">
        <f>IF(AND('Mapa final'!$J$10="Muy Baja",'Mapa final'!$N$10="Leve"),CONCATENATE("R",'Mapa final'!$A$10),"")</f>
        <v/>
      </c>
      <c r="K38" s="286"/>
      <c r="L38" s="286" t="str">
        <f>IF(AND('Mapa final'!$J$13="Muy Baja",'Mapa final'!$N$13="Leve"),CONCATENATE("R",'Mapa final'!$A$13),"")</f>
        <v/>
      </c>
      <c r="M38" s="286"/>
      <c r="N38" s="286" t="str">
        <f>IF(AND('Mapa final'!$J$19="Muy Baja",'Mapa final'!$N$19="Leve"),CONCATENATE("R",'Mapa final'!$A$19),"")</f>
        <v/>
      </c>
      <c r="O38" s="287"/>
      <c r="P38" s="285" t="str">
        <f>IF(AND('Mapa final'!$J$10="Muy Baja",'Mapa final'!$N$10="Menor"),CONCATENATE("R",'Mapa final'!$A$10),"")</f>
        <v/>
      </c>
      <c r="Q38" s="286"/>
      <c r="R38" s="286" t="str">
        <f>IF(AND('Mapa final'!$J$13="Muy Baja",'Mapa final'!$N$13="Menor"),CONCATENATE("R",'Mapa final'!$A$13),"")</f>
        <v/>
      </c>
      <c r="S38" s="286"/>
      <c r="T38" s="286" t="str">
        <f>IF(AND('Mapa final'!$J$19="Muy Baja",'Mapa final'!$N$19="Menor"),CONCATENATE("R",'Mapa final'!$A$19),"")</f>
        <v/>
      </c>
      <c r="U38" s="287"/>
      <c r="V38" s="294" t="str">
        <f>IF(AND('Mapa final'!$J$10="Muy Baja",'Mapa final'!$N$10="Moderado"),CONCATENATE("R",'Mapa final'!$A$10),"")</f>
        <v/>
      </c>
      <c r="W38" s="295"/>
      <c r="X38" s="295" t="str">
        <f>IF(AND('Mapa final'!$J$13="Muy Baja",'Mapa final'!$N$13="Moderado"),CONCATENATE("R",'Mapa final'!$A$13),"")</f>
        <v/>
      </c>
      <c r="Y38" s="295"/>
      <c r="Z38" s="295" t="str">
        <f>IF(AND('Mapa final'!$J$19="Muy Baja",'Mapa final'!$N$19="Moderado"),CONCATENATE("R",'Mapa final'!$A$19),"")</f>
        <v/>
      </c>
      <c r="AA38" s="296"/>
      <c r="AB38" s="312" t="str">
        <f>IF(AND('Mapa final'!$J$10="Muy Baja",'Mapa final'!$N$10="Mayor"),CONCATENATE("R",'Mapa final'!$A$10),"")</f>
        <v/>
      </c>
      <c r="AC38" s="313"/>
      <c r="AD38" s="313" t="str">
        <f>IF(AND('Mapa final'!$J$13="Muy Baja",'Mapa final'!$N$13="Mayor"),CONCATENATE("R",'Mapa final'!$A$13),"")</f>
        <v/>
      </c>
      <c r="AE38" s="313"/>
      <c r="AF38" s="313" t="str">
        <f>IF(AND('Mapa final'!$J$19="Muy Baja",'Mapa final'!$N$19="Mayor"),CONCATENATE("R",'Mapa final'!$A$19),"")</f>
        <v/>
      </c>
      <c r="AG38" s="314"/>
      <c r="AH38" s="303" t="str">
        <f>IF(AND('Mapa final'!$J$10="Muy Baja",'Mapa final'!$N$10="Catastrófico"),CONCATENATE("R",'Mapa final'!$A$10),"")</f>
        <v/>
      </c>
      <c r="AI38" s="304"/>
      <c r="AJ38" s="304" t="str">
        <f>IF(AND('Mapa final'!$J$13="Muy Baja",'Mapa final'!$N$13="Catastrófico"),CONCATENATE("R",'Mapa final'!$A$13),"")</f>
        <v/>
      </c>
      <c r="AK38" s="304"/>
      <c r="AL38" s="304" t="str">
        <f>IF(AND('Mapa final'!$J$19="Muy Baja",'Mapa final'!$N$19="Catastrófico"),CONCATENATE("R",'Mapa final'!$A$19),"")</f>
        <v/>
      </c>
      <c r="AM38" s="305"/>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326"/>
      <c r="C39" s="326"/>
      <c r="D39" s="327"/>
      <c r="E39" s="319"/>
      <c r="F39" s="320"/>
      <c r="G39" s="320"/>
      <c r="H39" s="320"/>
      <c r="I39" s="321"/>
      <c r="J39" s="279"/>
      <c r="K39" s="280"/>
      <c r="L39" s="280"/>
      <c r="M39" s="280"/>
      <c r="N39" s="280"/>
      <c r="O39" s="281"/>
      <c r="P39" s="279"/>
      <c r="Q39" s="280"/>
      <c r="R39" s="280"/>
      <c r="S39" s="280"/>
      <c r="T39" s="280"/>
      <c r="U39" s="281"/>
      <c r="V39" s="288"/>
      <c r="W39" s="289"/>
      <c r="X39" s="289"/>
      <c r="Y39" s="289"/>
      <c r="Z39" s="289"/>
      <c r="AA39" s="290"/>
      <c r="AB39" s="306"/>
      <c r="AC39" s="307"/>
      <c r="AD39" s="307"/>
      <c r="AE39" s="307"/>
      <c r="AF39" s="307"/>
      <c r="AG39" s="308"/>
      <c r="AH39" s="297"/>
      <c r="AI39" s="298"/>
      <c r="AJ39" s="298"/>
      <c r="AK39" s="298"/>
      <c r="AL39" s="298"/>
      <c r="AM39" s="299"/>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326"/>
      <c r="C40" s="326"/>
      <c r="D40" s="327"/>
      <c r="E40" s="319"/>
      <c r="F40" s="320"/>
      <c r="G40" s="320"/>
      <c r="H40" s="320"/>
      <c r="I40" s="321"/>
      <c r="J40" s="279" t="str">
        <f>IF(AND('Mapa final'!$J$25="Muy Baja",'Mapa final'!$N$25="Leve"),CONCATENATE("R",'Mapa final'!$A$25),"")</f>
        <v/>
      </c>
      <c r="K40" s="280"/>
      <c r="L40" s="280" t="str">
        <f>IF(AND('Mapa final'!$J$31="Muy Baja",'Mapa final'!$N$31="Leve"),CONCATENATE("R",'Mapa final'!$A$31),"")</f>
        <v/>
      </c>
      <c r="M40" s="280"/>
      <c r="N40" s="280" t="str">
        <f>IF(AND('Mapa final'!$J$37="Muy Baja",'Mapa final'!$N$37="Leve"),CONCATENATE("R",'Mapa final'!$A$37),"")</f>
        <v/>
      </c>
      <c r="O40" s="281"/>
      <c r="P40" s="279" t="str">
        <f>IF(AND('Mapa final'!$J$25="Muy Baja",'Mapa final'!$N$25="Menor"),CONCATENATE("R",'Mapa final'!$A$25),"")</f>
        <v/>
      </c>
      <c r="Q40" s="280"/>
      <c r="R40" s="280" t="str">
        <f>IF(AND('Mapa final'!$J$31="Muy Baja",'Mapa final'!$N$31="Menor"),CONCATENATE("R",'Mapa final'!$A$31),"")</f>
        <v/>
      </c>
      <c r="S40" s="280"/>
      <c r="T40" s="280" t="str">
        <f>IF(AND('Mapa final'!$J$37="Muy Baja",'Mapa final'!$N$37="Menor"),CONCATENATE("R",'Mapa final'!$A$37),"")</f>
        <v/>
      </c>
      <c r="U40" s="281"/>
      <c r="V40" s="288" t="str">
        <f>IF(AND('Mapa final'!$J$25="Muy Baja",'Mapa final'!$N$25="Moderado"),CONCATENATE("R",'Mapa final'!$A$25),"")</f>
        <v/>
      </c>
      <c r="W40" s="289"/>
      <c r="X40" s="289" t="str">
        <f>IF(AND('Mapa final'!$J$31="Muy Baja",'Mapa final'!$N$31="Moderado"),CONCATENATE("R",'Mapa final'!$A$31),"")</f>
        <v/>
      </c>
      <c r="Y40" s="289"/>
      <c r="Z40" s="289" t="str">
        <f>IF(AND('Mapa final'!$J$37="Muy Baja",'Mapa final'!$N$37="Moderado"),CONCATENATE("R",'Mapa final'!$A$37),"")</f>
        <v/>
      </c>
      <c r="AA40" s="290"/>
      <c r="AB40" s="306" t="str">
        <f>IF(AND('Mapa final'!$J$25="Muy Baja",'Mapa final'!$N$25="Mayor"),CONCATENATE("R",'Mapa final'!$A$25),"")</f>
        <v/>
      </c>
      <c r="AC40" s="307"/>
      <c r="AD40" s="307" t="str">
        <f>IF(AND('Mapa final'!$J$31="Muy Baja",'Mapa final'!$N$31="Mayor"),CONCATENATE("R",'Mapa final'!$A$31),"")</f>
        <v/>
      </c>
      <c r="AE40" s="307"/>
      <c r="AF40" s="307" t="str">
        <f>IF(AND('Mapa final'!$J$37="Muy Baja",'Mapa final'!$N$37="Mayor"),CONCATENATE("R",'Mapa final'!$A$37),"")</f>
        <v/>
      </c>
      <c r="AG40" s="308"/>
      <c r="AH40" s="297" t="str">
        <f>IF(AND('Mapa final'!$J$25="Muy Baja",'Mapa final'!$N$25="Catastrófico"),CONCATENATE("R",'Mapa final'!$A$25),"")</f>
        <v/>
      </c>
      <c r="AI40" s="298"/>
      <c r="AJ40" s="298" t="str">
        <f>IF(AND('Mapa final'!$J$31="Muy Baja",'Mapa final'!$N$31="Catastrófico"),CONCATENATE("R",'Mapa final'!$A$31),"")</f>
        <v/>
      </c>
      <c r="AK40" s="298"/>
      <c r="AL40" s="298" t="str">
        <f>IF(AND('Mapa final'!$J$37="Muy Baja",'Mapa final'!$N$37="Catastrófico"),CONCATENATE("R",'Mapa final'!$A$37),"")</f>
        <v/>
      </c>
      <c r="AM40" s="299"/>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326"/>
      <c r="C41" s="326"/>
      <c r="D41" s="327"/>
      <c r="E41" s="319"/>
      <c r="F41" s="320"/>
      <c r="G41" s="320"/>
      <c r="H41" s="320"/>
      <c r="I41" s="321"/>
      <c r="J41" s="279"/>
      <c r="K41" s="280"/>
      <c r="L41" s="280"/>
      <c r="M41" s="280"/>
      <c r="N41" s="280"/>
      <c r="O41" s="281"/>
      <c r="P41" s="279"/>
      <c r="Q41" s="280"/>
      <c r="R41" s="280"/>
      <c r="S41" s="280"/>
      <c r="T41" s="280"/>
      <c r="U41" s="281"/>
      <c r="V41" s="288"/>
      <c r="W41" s="289"/>
      <c r="X41" s="289"/>
      <c r="Y41" s="289"/>
      <c r="Z41" s="289"/>
      <c r="AA41" s="290"/>
      <c r="AB41" s="306"/>
      <c r="AC41" s="307"/>
      <c r="AD41" s="307"/>
      <c r="AE41" s="307"/>
      <c r="AF41" s="307"/>
      <c r="AG41" s="308"/>
      <c r="AH41" s="297"/>
      <c r="AI41" s="298"/>
      <c r="AJ41" s="298"/>
      <c r="AK41" s="298"/>
      <c r="AL41" s="298"/>
      <c r="AM41" s="299"/>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326"/>
      <c r="C42" s="326"/>
      <c r="D42" s="327"/>
      <c r="E42" s="319"/>
      <c r="F42" s="320"/>
      <c r="G42" s="320"/>
      <c r="H42" s="320"/>
      <c r="I42" s="321"/>
      <c r="J42" s="279" t="str">
        <f>IF(AND('Mapa final'!$J$43="Muy Baja",'Mapa final'!$N$43="Leve"),CONCATENATE("R",'Mapa final'!$A$43),"")</f>
        <v/>
      </c>
      <c r="K42" s="280"/>
      <c r="L42" s="280" t="str">
        <f>IF(AND('Mapa final'!$J$49="Muy Baja",'Mapa final'!$N$49="Leve"),CONCATENATE("R",'Mapa final'!$A$49),"")</f>
        <v/>
      </c>
      <c r="M42" s="280"/>
      <c r="N42" s="280" t="str">
        <f>IF(AND('Mapa final'!$J$55="Muy Baja",'Mapa final'!$N$55="Leve"),CONCATENATE("R",'Mapa final'!$A$55),"")</f>
        <v/>
      </c>
      <c r="O42" s="281"/>
      <c r="P42" s="279" t="str">
        <f>IF(AND('Mapa final'!$J$43="Muy Baja",'Mapa final'!$N$43="Menor"),CONCATENATE("R",'Mapa final'!$A$43),"")</f>
        <v/>
      </c>
      <c r="Q42" s="280"/>
      <c r="R42" s="280" t="str">
        <f>IF(AND('Mapa final'!$J$49="Muy Baja",'Mapa final'!$N$49="Menor"),CONCATENATE("R",'Mapa final'!$A$49),"")</f>
        <v/>
      </c>
      <c r="S42" s="280"/>
      <c r="T42" s="280" t="str">
        <f>IF(AND('Mapa final'!$J$55="Muy Baja",'Mapa final'!$N$55="Menor"),CONCATENATE("R",'Mapa final'!$A$55),"")</f>
        <v/>
      </c>
      <c r="U42" s="281"/>
      <c r="V42" s="288" t="str">
        <f>IF(AND('Mapa final'!$J$43="Muy Baja",'Mapa final'!$N$43="Moderado"),CONCATENATE("R",'Mapa final'!$A$43),"")</f>
        <v/>
      </c>
      <c r="W42" s="289"/>
      <c r="X42" s="289" t="str">
        <f>IF(AND('Mapa final'!$J$49="Muy Baja",'Mapa final'!$N$49="Moderado"),CONCATENATE("R",'Mapa final'!$A$49),"")</f>
        <v/>
      </c>
      <c r="Y42" s="289"/>
      <c r="Z42" s="289" t="str">
        <f>IF(AND('Mapa final'!$J$55="Muy Baja",'Mapa final'!$N$55="Moderado"),CONCATENATE("R",'Mapa final'!$A$55),"")</f>
        <v/>
      </c>
      <c r="AA42" s="290"/>
      <c r="AB42" s="306" t="str">
        <f>IF(AND('Mapa final'!$J$43="Muy Baja",'Mapa final'!$N$43="Mayor"),CONCATENATE("R",'Mapa final'!$A$43),"")</f>
        <v/>
      </c>
      <c r="AC42" s="307"/>
      <c r="AD42" s="307" t="str">
        <f>IF(AND('Mapa final'!$J$49="Muy Baja",'Mapa final'!$N$49="Mayor"),CONCATENATE("R",'Mapa final'!$A$49),"")</f>
        <v/>
      </c>
      <c r="AE42" s="307"/>
      <c r="AF42" s="307" t="str">
        <f>IF(AND('Mapa final'!$J$55="Muy Baja",'Mapa final'!$N$55="Mayor"),CONCATENATE("R",'Mapa final'!$A$55),"")</f>
        <v/>
      </c>
      <c r="AG42" s="308"/>
      <c r="AH42" s="297" t="str">
        <f>IF(AND('Mapa final'!$J$43="Muy Baja",'Mapa final'!$N$43="Catastrófico"),CONCATENATE("R",'Mapa final'!$A$43),"")</f>
        <v/>
      </c>
      <c r="AI42" s="298"/>
      <c r="AJ42" s="298" t="str">
        <f>IF(AND('Mapa final'!$J$49="Muy Baja",'Mapa final'!$N$49="Catastrófico"),CONCATENATE("R",'Mapa final'!$A$49),"")</f>
        <v/>
      </c>
      <c r="AK42" s="298"/>
      <c r="AL42" s="298" t="str">
        <f>IF(AND('Mapa final'!$J$55="Muy Baja",'Mapa final'!$N$55="Catastrófico"),CONCATENATE("R",'Mapa final'!$A$55),"")</f>
        <v/>
      </c>
      <c r="AM42" s="299"/>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326"/>
      <c r="C43" s="326"/>
      <c r="D43" s="327"/>
      <c r="E43" s="319"/>
      <c r="F43" s="320"/>
      <c r="G43" s="320"/>
      <c r="H43" s="320"/>
      <c r="I43" s="321"/>
      <c r="J43" s="279"/>
      <c r="K43" s="280"/>
      <c r="L43" s="280"/>
      <c r="M43" s="280"/>
      <c r="N43" s="280"/>
      <c r="O43" s="281"/>
      <c r="P43" s="279"/>
      <c r="Q43" s="280"/>
      <c r="R43" s="280"/>
      <c r="S43" s="280"/>
      <c r="T43" s="280"/>
      <c r="U43" s="281"/>
      <c r="V43" s="288"/>
      <c r="W43" s="289"/>
      <c r="X43" s="289"/>
      <c r="Y43" s="289"/>
      <c r="Z43" s="289"/>
      <c r="AA43" s="290"/>
      <c r="AB43" s="306"/>
      <c r="AC43" s="307"/>
      <c r="AD43" s="307"/>
      <c r="AE43" s="307"/>
      <c r="AF43" s="307"/>
      <c r="AG43" s="308"/>
      <c r="AH43" s="297"/>
      <c r="AI43" s="298"/>
      <c r="AJ43" s="298"/>
      <c r="AK43" s="298"/>
      <c r="AL43" s="298"/>
      <c r="AM43" s="299"/>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326"/>
      <c r="C44" s="326"/>
      <c r="D44" s="327"/>
      <c r="E44" s="319"/>
      <c r="F44" s="320"/>
      <c r="G44" s="320"/>
      <c r="H44" s="320"/>
      <c r="I44" s="321"/>
      <c r="J44" s="279" t="str">
        <f>IF(AND('Mapa final'!$J$61="Muy Baja",'Mapa final'!$N$61="Leve"),CONCATENATE("R",'Mapa final'!$A$61),"")</f>
        <v/>
      </c>
      <c r="K44" s="280"/>
      <c r="L44" s="280" t="str">
        <f>IF(AND('Mapa final'!$J$67="Muy Baja",'Mapa final'!$N$67="Leve"),CONCATENATE("R",'Mapa final'!$A$67),"")</f>
        <v/>
      </c>
      <c r="M44" s="280"/>
      <c r="N44" s="280" t="str">
        <f>IF(AND('Mapa final'!$J$73="Muy Baja",'Mapa final'!$N$73="Leve"),CONCATENATE("R",'Mapa final'!$A$73),"")</f>
        <v/>
      </c>
      <c r="O44" s="281"/>
      <c r="P44" s="279" t="str">
        <f>IF(AND('Mapa final'!$J$61="Muy Baja",'Mapa final'!$N$61="Menor"),CONCATENATE("R",'Mapa final'!$A$61),"")</f>
        <v/>
      </c>
      <c r="Q44" s="280"/>
      <c r="R44" s="280" t="str">
        <f>IF(AND('Mapa final'!$J$67="Muy Baja",'Mapa final'!$N$67="Menor"),CONCATENATE("R",'Mapa final'!$A$67),"")</f>
        <v/>
      </c>
      <c r="S44" s="280"/>
      <c r="T44" s="280" t="str">
        <f>IF(AND('Mapa final'!$J$73="Muy Baja",'Mapa final'!$N$73="Menor"),CONCATENATE("R",'Mapa final'!$A$73),"")</f>
        <v/>
      </c>
      <c r="U44" s="281"/>
      <c r="V44" s="288" t="str">
        <f>IF(AND('Mapa final'!$J$61="Muy Baja",'Mapa final'!$N$61="Moderado"),CONCATENATE("R",'Mapa final'!$A$61),"")</f>
        <v/>
      </c>
      <c r="W44" s="289"/>
      <c r="X44" s="289" t="str">
        <f>IF(AND('Mapa final'!$J$67="Muy Baja",'Mapa final'!$N$67="Moderado"),CONCATENATE("R",'Mapa final'!$A$67),"")</f>
        <v/>
      </c>
      <c r="Y44" s="289"/>
      <c r="Z44" s="289" t="str">
        <f>IF(AND('Mapa final'!$J$73="Muy Baja",'Mapa final'!$N$73="Moderado"),CONCATENATE("R",'Mapa final'!$A$73),"")</f>
        <v/>
      </c>
      <c r="AA44" s="290"/>
      <c r="AB44" s="306" t="str">
        <f>IF(AND('Mapa final'!$J$61="Muy Baja",'Mapa final'!$N$61="Mayor"),CONCATENATE("R",'Mapa final'!$A$61),"")</f>
        <v/>
      </c>
      <c r="AC44" s="307"/>
      <c r="AD44" s="307" t="str">
        <f>IF(AND('Mapa final'!$J$67="Muy Baja",'Mapa final'!$N$67="Mayor"),CONCATENATE("R",'Mapa final'!$A$67),"")</f>
        <v/>
      </c>
      <c r="AE44" s="307"/>
      <c r="AF44" s="307" t="str">
        <f>IF(AND('Mapa final'!$J$73="Muy Baja",'Mapa final'!$N$73="Mayor"),CONCATENATE("R",'Mapa final'!$A$73),"")</f>
        <v/>
      </c>
      <c r="AG44" s="308"/>
      <c r="AH44" s="297" t="str">
        <f>IF(AND('Mapa final'!$J$61="Muy Baja",'Mapa final'!$N$61="Catastrófico"),CONCATENATE("R",'Mapa final'!$A$61),"")</f>
        <v/>
      </c>
      <c r="AI44" s="298"/>
      <c r="AJ44" s="298" t="str">
        <f>IF(AND('Mapa final'!$J$67="Muy Baja",'Mapa final'!$N$67="Catastrófico"),CONCATENATE("R",'Mapa final'!$A$67),"")</f>
        <v/>
      </c>
      <c r="AK44" s="298"/>
      <c r="AL44" s="298" t="str">
        <f>IF(AND('Mapa final'!$J$73="Muy Baja",'Mapa final'!$N$73="Catastrófico"),CONCATENATE("R",'Mapa final'!$A$73),"")</f>
        <v/>
      </c>
      <c r="AM44" s="299"/>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326"/>
      <c r="C45" s="326"/>
      <c r="D45" s="327"/>
      <c r="E45" s="322"/>
      <c r="F45" s="323"/>
      <c r="G45" s="323"/>
      <c r="H45" s="323"/>
      <c r="I45" s="324"/>
      <c r="J45" s="282"/>
      <c r="K45" s="283"/>
      <c r="L45" s="283"/>
      <c r="M45" s="283"/>
      <c r="N45" s="283"/>
      <c r="O45" s="284"/>
      <c r="P45" s="282"/>
      <c r="Q45" s="283"/>
      <c r="R45" s="283"/>
      <c r="S45" s="283"/>
      <c r="T45" s="283"/>
      <c r="U45" s="284"/>
      <c r="V45" s="291"/>
      <c r="W45" s="292"/>
      <c r="X45" s="292"/>
      <c r="Y45" s="292"/>
      <c r="Z45" s="292"/>
      <c r="AA45" s="293"/>
      <c r="AB45" s="309"/>
      <c r="AC45" s="310"/>
      <c r="AD45" s="310"/>
      <c r="AE45" s="310"/>
      <c r="AF45" s="310"/>
      <c r="AG45" s="311"/>
      <c r="AH45" s="300"/>
      <c r="AI45" s="301"/>
      <c r="AJ45" s="301"/>
      <c r="AK45" s="301"/>
      <c r="AL45" s="301"/>
      <c r="AM45" s="302"/>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316" t="s">
        <v>107</v>
      </c>
      <c r="K46" s="317"/>
      <c r="L46" s="317"/>
      <c r="M46" s="317"/>
      <c r="N46" s="317"/>
      <c r="O46" s="318"/>
      <c r="P46" s="316" t="s">
        <v>106</v>
      </c>
      <c r="Q46" s="317"/>
      <c r="R46" s="317"/>
      <c r="S46" s="317"/>
      <c r="T46" s="317"/>
      <c r="U46" s="318"/>
      <c r="V46" s="316" t="s">
        <v>105</v>
      </c>
      <c r="W46" s="317"/>
      <c r="X46" s="317"/>
      <c r="Y46" s="317"/>
      <c r="Z46" s="317"/>
      <c r="AA46" s="318"/>
      <c r="AB46" s="316" t="s">
        <v>104</v>
      </c>
      <c r="AC46" s="325"/>
      <c r="AD46" s="317"/>
      <c r="AE46" s="317"/>
      <c r="AF46" s="317"/>
      <c r="AG46" s="318"/>
      <c r="AH46" s="316" t="s">
        <v>103</v>
      </c>
      <c r="AI46" s="317"/>
      <c r="AJ46" s="317"/>
      <c r="AK46" s="317"/>
      <c r="AL46" s="317"/>
      <c r="AM46" s="318"/>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319"/>
      <c r="K47" s="320"/>
      <c r="L47" s="320"/>
      <c r="M47" s="320"/>
      <c r="N47" s="320"/>
      <c r="O47" s="321"/>
      <c r="P47" s="319"/>
      <c r="Q47" s="320"/>
      <c r="R47" s="320"/>
      <c r="S47" s="320"/>
      <c r="T47" s="320"/>
      <c r="U47" s="321"/>
      <c r="V47" s="319"/>
      <c r="W47" s="320"/>
      <c r="X47" s="320"/>
      <c r="Y47" s="320"/>
      <c r="Z47" s="320"/>
      <c r="AA47" s="321"/>
      <c r="AB47" s="319"/>
      <c r="AC47" s="320"/>
      <c r="AD47" s="320"/>
      <c r="AE47" s="320"/>
      <c r="AF47" s="320"/>
      <c r="AG47" s="321"/>
      <c r="AH47" s="319"/>
      <c r="AI47" s="320"/>
      <c r="AJ47" s="320"/>
      <c r="AK47" s="320"/>
      <c r="AL47" s="320"/>
      <c r="AM47" s="321"/>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319"/>
      <c r="K48" s="320"/>
      <c r="L48" s="320"/>
      <c r="M48" s="320"/>
      <c r="N48" s="320"/>
      <c r="O48" s="321"/>
      <c r="P48" s="319"/>
      <c r="Q48" s="320"/>
      <c r="R48" s="320"/>
      <c r="S48" s="320"/>
      <c r="T48" s="320"/>
      <c r="U48" s="321"/>
      <c r="V48" s="319"/>
      <c r="W48" s="320"/>
      <c r="X48" s="320"/>
      <c r="Y48" s="320"/>
      <c r="Z48" s="320"/>
      <c r="AA48" s="321"/>
      <c r="AB48" s="319"/>
      <c r="AC48" s="320"/>
      <c r="AD48" s="320"/>
      <c r="AE48" s="320"/>
      <c r="AF48" s="320"/>
      <c r="AG48" s="321"/>
      <c r="AH48" s="319"/>
      <c r="AI48" s="320"/>
      <c r="AJ48" s="320"/>
      <c r="AK48" s="320"/>
      <c r="AL48" s="320"/>
      <c r="AM48" s="321"/>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319"/>
      <c r="K49" s="320"/>
      <c r="L49" s="320"/>
      <c r="M49" s="320"/>
      <c r="N49" s="320"/>
      <c r="O49" s="321"/>
      <c r="P49" s="319"/>
      <c r="Q49" s="320"/>
      <c r="R49" s="320"/>
      <c r="S49" s="320"/>
      <c r="T49" s="320"/>
      <c r="U49" s="321"/>
      <c r="V49" s="319"/>
      <c r="W49" s="320"/>
      <c r="X49" s="320"/>
      <c r="Y49" s="320"/>
      <c r="Z49" s="320"/>
      <c r="AA49" s="321"/>
      <c r="AB49" s="319"/>
      <c r="AC49" s="320"/>
      <c r="AD49" s="320"/>
      <c r="AE49" s="320"/>
      <c r="AF49" s="320"/>
      <c r="AG49" s="321"/>
      <c r="AH49" s="319"/>
      <c r="AI49" s="320"/>
      <c r="AJ49" s="320"/>
      <c r="AK49" s="320"/>
      <c r="AL49" s="320"/>
      <c r="AM49" s="321"/>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319"/>
      <c r="K50" s="320"/>
      <c r="L50" s="320"/>
      <c r="M50" s="320"/>
      <c r="N50" s="320"/>
      <c r="O50" s="321"/>
      <c r="P50" s="319"/>
      <c r="Q50" s="320"/>
      <c r="R50" s="320"/>
      <c r="S50" s="320"/>
      <c r="T50" s="320"/>
      <c r="U50" s="321"/>
      <c r="V50" s="319"/>
      <c r="W50" s="320"/>
      <c r="X50" s="320"/>
      <c r="Y50" s="320"/>
      <c r="Z50" s="320"/>
      <c r="AA50" s="321"/>
      <c r="AB50" s="319"/>
      <c r="AC50" s="320"/>
      <c r="AD50" s="320"/>
      <c r="AE50" s="320"/>
      <c r="AF50" s="320"/>
      <c r="AG50" s="321"/>
      <c r="AH50" s="319"/>
      <c r="AI50" s="320"/>
      <c r="AJ50" s="320"/>
      <c r="AK50" s="320"/>
      <c r="AL50" s="320"/>
      <c r="AM50" s="321"/>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322"/>
      <c r="K51" s="323"/>
      <c r="L51" s="323"/>
      <c r="M51" s="323"/>
      <c r="N51" s="323"/>
      <c r="O51" s="324"/>
      <c r="P51" s="322"/>
      <c r="Q51" s="323"/>
      <c r="R51" s="323"/>
      <c r="S51" s="323"/>
      <c r="T51" s="323"/>
      <c r="U51" s="324"/>
      <c r="V51" s="322"/>
      <c r="W51" s="323"/>
      <c r="X51" s="323"/>
      <c r="Y51" s="323"/>
      <c r="Z51" s="323"/>
      <c r="AA51" s="324"/>
      <c r="AB51" s="322"/>
      <c r="AC51" s="323"/>
      <c r="AD51" s="323"/>
      <c r="AE51" s="323"/>
      <c r="AF51" s="323"/>
      <c r="AG51" s="324"/>
      <c r="AH51" s="322"/>
      <c r="AI51" s="323"/>
      <c r="AJ51" s="323"/>
      <c r="AK51" s="323"/>
      <c r="AL51" s="323"/>
      <c r="AM51" s="324"/>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23" zoomScale="70" zoomScaleNormal="70" workbookViewId="0">
      <selection activeCell="X36" sqref="X3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393" t="s">
        <v>149</v>
      </c>
      <c r="C2" s="394"/>
      <c r="D2" s="394"/>
      <c r="E2" s="394"/>
      <c r="F2" s="394"/>
      <c r="G2" s="394"/>
      <c r="H2" s="394"/>
      <c r="I2" s="394"/>
      <c r="J2" s="315" t="s">
        <v>2</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394"/>
      <c r="C3" s="394"/>
      <c r="D3" s="394"/>
      <c r="E3" s="394"/>
      <c r="F3" s="394"/>
      <c r="G3" s="394"/>
      <c r="H3" s="394"/>
      <c r="I3" s="394"/>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394"/>
      <c r="C4" s="394"/>
      <c r="D4" s="394"/>
      <c r="E4" s="394"/>
      <c r="F4" s="394"/>
      <c r="G4" s="394"/>
      <c r="H4" s="394"/>
      <c r="I4" s="394"/>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326" t="s">
        <v>4</v>
      </c>
      <c r="C6" s="326"/>
      <c r="D6" s="327"/>
      <c r="E6" s="364" t="s">
        <v>111</v>
      </c>
      <c r="F6" s="365"/>
      <c r="G6" s="365"/>
      <c r="H6" s="365"/>
      <c r="I6" s="366"/>
      <c r="J6" s="30" t="str">
        <f>IF(AND('Mapa final'!$AA$10="Muy Alta",'Mapa final'!$AC$10="Leve"),CONCATENATE("R1C",'Mapa final'!$Q$10),"")</f>
        <v/>
      </c>
      <c r="K6" s="31" t="str">
        <f>IF(AND('Mapa final'!$AA$11="Muy Alta",'Mapa final'!$AC$11="Leve"),CONCATENATE("R1C",'Mapa final'!$Q$11),"")</f>
        <v/>
      </c>
      <c r="L6" s="31" t="str">
        <f>IF(AND('Mapa final'!$AA$12="Muy Alta",'Mapa final'!$AC$12="Leve"),CONCATENATE("R1C",'Mapa final'!$Q$12),"")</f>
        <v/>
      </c>
      <c r="M6" s="31" t="e">
        <f>IF(AND('Mapa final'!#REF!="Muy Alta",'Mapa final'!#REF!="Leve"),CONCATENATE("R1C",'Mapa final'!#REF!),"")</f>
        <v>#REF!</v>
      </c>
      <c r="N6" s="31" t="e">
        <f>IF(AND('Mapa final'!#REF!="Muy Alta",'Mapa final'!#REF!="Leve"),CONCATENATE("R1C",'Mapa final'!#REF!),"")</f>
        <v>#REF!</v>
      </c>
      <c r="O6" s="32" t="e">
        <f>IF(AND('Mapa final'!#REF!="Muy Alta",'Mapa final'!#REF!="Leve"),CONCATENATE("R1C",'Mapa final'!#REF!),"")</f>
        <v>#REF!</v>
      </c>
      <c r="P6" s="30" t="str">
        <f>IF(AND('Mapa final'!$AA$10="Muy Alta",'Mapa final'!$AC$10="Menor"),CONCATENATE("R1C",'Mapa final'!$Q$10),"")</f>
        <v/>
      </c>
      <c r="Q6" s="31" t="str">
        <f>IF(AND('Mapa final'!$AA$11="Muy Alta",'Mapa final'!$AC$11="Menor"),CONCATENATE("R1C",'Mapa final'!$Q$11),"")</f>
        <v/>
      </c>
      <c r="R6" s="31" t="str">
        <f>IF(AND('Mapa final'!$AA$12="Muy Alta",'Mapa final'!$AC$12="Menor"),CONCATENATE("R1C",'Mapa final'!$Q$12),"")</f>
        <v/>
      </c>
      <c r="S6" s="31" t="e">
        <f>IF(AND('Mapa final'!#REF!="Muy Alta",'Mapa final'!#REF!="Menor"),CONCATENATE("R1C",'Mapa final'!#REF!),"")</f>
        <v>#REF!</v>
      </c>
      <c r="T6" s="31" t="e">
        <f>IF(AND('Mapa final'!#REF!="Muy Alta",'Mapa final'!#REF!="Menor"),CONCATENATE("R1C",'Mapa final'!#REF!),"")</f>
        <v>#REF!</v>
      </c>
      <c r="U6" s="32" t="e">
        <f>IF(AND('Mapa final'!#REF!="Muy Alta",'Mapa final'!#REF!="Menor"),CONCATENATE("R1C",'Mapa final'!#REF!),"")</f>
        <v>#REF!</v>
      </c>
      <c r="V6" s="30" t="str">
        <f>IF(AND('Mapa final'!$AA$10="Muy Alta",'Mapa final'!$AC$10="Moderado"),CONCATENATE("R1C",'Mapa final'!$Q$10),"")</f>
        <v/>
      </c>
      <c r="W6" s="31" t="str">
        <f>IF(AND('Mapa final'!$AA$11="Muy Alta",'Mapa final'!$AC$11="Moderado"),CONCATENATE("R1C",'Mapa final'!$Q$11),"")</f>
        <v/>
      </c>
      <c r="X6" s="31" t="str">
        <f>IF(AND('Mapa final'!$AA$12="Muy Alta",'Mapa final'!$AC$12="Moderado"),CONCATENATE("R1C",'Mapa final'!$Q$12),"")</f>
        <v/>
      </c>
      <c r="Y6" s="31" t="e">
        <f>IF(AND('Mapa final'!#REF!="Muy Alta",'Mapa final'!#REF!="Moderado"),CONCATENATE("R1C",'Mapa final'!#REF!),"")</f>
        <v>#REF!</v>
      </c>
      <c r="Z6" s="31" t="e">
        <f>IF(AND('Mapa final'!#REF!="Muy Alta",'Mapa final'!#REF!="Moderado"),CONCATENATE("R1C",'Mapa final'!#REF!),"")</f>
        <v>#REF!</v>
      </c>
      <c r="AA6" s="32" t="e">
        <f>IF(AND('Mapa final'!#REF!="Muy Alta",'Mapa final'!#REF!="Moderado"),CONCATENATE("R1C",'Mapa final'!#REF!),"")</f>
        <v>#REF!</v>
      </c>
      <c r="AB6" s="30" t="str">
        <f>IF(AND('Mapa final'!$AA$10="Muy Alta",'Mapa final'!$AC$10="Mayor"),CONCATENATE("R1C",'Mapa final'!$Q$10),"")</f>
        <v/>
      </c>
      <c r="AC6" s="31" t="str">
        <f>IF(AND('Mapa final'!$AA$11="Muy Alta",'Mapa final'!$AC$11="Mayor"),CONCATENATE("R1C",'Mapa final'!$Q$11),"")</f>
        <v/>
      </c>
      <c r="AD6" s="31" t="str">
        <f>IF(AND('Mapa final'!$AA$12="Muy Alta",'Mapa final'!$AC$12="Mayor"),CONCATENATE("R1C",'Mapa final'!$Q$12),"")</f>
        <v/>
      </c>
      <c r="AE6" s="31" t="e">
        <f>IF(AND('Mapa final'!#REF!="Muy Alta",'Mapa final'!#REF!="Mayor"),CONCATENATE("R1C",'Mapa final'!#REF!),"")</f>
        <v>#REF!</v>
      </c>
      <c r="AF6" s="31" t="e">
        <f>IF(AND('Mapa final'!#REF!="Muy Alta",'Mapa final'!#REF!="Mayor"),CONCATENATE("R1C",'Mapa final'!#REF!),"")</f>
        <v>#REF!</v>
      </c>
      <c r="AG6" s="32" t="e">
        <f>IF(AND('Mapa final'!#REF!="Muy Alta",'Mapa final'!#REF!="Mayor"),CONCATENATE("R1C",'Mapa final'!#REF!),"")</f>
        <v>#REF!</v>
      </c>
      <c r="AH6" s="33" t="str">
        <f>IF(AND('Mapa final'!$AA$10="Muy Alta",'Mapa final'!$AC$10="Catastrófico"),CONCATENATE("R1C",'Mapa final'!$Q$10),"")</f>
        <v/>
      </c>
      <c r="AI6" s="34" t="str">
        <f>IF(AND('Mapa final'!$AA$11="Muy Alta",'Mapa final'!$AC$11="Catastrófico"),CONCATENATE("R1C",'Mapa final'!$Q$11),"")</f>
        <v/>
      </c>
      <c r="AJ6" s="34" t="str">
        <f>IF(AND('Mapa final'!$AA$12="Muy Alta",'Mapa final'!$AC$12="Catastrófico"),CONCATENATE("R1C",'Mapa final'!$Q$12),"")</f>
        <v/>
      </c>
      <c r="AK6" s="34" t="e">
        <f>IF(AND('Mapa final'!#REF!="Muy Alta",'Mapa final'!#REF!="Catastrófico"),CONCATENATE("R1C",'Mapa final'!#REF!),"")</f>
        <v>#REF!</v>
      </c>
      <c r="AL6" s="34" t="e">
        <f>IF(AND('Mapa final'!#REF!="Muy Alta",'Mapa final'!#REF!="Catastrófico"),CONCATENATE("R1C",'Mapa final'!#REF!),"")</f>
        <v>#REF!</v>
      </c>
      <c r="AM6" s="35" t="e">
        <f>IF(AND('Mapa final'!#REF!="Muy Alta",'Mapa final'!#REF!="Catastrófico"),CONCATENATE("R1C",'Mapa final'!#REF!),"")</f>
        <v>#REF!</v>
      </c>
      <c r="AN6" s="67"/>
      <c r="AO6" s="384" t="s">
        <v>78</v>
      </c>
      <c r="AP6" s="385"/>
      <c r="AQ6" s="385"/>
      <c r="AR6" s="385"/>
      <c r="AS6" s="385"/>
      <c r="AT6" s="386"/>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326"/>
      <c r="C7" s="326"/>
      <c r="D7" s="327"/>
      <c r="E7" s="367"/>
      <c r="F7" s="368"/>
      <c r="G7" s="368"/>
      <c r="H7" s="368"/>
      <c r="I7" s="369"/>
      <c r="J7" s="36" t="str">
        <f>IF(AND('Mapa final'!$AA$13="Muy Alta",'Mapa final'!$AC$13="Leve"),CONCATENATE("R2C",'Mapa final'!$Q$13),"")</f>
        <v/>
      </c>
      <c r="K7" s="37" t="str">
        <f>IF(AND('Mapa final'!$AA$14="Muy Alta",'Mapa final'!$AC$14="Leve"),CONCATENATE("R2C",'Mapa final'!$Q$14),"")</f>
        <v/>
      </c>
      <c r="L7" s="37" t="str">
        <f>IF(AND('Mapa final'!$AA$15="Muy Alta",'Mapa final'!$AC$15="Leve"),CONCATENATE("R2C",'Mapa final'!$Q$15),"")</f>
        <v/>
      </c>
      <c r="M7" s="37" t="str">
        <f>IF(AND('Mapa final'!$AA$16="Muy Alta",'Mapa final'!$AC$16="Leve"),CONCATENATE("R2C",'Mapa final'!$Q$16),"")</f>
        <v/>
      </c>
      <c r="N7" s="37" t="str">
        <f>IF(AND('Mapa final'!$AA$17="Muy Alta",'Mapa final'!$AC$17="Leve"),CONCATENATE("R2C",'Mapa final'!$Q$17),"")</f>
        <v/>
      </c>
      <c r="O7" s="38" t="str">
        <f>IF(AND('Mapa final'!$AA$18="Muy Alta",'Mapa final'!$AC$18="Leve"),CONCATENATE("R2C",'Mapa final'!$Q$18),"")</f>
        <v/>
      </c>
      <c r="P7" s="36" t="str">
        <f>IF(AND('Mapa final'!$AA$13="Muy Alta",'Mapa final'!$AC$13="Menor"),CONCATENATE("R2C",'Mapa final'!$Q$13),"")</f>
        <v/>
      </c>
      <c r="Q7" s="37" t="str">
        <f>IF(AND('Mapa final'!$AA$14="Muy Alta",'Mapa final'!$AC$14="Menor"),CONCATENATE("R2C",'Mapa final'!$Q$14),"")</f>
        <v/>
      </c>
      <c r="R7" s="37" t="str">
        <f>IF(AND('Mapa final'!$AA$15="Muy Alta",'Mapa final'!$AC$15="Menor"),CONCATENATE("R2C",'Mapa final'!$Q$15),"")</f>
        <v/>
      </c>
      <c r="S7" s="37" t="str">
        <f>IF(AND('Mapa final'!$AA$16="Muy Alta",'Mapa final'!$AC$16="Menor"),CONCATENATE("R2C",'Mapa final'!$Q$16),"")</f>
        <v/>
      </c>
      <c r="T7" s="37" t="str">
        <f>IF(AND('Mapa final'!$AA$17="Muy Alta",'Mapa final'!$AC$17="Menor"),CONCATENATE("R2C",'Mapa final'!$Q$17),"")</f>
        <v/>
      </c>
      <c r="U7" s="38" t="str">
        <f>IF(AND('Mapa final'!$AA$18="Muy Alta",'Mapa final'!$AC$18="Menor"),CONCATENATE("R2C",'Mapa final'!$Q$18),"")</f>
        <v/>
      </c>
      <c r="V7" s="36" t="str">
        <f>IF(AND('Mapa final'!$AA$13="Muy Alta",'Mapa final'!$AC$13="Moderado"),CONCATENATE("R2C",'Mapa final'!$Q$13),"")</f>
        <v/>
      </c>
      <c r="W7" s="37" t="str">
        <f>IF(AND('Mapa final'!$AA$14="Muy Alta",'Mapa final'!$AC$14="Moderado"),CONCATENATE("R2C",'Mapa final'!$Q$14),"")</f>
        <v/>
      </c>
      <c r="X7" s="37" t="str">
        <f>IF(AND('Mapa final'!$AA$15="Muy Alta",'Mapa final'!$AC$15="Moderado"),CONCATENATE("R2C",'Mapa final'!$Q$15),"")</f>
        <v/>
      </c>
      <c r="Y7" s="37" t="str">
        <f>IF(AND('Mapa final'!$AA$16="Muy Alta",'Mapa final'!$AC$16="Moderado"),CONCATENATE("R2C",'Mapa final'!$Q$16),"")</f>
        <v/>
      </c>
      <c r="Z7" s="37" t="str">
        <f>IF(AND('Mapa final'!$AA$17="Muy Alta",'Mapa final'!$AC$17="Moderado"),CONCATENATE("R2C",'Mapa final'!$Q$17),"")</f>
        <v/>
      </c>
      <c r="AA7" s="38" t="str">
        <f>IF(AND('Mapa final'!$AA$18="Muy Alta",'Mapa final'!$AC$18="Moderado"),CONCATENATE("R2C",'Mapa final'!$Q$18),"")</f>
        <v/>
      </c>
      <c r="AB7" s="36" t="str">
        <f>IF(AND('Mapa final'!$AA$13="Muy Alta",'Mapa final'!$AC$13="Mayor"),CONCATENATE("R2C",'Mapa final'!$Q$13),"")</f>
        <v/>
      </c>
      <c r="AC7" s="37" t="str">
        <f>IF(AND('Mapa final'!$AA$14="Muy Alta",'Mapa final'!$AC$14="Mayor"),CONCATENATE("R2C",'Mapa final'!$Q$14),"")</f>
        <v/>
      </c>
      <c r="AD7" s="37" t="str">
        <f>IF(AND('Mapa final'!$AA$15="Muy Alta",'Mapa final'!$AC$15="Mayor"),CONCATENATE("R2C",'Mapa final'!$Q$15),"")</f>
        <v/>
      </c>
      <c r="AE7" s="37" t="str">
        <f>IF(AND('Mapa final'!$AA$16="Muy Alta",'Mapa final'!$AC$16="Mayor"),CONCATENATE("R2C",'Mapa final'!$Q$16),"")</f>
        <v/>
      </c>
      <c r="AF7" s="37" t="str">
        <f>IF(AND('Mapa final'!$AA$17="Muy Alta",'Mapa final'!$AC$17="Mayor"),CONCATENATE("R2C",'Mapa final'!$Q$17),"")</f>
        <v/>
      </c>
      <c r="AG7" s="38" t="str">
        <f>IF(AND('Mapa final'!$AA$18="Muy Alta",'Mapa final'!$AC$18="Mayor"),CONCATENATE("R2C",'Mapa final'!$Q$18),"")</f>
        <v/>
      </c>
      <c r="AH7" s="39" t="str">
        <f>IF(AND('Mapa final'!$AA$13="Muy Alta",'Mapa final'!$AC$13="Catastrófico"),CONCATENATE("R2C",'Mapa final'!$Q$13),"")</f>
        <v/>
      </c>
      <c r="AI7" s="40" t="str">
        <f>IF(AND('Mapa final'!$AA$14="Muy Alta",'Mapa final'!$AC$14="Catastrófico"),CONCATENATE("R2C",'Mapa final'!$Q$14),"")</f>
        <v/>
      </c>
      <c r="AJ7" s="40" t="str">
        <f>IF(AND('Mapa final'!$AA$15="Muy Alta",'Mapa final'!$AC$15="Catastrófico"),CONCATENATE("R2C",'Mapa final'!$Q$15),"")</f>
        <v/>
      </c>
      <c r="AK7" s="40" t="str">
        <f>IF(AND('Mapa final'!$AA$16="Muy Alta",'Mapa final'!$AC$16="Catastrófico"),CONCATENATE("R2C",'Mapa final'!$Q$16),"")</f>
        <v/>
      </c>
      <c r="AL7" s="40" t="str">
        <f>IF(AND('Mapa final'!$AA$17="Muy Alta",'Mapa final'!$AC$17="Catastrófico"),CONCATENATE("R2C",'Mapa final'!$Q$17),"")</f>
        <v/>
      </c>
      <c r="AM7" s="41" t="str">
        <f>IF(AND('Mapa final'!$AA$18="Muy Alta",'Mapa final'!$AC$18="Catastrófico"),CONCATENATE("R2C",'Mapa final'!$Q$18),"")</f>
        <v/>
      </c>
      <c r="AN7" s="67"/>
      <c r="AO7" s="387"/>
      <c r="AP7" s="388"/>
      <c r="AQ7" s="388"/>
      <c r="AR7" s="388"/>
      <c r="AS7" s="388"/>
      <c r="AT7" s="389"/>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326"/>
      <c r="C8" s="326"/>
      <c r="D8" s="327"/>
      <c r="E8" s="367"/>
      <c r="F8" s="368"/>
      <c r="G8" s="368"/>
      <c r="H8" s="368"/>
      <c r="I8" s="369"/>
      <c r="J8" s="36" t="str">
        <f>IF(AND('Mapa final'!$AA$19="Muy Alta",'Mapa final'!$AC$19="Leve"),CONCATENATE("R3C",'Mapa final'!$Q$19),"")</f>
        <v/>
      </c>
      <c r="K8" s="37" t="str">
        <f>IF(AND('Mapa final'!$AA$20="Muy Alta",'Mapa final'!$AC$20="Leve"),CONCATENATE("R3C",'Mapa final'!$Q$20),"")</f>
        <v/>
      </c>
      <c r="L8" s="37" t="str">
        <f>IF(AND('Mapa final'!$AA$21="Muy Alta",'Mapa final'!$AC$21="Leve"),CONCATENATE("R3C",'Mapa final'!$Q$21),"")</f>
        <v/>
      </c>
      <c r="M8" s="37" t="str">
        <f>IF(AND('Mapa final'!$AA$22="Muy Alta",'Mapa final'!$AC$22="Leve"),CONCATENATE("R3C",'Mapa final'!$Q$22),"")</f>
        <v/>
      </c>
      <c r="N8" s="37" t="str">
        <f>IF(AND('Mapa final'!$AA$23="Muy Alta",'Mapa final'!$AC$23="Leve"),CONCATENATE("R3C",'Mapa final'!$Q$23),"")</f>
        <v/>
      </c>
      <c r="O8" s="38" t="str">
        <f>IF(AND('Mapa final'!$AA$24="Muy Alta",'Mapa final'!$AC$24="Leve"),CONCATENATE("R3C",'Mapa final'!$Q$24),"")</f>
        <v/>
      </c>
      <c r="P8" s="36" t="str">
        <f>IF(AND('Mapa final'!$AA$19="Muy Alta",'Mapa final'!$AC$19="Menor"),CONCATENATE("R3C",'Mapa final'!$Q$19),"")</f>
        <v/>
      </c>
      <c r="Q8" s="37" t="str">
        <f>IF(AND('Mapa final'!$AA$20="Muy Alta",'Mapa final'!$AC$20="Menor"),CONCATENATE("R3C",'Mapa final'!$Q$20),"")</f>
        <v/>
      </c>
      <c r="R8" s="37" t="str">
        <f>IF(AND('Mapa final'!$AA$21="Muy Alta",'Mapa final'!$AC$21="Menor"),CONCATENATE("R3C",'Mapa final'!$Q$21),"")</f>
        <v/>
      </c>
      <c r="S8" s="37" t="str">
        <f>IF(AND('Mapa final'!$AA$22="Muy Alta",'Mapa final'!$AC$22="Menor"),CONCATENATE("R3C",'Mapa final'!$Q$22),"")</f>
        <v/>
      </c>
      <c r="T8" s="37" t="str">
        <f>IF(AND('Mapa final'!$AA$23="Muy Alta",'Mapa final'!$AC$23="Menor"),CONCATENATE("R3C",'Mapa final'!$Q$23),"")</f>
        <v/>
      </c>
      <c r="U8" s="38" t="str">
        <f>IF(AND('Mapa final'!$AA$24="Muy Alta",'Mapa final'!$AC$24="Menor"),CONCATENATE("R3C",'Mapa final'!$Q$24),"")</f>
        <v/>
      </c>
      <c r="V8" s="36" t="str">
        <f>IF(AND('Mapa final'!$AA$19="Muy Alta",'Mapa final'!$AC$19="Moderado"),CONCATENATE("R3C",'Mapa final'!$Q$19),"")</f>
        <v/>
      </c>
      <c r="W8" s="37" t="str">
        <f>IF(AND('Mapa final'!$AA$20="Muy Alta",'Mapa final'!$AC$20="Moderado"),CONCATENATE("R3C",'Mapa final'!$Q$20),"")</f>
        <v/>
      </c>
      <c r="X8" s="37" t="str">
        <f>IF(AND('Mapa final'!$AA$21="Muy Alta",'Mapa final'!$AC$21="Moderado"),CONCATENATE("R3C",'Mapa final'!$Q$21),"")</f>
        <v/>
      </c>
      <c r="Y8" s="37" t="str">
        <f>IF(AND('Mapa final'!$AA$22="Muy Alta",'Mapa final'!$AC$22="Moderado"),CONCATENATE("R3C",'Mapa final'!$Q$22),"")</f>
        <v/>
      </c>
      <c r="Z8" s="37" t="str">
        <f>IF(AND('Mapa final'!$AA$23="Muy Alta",'Mapa final'!$AC$23="Moderado"),CONCATENATE("R3C",'Mapa final'!$Q$23),"")</f>
        <v/>
      </c>
      <c r="AA8" s="38" t="str">
        <f>IF(AND('Mapa final'!$AA$24="Muy Alta",'Mapa final'!$AC$24="Moderado"),CONCATENATE("R3C",'Mapa final'!$Q$24),"")</f>
        <v/>
      </c>
      <c r="AB8" s="36" t="str">
        <f>IF(AND('Mapa final'!$AA$19="Muy Alta",'Mapa final'!$AC$19="Mayor"),CONCATENATE("R3C",'Mapa final'!$Q$19),"")</f>
        <v/>
      </c>
      <c r="AC8" s="37" t="str">
        <f>IF(AND('Mapa final'!$AA$20="Muy Alta",'Mapa final'!$AC$20="Mayor"),CONCATENATE("R3C",'Mapa final'!$Q$20),"")</f>
        <v/>
      </c>
      <c r="AD8" s="37" t="str">
        <f>IF(AND('Mapa final'!$AA$21="Muy Alta",'Mapa final'!$AC$21="Mayor"),CONCATENATE("R3C",'Mapa final'!$Q$21),"")</f>
        <v/>
      </c>
      <c r="AE8" s="37" t="str">
        <f>IF(AND('Mapa final'!$AA$22="Muy Alta",'Mapa final'!$AC$22="Mayor"),CONCATENATE("R3C",'Mapa final'!$Q$22),"")</f>
        <v/>
      </c>
      <c r="AF8" s="37" t="str">
        <f>IF(AND('Mapa final'!$AA$23="Muy Alta",'Mapa final'!$AC$23="Mayor"),CONCATENATE("R3C",'Mapa final'!$Q$23),"")</f>
        <v/>
      </c>
      <c r="AG8" s="38" t="str">
        <f>IF(AND('Mapa final'!$AA$24="Muy Alta",'Mapa final'!$AC$24="Mayor"),CONCATENATE("R3C",'Mapa final'!$Q$24),"")</f>
        <v/>
      </c>
      <c r="AH8" s="39" t="str">
        <f>IF(AND('Mapa final'!$AA$19="Muy Alta",'Mapa final'!$AC$19="Catastrófico"),CONCATENATE("R3C",'Mapa final'!$Q$19),"")</f>
        <v/>
      </c>
      <c r="AI8" s="40" t="str">
        <f>IF(AND('Mapa final'!$AA$20="Muy Alta",'Mapa final'!$AC$20="Catastrófico"),CONCATENATE("R3C",'Mapa final'!$Q$20),"")</f>
        <v/>
      </c>
      <c r="AJ8" s="40" t="str">
        <f>IF(AND('Mapa final'!$AA$21="Muy Alta",'Mapa final'!$AC$21="Catastrófico"),CONCATENATE("R3C",'Mapa final'!$Q$21),"")</f>
        <v/>
      </c>
      <c r="AK8" s="40" t="str">
        <f>IF(AND('Mapa final'!$AA$22="Muy Alta",'Mapa final'!$AC$22="Catastrófico"),CONCATENATE("R3C",'Mapa final'!$Q$22),"")</f>
        <v/>
      </c>
      <c r="AL8" s="40" t="str">
        <f>IF(AND('Mapa final'!$AA$23="Muy Alta",'Mapa final'!$AC$23="Catastrófico"),CONCATENATE("R3C",'Mapa final'!$Q$23),"")</f>
        <v/>
      </c>
      <c r="AM8" s="41" t="str">
        <f>IF(AND('Mapa final'!$AA$24="Muy Alta",'Mapa final'!$AC$24="Catastrófico"),CONCATENATE("R3C",'Mapa final'!$Q$24),"")</f>
        <v/>
      </c>
      <c r="AN8" s="67"/>
      <c r="AO8" s="387"/>
      <c r="AP8" s="388"/>
      <c r="AQ8" s="388"/>
      <c r="AR8" s="388"/>
      <c r="AS8" s="388"/>
      <c r="AT8" s="389"/>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326"/>
      <c r="C9" s="326"/>
      <c r="D9" s="327"/>
      <c r="E9" s="367"/>
      <c r="F9" s="368"/>
      <c r="G9" s="368"/>
      <c r="H9" s="368"/>
      <c r="I9" s="369"/>
      <c r="J9" s="36" t="str">
        <f>IF(AND('Mapa final'!$AA$25="Muy Alta",'Mapa final'!$AC$25="Leve"),CONCATENATE("R4C",'Mapa final'!$Q$25),"")</f>
        <v/>
      </c>
      <c r="K9" s="37" t="str">
        <f>IF(AND('Mapa final'!$AA$26="Muy Alta",'Mapa final'!$AC$26="Leve"),CONCATENATE("R4C",'Mapa final'!$Q$26),"")</f>
        <v/>
      </c>
      <c r="L9" s="37" t="str">
        <f>IF(AND('Mapa final'!$AA$27="Muy Alta",'Mapa final'!$AC$27="Leve"),CONCATENATE("R4C",'Mapa final'!$Q$27),"")</f>
        <v/>
      </c>
      <c r="M9" s="37" t="str">
        <f>IF(AND('Mapa final'!$AA$28="Muy Alta",'Mapa final'!$AC$28="Leve"),CONCATENATE("R4C",'Mapa final'!$Q$28),"")</f>
        <v/>
      </c>
      <c r="N9" s="37" t="str">
        <f>IF(AND('Mapa final'!$AA$29="Muy Alta",'Mapa final'!$AC$29="Leve"),CONCATENATE("R4C",'Mapa final'!$Q$29),"")</f>
        <v/>
      </c>
      <c r="O9" s="38" t="str">
        <f>IF(AND('Mapa final'!$AA$30="Muy Alta",'Mapa final'!$AC$30="Leve"),CONCATENATE("R4C",'Mapa final'!$Q$30),"")</f>
        <v/>
      </c>
      <c r="P9" s="36" t="str">
        <f>IF(AND('Mapa final'!$AA$25="Muy Alta",'Mapa final'!$AC$25="Menor"),CONCATENATE("R4C",'Mapa final'!$Q$25),"")</f>
        <v/>
      </c>
      <c r="Q9" s="37" t="str">
        <f>IF(AND('Mapa final'!$AA$26="Muy Alta",'Mapa final'!$AC$26="Menor"),CONCATENATE("R4C",'Mapa final'!$Q$26),"")</f>
        <v/>
      </c>
      <c r="R9" s="37" t="str">
        <f>IF(AND('Mapa final'!$AA$27="Muy Alta",'Mapa final'!$AC$27="Menor"),CONCATENATE("R4C",'Mapa final'!$Q$27),"")</f>
        <v/>
      </c>
      <c r="S9" s="37" t="str">
        <f>IF(AND('Mapa final'!$AA$28="Muy Alta",'Mapa final'!$AC$28="Menor"),CONCATENATE("R4C",'Mapa final'!$Q$28),"")</f>
        <v/>
      </c>
      <c r="T9" s="37" t="str">
        <f>IF(AND('Mapa final'!$AA$29="Muy Alta",'Mapa final'!$AC$29="Menor"),CONCATENATE("R4C",'Mapa final'!$Q$29),"")</f>
        <v/>
      </c>
      <c r="U9" s="38" t="str">
        <f>IF(AND('Mapa final'!$AA$30="Muy Alta",'Mapa final'!$AC$30="Menor"),CONCATENATE("R4C",'Mapa final'!$Q$30),"")</f>
        <v/>
      </c>
      <c r="V9" s="36" t="str">
        <f>IF(AND('Mapa final'!$AA$25="Muy Alta",'Mapa final'!$AC$25="Moderado"),CONCATENATE("R4C",'Mapa final'!$Q$25),"")</f>
        <v/>
      </c>
      <c r="W9" s="37" t="str">
        <f>IF(AND('Mapa final'!$AA$26="Muy Alta",'Mapa final'!$AC$26="Moderado"),CONCATENATE("R4C",'Mapa final'!$Q$26),"")</f>
        <v/>
      </c>
      <c r="X9" s="37" t="str">
        <f>IF(AND('Mapa final'!$AA$27="Muy Alta",'Mapa final'!$AC$27="Moderado"),CONCATENATE("R4C",'Mapa final'!$Q$27),"")</f>
        <v/>
      </c>
      <c r="Y9" s="37" t="str">
        <f>IF(AND('Mapa final'!$AA$28="Muy Alta",'Mapa final'!$AC$28="Moderado"),CONCATENATE("R4C",'Mapa final'!$Q$28),"")</f>
        <v/>
      </c>
      <c r="Z9" s="37" t="str">
        <f>IF(AND('Mapa final'!$AA$29="Muy Alta",'Mapa final'!$AC$29="Moderado"),CONCATENATE("R4C",'Mapa final'!$Q$29),"")</f>
        <v/>
      </c>
      <c r="AA9" s="38" t="str">
        <f>IF(AND('Mapa final'!$AA$30="Muy Alta",'Mapa final'!$AC$30="Moderado"),CONCATENATE("R4C",'Mapa final'!$Q$30),"")</f>
        <v/>
      </c>
      <c r="AB9" s="36" t="str">
        <f>IF(AND('Mapa final'!$AA$25="Muy Alta",'Mapa final'!$AC$25="Mayor"),CONCATENATE("R4C",'Mapa final'!$Q$25),"")</f>
        <v/>
      </c>
      <c r="AC9" s="37" t="str">
        <f>IF(AND('Mapa final'!$AA$26="Muy Alta",'Mapa final'!$AC$26="Mayor"),CONCATENATE("R4C",'Mapa final'!$Q$26),"")</f>
        <v/>
      </c>
      <c r="AD9" s="37" t="str">
        <f>IF(AND('Mapa final'!$AA$27="Muy Alta",'Mapa final'!$AC$27="Mayor"),CONCATENATE("R4C",'Mapa final'!$Q$27),"")</f>
        <v/>
      </c>
      <c r="AE9" s="37" t="str">
        <f>IF(AND('Mapa final'!$AA$28="Muy Alta",'Mapa final'!$AC$28="Mayor"),CONCATENATE("R4C",'Mapa final'!$Q$28),"")</f>
        <v/>
      </c>
      <c r="AF9" s="37" t="str">
        <f>IF(AND('Mapa final'!$AA$29="Muy Alta",'Mapa final'!$AC$29="Mayor"),CONCATENATE("R4C",'Mapa final'!$Q$29),"")</f>
        <v/>
      </c>
      <c r="AG9" s="38" t="str">
        <f>IF(AND('Mapa final'!$AA$30="Muy Alta",'Mapa final'!$AC$30="Mayor"),CONCATENATE("R4C",'Mapa final'!$Q$30),"")</f>
        <v/>
      </c>
      <c r="AH9" s="39" t="str">
        <f>IF(AND('Mapa final'!$AA$25="Muy Alta",'Mapa final'!$AC$25="Catastrófico"),CONCATENATE("R4C",'Mapa final'!$Q$25),"")</f>
        <v/>
      </c>
      <c r="AI9" s="40" t="str">
        <f>IF(AND('Mapa final'!$AA$26="Muy Alta",'Mapa final'!$AC$26="Catastrófico"),CONCATENATE("R4C",'Mapa final'!$Q$26),"")</f>
        <v/>
      </c>
      <c r="AJ9" s="40" t="str">
        <f>IF(AND('Mapa final'!$AA$27="Muy Alta",'Mapa final'!$AC$27="Catastrófico"),CONCATENATE("R4C",'Mapa final'!$Q$27),"")</f>
        <v/>
      </c>
      <c r="AK9" s="40" t="str">
        <f>IF(AND('Mapa final'!$AA$28="Muy Alta",'Mapa final'!$AC$28="Catastrófico"),CONCATENATE("R4C",'Mapa final'!$Q$28),"")</f>
        <v/>
      </c>
      <c r="AL9" s="40" t="str">
        <f>IF(AND('Mapa final'!$AA$29="Muy Alta",'Mapa final'!$AC$29="Catastrófico"),CONCATENATE("R4C",'Mapa final'!$Q$29),"")</f>
        <v/>
      </c>
      <c r="AM9" s="41" t="str">
        <f>IF(AND('Mapa final'!$AA$30="Muy Alta",'Mapa final'!$AC$30="Catastrófico"),CONCATENATE("R4C",'Mapa final'!$Q$30),"")</f>
        <v/>
      </c>
      <c r="AN9" s="67"/>
      <c r="AO9" s="387"/>
      <c r="AP9" s="388"/>
      <c r="AQ9" s="388"/>
      <c r="AR9" s="388"/>
      <c r="AS9" s="388"/>
      <c r="AT9" s="389"/>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326"/>
      <c r="C10" s="326"/>
      <c r="D10" s="327"/>
      <c r="E10" s="367"/>
      <c r="F10" s="368"/>
      <c r="G10" s="368"/>
      <c r="H10" s="368"/>
      <c r="I10" s="369"/>
      <c r="J10" s="36" t="str">
        <f>IF(AND('Mapa final'!$AA$31="Muy Alta",'Mapa final'!$AC$31="Leve"),CONCATENATE("R5C",'Mapa final'!$Q$31),"")</f>
        <v/>
      </c>
      <c r="K10" s="37" t="str">
        <f>IF(AND('Mapa final'!$AA$32="Muy Alta",'Mapa final'!$AC$32="Leve"),CONCATENATE("R5C",'Mapa final'!$Q$32),"")</f>
        <v/>
      </c>
      <c r="L10" s="37" t="str">
        <f>IF(AND('Mapa final'!$AA$33="Muy Alta",'Mapa final'!$AC$33="Leve"),CONCATENATE("R5C",'Mapa final'!$Q$33),"")</f>
        <v/>
      </c>
      <c r="M10" s="37" t="str">
        <f>IF(AND('Mapa final'!$AA$34="Muy Alta",'Mapa final'!$AC$34="Leve"),CONCATENATE("R5C",'Mapa final'!$Q$34),"")</f>
        <v/>
      </c>
      <c r="N10" s="37" t="str">
        <f>IF(AND('Mapa final'!$AA$35="Muy Alta",'Mapa final'!$AC$35="Leve"),CONCATENATE("R5C",'Mapa final'!$Q$35),"")</f>
        <v/>
      </c>
      <c r="O10" s="38" t="str">
        <f>IF(AND('Mapa final'!$AA$36="Muy Alta",'Mapa final'!$AC$36="Leve"),CONCATENATE("R5C",'Mapa final'!$Q$36),"")</f>
        <v/>
      </c>
      <c r="P10" s="36" t="str">
        <f>IF(AND('Mapa final'!$AA$31="Muy Alta",'Mapa final'!$AC$31="Menor"),CONCATENATE("R5C",'Mapa final'!$Q$31),"")</f>
        <v/>
      </c>
      <c r="Q10" s="37" t="str">
        <f>IF(AND('Mapa final'!$AA$32="Muy Alta",'Mapa final'!$AC$32="Menor"),CONCATENATE("R5C",'Mapa final'!$Q$32),"")</f>
        <v/>
      </c>
      <c r="R10" s="37" t="str">
        <f>IF(AND('Mapa final'!$AA$33="Muy Alta",'Mapa final'!$AC$33="Menor"),CONCATENATE("R5C",'Mapa final'!$Q$33),"")</f>
        <v/>
      </c>
      <c r="S10" s="37" t="str">
        <f>IF(AND('Mapa final'!$AA$34="Muy Alta",'Mapa final'!$AC$34="Menor"),CONCATENATE("R5C",'Mapa final'!$Q$34),"")</f>
        <v/>
      </c>
      <c r="T10" s="37" t="str">
        <f>IF(AND('Mapa final'!$AA$35="Muy Alta",'Mapa final'!$AC$35="Menor"),CONCATENATE("R5C",'Mapa final'!$Q$35),"")</f>
        <v/>
      </c>
      <c r="U10" s="38" t="str">
        <f>IF(AND('Mapa final'!$AA$36="Muy Alta",'Mapa final'!$AC$36="Menor"),CONCATENATE("R5C",'Mapa final'!$Q$36),"")</f>
        <v/>
      </c>
      <c r="V10" s="36" t="str">
        <f>IF(AND('Mapa final'!$AA$31="Muy Alta",'Mapa final'!$AC$31="Moderado"),CONCATENATE("R5C",'Mapa final'!$Q$31),"")</f>
        <v/>
      </c>
      <c r="W10" s="37" t="str">
        <f>IF(AND('Mapa final'!$AA$32="Muy Alta",'Mapa final'!$AC$32="Moderado"),CONCATENATE("R5C",'Mapa final'!$Q$32),"")</f>
        <v/>
      </c>
      <c r="X10" s="37" t="str">
        <f>IF(AND('Mapa final'!$AA$33="Muy Alta",'Mapa final'!$AC$33="Moderado"),CONCATENATE("R5C",'Mapa final'!$Q$33),"")</f>
        <v/>
      </c>
      <c r="Y10" s="37" t="str">
        <f>IF(AND('Mapa final'!$AA$34="Muy Alta",'Mapa final'!$AC$34="Moderado"),CONCATENATE("R5C",'Mapa final'!$Q$34),"")</f>
        <v/>
      </c>
      <c r="Z10" s="37" t="str">
        <f>IF(AND('Mapa final'!$AA$35="Muy Alta",'Mapa final'!$AC$35="Moderado"),CONCATENATE("R5C",'Mapa final'!$Q$35),"")</f>
        <v/>
      </c>
      <c r="AA10" s="38" t="str">
        <f>IF(AND('Mapa final'!$AA$36="Muy Alta",'Mapa final'!$AC$36="Moderado"),CONCATENATE("R5C",'Mapa final'!$Q$36),"")</f>
        <v/>
      </c>
      <c r="AB10" s="36" t="str">
        <f>IF(AND('Mapa final'!$AA$31="Muy Alta",'Mapa final'!$AC$31="Mayor"),CONCATENATE("R5C",'Mapa final'!$Q$31),"")</f>
        <v/>
      </c>
      <c r="AC10" s="37" t="str">
        <f>IF(AND('Mapa final'!$AA$32="Muy Alta",'Mapa final'!$AC$32="Mayor"),CONCATENATE("R5C",'Mapa final'!$Q$32),"")</f>
        <v/>
      </c>
      <c r="AD10" s="37" t="str">
        <f>IF(AND('Mapa final'!$AA$33="Muy Alta",'Mapa final'!$AC$33="Mayor"),CONCATENATE("R5C",'Mapa final'!$Q$33),"")</f>
        <v/>
      </c>
      <c r="AE10" s="37" t="str">
        <f>IF(AND('Mapa final'!$AA$34="Muy Alta",'Mapa final'!$AC$34="Mayor"),CONCATENATE("R5C",'Mapa final'!$Q$34),"")</f>
        <v/>
      </c>
      <c r="AF10" s="37" t="str">
        <f>IF(AND('Mapa final'!$AA$35="Muy Alta",'Mapa final'!$AC$35="Mayor"),CONCATENATE("R5C",'Mapa final'!$Q$35),"")</f>
        <v/>
      </c>
      <c r="AG10" s="38" t="str">
        <f>IF(AND('Mapa final'!$AA$36="Muy Alta",'Mapa final'!$AC$36="Mayor"),CONCATENATE("R5C",'Mapa final'!$Q$36),"")</f>
        <v/>
      </c>
      <c r="AH10" s="39" t="str">
        <f>IF(AND('Mapa final'!$AA$31="Muy Alta",'Mapa final'!$AC$31="Catastrófico"),CONCATENATE("R5C",'Mapa final'!$Q$31),"")</f>
        <v/>
      </c>
      <c r="AI10" s="40" t="str">
        <f>IF(AND('Mapa final'!$AA$32="Muy Alta",'Mapa final'!$AC$32="Catastrófico"),CONCATENATE("R5C",'Mapa final'!$Q$32),"")</f>
        <v/>
      </c>
      <c r="AJ10" s="40" t="str">
        <f>IF(AND('Mapa final'!$AA$33="Muy Alta",'Mapa final'!$AC$33="Catastrófico"),CONCATENATE("R5C",'Mapa final'!$Q$33),"")</f>
        <v/>
      </c>
      <c r="AK10" s="40" t="str">
        <f>IF(AND('Mapa final'!$AA$34="Muy Alta",'Mapa final'!$AC$34="Catastrófico"),CONCATENATE("R5C",'Mapa final'!$Q$34),"")</f>
        <v/>
      </c>
      <c r="AL10" s="40" t="str">
        <f>IF(AND('Mapa final'!$AA$35="Muy Alta",'Mapa final'!$AC$35="Catastrófico"),CONCATENATE("R5C",'Mapa final'!$Q$35),"")</f>
        <v/>
      </c>
      <c r="AM10" s="41" t="str">
        <f>IF(AND('Mapa final'!$AA$36="Muy Alta",'Mapa final'!$AC$36="Catastrófico"),CONCATENATE("R5C",'Mapa final'!$Q$36),"")</f>
        <v/>
      </c>
      <c r="AN10" s="67"/>
      <c r="AO10" s="387"/>
      <c r="AP10" s="388"/>
      <c r="AQ10" s="388"/>
      <c r="AR10" s="388"/>
      <c r="AS10" s="388"/>
      <c r="AT10" s="389"/>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326"/>
      <c r="C11" s="326"/>
      <c r="D11" s="327"/>
      <c r="E11" s="367"/>
      <c r="F11" s="368"/>
      <c r="G11" s="368"/>
      <c r="H11" s="368"/>
      <c r="I11" s="369"/>
      <c r="J11" s="36" t="str">
        <f>IF(AND('Mapa final'!$AA$37="Muy Alta",'Mapa final'!$AC$37="Leve"),CONCATENATE("R6C",'Mapa final'!$Q$37),"")</f>
        <v/>
      </c>
      <c r="K11" s="37" t="str">
        <f>IF(AND('Mapa final'!$AA$38="Muy Alta",'Mapa final'!$AC$38="Leve"),CONCATENATE("R6C",'Mapa final'!$Q$38),"")</f>
        <v/>
      </c>
      <c r="L11" s="37" t="str">
        <f>IF(AND('Mapa final'!$AA$39="Muy Alta",'Mapa final'!$AC$39="Leve"),CONCATENATE("R6C",'Mapa final'!$Q$39),"")</f>
        <v/>
      </c>
      <c r="M11" s="37" t="str">
        <f>IF(AND('Mapa final'!$AA$40="Muy Alta",'Mapa final'!$AC$40="Leve"),CONCATENATE("R6C",'Mapa final'!$Q$40),"")</f>
        <v/>
      </c>
      <c r="N11" s="37" t="str">
        <f>IF(AND('Mapa final'!$AA$41="Muy Alta",'Mapa final'!$AC$41="Leve"),CONCATENATE("R6C",'Mapa final'!$Q$41),"")</f>
        <v/>
      </c>
      <c r="O11" s="38" t="str">
        <f>IF(AND('Mapa final'!$AA$42="Muy Alta",'Mapa final'!$AC$42="Leve"),CONCATENATE("R6C",'Mapa final'!$Q$42),"")</f>
        <v/>
      </c>
      <c r="P11" s="36" t="str">
        <f>IF(AND('Mapa final'!$AA$37="Muy Alta",'Mapa final'!$AC$37="Menor"),CONCATENATE("R6C",'Mapa final'!$Q$37),"")</f>
        <v/>
      </c>
      <c r="Q11" s="37" t="str">
        <f>IF(AND('Mapa final'!$AA$38="Muy Alta",'Mapa final'!$AC$38="Menor"),CONCATENATE("R6C",'Mapa final'!$Q$38),"")</f>
        <v/>
      </c>
      <c r="R11" s="37" t="str">
        <f>IF(AND('Mapa final'!$AA$39="Muy Alta",'Mapa final'!$AC$39="Menor"),CONCATENATE("R6C",'Mapa final'!$Q$39),"")</f>
        <v/>
      </c>
      <c r="S11" s="37" t="str">
        <f>IF(AND('Mapa final'!$AA$40="Muy Alta",'Mapa final'!$AC$40="Menor"),CONCATENATE("R6C",'Mapa final'!$Q$40),"")</f>
        <v/>
      </c>
      <c r="T11" s="37" t="str">
        <f>IF(AND('Mapa final'!$AA$41="Muy Alta",'Mapa final'!$AC$41="Menor"),CONCATENATE("R6C",'Mapa final'!$Q$41),"")</f>
        <v/>
      </c>
      <c r="U11" s="38" t="str">
        <f>IF(AND('Mapa final'!$AA$42="Muy Alta",'Mapa final'!$AC$42="Menor"),CONCATENATE("R6C",'Mapa final'!$Q$42),"")</f>
        <v/>
      </c>
      <c r="V11" s="36" t="str">
        <f>IF(AND('Mapa final'!$AA$37="Muy Alta",'Mapa final'!$AC$37="Moderado"),CONCATENATE("R6C",'Mapa final'!$Q$37),"")</f>
        <v/>
      </c>
      <c r="W11" s="37" t="str">
        <f>IF(AND('Mapa final'!$AA$38="Muy Alta",'Mapa final'!$AC$38="Moderado"),CONCATENATE("R6C",'Mapa final'!$Q$38),"")</f>
        <v/>
      </c>
      <c r="X11" s="37" t="str">
        <f>IF(AND('Mapa final'!$AA$39="Muy Alta",'Mapa final'!$AC$39="Moderado"),CONCATENATE("R6C",'Mapa final'!$Q$39),"")</f>
        <v/>
      </c>
      <c r="Y11" s="37" t="str">
        <f>IF(AND('Mapa final'!$AA$40="Muy Alta",'Mapa final'!$AC$40="Moderado"),CONCATENATE("R6C",'Mapa final'!$Q$40),"")</f>
        <v/>
      </c>
      <c r="Z11" s="37" t="str">
        <f>IF(AND('Mapa final'!$AA$41="Muy Alta",'Mapa final'!$AC$41="Moderado"),CONCATENATE("R6C",'Mapa final'!$Q$41),"")</f>
        <v/>
      </c>
      <c r="AA11" s="38" t="str">
        <f>IF(AND('Mapa final'!$AA$42="Muy Alta",'Mapa final'!$AC$42="Moderado"),CONCATENATE("R6C",'Mapa final'!$Q$42),"")</f>
        <v/>
      </c>
      <c r="AB11" s="36" t="str">
        <f>IF(AND('Mapa final'!$AA$37="Muy Alta",'Mapa final'!$AC$37="Mayor"),CONCATENATE("R6C",'Mapa final'!$Q$37),"")</f>
        <v/>
      </c>
      <c r="AC11" s="37" t="str">
        <f>IF(AND('Mapa final'!$AA$38="Muy Alta",'Mapa final'!$AC$38="Mayor"),CONCATENATE("R6C",'Mapa final'!$Q$38),"")</f>
        <v/>
      </c>
      <c r="AD11" s="37" t="str">
        <f>IF(AND('Mapa final'!$AA$39="Muy Alta",'Mapa final'!$AC$39="Mayor"),CONCATENATE("R6C",'Mapa final'!$Q$39),"")</f>
        <v/>
      </c>
      <c r="AE11" s="37" t="str">
        <f>IF(AND('Mapa final'!$AA$40="Muy Alta",'Mapa final'!$AC$40="Mayor"),CONCATENATE("R6C",'Mapa final'!$Q$40),"")</f>
        <v/>
      </c>
      <c r="AF11" s="37" t="str">
        <f>IF(AND('Mapa final'!$AA$41="Muy Alta",'Mapa final'!$AC$41="Mayor"),CONCATENATE("R6C",'Mapa final'!$Q$41),"")</f>
        <v/>
      </c>
      <c r="AG11" s="38" t="str">
        <f>IF(AND('Mapa final'!$AA$42="Muy Alta",'Mapa final'!$AC$42="Mayor"),CONCATENATE("R6C",'Mapa final'!$Q$42),"")</f>
        <v/>
      </c>
      <c r="AH11" s="39" t="str">
        <f>IF(AND('Mapa final'!$AA$37="Muy Alta",'Mapa final'!$AC$37="Catastrófico"),CONCATENATE("R6C",'Mapa final'!$Q$37),"")</f>
        <v/>
      </c>
      <c r="AI11" s="40" t="str">
        <f>IF(AND('Mapa final'!$AA$38="Muy Alta",'Mapa final'!$AC$38="Catastrófico"),CONCATENATE("R6C",'Mapa final'!$Q$38),"")</f>
        <v/>
      </c>
      <c r="AJ11" s="40" t="str">
        <f>IF(AND('Mapa final'!$AA$39="Muy Alta",'Mapa final'!$AC$39="Catastrófico"),CONCATENATE("R6C",'Mapa final'!$Q$39),"")</f>
        <v/>
      </c>
      <c r="AK11" s="40" t="str">
        <f>IF(AND('Mapa final'!$AA$40="Muy Alta",'Mapa final'!$AC$40="Catastrófico"),CONCATENATE("R6C",'Mapa final'!$Q$40),"")</f>
        <v/>
      </c>
      <c r="AL11" s="40" t="str">
        <f>IF(AND('Mapa final'!$AA$41="Muy Alta",'Mapa final'!$AC$41="Catastrófico"),CONCATENATE("R6C",'Mapa final'!$Q$41),"")</f>
        <v/>
      </c>
      <c r="AM11" s="41" t="str">
        <f>IF(AND('Mapa final'!$AA$42="Muy Alta",'Mapa final'!$AC$42="Catastrófico"),CONCATENATE("R6C",'Mapa final'!$Q$42),"")</f>
        <v/>
      </c>
      <c r="AN11" s="67"/>
      <c r="AO11" s="387"/>
      <c r="AP11" s="388"/>
      <c r="AQ11" s="388"/>
      <c r="AR11" s="388"/>
      <c r="AS11" s="388"/>
      <c r="AT11" s="389"/>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326"/>
      <c r="C12" s="326"/>
      <c r="D12" s="327"/>
      <c r="E12" s="367"/>
      <c r="F12" s="368"/>
      <c r="G12" s="368"/>
      <c r="H12" s="368"/>
      <c r="I12" s="369"/>
      <c r="J12" s="36" t="str">
        <f>IF(AND('Mapa final'!$AA$43="Muy Alta",'Mapa final'!$AC$43="Leve"),CONCATENATE("R7C",'Mapa final'!$Q$43),"")</f>
        <v/>
      </c>
      <c r="K12" s="37" t="str">
        <f>IF(AND('Mapa final'!$AA$44="Muy Alta",'Mapa final'!$AC$44="Leve"),CONCATENATE("R7C",'Mapa final'!$Q$44),"")</f>
        <v/>
      </c>
      <c r="L12" s="37" t="str">
        <f>IF(AND('Mapa final'!$AA$45="Muy Alta",'Mapa final'!$AC$45="Leve"),CONCATENATE("R7C",'Mapa final'!$Q$45),"")</f>
        <v/>
      </c>
      <c r="M12" s="37" t="str">
        <f>IF(AND('Mapa final'!$AA$46="Muy Alta",'Mapa final'!$AC$46="Leve"),CONCATENATE("R7C",'Mapa final'!$Q$46),"")</f>
        <v/>
      </c>
      <c r="N12" s="37" t="str">
        <f>IF(AND('Mapa final'!$AA$47="Muy Alta",'Mapa final'!$AC$47="Leve"),CONCATENATE("R7C",'Mapa final'!$Q$47),"")</f>
        <v/>
      </c>
      <c r="O12" s="38" t="str">
        <f>IF(AND('Mapa final'!$AA$48="Muy Alta",'Mapa final'!$AC$48="Leve"),CONCATENATE("R7C",'Mapa final'!$Q$48),"")</f>
        <v/>
      </c>
      <c r="P12" s="36" t="str">
        <f>IF(AND('Mapa final'!$AA$43="Muy Alta",'Mapa final'!$AC$43="Menor"),CONCATENATE("R7C",'Mapa final'!$Q$43),"")</f>
        <v/>
      </c>
      <c r="Q12" s="37" t="str">
        <f>IF(AND('Mapa final'!$AA$44="Muy Alta",'Mapa final'!$AC$44="Menor"),CONCATENATE("R7C",'Mapa final'!$Q$44),"")</f>
        <v/>
      </c>
      <c r="R12" s="37" t="str">
        <f>IF(AND('Mapa final'!$AA$45="Muy Alta",'Mapa final'!$AC$45="Menor"),CONCATENATE("R7C",'Mapa final'!$Q$45),"")</f>
        <v/>
      </c>
      <c r="S12" s="37" t="str">
        <f>IF(AND('Mapa final'!$AA$46="Muy Alta",'Mapa final'!$AC$46="Menor"),CONCATENATE("R7C",'Mapa final'!$Q$46),"")</f>
        <v/>
      </c>
      <c r="T12" s="37" t="str">
        <f>IF(AND('Mapa final'!$AA$47="Muy Alta",'Mapa final'!$AC$47="Menor"),CONCATENATE("R7C",'Mapa final'!$Q$47),"")</f>
        <v/>
      </c>
      <c r="U12" s="38" t="str">
        <f>IF(AND('Mapa final'!$AA$48="Muy Alta",'Mapa final'!$AC$48="Menor"),CONCATENATE("R7C",'Mapa final'!$Q$48),"")</f>
        <v/>
      </c>
      <c r="V12" s="36" t="str">
        <f>IF(AND('Mapa final'!$AA$43="Muy Alta",'Mapa final'!$AC$43="Moderado"),CONCATENATE("R7C",'Mapa final'!$Q$43),"")</f>
        <v/>
      </c>
      <c r="W12" s="37" t="str">
        <f>IF(AND('Mapa final'!$AA$44="Muy Alta",'Mapa final'!$AC$44="Moderado"),CONCATENATE("R7C",'Mapa final'!$Q$44),"")</f>
        <v/>
      </c>
      <c r="X12" s="37" t="str">
        <f>IF(AND('Mapa final'!$AA$45="Muy Alta",'Mapa final'!$AC$45="Moderado"),CONCATENATE("R7C",'Mapa final'!$Q$45),"")</f>
        <v/>
      </c>
      <c r="Y12" s="37" t="str">
        <f>IF(AND('Mapa final'!$AA$46="Muy Alta",'Mapa final'!$AC$46="Moderado"),CONCATENATE("R7C",'Mapa final'!$Q$46),"")</f>
        <v/>
      </c>
      <c r="Z12" s="37" t="str">
        <f>IF(AND('Mapa final'!$AA$47="Muy Alta",'Mapa final'!$AC$47="Moderado"),CONCATENATE("R7C",'Mapa final'!$Q$47),"")</f>
        <v/>
      </c>
      <c r="AA12" s="38" t="str">
        <f>IF(AND('Mapa final'!$AA$48="Muy Alta",'Mapa final'!$AC$48="Moderado"),CONCATENATE("R7C",'Mapa final'!$Q$48),"")</f>
        <v/>
      </c>
      <c r="AB12" s="36" t="str">
        <f>IF(AND('Mapa final'!$AA$43="Muy Alta",'Mapa final'!$AC$43="Mayor"),CONCATENATE("R7C",'Mapa final'!$Q$43),"")</f>
        <v/>
      </c>
      <c r="AC12" s="37" t="str">
        <f>IF(AND('Mapa final'!$AA$44="Muy Alta",'Mapa final'!$AC$44="Mayor"),CONCATENATE("R7C",'Mapa final'!$Q$44),"")</f>
        <v/>
      </c>
      <c r="AD12" s="37" t="str">
        <f>IF(AND('Mapa final'!$AA$45="Muy Alta",'Mapa final'!$AC$45="Mayor"),CONCATENATE("R7C",'Mapa final'!$Q$45),"")</f>
        <v/>
      </c>
      <c r="AE12" s="37" t="str">
        <f>IF(AND('Mapa final'!$AA$46="Muy Alta",'Mapa final'!$AC$46="Mayor"),CONCATENATE("R7C",'Mapa final'!$Q$46),"")</f>
        <v/>
      </c>
      <c r="AF12" s="37" t="str">
        <f>IF(AND('Mapa final'!$AA$47="Muy Alta",'Mapa final'!$AC$47="Mayor"),CONCATENATE("R7C",'Mapa final'!$Q$47),"")</f>
        <v/>
      </c>
      <c r="AG12" s="38" t="str">
        <f>IF(AND('Mapa final'!$AA$48="Muy Alta",'Mapa final'!$AC$48="Mayor"),CONCATENATE("R7C",'Mapa final'!$Q$48),"")</f>
        <v/>
      </c>
      <c r="AH12" s="39" t="str">
        <f>IF(AND('Mapa final'!$AA$43="Muy Alta",'Mapa final'!$AC$43="Catastrófico"),CONCATENATE("R7C",'Mapa final'!$Q$43),"")</f>
        <v/>
      </c>
      <c r="AI12" s="40" t="str">
        <f>IF(AND('Mapa final'!$AA$44="Muy Alta",'Mapa final'!$AC$44="Catastrófico"),CONCATENATE("R7C",'Mapa final'!$Q$44),"")</f>
        <v/>
      </c>
      <c r="AJ12" s="40" t="str">
        <f>IF(AND('Mapa final'!$AA$45="Muy Alta",'Mapa final'!$AC$45="Catastrófico"),CONCATENATE("R7C",'Mapa final'!$Q$45),"")</f>
        <v/>
      </c>
      <c r="AK12" s="40" t="str">
        <f>IF(AND('Mapa final'!$AA$46="Muy Alta",'Mapa final'!$AC$46="Catastrófico"),CONCATENATE("R7C",'Mapa final'!$Q$46),"")</f>
        <v/>
      </c>
      <c r="AL12" s="40" t="str">
        <f>IF(AND('Mapa final'!$AA$47="Muy Alta",'Mapa final'!$AC$47="Catastrófico"),CONCATENATE("R7C",'Mapa final'!$Q$47),"")</f>
        <v/>
      </c>
      <c r="AM12" s="41" t="str">
        <f>IF(AND('Mapa final'!$AA$48="Muy Alta",'Mapa final'!$AC$48="Catastrófico"),CONCATENATE("R7C",'Mapa final'!$Q$48),"")</f>
        <v/>
      </c>
      <c r="AN12" s="67"/>
      <c r="AO12" s="387"/>
      <c r="AP12" s="388"/>
      <c r="AQ12" s="388"/>
      <c r="AR12" s="388"/>
      <c r="AS12" s="388"/>
      <c r="AT12" s="389"/>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326"/>
      <c r="C13" s="326"/>
      <c r="D13" s="327"/>
      <c r="E13" s="367"/>
      <c r="F13" s="368"/>
      <c r="G13" s="368"/>
      <c r="H13" s="368"/>
      <c r="I13" s="369"/>
      <c r="J13" s="36" t="str">
        <f>IF(AND('Mapa final'!$AA$49="Muy Alta",'Mapa final'!$AC$49="Leve"),CONCATENATE("R8C",'Mapa final'!$Q$49),"")</f>
        <v/>
      </c>
      <c r="K13" s="37" t="str">
        <f>IF(AND('Mapa final'!$AA$50="Muy Alta",'Mapa final'!$AC$50="Leve"),CONCATENATE("R8C",'Mapa final'!$Q$50),"")</f>
        <v/>
      </c>
      <c r="L13" s="37" t="str">
        <f>IF(AND('Mapa final'!$AA$51="Muy Alta",'Mapa final'!$AC$51="Leve"),CONCATENATE("R8C",'Mapa final'!$Q$51),"")</f>
        <v/>
      </c>
      <c r="M13" s="37" t="str">
        <f>IF(AND('Mapa final'!$AA$52="Muy Alta",'Mapa final'!$AC$52="Leve"),CONCATENATE("R8C",'Mapa final'!$Q$52),"")</f>
        <v/>
      </c>
      <c r="N13" s="37" t="str">
        <f>IF(AND('Mapa final'!$AA$53="Muy Alta",'Mapa final'!$AC$53="Leve"),CONCATENATE("R8C",'Mapa final'!$Q$53),"")</f>
        <v/>
      </c>
      <c r="O13" s="38" t="str">
        <f>IF(AND('Mapa final'!$AA$54="Muy Alta",'Mapa final'!$AC$54="Leve"),CONCATENATE("R8C",'Mapa final'!$Q$54),"")</f>
        <v/>
      </c>
      <c r="P13" s="36" t="str">
        <f>IF(AND('Mapa final'!$AA$49="Muy Alta",'Mapa final'!$AC$49="Menor"),CONCATENATE("R8C",'Mapa final'!$Q$49),"")</f>
        <v/>
      </c>
      <c r="Q13" s="37" t="str">
        <f>IF(AND('Mapa final'!$AA$50="Muy Alta",'Mapa final'!$AC$50="Menor"),CONCATENATE("R8C",'Mapa final'!$Q$50),"")</f>
        <v/>
      </c>
      <c r="R13" s="37" t="str">
        <f>IF(AND('Mapa final'!$AA$51="Muy Alta",'Mapa final'!$AC$51="Menor"),CONCATENATE("R8C",'Mapa final'!$Q$51),"")</f>
        <v/>
      </c>
      <c r="S13" s="37" t="str">
        <f>IF(AND('Mapa final'!$AA$52="Muy Alta",'Mapa final'!$AC$52="Menor"),CONCATENATE("R8C",'Mapa final'!$Q$52),"")</f>
        <v/>
      </c>
      <c r="T13" s="37" t="str">
        <f>IF(AND('Mapa final'!$AA$53="Muy Alta",'Mapa final'!$AC$53="Menor"),CONCATENATE("R8C",'Mapa final'!$Q$53),"")</f>
        <v/>
      </c>
      <c r="U13" s="38" t="str">
        <f>IF(AND('Mapa final'!$AA$54="Muy Alta",'Mapa final'!$AC$54="Menor"),CONCATENATE("R8C",'Mapa final'!$Q$54),"")</f>
        <v/>
      </c>
      <c r="V13" s="36" t="str">
        <f>IF(AND('Mapa final'!$AA$49="Muy Alta",'Mapa final'!$AC$49="Moderado"),CONCATENATE("R8C",'Mapa final'!$Q$49),"")</f>
        <v/>
      </c>
      <c r="W13" s="37" t="str">
        <f>IF(AND('Mapa final'!$AA$50="Muy Alta",'Mapa final'!$AC$50="Moderado"),CONCATENATE("R8C",'Mapa final'!$Q$50),"")</f>
        <v/>
      </c>
      <c r="X13" s="37" t="str">
        <f>IF(AND('Mapa final'!$AA$51="Muy Alta",'Mapa final'!$AC$51="Moderado"),CONCATENATE("R8C",'Mapa final'!$Q$51),"")</f>
        <v/>
      </c>
      <c r="Y13" s="37" t="str">
        <f>IF(AND('Mapa final'!$AA$52="Muy Alta",'Mapa final'!$AC$52="Moderado"),CONCATENATE("R8C",'Mapa final'!$Q$52),"")</f>
        <v/>
      </c>
      <c r="Z13" s="37" t="str">
        <f>IF(AND('Mapa final'!$AA$53="Muy Alta",'Mapa final'!$AC$53="Moderado"),CONCATENATE("R8C",'Mapa final'!$Q$53),"")</f>
        <v/>
      </c>
      <c r="AA13" s="38" t="str">
        <f>IF(AND('Mapa final'!$AA$54="Muy Alta",'Mapa final'!$AC$54="Moderado"),CONCATENATE("R8C",'Mapa final'!$Q$54),"")</f>
        <v/>
      </c>
      <c r="AB13" s="36" t="str">
        <f>IF(AND('Mapa final'!$AA$49="Muy Alta",'Mapa final'!$AC$49="Mayor"),CONCATENATE("R8C",'Mapa final'!$Q$49),"")</f>
        <v/>
      </c>
      <c r="AC13" s="37" t="str">
        <f>IF(AND('Mapa final'!$AA$50="Muy Alta",'Mapa final'!$AC$50="Mayor"),CONCATENATE("R8C",'Mapa final'!$Q$50),"")</f>
        <v/>
      </c>
      <c r="AD13" s="37" t="str">
        <f>IF(AND('Mapa final'!$AA$51="Muy Alta",'Mapa final'!$AC$51="Mayor"),CONCATENATE("R8C",'Mapa final'!$Q$51),"")</f>
        <v/>
      </c>
      <c r="AE13" s="37" t="str">
        <f>IF(AND('Mapa final'!$AA$52="Muy Alta",'Mapa final'!$AC$52="Mayor"),CONCATENATE("R8C",'Mapa final'!$Q$52),"")</f>
        <v/>
      </c>
      <c r="AF13" s="37" t="str">
        <f>IF(AND('Mapa final'!$AA$53="Muy Alta",'Mapa final'!$AC$53="Mayor"),CONCATENATE("R8C",'Mapa final'!$Q$53),"")</f>
        <v/>
      </c>
      <c r="AG13" s="38" t="str">
        <f>IF(AND('Mapa final'!$AA$54="Muy Alta",'Mapa final'!$AC$54="Mayor"),CONCATENATE("R8C",'Mapa final'!$Q$54),"")</f>
        <v/>
      </c>
      <c r="AH13" s="39" t="str">
        <f>IF(AND('Mapa final'!$AA$49="Muy Alta",'Mapa final'!$AC$49="Catastrófico"),CONCATENATE("R8C",'Mapa final'!$Q$49),"")</f>
        <v/>
      </c>
      <c r="AI13" s="40" t="str">
        <f>IF(AND('Mapa final'!$AA$50="Muy Alta",'Mapa final'!$AC$50="Catastrófico"),CONCATENATE("R8C",'Mapa final'!$Q$50),"")</f>
        <v/>
      </c>
      <c r="AJ13" s="40" t="str">
        <f>IF(AND('Mapa final'!$AA$51="Muy Alta",'Mapa final'!$AC$51="Catastrófico"),CONCATENATE("R8C",'Mapa final'!$Q$51),"")</f>
        <v/>
      </c>
      <c r="AK13" s="40" t="str">
        <f>IF(AND('Mapa final'!$AA$52="Muy Alta",'Mapa final'!$AC$52="Catastrófico"),CONCATENATE("R8C",'Mapa final'!$Q$52),"")</f>
        <v/>
      </c>
      <c r="AL13" s="40" t="str">
        <f>IF(AND('Mapa final'!$AA$53="Muy Alta",'Mapa final'!$AC$53="Catastrófico"),CONCATENATE("R8C",'Mapa final'!$Q$53),"")</f>
        <v/>
      </c>
      <c r="AM13" s="41" t="str">
        <f>IF(AND('Mapa final'!$AA$54="Muy Alta",'Mapa final'!$AC$54="Catastrófico"),CONCATENATE("R8C",'Mapa final'!$Q$54),"")</f>
        <v/>
      </c>
      <c r="AN13" s="67"/>
      <c r="AO13" s="387"/>
      <c r="AP13" s="388"/>
      <c r="AQ13" s="388"/>
      <c r="AR13" s="388"/>
      <c r="AS13" s="388"/>
      <c r="AT13" s="389"/>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326"/>
      <c r="C14" s="326"/>
      <c r="D14" s="327"/>
      <c r="E14" s="367"/>
      <c r="F14" s="368"/>
      <c r="G14" s="368"/>
      <c r="H14" s="368"/>
      <c r="I14" s="369"/>
      <c r="J14" s="36" t="str">
        <f>IF(AND('Mapa final'!$AA$55="Muy Alta",'Mapa final'!$AC$55="Leve"),CONCATENATE("R9C",'Mapa final'!$Q$55),"")</f>
        <v/>
      </c>
      <c r="K14" s="37" t="str">
        <f>IF(AND('Mapa final'!$AA$56="Muy Alta",'Mapa final'!$AC$56="Leve"),CONCATENATE("R9C",'Mapa final'!$Q$56),"")</f>
        <v/>
      </c>
      <c r="L14" s="37" t="str">
        <f>IF(AND('Mapa final'!$AA$57="Muy Alta",'Mapa final'!$AC$57="Leve"),CONCATENATE("R9C",'Mapa final'!$Q$57),"")</f>
        <v/>
      </c>
      <c r="M14" s="37" t="str">
        <f>IF(AND('Mapa final'!$AA$58="Muy Alta",'Mapa final'!$AC$58="Leve"),CONCATENATE("R9C",'Mapa final'!$Q$58),"")</f>
        <v/>
      </c>
      <c r="N14" s="37" t="str">
        <f>IF(AND('Mapa final'!$AA$59="Muy Alta",'Mapa final'!$AC$59="Leve"),CONCATENATE("R9C",'Mapa final'!$Q$59),"")</f>
        <v/>
      </c>
      <c r="O14" s="38" t="str">
        <f>IF(AND('Mapa final'!$AA$60="Muy Alta",'Mapa final'!$AC$60="Leve"),CONCATENATE("R9C",'Mapa final'!$Q$60),"")</f>
        <v/>
      </c>
      <c r="P14" s="36" t="str">
        <f>IF(AND('Mapa final'!$AA$55="Muy Alta",'Mapa final'!$AC$55="Menor"),CONCATENATE("R9C",'Mapa final'!$Q$55),"")</f>
        <v/>
      </c>
      <c r="Q14" s="37" t="str">
        <f>IF(AND('Mapa final'!$AA$56="Muy Alta",'Mapa final'!$AC$56="Menor"),CONCATENATE("R9C",'Mapa final'!$Q$56),"")</f>
        <v/>
      </c>
      <c r="R14" s="37" t="str">
        <f>IF(AND('Mapa final'!$AA$57="Muy Alta",'Mapa final'!$AC$57="Menor"),CONCATENATE("R9C",'Mapa final'!$Q$57),"")</f>
        <v/>
      </c>
      <c r="S14" s="37" t="str">
        <f>IF(AND('Mapa final'!$AA$58="Muy Alta",'Mapa final'!$AC$58="Menor"),CONCATENATE("R9C",'Mapa final'!$Q$58),"")</f>
        <v/>
      </c>
      <c r="T14" s="37" t="str">
        <f>IF(AND('Mapa final'!$AA$59="Muy Alta",'Mapa final'!$AC$59="Menor"),CONCATENATE("R9C",'Mapa final'!$Q$59),"")</f>
        <v/>
      </c>
      <c r="U14" s="38" t="str">
        <f>IF(AND('Mapa final'!$AA$60="Muy Alta",'Mapa final'!$AC$60="Menor"),CONCATENATE("R9C",'Mapa final'!$Q$60),"")</f>
        <v/>
      </c>
      <c r="V14" s="36" t="str">
        <f>IF(AND('Mapa final'!$AA$55="Muy Alta",'Mapa final'!$AC$55="Moderado"),CONCATENATE("R9C",'Mapa final'!$Q$55),"")</f>
        <v/>
      </c>
      <c r="W14" s="37" t="str">
        <f>IF(AND('Mapa final'!$AA$56="Muy Alta",'Mapa final'!$AC$56="Moderado"),CONCATENATE("R9C",'Mapa final'!$Q$56),"")</f>
        <v/>
      </c>
      <c r="X14" s="37" t="str">
        <f>IF(AND('Mapa final'!$AA$57="Muy Alta",'Mapa final'!$AC$57="Moderado"),CONCATENATE("R9C",'Mapa final'!$Q$57),"")</f>
        <v/>
      </c>
      <c r="Y14" s="37" t="str">
        <f>IF(AND('Mapa final'!$AA$58="Muy Alta",'Mapa final'!$AC$58="Moderado"),CONCATENATE("R9C",'Mapa final'!$Q$58),"")</f>
        <v/>
      </c>
      <c r="Z14" s="37" t="str">
        <f>IF(AND('Mapa final'!$AA$59="Muy Alta",'Mapa final'!$AC$59="Moderado"),CONCATENATE("R9C",'Mapa final'!$Q$59),"")</f>
        <v/>
      </c>
      <c r="AA14" s="38" t="str">
        <f>IF(AND('Mapa final'!$AA$60="Muy Alta",'Mapa final'!$AC$60="Moderado"),CONCATENATE("R9C",'Mapa final'!$Q$60),"")</f>
        <v/>
      </c>
      <c r="AB14" s="36" t="str">
        <f>IF(AND('Mapa final'!$AA$55="Muy Alta",'Mapa final'!$AC$55="Mayor"),CONCATENATE("R9C",'Mapa final'!$Q$55),"")</f>
        <v/>
      </c>
      <c r="AC14" s="37" t="str">
        <f>IF(AND('Mapa final'!$AA$56="Muy Alta",'Mapa final'!$AC$56="Mayor"),CONCATENATE("R9C",'Mapa final'!$Q$56),"")</f>
        <v/>
      </c>
      <c r="AD14" s="37" t="str">
        <f>IF(AND('Mapa final'!$AA$57="Muy Alta",'Mapa final'!$AC$57="Mayor"),CONCATENATE("R9C",'Mapa final'!$Q$57),"")</f>
        <v/>
      </c>
      <c r="AE14" s="37" t="str">
        <f>IF(AND('Mapa final'!$AA$58="Muy Alta",'Mapa final'!$AC$58="Mayor"),CONCATENATE("R9C",'Mapa final'!$Q$58),"")</f>
        <v/>
      </c>
      <c r="AF14" s="37" t="str">
        <f>IF(AND('Mapa final'!$AA$59="Muy Alta",'Mapa final'!$AC$59="Mayor"),CONCATENATE("R9C",'Mapa final'!$Q$59),"")</f>
        <v/>
      </c>
      <c r="AG14" s="38" t="str">
        <f>IF(AND('Mapa final'!$AA$60="Muy Alta",'Mapa final'!$AC$60="Mayor"),CONCATENATE("R9C",'Mapa final'!$Q$60),"")</f>
        <v/>
      </c>
      <c r="AH14" s="39" t="str">
        <f>IF(AND('Mapa final'!$AA$55="Muy Alta",'Mapa final'!$AC$55="Catastrófico"),CONCATENATE("R9C",'Mapa final'!$Q$55),"")</f>
        <v/>
      </c>
      <c r="AI14" s="40" t="str">
        <f>IF(AND('Mapa final'!$AA$56="Muy Alta",'Mapa final'!$AC$56="Catastrófico"),CONCATENATE("R9C",'Mapa final'!$Q$56),"")</f>
        <v/>
      </c>
      <c r="AJ14" s="40" t="str">
        <f>IF(AND('Mapa final'!$AA$57="Muy Alta",'Mapa final'!$AC$57="Catastrófico"),CONCATENATE("R9C",'Mapa final'!$Q$57),"")</f>
        <v/>
      </c>
      <c r="AK14" s="40" t="str">
        <f>IF(AND('Mapa final'!$AA$58="Muy Alta",'Mapa final'!$AC$58="Catastrófico"),CONCATENATE("R9C",'Mapa final'!$Q$58),"")</f>
        <v/>
      </c>
      <c r="AL14" s="40" t="str">
        <f>IF(AND('Mapa final'!$AA$59="Muy Alta",'Mapa final'!$AC$59="Catastrófico"),CONCATENATE("R9C",'Mapa final'!$Q$59),"")</f>
        <v/>
      </c>
      <c r="AM14" s="41" t="str">
        <f>IF(AND('Mapa final'!$AA$60="Muy Alta",'Mapa final'!$AC$60="Catastrófico"),CONCATENATE("R9C",'Mapa final'!$Q$60),"")</f>
        <v/>
      </c>
      <c r="AN14" s="67"/>
      <c r="AO14" s="387"/>
      <c r="AP14" s="388"/>
      <c r="AQ14" s="388"/>
      <c r="AR14" s="388"/>
      <c r="AS14" s="388"/>
      <c r="AT14" s="389"/>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326"/>
      <c r="C15" s="326"/>
      <c r="D15" s="327"/>
      <c r="E15" s="370"/>
      <c r="F15" s="371"/>
      <c r="G15" s="371"/>
      <c r="H15" s="371"/>
      <c r="I15" s="372"/>
      <c r="J15" s="42" t="str">
        <f>IF(AND('Mapa final'!$AA$61="Muy Alta",'Mapa final'!$AC$61="Leve"),CONCATENATE("R10C",'Mapa final'!$Q$61),"")</f>
        <v/>
      </c>
      <c r="K15" s="43" t="str">
        <f>IF(AND('Mapa final'!$AA$62="Muy Alta",'Mapa final'!$AC$62="Leve"),CONCATENATE("R10C",'Mapa final'!$Q$62),"")</f>
        <v/>
      </c>
      <c r="L15" s="43" t="str">
        <f>IF(AND('Mapa final'!$AA$63="Muy Alta",'Mapa final'!$AC$63="Leve"),CONCATENATE("R10C",'Mapa final'!$Q$63),"")</f>
        <v/>
      </c>
      <c r="M15" s="43" t="str">
        <f>IF(AND('Mapa final'!$AA$64="Muy Alta",'Mapa final'!$AC$64="Leve"),CONCATENATE("R10C",'Mapa final'!$Q$64),"")</f>
        <v/>
      </c>
      <c r="N15" s="43" t="str">
        <f>IF(AND('Mapa final'!$AA$65="Muy Alta",'Mapa final'!$AC$65="Leve"),CONCATENATE("R10C",'Mapa final'!$Q$65),"")</f>
        <v/>
      </c>
      <c r="O15" s="44" t="str">
        <f>IF(AND('Mapa final'!$AA$66="Muy Alta",'Mapa final'!$AC$66="Leve"),CONCATENATE("R10C",'Mapa final'!$Q$66),"")</f>
        <v/>
      </c>
      <c r="P15" s="36" t="str">
        <f>IF(AND('Mapa final'!$AA$61="Muy Alta",'Mapa final'!$AC$61="Menor"),CONCATENATE("R10C",'Mapa final'!$Q$61),"")</f>
        <v/>
      </c>
      <c r="Q15" s="37" t="str">
        <f>IF(AND('Mapa final'!$AA$62="Muy Alta",'Mapa final'!$AC$62="Menor"),CONCATENATE("R10C",'Mapa final'!$Q$62),"")</f>
        <v/>
      </c>
      <c r="R15" s="37" t="str">
        <f>IF(AND('Mapa final'!$AA$63="Muy Alta",'Mapa final'!$AC$63="Menor"),CONCATENATE("R10C",'Mapa final'!$Q$63),"")</f>
        <v/>
      </c>
      <c r="S15" s="37" t="str">
        <f>IF(AND('Mapa final'!$AA$64="Muy Alta",'Mapa final'!$AC$64="Menor"),CONCATENATE("R10C",'Mapa final'!$Q$64),"")</f>
        <v/>
      </c>
      <c r="T15" s="37" t="str">
        <f>IF(AND('Mapa final'!$AA$65="Muy Alta",'Mapa final'!$AC$65="Menor"),CONCATENATE("R10C",'Mapa final'!$Q$65),"")</f>
        <v/>
      </c>
      <c r="U15" s="38" t="str">
        <f>IF(AND('Mapa final'!$AA$66="Muy Alta",'Mapa final'!$AC$66="Menor"),CONCATENATE("R10C",'Mapa final'!$Q$66),"")</f>
        <v/>
      </c>
      <c r="V15" s="42" t="str">
        <f>IF(AND('Mapa final'!$AA$61="Muy Alta",'Mapa final'!$AC$61="Moderado"),CONCATENATE("R10C",'Mapa final'!$Q$61),"")</f>
        <v/>
      </c>
      <c r="W15" s="43" t="str">
        <f>IF(AND('Mapa final'!$AA$62="Muy Alta",'Mapa final'!$AC$62="Moderado"),CONCATENATE("R10C",'Mapa final'!$Q$62),"")</f>
        <v/>
      </c>
      <c r="X15" s="43" t="str">
        <f>IF(AND('Mapa final'!$AA$63="Muy Alta",'Mapa final'!$AC$63="Moderado"),CONCATENATE("R10C",'Mapa final'!$Q$63),"")</f>
        <v/>
      </c>
      <c r="Y15" s="43" t="str">
        <f>IF(AND('Mapa final'!$AA$64="Muy Alta",'Mapa final'!$AC$64="Moderado"),CONCATENATE("R10C",'Mapa final'!$Q$64),"")</f>
        <v/>
      </c>
      <c r="Z15" s="43" t="str">
        <f>IF(AND('Mapa final'!$AA$65="Muy Alta",'Mapa final'!$AC$65="Moderado"),CONCATENATE("R10C",'Mapa final'!$Q$65),"")</f>
        <v/>
      </c>
      <c r="AA15" s="44" t="str">
        <f>IF(AND('Mapa final'!$AA$66="Muy Alta",'Mapa final'!$AC$66="Moderado"),CONCATENATE("R10C",'Mapa final'!$Q$66),"")</f>
        <v/>
      </c>
      <c r="AB15" s="36" t="str">
        <f>IF(AND('Mapa final'!$AA$61="Muy Alta",'Mapa final'!$AC$61="Mayor"),CONCATENATE("R10C",'Mapa final'!$Q$61),"")</f>
        <v/>
      </c>
      <c r="AC15" s="37" t="str">
        <f>IF(AND('Mapa final'!$AA$62="Muy Alta",'Mapa final'!$AC$62="Mayor"),CONCATENATE("R10C",'Mapa final'!$Q$62),"")</f>
        <v/>
      </c>
      <c r="AD15" s="37" t="str">
        <f>IF(AND('Mapa final'!$AA$63="Muy Alta",'Mapa final'!$AC$63="Mayor"),CONCATENATE("R10C",'Mapa final'!$Q$63),"")</f>
        <v/>
      </c>
      <c r="AE15" s="37" t="str">
        <f>IF(AND('Mapa final'!$AA$64="Muy Alta",'Mapa final'!$AC$64="Mayor"),CONCATENATE("R10C",'Mapa final'!$Q$64),"")</f>
        <v/>
      </c>
      <c r="AF15" s="37" t="str">
        <f>IF(AND('Mapa final'!$AA$65="Muy Alta",'Mapa final'!$AC$65="Mayor"),CONCATENATE("R10C",'Mapa final'!$Q$65),"")</f>
        <v/>
      </c>
      <c r="AG15" s="38" t="str">
        <f>IF(AND('Mapa final'!$AA$66="Muy Alta",'Mapa final'!$AC$66="Mayor"),CONCATENATE("R10C",'Mapa final'!$Q$66),"")</f>
        <v/>
      </c>
      <c r="AH15" s="45" t="str">
        <f>IF(AND('Mapa final'!$AA$61="Muy Alta",'Mapa final'!$AC$61="Catastrófico"),CONCATENATE("R10C",'Mapa final'!$Q$61),"")</f>
        <v/>
      </c>
      <c r="AI15" s="46" t="str">
        <f>IF(AND('Mapa final'!$AA$62="Muy Alta",'Mapa final'!$AC$62="Catastrófico"),CONCATENATE("R10C",'Mapa final'!$Q$62),"")</f>
        <v/>
      </c>
      <c r="AJ15" s="46" t="str">
        <f>IF(AND('Mapa final'!$AA$63="Muy Alta",'Mapa final'!$AC$63="Catastrófico"),CONCATENATE("R10C",'Mapa final'!$Q$63),"")</f>
        <v/>
      </c>
      <c r="AK15" s="46" t="str">
        <f>IF(AND('Mapa final'!$AA$64="Muy Alta",'Mapa final'!$AC$64="Catastrófico"),CONCATENATE("R10C",'Mapa final'!$Q$64),"")</f>
        <v/>
      </c>
      <c r="AL15" s="46" t="str">
        <f>IF(AND('Mapa final'!$AA$65="Muy Alta",'Mapa final'!$AC$65="Catastrófico"),CONCATENATE("R10C",'Mapa final'!$Q$65),"")</f>
        <v/>
      </c>
      <c r="AM15" s="47" t="str">
        <f>IF(AND('Mapa final'!$AA$66="Muy Alta",'Mapa final'!$AC$66="Catastrófico"),CONCATENATE("R10C",'Mapa final'!$Q$66),"")</f>
        <v/>
      </c>
      <c r="AN15" s="67"/>
      <c r="AO15" s="390"/>
      <c r="AP15" s="391"/>
      <c r="AQ15" s="391"/>
      <c r="AR15" s="391"/>
      <c r="AS15" s="391"/>
      <c r="AT15" s="392"/>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326"/>
      <c r="C16" s="326"/>
      <c r="D16" s="327"/>
      <c r="E16" s="364" t="s">
        <v>110</v>
      </c>
      <c r="F16" s="365"/>
      <c r="G16" s="365"/>
      <c r="H16" s="365"/>
      <c r="I16" s="365"/>
      <c r="J16" s="48" t="str">
        <f>IF(AND('Mapa final'!$AA$10="Alta",'Mapa final'!$AC$10="Leve"),CONCATENATE("R1C",'Mapa final'!$Q$10),"")</f>
        <v/>
      </c>
      <c r="K16" s="49" t="str">
        <f>IF(AND('Mapa final'!$AA$11="Alta",'Mapa final'!$AC$11="Leve"),CONCATENATE("R1C",'Mapa final'!$Q$11),"")</f>
        <v/>
      </c>
      <c r="L16" s="49" t="str">
        <f>IF(AND('Mapa final'!$AA$12="Alta",'Mapa final'!$AC$12="Leve"),CONCATENATE("R1C",'Mapa final'!$Q$12),"")</f>
        <v/>
      </c>
      <c r="M16" s="49" t="e">
        <f>IF(AND('Mapa final'!#REF!="Alta",'Mapa final'!#REF!="Leve"),CONCATENATE("R1C",'Mapa final'!#REF!),"")</f>
        <v>#REF!</v>
      </c>
      <c r="N16" s="49" t="e">
        <f>IF(AND('Mapa final'!#REF!="Alta",'Mapa final'!#REF!="Leve"),CONCATENATE("R1C",'Mapa final'!#REF!),"")</f>
        <v>#REF!</v>
      </c>
      <c r="O16" s="50" t="e">
        <f>IF(AND('Mapa final'!#REF!="Alta",'Mapa final'!#REF!="Leve"),CONCATENATE("R1C",'Mapa final'!#REF!),"")</f>
        <v>#REF!</v>
      </c>
      <c r="P16" s="48" t="str">
        <f>IF(AND('Mapa final'!$AA$10="Alta",'Mapa final'!$AC$10="Menor"),CONCATENATE("R1C",'Mapa final'!$Q$10),"")</f>
        <v/>
      </c>
      <c r="Q16" s="49" t="str">
        <f>IF(AND('Mapa final'!$AA$11="Alta",'Mapa final'!$AC$11="Menor"),CONCATENATE("R1C",'Mapa final'!$Q$11),"")</f>
        <v/>
      </c>
      <c r="R16" s="49" t="str">
        <f>IF(AND('Mapa final'!$AA$12="Alta",'Mapa final'!$AC$12="Menor"),CONCATENATE("R1C",'Mapa final'!$Q$12),"")</f>
        <v/>
      </c>
      <c r="S16" s="49" t="e">
        <f>IF(AND('Mapa final'!#REF!="Alta",'Mapa final'!#REF!="Menor"),CONCATENATE("R1C",'Mapa final'!#REF!),"")</f>
        <v>#REF!</v>
      </c>
      <c r="T16" s="49" t="e">
        <f>IF(AND('Mapa final'!#REF!="Alta",'Mapa final'!#REF!="Menor"),CONCATENATE("R1C",'Mapa final'!#REF!),"")</f>
        <v>#REF!</v>
      </c>
      <c r="U16" s="50" t="e">
        <f>IF(AND('Mapa final'!#REF!="Alta",'Mapa final'!#REF!="Menor"),CONCATENATE("R1C",'Mapa final'!#REF!),"")</f>
        <v>#REF!</v>
      </c>
      <c r="V16" s="30" t="str">
        <f>IF(AND('Mapa final'!$AA$10="Alta",'Mapa final'!$AC$10="Moderado"),CONCATENATE("R1C",'Mapa final'!$Q$10),"")</f>
        <v/>
      </c>
      <c r="W16" s="31" t="str">
        <f>IF(AND('Mapa final'!$AA$11="Alta",'Mapa final'!$AC$11="Moderado"),CONCATENATE("R1C",'Mapa final'!$Q$11),"")</f>
        <v/>
      </c>
      <c r="X16" s="31" t="str">
        <f>IF(AND('Mapa final'!$AA$12="Alta",'Mapa final'!$AC$12="Moderado"),CONCATENATE("R1C",'Mapa final'!$Q$12),"")</f>
        <v/>
      </c>
      <c r="Y16" s="31" t="e">
        <f>IF(AND('Mapa final'!#REF!="Alta",'Mapa final'!#REF!="Moderado"),CONCATENATE("R1C",'Mapa final'!#REF!),"")</f>
        <v>#REF!</v>
      </c>
      <c r="Z16" s="31" t="e">
        <f>IF(AND('Mapa final'!#REF!="Alta",'Mapa final'!#REF!="Moderado"),CONCATENATE("R1C",'Mapa final'!#REF!),"")</f>
        <v>#REF!</v>
      </c>
      <c r="AA16" s="32" t="e">
        <f>IF(AND('Mapa final'!#REF!="Alta",'Mapa final'!#REF!="Moderado"),CONCATENATE("R1C",'Mapa final'!#REF!),"")</f>
        <v>#REF!</v>
      </c>
      <c r="AB16" s="30" t="str">
        <f>IF(AND('Mapa final'!$AA$10="Alta",'Mapa final'!$AC$10="Mayor"),CONCATENATE("R1C",'Mapa final'!$Q$10),"")</f>
        <v/>
      </c>
      <c r="AC16" s="31" t="str">
        <f>IF(AND('Mapa final'!$AA$11="Alta",'Mapa final'!$AC$11="Mayor"),CONCATENATE("R1C",'Mapa final'!$Q$11),"")</f>
        <v/>
      </c>
      <c r="AD16" s="31" t="str">
        <f>IF(AND('Mapa final'!$AA$12="Alta",'Mapa final'!$AC$12="Mayor"),CONCATENATE("R1C",'Mapa final'!$Q$12),"")</f>
        <v/>
      </c>
      <c r="AE16" s="31" t="e">
        <f>IF(AND('Mapa final'!#REF!="Alta",'Mapa final'!#REF!="Mayor"),CONCATENATE("R1C",'Mapa final'!#REF!),"")</f>
        <v>#REF!</v>
      </c>
      <c r="AF16" s="31" t="e">
        <f>IF(AND('Mapa final'!#REF!="Alta",'Mapa final'!#REF!="Mayor"),CONCATENATE("R1C",'Mapa final'!#REF!),"")</f>
        <v>#REF!</v>
      </c>
      <c r="AG16" s="32" t="e">
        <f>IF(AND('Mapa final'!#REF!="Alta",'Mapa final'!#REF!="Mayor"),CONCATENATE("R1C",'Mapa final'!#REF!),"")</f>
        <v>#REF!</v>
      </c>
      <c r="AH16" s="33" t="str">
        <f>IF(AND('Mapa final'!$AA$10="Alta",'Mapa final'!$AC$10="Catastrófico"),CONCATENATE("R1C",'Mapa final'!$Q$10),"")</f>
        <v/>
      </c>
      <c r="AI16" s="34" t="str">
        <f>IF(AND('Mapa final'!$AA$11="Alta",'Mapa final'!$AC$11="Catastrófico"),CONCATENATE("R1C",'Mapa final'!$Q$11),"")</f>
        <v/>
      </c>
      <c r="AJ16" s="34" t="str">
        <f>IF(AND('Mapa final'!$AA$12="Alta",'Mapa final'!$AC$12="Catastrófico"),CONCATENATE("R1C",'Mapa final'!$Q$12),"")</f>
        <v/>
      </c>
      <c r="AK16" s="34" t="e">
        <f>IF(AND('Mapa final'!#REF!="Alta",'Mapa final'!#REF!="Catastrófico"),CONCATENATE("R1C",'Mapa final'!#REF!),"")</f>
        <v>#REF!</v>
      </c>
      <c r="AL16" s="34" t="e">
        <f>IF(AND('Mapa final'!#REF!="Alta",'Mapa final'!#REF!="Catastrófico"),CONCATENATE("R1C",'Mapa final'!#REF!),"")</f>
        <v>#REF!</v>
      </c>
      <c r="AM16" s="35" t="e">
        <f>IF(AND('Mapa final'!#REF!="Alta",'Mapa final'!#REF!="Catastrófico"),CONCATENATE("R1C",'Mapa final'!#REF!),"")</f>
        <v>#REF!</v>
      </c>
      <c r="AN16" s="67"/>
      <c r="AO16" s="374" t="s">
        <v>79</v>
      </c>
      <c r="AP16" s="375"/>
      <c r="AQ16" s="375"/>
      <c r="AR16" s="375"/>
      <c r="AS16" s="375"/>
      <c r="AT16" s="37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326"/>
      <c r="C17" s="326"/>
      <c r="D17" s="327"/>
      <c r="E17" s="383"/>
      <c r="F17" s="368"/>
      <c r="G17" s="368"/>
      <c r="H17" s="368"/>
      <c r="I17" s="368"/>
      <c r="J17" s="51" t="str">
        <f>IF(AND('Mapa final'!$AA$13="Alta",'Mapa final'!$AC$13="Leve"),CONCATENATE("R2C",'Mapa final'!$Q$13),"")</f>
        <v/>
      </c>
      <c r="K17" s="52" t="str">
        <f>IF(AND('Mapa final'!$AA$14="Alta",'Mapa final'!$AC$14="Leve"),CONCATENATE("R2C",'Mapa final'!$Q$14),"")</f>
        <v/>
      </c>
      <c r="L17" s="52" t="str">
        <f>IF(AND('Mapa final'!$AA$15="Alta",'Mapa final'!$AC$15="Leve"),CONCATENATE("R2C",'Mapa final'!$Q$15),"")</f>
        <v/>
      </c>
      <c r="M17" s="52" t="str">
        <f>IF(AND('Mapa final'!$AA$16="Alta",'Mapa final'!$AC$16="Leve"),CONCATENATE("R2C",'Mapa final'!$Q$16),"")</f>
        <v/>
      </c>
      <c r="N17" s="52" t="str">
        <f>IF(AND('Mapa final'!$AA$17="Alta",'Mapa final'!$AC$17="Leve"),CONCATENATE("R2C",'Mapa final'!$Q$17),"")</f>
        <v/>
      </c>
      <c r="O17" s="53" t="str">
        <f>IF(AND('Mapa final'!$AA$18="Alta",'Mapa final'!$AC$18="Leve"),CONCATENATE("R2C",'Mapa final'!$Q$18),"")</f>
        <v/>
      </c>
      <c r="P17" s="51" t="str">
        <f>IF(AND('Mapa final'!$AA$13="Alta",'Mapa final'!$AC$13="Menor"),CONCATENATE("R2C",'Mapa final'!$Q$13),"")</f>
        <v/>
      </c>
      <c r="Q17" s="52" t="str">
        <f>IF(AND('Mapa final'!$AA$14="Alta",'Mapa final'!$AC$14="Menor"),CONCATENATE("R2C",'Mapa final'!$Q$14),"")</f>
        <v/>
      </c>
      <c r="R17" s="52" t="str">
        <f>IF(AND('Mapa final'!$AA$15="Alta",'Mapa final'!$AC$15="Menor"),CONCATENATE("R2C",'Mapa final'!$Q$15),"")</f>
        <v/>
      </c>
      <c r="S17" s="52" t="str">
        <f>IF(AND('Mapa final'!$AA$16="Alta",'Mapa final'!$AC$16="Menor"),CONCATENATE("R2C",'Mapa final'!$Q$16),"")</f>
        <v/>
      </c>
      <c r="T17" s="52" t="str">
        <f>IF(AND('Mapa final'!$AA$17="Alta",'Mapa final'!$AC$17="Menor"),CONCATENATE("R2C",'Mapa final'!$Q$17),"")</f>
        <v/>
      </c>
      <c r="U17" s="53" t="str">
        <f>IF(AND('Mapa final'!$AA$18="Alta",'Mapa final'!$AC$18="Menor"),CONCATENATE("R2C",'Mapa final'!$Q$18),"")</f>
        <v/>
      </c>
      <c r="V17" s="36" t="str">
        <f>IF(AND('Mapa final'!$AA$13="Alta",'Mapa final'!$AC$13="Moderado"),CONCATENATE("R2C",'Mapa final'!$Q$13),"")</f>
        <v/>
      </c>
      <c r="W17" s="37" t="str">
        <f>IF(AND('Mapa final'!$AA$14="Alta",'Mapa final'!$AC$14="Moderado"),CONCATENATE("R2C",'Mapa final'!$Q$14),"")</f>
        <v/>
      </c>
      <c r="X17" s="37" t="str">
        <f>IF(AND('Mapa final'!$AA$15="Alta",'Mapa final'!$AC$15="Moderado"),CONCATENATE("R2C",'Mapa final'!$Q$15),"")</f>
        <v/>
      </c>
      <c r="Y17" s="37" t="str">
        <f>IF(AND('Mapa final'!$AA$16="Alta",'Mapa final'!$AC$16="Moderado"),CONCATENATE("R2C",'Mapa final'!$Q$16),"")</f>
        <v/>
      </c>
      <c r="Z17" s="37" t="str">
        <f>IF(AND('Mapa final'!$AA$17="Alta",'Mapa final'!$AC$17="Moderado"),CONCATENATE("R2C",'Mapa final'!$Q$17),"")</f>
        <v/>
      </c>
      <c r="AA17" s="38" t="str">
        <f>IF(AND('Mapa final'!$AA$18="Alta",'Mapa final'!$AC$18="Moderado"),CONCATENATE("R2C",'Mapa final'!$Q$18),"")</f>
        <v/>
      </c>
      <c r="AB17" s="36" t="str">
        <f>IF(AND('Mapa final'!$AA$13="Alta",'Mapa final'!$AC$13="Mayor"),CONCATENATE("R2C",'Mapa final'!$Q$13),"")</f>
        <v/>
      </c>
      <c r="AC17" s="37" t="str">
        <f>IF(AND('Mapa final'!$AA$14="Alta",'Mapa final'!$AC$14="Mayor"),CONCATENATE("R2C",'Mapa final'!$Q$14),"")</f>
        <v/>
      </c>
      <c r="AD17" s="37" t="str">
        <f>IF(AND('Mapa final'!$AA$15="Alta",'Mapa final'!$AC$15="Mayor"),CONCATENATE("R2C",'Mapa final'!$Q$15),"")</f>
        <v/>
      </c>
      <c r="AE17" s="37" t="str">
        <f>IF(AND('Mapa final'!$AA$16="Alta",'Mapa final'!$AC$16="Mayor"),CONCATENATE("R2C",'Mapa final'!$Q$16),"")</f>
        <v/>
      </c>
      <c r="AF17" s="37" t="str">
        <f>IF(AND('Mapa final'!$AA$17="Alta",'Mapa final'!$AC$17="Mayor"),CONCATENATE("R2C",'Mapa final'!$Q$17),"")</f>
        <v/>
      </c>
      <c r="AG17" s="38" t="str">
        <f>IF(AND('Mapa final'!$AA$18="Alta",'Mapa final'!$AC$18="Mayor"),CONCATENATE("R2C",'Mapa final'!$Q$18),"")</f>
        <v/>
      </c>
      <c r="AH17" s="39" t="str">
        <f>IF(AND('Mapa final'!$AA$13="Alta",'Mapa final'!$AC$13="Catastrófico"),CONCATENATE("R2C",'Mapa final'!$Q$13),"")</f>
        <v/>
      </c>
      <c r="AI17" s="40" t="str">
        <f>IF(AND('Mapa final'!$AA$14="Alta",'Mapa final'!$AC$14="Catastrófico"),CONCATENATE("R2C",'Mapa final'!$Q$14),"")</f>
        <v/>
      </c>
      <c r="AJ17" s="40" t="str">
        <f>IF(AND('Mapa final'!$AA$15="Alta",'Mapa final'!$AC$15="Catastrófico"),CONCATENATE("R2C",'Mapa final'!$Q$15),"")</f>
        <v/>
      </c>
      <c r="AK17" s="40" t="str">
        <f>IF(AND('Mapa final'!$AA$16="Alta",'Mapa final'!$AC$16="Catastrófico"),CONCATENATE("R2C",'Mapa final'!$Q$16),"")</f>
        <v/>
      </c>
      <c r="AL17" s="40" t="str">
        <f>IF(AND('Mapa final'!$AA$17="Alta",'Mapa final'!$AC$17="Catastrófico"),CONCATENATE("R2C",'Mapa final'!$Q$17),"")</f>
        <v/>
      </c>
      <c r="AM17" s="41" t="str">
        <f>IF(AND('Mapa final'!$AA$18="Alta",'Mapa final'!$AC$18="Catastrófico"),CONCATENATE("R2C",'Mapa final'!$Q$18),"")</f>
        <v/>
      </c>
      <c r="AN17" s="67"/>
      <c r="AO17" s="377"/>
      <c r="AP17" s="378"/>
      <c r="AQ17" s="378"/>
      <c r="AR17" s="378"/>
      <c r="AS17" s="378"/>
      <c r="AT17" s="379"/>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326"/>
      <c r="C18" s="326"/>
      <c r="D18" s="327"/>
      <c r="E18" s="367"/>
      <c r="F18" s="368"/>
      <c r="G18" s="368"/>
      <c r="H18" s="368"/>
      <c r="I18" s="368"/>
      <c r="J18" s="51" t="str">
        <f>IF(AND('Mapa final'!$AA$19="Alta",'Mapa final'!$AC$19="Leve"),CONCATENATE("R3C",'Mapa final'!$Q$19),"")</f>
        <v/>
      </c>
      <c r="K18" s="52" t="str">
        <f>IF(AND('Mapa final'!$AA$20="Alta",'Mapa final'!$AC$20="Leve"),CONCATENATE("R3C",'Mapa final'!$Q$20),"")</f>
        <v/>
      </c>
      <c r="L18" s="52" t="str">
        <f>IF(AND('Mapa final'!$AA$21="Alta",'Mapa final'!$AC$21="Leve"),CONCATENATE("R3C",'Mapa final'!$Q$21),"")</f>
        <v/>
      </c>
      <c r="M18" s="52" t="str">
        <f>IF(AND('Mapa final'!$AA$22="Alta",'Mapa final'!$AC$22="Leve"),CONCATENATE("R3C",'Mapa final'!$Q$22),"")</f>
        <v/>
      </c>
      <c r="N18" s="52" t="str">
        <f>IF(AND('Mapa final'!$AA$23="Alta",'Mapa final'!$AC$23="Leve"),CONCATENATE("R3C",'Mapa final'!$Q$23),"")</f>
        <v/>
      </c>
      <c r="O18" s="53" t="str">
        <f>IF(AND('Mapa final'!$AA$24="Alta",'Mapa final'!$AC$24="Leve"),CONCATENATE("R3C",'Mapa final'!$Q$24),"")</f>
        <v/>
      </c>
      <c r="P18" s="51" t="str">
        <f>IF(AND('Mapa final'!$AA$19="Alta",'Mapa final'!$AC$19="Menor"),CONCATENATE("R3C",'Mapa final'!$Q$19),"")</f>
        <v/>
      </c>
      <c r="Q18" s="52" t="str">
        <f>IF(AND('Mapa final'!$AA$20="Alta",'Mapa final'!$AC$20="Menor"),CONCATENATE("R3C",'Mapa final'!$Q$20),"")</f>
        <v/>
      </c>
      <c r="R18" s="52" t="str">
        <f>IF(AND('Mapa final'!$AA$21="Alta",'Mapa final'!$AC$21="Menor"),CONCATENATE("R3C",'Mapa final'!$Q$21),"")</f>
        <v/>
      </c>
      <c r="S18" s="52" t="str">
        <f>IF(AND('Mapa final'!$AA$22="Alta",'Mapa final'!$AC$22="Menor"),CONCATENATE("R3C",'Mapa final'!$Q$22),"")</f>
        <v/>
      </c>
      <c r="T18" s="52" t="str">
        <f>IF(AND('Mapa final'!$AA$23="Alta",'Mapa final'!$AC$23="Menor"),CONCATENATE("R3C",'Mapa final'!$Q$23),"")</f>
        <v/>
      </c>
      <c r="U18" s="53" t="str">
        <f>IF(AND('Mapa final'!$AA$24="Alta",'Mapa final'!$AC$24="Menor"),CONCATENATE("R3C",'Mapa final'!$Q$24),"")</f>
        <v/>
      </c>
      <c r="V18" s="36" t="str">
        <f>IF(AND('Mapa final'!$AA$19="Alta",'Mapa final'!$AC$19="Moderado"),CONCATENATE("R3C",'Mapa final'!$Q$19),"")</f>
        <v/>
      </c>
      <c r="W18" s="37" t="str">
        <f>IF(AND('Mapa final'!$AA$20="Alta",'Mapa final'!$AC$20="Moderado"),CONCATENATE("R3C",'Mapa final'!$Q$20),"")</f>
        <v/>
      </c>
      <c r="X18" s="37" t="str">
        <f>IF(AND('Mapa final'!$AA$21="Alta",'Mapa final'!$AC$21="Moderado"),CONCATENATE("R3C",'Mapa final'!$Q$21),"")</f>
        <v/>
      </c>
      <c r="Y18" s="37" t="str">
        <f>IF(AND('Mapa final'!$AA$22="Alta",'Mapa final'!$AC$22="Moderado"),CONCATENATE("R3C",'Mapa final'!$Q$22),"")</f>
        <v/>
      </c>
      <c r="Z18" s="37" t="str">
        <f>IF(AND('Mapa final'!$AA$23="Alta",'Mapa final'!$AC$23="Moderado"),CONCATENATE("R3C",'Mapa final'!$Q$23),"")</f>
        <v/>
      </c>
      <c r="AA18" s="38" t="str">
        <f>IF(AND('Mapa final'!$AA$24="Alta",'Mapa final'!$AC$24="Moderado"),CONCATENATE("R3C",'Mapa final'!$Q$24),"")</f>
        <v/>
      </c>
      <c r="AB18" s="36" t="str">
        <f>IF(AND('Mapa final'!$AA$19="Alta",'Mapa final'!$AC$19="Mayor"),CONCATENATE("R3C",'Mapa final'!$Q$19),"")</f>
        <v/>
      </c>
      <c r="AC18" s="37" t="str">
        <f>IF(AND('Mapa final'!$AA$20="Alta",'Mapa final'!$AC$20="Mayor"),CONCATENATE("R3C",'Mapa final'!$Q$20),"")</f>
        <v/>
      </c>
      <c r="AD18" s="37" t="str">
        <f>IF(AND('Mapa final'!$AA$21="Alta",'Mapa final'!$AC$21="Mayor"),CONCATENATE("R3C",'Mapa final'!$Q$21),"")</f>
        <v/>
      </c>
      <c r="AE18" s="37" t="str">
        <f>IF(AND('Mapa final'!$AA$22="Alta",'Mapa final'!$AC$22="Mayor"),CONCATENATE("R3C",'Mapa final'!$Q$22),"")</f>
        <v/>
      </c>
      <c r="AF18" s="37" t="str">
        <f>IF(AND('Mapa final'!$AA$23="Alta",'Mapa final'!$AC$23="Mayor"),CONCATENATE("R3C",'Mapa final'!$Q$23),"")</f>
        <v/>
      </c>
      <c r="AG18" s="38" t="str">
        <f>IF(AND('Mapa final'!$AA$24="Alta",'Mapa final'!$AC$24="Mayor"),CONCATENATE("R3C",'Mapa final'!$Q$24),"")</f>
        <v/>
      </c>
      <c r="AH18" s="39" t="str">
        <f>IF(AND('Mapa final'!$AA$19="Alta",'Mapa final'!$AC$19="Catastrófico"),CONCATENATE("R3C",'Mapa final'!$Q$19),"")</f>
        <v/>
      </c>
      <c r="AI18" s="40" t="str">
        <f>IF(AND('Mapa final'!$AA$20="Alta",'Mapa final'!$AC$20="Catastrófico"),CONCATENATE("R3C",'Mapa final'!$Q$20),"")</f>
        <v/>
      </c>
      <c r="AJ18" s="40" t="str">
        <f>IF(AND('Mapa final'!$AA$21="Alta",'Mapa final'!$AC$21="Catastrófico"),CONCATENATE("R3C",'Mapa final'!$Q$21),"")</f>
        <v/>
      </c>
      <c r="AK18" s="40" t="str">
        <f>IF(AND('Mapa final'!$AA$22="Alta",'Mapa final'!$AC$22="Catastrófico"),CONCATENATE("R3C",'Mapa final'!$Q$22),"")</f>
        <v/>
      </c>
      <c r="AL18" s="40" t="str">
        <f>IF(AND('Mapa final'!$AA$23="Alta",'Mapa final'!$AC$23="Catastrófico"),CONCATENATE("R3C",'Mapa final'!$Q$23),"")</f>
        <v/>
      </c>
      <c r="AM18" s="41" t="str">
        <f>IF(AND('Mapa final'!$AA$24="Alta",'Mapa final'!$AC$24="Catastrófico"),CONCATENATE("R3C",'Mapa final'!$Q$24),"")</f>
        <v/>
      </c>
      <c r="AN18" s="67"/>
      <c r="AO18" s="377"/>
      <c r="AP18" s="378"/>
      <c r="AQ18" s="378"/>
      <c r="AR18" s="378"/>
      <c r="AS18" s="378"/>
      <c r="AT18" s="379"/>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326"/>
      <c r="C19" s="326"/>
      <c r="D19" s="327"/>
      <c r="E19" s="367"/>
      <c r="F19" s="368"/>
      <c r="G19" s="368"/>
      <c r="H19" s="368"/>
      <c r="I19" s="368"/>
      <c r="J19" s="51" t="str">
        <f>IF(AND('Mapa final'!$AA$25="Alta",'Mapa final'!$AC$25="Leve"),CONCATENATE("R4C",'Mapa final'!$Q$25),"")</f>
        <v/>
      </c>
      <c r="K19" s="52" t="str">
        <f>IF(AND('Mapa final'!$AA$26="Alta",'Mapa final'!$AC$26="Leve"),CONCATENATE("R4C",'Mapa final'!$Q$26),"")</f>
        <v/>
      </c>
      <c r="L19" s="52" t="str">
        <f>IF(AND('Mapa final'!$AA$27="Alta",'Mapa final'!$AC$27="Leve"),CONCATENATE("R4C",'Mapa final'!$Q$27),"")</f>
        <v/>
      </c>
      <c r="M19" s="52" t="str">
        <f>IF(AND('Mapa final'!$AA$28="Alta",'Mapa final'!$AC$28="Leve"),CONCATENATE("R4C",'Mapa final'!$Q$28),"")</f>
        <v/>
      </c>
      <c r="N19" s="52" t="str">
        <f>IF(AND('Mapa final'!$AA$29="Alta",'Mapa final'!$AC$29="Leve"),CONCATENATE("R4C",'Mapa final'!$Q$29),"")</f>
        <v/>
      </c>
      <c r="O19" s="53" t="str">
        <f>IF(AND('Mapa final'!$AA$30="Alta",'Mapa final'!$AC$30="Leve"),CONCATENATE("R4C",'Mapa final'!$Q$30),"")</f>
        <v/>
      </c>
      <c r="P19" s="51" t="str">
        <f>IF(AND('Mapa final'!$AA$25="Alta",'Mapa final'!$AC$25="Menor"),CONCATENATE("R4C",'Mapa final'!$Q$25),"")</f>
        <v/>
      </c>
      <c r="Q19" s="52" t="str">
        <f>IF(AND('Mapa final'!$AA$26="Alta",'Mapa final'!$AC$26="Menor"),CONCATENATE("R4C",'Mapa final'!$Q$26),"")</f>
        <v/>
      </c>
      <c r="R19" s="52" t="str">
        <f>IF(AND('Mapa final'!$AA$27="Alta",'Mapa final'!$AC$27="Menor"),CONCATENATE("R4C",'Mapa final'!$Q$27),"")</f>
        <v/>
      </c>
      <c r="S19" s="52" t="str">
        <f>IF(AND('Mapa final'!$AA$28="Alta",'Mapa final'!$AC$28="Menor"),CONCATENATE("R4C",'Mapa final'!$Q$28),"")</f>
        <v/>
      </c>
      <c r="T19" s="52" t="str">
        <f>IF(AND('Mapa final'!$AA$29="Alta",'Mapa final'!$AC$29="Menor"),CONCATENATE("R4C",'Mapa final'!$Q$29),"")</f>
        <v/>
      </c>
      <c r="U19" s="53" t="str">
        <f>IF(AND('Mapa final'!$AA$30="Alta",'Mapa final'!$AC$30="Menor"),CONCATENATE("R4C",'Mapa final'!$Q$30),"")</f>
        <v/>
      </c>
      <c r="V19" s="36" t="str">
        <f>IF(AND('Mapa final'!$AA$25="Alta",'Mapa final'!$AC$25="Moderado"),CONCATENATE("R4C",'Mapa final'!$Q$25),"")</f>
        <v/>
      </c>
      <c r="W19" s="37" t="str">
        <f>IF(AND('Mapa final'!$AA$26="Alta",'Mapa final'!$AC$26="Moderado"),CONCATENATE("R4C",'Mapa final'!$Q$26),"")</f>
        <v/>
      </c>
      <c r="X19" s="37" t="str">
        <f>IF(AND('Mapa final'!$AA$27="Alta",'Mapa final'!$AC$27="Moderado"),CONCATENATE("R4C",'Mapa final'!$Q$27),"")</f>
        <v/>
      </c>
      <c r="Y19" s="37" t="str">
        <f>IF(AND('Mapa final'!$AA$28="Alta",'Mapa final'!$AC$28="Moderado"),CONCATENATE("R4C",'Mapa final'!$Q$28),"")</f>
        <v/>
      </c>
      <c r="Z19" s="37" t="str">
        <f>IF(AND('Mapa final'!$AA$29="Alta",'Mapa final'!$AC$29="Moderado"),CONCATENATE("R4C",'Mapa final'!$Q$29),"")</f>
        <v/>
      </c>
      <c r="AA19" s="38" t="str">
        <f>IF(AND('Mapa final'!$AA$30="Alta",'Mapa final'!$AC$30="Moderado"),CONCATENATE("R4C",'Mapa final'!$Q$30),"")</f>
        <v/>
      </c>
      <c r="AB19" s="36" t="str">
        <f>IF(AND('Mapa final'!$AA$25="Alta",'Mapa final'!$AC$25="Mayor"),CONCATENATE("R4C",'Mapa final'!$Q$25),"")</f>
        <v/>
      </c>
      <c r="AC19" s="37" t="str">
        <f>IF(AND('Mapa final'!$AA$26="Alta",'Mapa final'!$AC$26="Mayor"),CONCATENATE("R4C",'Mapa final'!$Q$26),"")</f>
        <v/>
      </c>
      <c r="AD19" s="37" t="str">
        <f>IF(AND('Mapa final'!$AA$27="Alta",'Mapa final'!$AC$27="Mayor"),CONCATENATE("R4C",'Mapa final'!$Q$27),"")</f>
        <v/>
      </c>
      <c r="AE19" s="37" t="str">
        <f>IF(AND('Mapa final'!$AA$28="Alta",'Mapa final'!$AC$28="Mayor"),CONCATENATE("R4C",'Mapa final'!$Q$28),"")</f>
        <v/>
      </c>
      <c r="AF19" s="37" t="str">
        <f>IF(AND('Mapa final'!$AA$29="Alta",'Mapa final'!$AC$29="Mayor"),CONCATENATE("R4C",'Mapa final'!$Q$29),"")</f>
        <v/>
      </c>
      <c r="AG19" s="38" t="str">
        <f>IF(AND('Mapa final'!$AA$30="Alta",'Mapa final'!$AC$30="Mayor"),CONCATENATE("R4C",'Mapa final'!$Q$30),"")</f>
        <v/>
      </c>
      <c r="AH19" s="39" t="str">
        <f>IF(AND('Mapa final'!$AA$25="Alta",'Mapa final'!$AC$25="Catastrófico"),CONCATENATE("R4C",'Mapa final'!$Q$25),"")</f>
        <v/>
      </c>
      <c r="AI19" s="40" t="str">
        <f>IF(AND('Mapa final'!$AA$26="Alta",'Mapa final'!$AC$26="Catastrófico"),CONCATENATE("R4C",'Mapa final'!$Q$26),"")</f>
        <v/>
      </c>
      <c r="AJ19" s="40" t="str">
        <f>IF(AND('Mapa final'!$AA$27="Alta",'Mapa final'!$AC$27="Catastrófico"),CONCATENATE("R4C",'Mapa final'!$Q$27),"")</f>
        <v/>
      </c>
      <c r="AK19" s="40" t="str">
        <f>IF(AND('Mapa final'!$AA$28="Alta",'Mapa final'!$AC$28="Catastrófico"),CONCATENATE("R4C",'Mapa final'!$Q$28),"")</f>
        <v/>
      </c>
      <c r="AL19" s="40" t="str">
        <f>IF(AND('Mapa final'!$AA$29="Alta",'Mapa final'!$AC$29="Catastrófico"),CONCATENATE("R4C",'Mapa final'!$Q$29),"")</f>
        <v/>
      </c>
      <c r="AM19" s="41" t="str">
        <f>IF(AND('Mapa final'!$AA$30="Alta",'Mapa final'!$AC$30="Catastrófico"),CONCATENATE("R4C",'Mapa final'!$Q$30),"")</f>
        <v/>
      </c>
      <c r="AN19" s="67"/>
      <c r="AO19" s="377"/>
      <c r="AP19" s="378"/>
      <c r="AQ19" s="378"/>
      <c r="AR19" s="378"/>
      <c r="AS19" s="378"/>
      <c r="AT19" s="379"/>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326"/>
      <c r="C20" s="326"/>
      <c r="D20" s="327"/>
      <c r="E20" s="367"/>
      <c r="F20" s="368"/>
      <c r="G20" s="368"/>
      <c r="H20" s="368"/>
      <c r="I20" s="368"/>
      <c r="J20" s="51" t="str">
        <f>IF(AND('Mapa final'!$AA$31="Alta",'Mapa final'!$AC$31="Leve"),CONCATENATE("R5C",'Mapa final'!$Q$31),"")</f>
        <v/>
      </c>
      <c r="K20" s="52" t="str">
        <f>IF(AND('Mapa final'!$AA$32="Alta",'Mapa final'!$AC$32="Leve"),CONCATENATE("R5C",'Mapa final'!$Q$32),"")</f>
        <v/>
      </c>
      <c r="L20" s="52" t="str">
        <f>IF(AND('Mapa final'!$AA$33="Alta",'Mapa final'!$AC$33="Leve"),CONCATENATE("R5C",'Mapa final'!$Q$33),"")</f>
        <v/>
      </c>
      <c r="M20" s="52" t="str">
        <f>IF(AND('Mapa final'!$AA$34="Alta",'Mapa final'!$AC$34="Leve"),CONCATENATE("R5C",'Mapa final'!$Q$34),"")</f>
        <v/>
      </c>
      <c r="N20" s="52" t="str">
        <f>IF(AND('Mapa final'!$AA$35="Alta",'Mapa final'!$AC$35="Leve"),CONCATENATE("R5C",'Mapa final'!$Q$35),"")</f>
        <v/>
      </c>
      <c r="O20" s="53" t="str">
        <f>IF(AND('Mapa final'!$AA$36="Alta",'Mapa final'!$AC$36="Leve"),CONCATENATE("R5C",'Mapa final'!$Q$36),"")</f>
        <v/>
      </c>
      <c r="P20" s="51" t="str">
        <f>IF(AND('Mapa final'!$AA$31="Alta",'Mapa final'!$AC$31="Menor"),CONCATENATE("R5C",'Mapa final'!$Q$31),"")</f>
        <v/>
      </c>
      <c r="Q20" s="52" t="str">
        <f>IF(AND('Mapa final'!$AA$32="Alta",'Mapa final'!$AC$32="Menor"),CONCATENATE("R5C",'Mapa final'!$Q$32),"")</f>
        <v/>
      </c>
      <c r="R20" s="52" t="str">
        <f>IF(AND('Mapa final'!$AA$33="Alta",'Mapa final'!$AC$33="Menor"),CONCATENATE("R5C",'Mapa final'!$Q$33),"")</f>
        <v/>
      </c>
      <c r="S20" s="52" t="str">
        <f>IF(AND('Mapa final'!$AA$34="Alta",'Mapa final'!$AC$34="Menor"),CONCATENATE("R5C",'Mapa final'!$Q$34),"")</f>
        <v/>
      </c>
      <c r="T20" s="52" t="str">
        <f>IF(AND('Mapa final'!$AA$35="Alta",'Mapa final'!$AC$35="Menor"),CONCATENATE("R5C",'Mapa final'!$Q$35),"")</f>
        <v/>
      </c>
      <c r="U20" s="53" t="str">
        <f>IF(AND('Mapa final'!$AA$36="Alta",'Mapa final'!$AC$36="Menor"),CONCATENATE("R5C",'Mapa final'!$Q$36),"")</f>
        <v/>
      </c>
      <c r="V20" s="36" t="str">
        <f>IF(AND('Mapa final'!$AA$31="Alta",'Mapa final'!$AC$31="Moderado"),CONCATENATE("R5C",'Mapa final'!$Q$31),"")</f>
        <v/>
      </c>
      <c r="W20" s="37" t="str">
        <f>IF(AND('Mapa final'!$AA$32="Alta",'Mapa final'!$AC$32="Moderado"),CONCATENATE("R5C",'Mapa final'!$Q$32),"")</f>
        <v/>
      </c>
      <c r="X20" s="37" t="str">
        <f>IF(AND('Mapa final'!$AA$33="Alta",'Mapa final'!$AC$33="Moderado"),CONCATENATE("R5C",'Mapa final'!$Q$33),"")</f>
        <v/>
      </c>
      <c r="Y20" s="37" t="str">
        <f>IF(AND('Mapa final'!$AA$34="Alta",'Mapa final'!$AC$34="Moderado"),CONCATENATE("R5C",'Mapa final'!$Q$34),"")</f>
        <v/>
      </c>
      <c r="Z20" s="37" t="str">
        <f>IF(AND('Mapa final'!$AA$35="Alta",'Mapa final'!$AC$35="Moderado"),CONCATENATE("R5C",'Mapa final'!$Q$35),"")</f>
        <v/>
      </c>
      <c r="AA20" s="38" t="str">
        <f>IF(AND('Mapa final'!$AA$36="Alta",'Mapa final'!$AC$36="Moderado"),CONCATENATE("R5C",'Mapa final'!$Q$36),"")</f>
        <v/>
      </c>
      <c r="AB20" s="36" t="str">
        <f>IF(AND('Mapa final'!$AA$31="Alta",'Mapa final'!$AC$31="Mayor"),CONCATENATE("R5C",'Mapa final'!$Q$31),"")</f>
        <v/>
      </c>
      <c r="AC20" s="37" t="str">
        <f>IF(AND('Mapa final'!$AA$32="Alta",'Mapa final'!$AC$32="Mayor"),CONCATENATE("R5C",'Mapa final'!$Q$32),"")</f>
        <v/>
      </c>
      <c r="AD20" s="37" t="str">
        <f>IF(AND('Mapa final'!$AA$33="Alta",'Mapa final'!$AC$33="Mayor"),CONCATENATE("R5C",'Mapa final'!$Q$33),"")</f>
        <v/>
      </c>
      <c r="AE20" s="37" t="str">
        <f>IF(AND('Mapa final'!$AA$34="Alta",'Mapa final'!$AC$34="Mayor"),CONCATENATE("R5C",'Mapa final'!$Q$34),"")</f>
        <v/>
      </c>
      <c r="AF20" s="37" t="str">
        <f>IF(AND('Mapa final'!$AA$35="Alta",'Mapa final'!$AC$35="Mayor"),CONCATENATE("R5C",'Mapa final'!$Q$35),"")</f>
        <v/>
      </c>
      <c r="AG20" s="38" t="str">
        <f>IF(AND('Mapa final'!$AA$36="Alta",'Mapa final'!$AC$36="Mayor"),CONCATENATE("R5C",'Mapa final'!$Q$36),"")</f>
        <v/>
      </c>
      <c r="AH20" s="39" t="str">
        <f>IF(AND('Mapa final'!$AA$31="Alta",'Mapa final'!$AC$31="Catastrófico"),CONCATENATE("R5C",'Mapa final'!$Q$31),"")</f>
        <v/>
      </c>
      <c r="AI20" s="40" t="str">
        <f>IF(AND('Mapa final'!$AA$32="Alta",'Mapa final'!$AC$32="Catastrófico"),CONCATENATE("R5C",'Mapa final'!$Q$32),"")</f>
        <v/>
      </c>
      <c r="AJ20" s="40" t="str">
        <f>IF(AND('Mapa final'!$AA$33="Alta",'Mapa final'!$AC$33="Catastrófico"),CONCATENATE("R5C",'Mapa final'!$Q$33),"")</f>
        <v/>
      </c>
      <c r="AK20" s="40" t="str">
        <f>IF(AND('Mapa final'!$AA$34="Alta",'Mapa final'!$AC$34="Catastrófico"),CONCATENATE("R5C",'Mapa final'!$Q$34),"")</f>
        <v/>
      </c>
      <c r="AL20" s="40" t="str">
        <f>IF(AND('Mapa final'!$AA$35="Alta",'Mapa final'!$AC$35="Catastrófico"),CONCATENATE("R5C",'Mapa final'!$Q$35),"")</f>
        <v/>
      </c>
      <c r="AM20" s="41" t="str">
        <f>IF(AND('Mapa final'!$AA$36="Alta",'Mapa final'!$AC$36="Catastrófico"),CONCATENATE("R5C",'Mapa final'!$Q$36),"")</f>
        <v/>
      </c>
      <c r="AN20" s="67"/>
      <c r="AO20" s="377"/>
      <c r="AP20" s="378"/>
      <c r="AQ20" s="378"/>
      <c r="AR20" s="378"/>
      <c r="AS20" s="378"/>
      <c r="AT20" s="379"/>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326"/>
      <c r="C21" s="326"/>
      <c r="D21" s="327"/>
      <c r="E21" s="367"/>
      <c r="F21" s="368"/>
      <c r="G21" s="368"/>
      <c r="H21" s="368"/>
      <c r="I21" s="368"/>
      <c r="J21" s="51" t="str">
        <f>IF(AND('Mapa final'!$AA$37="Alta",'Mapa final'!$AC$37="Leve"),CONCATENATE("R6C",'Mapa final'!$Q$37),"")</f>
        <v/>
      </c>
      <c r="K21" s="52" t="str">
        <f>IF(AND('Mapa final'!$AA$38="Alta",'Mapa final'!$AC$38="Leve"),CONCATENATE("R6C",'Mapa final'!$Q$38),"")</f>
        <v/>
      </c>
      <c r="L21" s="52" t="str">
        <f>IF(AND('Mapa final'!$AA$39="Alta",'Mapa final'!$AC$39="Leve"),CONCATENATE("R6C",'Mapa final'!$Q$39),"")</f>
        <v/>
      </c>
      <c r="M21" s="52" t="str">
        <f>IF(AND('Mapa final'!$AA$40="Alta",'Mapa final'!$AC$40="Leve"),CONCATENATE("R6C",'Mapa final'!$Q$40),"")</f>
        <v/>
      </c>
      <c r="N21" s="52" t="str">
        <f>IF(AND('Mapa final'!$AA$41="Alta",'Mapa final'!$AC$41="Leve"),CONCATENATE("R6C",'Mapa final'!$Q$41),"")</f>
        <v/>
      </c>
      <c r="O21" s="53" t="str">
        <f>IF(AND('Mapa final'!$AA$42="Alta",'Mapa final'!$AC$42="Leve"),CONCATENATE("R6C",'Mapa final'!$Q$42),"")</f>
        <v/>
      </c>
      <c r="P21" s="51" t="str">
        <f>IF(AND('Mapa final'!$AA$37="Alta",'Mapa final'!$AC$37="Menor"),CONCATENATE("R6C",'Mapa final'!$Q$37),"")</f>
        <v/>
      </c>
      <c r="Q21" s="52" t="str">
        <f>IF(AND('Mapa final'!$AA$38="Alta",'Mapa final'!$AC$38="Menor"),CONCATENATE("R6C",'Mapa final'!$Q$38),"")</f>
        <v/>
      </c>
      <c r="R21" s="52" t="str">
        <f>IF(AND('Mapa final'!$AA$39="Alta",'Mapa final'!$AC$39="Menor"),CONCATENATE("R6C",'Mapa final'!$Q$39),"")</f>
        <v/>
      </c>
      <c r="S21" s="52" t="str">
        <f>IF(AND('Mapa final'!$AA$40="Alta",'Mapa final'!$AC$40="Menor"),CONCATENATE("R6C",'Mapa final'!$Q$40),"")</f>
        <v/>
      </c>
      <c r="T21" s="52" t="str">
        <f>IF(AND('Mapa final'!$AA$41="Alta",'Mapa final'!$AC$41="Menor"),CONCATENATE("R6C",'Mapa final'!$Q$41),"")</f>
        <v/>
      </c>
      <c r="U21" s="53" t="str">
        <f>IF(AND('Mapa final'!$AA$42="Alta",'Mapa final'!$AC$42="Menor"),CONCATENATE("R6C",'Mapa final'!$Q$42),"")</f>
        <v/>
      </c>
      <c r="V21" s="36" t="str">
        <f>IF(AND('Mapa final'!$AA$37="Alta",'Mapa final'!$AC$37="Moderado"),CONCATENATE("R6C",'Mapa final'!$Q$37),"")</f>
        <v/>
      </c>
      <c r="W21" s="37" t="str">
        <f>IF(AND('Mapa final'!$AA$38="Alta",'Mapa final'!$AC$38="Moderado"),CONCATENATE("R6C",'Mapa final'!$Q$38),"")</f>
        <v/>
      </c>
      <c r="X21" s="37" t="str">
        <f>IF(AND('Mapa final'!$AA$39="Alta",'Mapa final'!$AC$39="Moderado"),CONCATENATE("R6C",'Mapa final'!$Q$39),"")</f>
        <v/>
      </c>
      <c r="Y21" s="37" t="str">
        <f>IF(AND('Mapa final'!$AA$40="Alta",'Mapa final'!$AC$40="Moderado"),CONCATENATE("R6C",'Mapa final'!$Q$40),"")</f>
        <v/>
      </c>
      <c r="Z21" s="37" t="str">
        <f>IF(AND('Mapa final'!$AA$41="Alta",'Mapa final'!$AC$41="Moderado"),CONCATENATE("R6C",'Mapa final'!$Q$41),"")</f>
        <v/>
      </c>
      <c r="AA21" s="38" t="str">
        <f>IF(AND('Mapa final'!$AA$42="Alta",'Mapa final'!$AC$42="Moderado"),CONCATENATE("R6C",'Mapa final'!$Q$42),"")</f>
        <v/>
      </c>
      <c r="AB21" s="36" t="str">
        <f>IF(AND('Mapa final'!$AA$37="Alta",'Mapa final'!$AC$37="Mayor"),CONCATENATE("R6C",'Mapa final'!$Q$37),"")</f>
        <v/>
      </c>
      <c r="AC21" s="37" t="str">
        <f>IF(AND('Mapa final'!$AA$38="Alta",'Mapa final'!$AC$38="Mayor"),CONCATENATE("R6C",'Mapa final'!$Q$38),"")</f>
        <v/>
      </c>
      <c r="AD21" s="37" t="str">
        <f>IF(AND('Mapa final'!$AA$39="Alta",'Mapa final'!$AC$39="Mayor"),CONCATENATE("R6C",'Mapa final'!$Q$39),"")</f>
        <v/>
      </c>
      <c r="AE21" s="37" t="str">
        <f>IF(AND('Mapa final'!$AA$40="Alta",'Mapa final'!$AC$40="Mayor"),CONCATENATE("R6C",'Mapa final'!$Q$40),"")</f>
        <v/>
      </c>
      <c r="AF21" s="37" t="str">
        <f>IF(AND('Mapa final'!$AA$41="Alta",'Mapa final'!$AC$41="Mayor"),CONCATENATE("R6C",'Mapa final'!$Q$41),"")</f>
        <v/>
      </c>
      <c r="AG21" s="38" t="str">
        <f>IF(AND('Mapa final'!$AA$42="Alta",'Mapa final'!$AC$42="Mayor"),CONCATENATE("R6C",'Mapa final'!$Q$42),"")</f>
        <v/>
      </c>
      <c r="AH21" s="39" t="str">
        <f>IF(AND('Mapa final'!$AA$37="Alta",'Mapa final'!$AC$37="Catastrófico"),CONCATENATE("R6C",'Mapa final'!$Q$37),"")</f>
        <v/>
      </c>
      <c r="AI21" s="40" t="str">
        <f>IF(AND('Mapa final'!$AA$38="Alta",'Mapa final'!$AC$38="Catastrófico"),CONCATENATE("R6C",'Mapa final'!$Q$38),"")</f>
        <v/>
      </c>
      <c r="AJ21" s="40" t="str">
        <f>IF(AND('Mapa final'!$AA$39="Alta",'Mapa final'!$AC$39="Catastrófico"),CONCATENATE("R6C",'Mapa final'!$Q$39),"")</f>
        <v/>
      </c>
      <c r="AK21" s="40" t="str">
        <f>IF(AND('Mapa final'!$AA$40="Alta",'Mapa final'!$AC$40="Catastrófico"),CONCATENATE("R6C",'Mapa final'!$Q$40),"")</f>
        <v/>
      </c>
      <c r="AL21" s="40" t="str">
        <f>IF(AND('Mapa final'!$AA$41="Alta",'Mapa final'!$AC$41="Catastrófico"),CONCATENATE("R6C",'Mapa final'!$Q$41),"")</f>
        <v/>
      </c>
      <c r="AM21" s="41" t="str">
        <f>IF(AND('Mapa final'!$AA$42="Alta",'Mapa final'!$AC$42="Catastrófico"),CONCATENATE("R6C",'Mapa final'!$Q$42),"")</f>
        <v/>
      </c>
      <c r="AN21" s="67"/>
      <c r="AO21" s="377"/>
      <c r="AP21" s="378"/>
      <c r="AQ21" s="378"/>
      <c r="AR21" s="378"/>
      <c r="AS21" s="378"/>
      <c r="AT21" s="37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326"/>
      <c r="C22" s="326"/>
      <c r="D22" s="327"/>
      <c r="E22" s="367"/>
      <c r="F22" s="368"/>
      <c r="G22" s="368"/>
      <c r="H22" s="368"/>
      <c r="I22" s="368"/>
      <c r="J22" s="51" t="str">
        <f>IF(AND('Mapa final'!$AA$43="Alta",'Mapa final'!$AC$43="Leve"),CONCATENATE("R7C",'Mapa final'!$Q$43),"")</f>
        <v/>
      </c>
      <c r="K22" s="52" t="str">
        <f>IF(AND('Mapa final'!$AA$44="Alta",'Mapa final'!$AC$44="Leve"),CONCATENATE("R7C",'Mapa final'!$Q$44),"")</f>
        <v/>
      </c>
      <c r="L22" s="52" t="str">
        <f>IF(AND('Mapa final'!$AA$45="Alta",'Mapa final'!$AC$45="Leve"),CONCATENATE("R7C",'Mapa final'!$Q$45),"")</f>
        <v/>
      </c>
      <c r="M22" s="52" t="str">
        <f>IF(AND('Mapa final'!$AA$46="Alta",'Mapa final'!$AC$46="Leve"),CONCATENATE("R7C",'Mapa final'!$Q$46),"")</f>
        <v/>
      </c>
      <c r="N22" s="52" t="str">
        <f>IF(AND('Mapa final'!$AA$47="Alta",'Mapa final'!$AC$47="Leve"),CONCATENATE("R7C",'Mapa final'!$Q$47),"")</f>
        <v/>
      </c>
      <c r="O22" s="53" t="str">
        <f>IF(AND('Mapa final'!$AA$48="Alta",'Mapa final'!$AC$48="Leve"),CONCATENATE("R7C",'Mapa final'!$Q$48),"")</f>
        <v/>
      </c>
      <c r="P22" s="51" t="str">
        <f>IF(AND('Mapa final'!$AA$43="Alta",'Mapa final'!$AC$43="Menor"),CONCATENATE("R7C",'Mapa final'!$Q$43),"")</f>
        <v/>
      </c>
      <c r="Q22" s="52" t="str">
        <f>IF(AND('Mapa final'!$AA$44="Alta",'Mapa final'!$AC$44="Menor"),CONCATENATE("R7C",'Mapa final'!$Q$44),"")</f>
        <v/>
      </c>
      <c r="R22" s="52" t="str">
        <f>IF(AND('Mapa final'!$AA$45="Alta",'Mapa final'!$AC$45="Menor"),CONCATENATE("R7C",'Mapa final'!$Q$45),"")</f>
        <v/>
      </c>
      <c r="S22" s="52" t="str">
        <f>IF(AND('Mapa final'!$AA$46="Alta",'Mapa final'!$AC$46="Menor"),CONCATENATE("R7C",'Mapa final'!$Q$46),"")</f>
        <v/>
      </c>
      <c r="T22" s="52" t="str">
        <f>IF(AND('Mapa final'!$AA$47="Alta",'Mapa final'!$AC$47="Menor"),CONCATENATE("R7C",'Mapa final'!$Q$47),"")</f>
        <v/>
      </c>
      <c r="U22" s="53" t="str">
        <f>IF(AND('Mapa final'!$AA$48="Alta",'Mapa final'!$AC$48="Menor"),CONCATENATE("R7C",'Mapa final'!$Q$48),"")</f>
        <v/>
      </c>
      <c r="V22" s="36" t="str">
        <f>IF(AND('Mapa final'!$AA$43="Alta",'Mapa final'!$AC$43="Moderado"),CONCATENATE("R7C",'Mapa final'!$Q$43),"")</f>
        <v/>
      </c>
      <c r="W22" s="37" t="str">
        <f>IF(AND('Mapa final'!$AA$44="Alta",'Mapa final'!$AC$44="Moderado"),CONCATENATE("R7C",'Mapa final'!$Q$44),"")</f>
        <v/>
      </c>
      <c r="X22" s="37" t="str">
        <f>IF(AND('Mapa final'!$AA$45="Alta",'Mapa final'!$AC$45="Moderado"),CONCATENATE("R7C",'Mapa final'!$Q$45),"")</f>
        <v/>
      </c>
      <c r="Y22" s="37" t="str">
        <f>IF(AND('Mapa final'!$AA$46="Alta",'Mapa final'!$AC$46="Moderado"),CONCATENATE("R7C",'Mapa final'!$Q$46),"")</f>
        <v/>
      </c>
      <c r="Z22" s="37" t="str">
        <f>IF(AND('Mapa final'!$AA$47="Alta",'Mapa final'!$AC$47="Moderado"),CONCATENATE("R7C",'Mapa final'!$Q$47),"")</f>
        <v/>
      </c>
      <c r="AA22" s="38" t="str">
        <f>IF(AND('Mapa final'!$AA$48="Alta",'Mapa final'!$AC$48="Moderado"),CONCATENATE("R7C",'Mapa final'!$Q$48),"")</f>
        <v/>
      </c>
      <c r="AB22" s="36" t="str">
        <f>IF(AND('Mapa final'!$AA$43="Alta",'Mapa final'!$AC$43="Mayor"),CONCATENATE("R7C",'Mapa final'!$Q$43),"")</f>
        <v/>
      </c>
      <c r="AC22" s="37" t="str">
        <f>IF(AND('Mapa final'!$AA$44="Alta",'Mapa final'!$AC$44="Mayor"),CONCATENATE("R7C",'Mapa final'!$Q$44),"")</f>
        <v/>
      </c>
      <c r="AD22" s="37" t="str">
        <f>IF(AND('Mapa final'!$AA$45="Alta",'Mapa final'!$AC$45="Mayor"),CONCATENATE("R7C",'Mapa final'!$Q$45),"")</f>
        <v/>
      </c>
      <c r="AE22" s="37" t="str">
        <f>IF(AND('Mapa final'!$AA$46="Alta",'Mapa final'!$AC$46="Mayor"),CONCATENATE("R7C",'Mapa final'!$Q$46),"")</f>
        <v/>
      </c>
      <c r="AF22" s="37" t="str">
        <f>IF(AND('Mapa final'!$AA$47="Alta",'Mapa final'!$AC$47="Mayor"),CONCATENATE("R7C",'Mapa final'!$Q$47),"")</f>
        <v/>
      </c>
      <c r="AG22" s="38" t="str">
        <f>IF(AND('Mapa final'!$AA$48="Alta",'Mapa final'!$AC$48="Mayor"),CONCATENATE("R7C",'Mapa final'!$Q$48),"")</f>
        <v/>
      </c>
      <c r="AH22" s="39" t="str">
        <f>IF(AND('Mapa final'!$AA$43="Alta",'Mapa final'!$AC$43="Catastrófico"),CONCATENATE("R7C",'Mapa final'!$Q$43),"")</f>
        <v/>
      </c>
      <c r="AI22" s="40" t="str">
        <f>IF(AND('Mapa final'!$AA$44="Alta",'Mapa final'!$AC$44="Catastrófico"),CONCATENATE("R7C",'Mapa final'!$Q$44),"")</f>
        <v/>
      </c>
      <c r="AJ22" s="40" t="str">
        <f>IF(AND('Mapa final'!$AA$45="Alta",'Mapa final'!$AC$45="Catastrófico"),CONCATENATE("R7C",'Mapa final'!$Q$45),"")</f>
        <v/>
      </c>
      <c r="AK22" s="40" t="str">
        <f>IF(AND('Mapa final'!$AA$46="Alta",'Mapa final'!$AC$46="Catastrófico"),CONCATENATE("R7C",'Mapa final'!$Q$46),"")</f>
        <v/>
      </c>
      <c r="AL22" s="40" t="str">
        <f>IF(AND('Mapa final'!$AA$47="Alta",'Mapa final'!$AC$47="Catastrófico"),CONCATENATE("R7C",'Mapa final'!$Q$47),"")</f>
        <v/>
      </c>
      <c r="AM22" s="41" t="str">
        <f>IF(AND('Mapa final'!$AA$48="Alta",'Mapa final'!$AC$48="Catastrófico"),CONCATENATE("R7C",'Mapa final'!$Q$48),"")</f>
        <v/>
      </c>
      <c r="AN22" s="67"/>
      <c r="AO22" s="377"/>
      <c r="AP22" s="378"/>
      <c r="AQ22" s="378"/>
      <c r="AR22" s="378"/>
      <c r="AS22" s="378"/>
      <c r="AT22" s="379"/>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326"/>
      <c r="C23" s="326"/>
      <c r="D23" s="327"/>
      <c r="E23" s="367"/>
      <c r="F23" s="368"/>
      <c r="G23" s="368"/>
      <c r="H23" s="368"/>
      <c r="I23" s="368"/>
      <c r="J23" s="51" t="str">
        <f>IF(AND('Mapa final'!$AA$49="Alta",'Mapa final'!$AC$49="Leve"),CONCATENATE("R8C",'Mapa final'!$Q$49),"")</f>
        <v/>
      </c>
      <c r="K23" s="52" t="str">
        <f>IF(AND('Mapa final'!$AA$50="Alta",'Mapa final'!$AC$50="Leve"),CONCATENATE("R8C",'Mapa final'!$Q$50),"")</f>
        <v/>
      </c>
      <c r="L23" s="52" t="str">
        <f>IF(AND('Mapa final'!$AA$51="Alta",'Mapa final'!$AC$51="Leve"),CONCATENATE("R8C",'Mapa final'!$Q$51),"")</f>
        <v/>
      </c>
      <c r="M23" s="52" t="str">
        <f>IF(AND('Mapa final'!$AA$52="Alta",'Mapa final'!$AC$52="Leve"),CONCATENATE("R8C",'Mapa final'!$Q$52),"")</f>
        <v/>
      </c>
      <c r="N23" s="52" t="str">
        <f>IF(AND('Mapa final'!$AA$53="Alta",'Mapa final'!$AC$53="Leve"),CONCATENATE("R8C",'Mapa final'!$Q$53),"")</f>
        <v/>
      </c>
      <c r="O23" s="53" t="str">
        <f>IF(AND('Mapa final'!$AA$54="Alta",'Mapa final'!$AC$54="Leve"),CONCATENATE("R8C",'Mapa final'!$Q$54),"")</f>
        <v/>
      </c>
      <c r="P23" s="51" t="str">
        <f>IF(AND('Mapa final'!$AA$49="Alta",'Mapa final'!$AC$49="Menor"),CONCATENATE("R8C",'Mapa final'!$Q$49),"")</f>
        <v/>
      </c>
      <c r="Q23" s="52" t="str">
        <f>IF(AND('Mapa final'!$AA$50="Alta",'Mapa final'!$AC$50="Menor"),CONCATENATE("R8C",'Mapa final'!$Q$50),"")</f>
        <v/>
      </c>
      <c r="R23" s="52" t="str">
        <f>IF(AND('Mapa final'!$AA$51="Alta",'Mapa final'!$AC$51="Menor"),CONCATENATE("R8C",'Mapa final'!$Q$51),"")</f>
        <v/>
      </c>
      <c r="S23" s="52" t="str">
        <f>IF(AND('Mapa final'!$AA$52="Alta",'Mapa final'!$AC$52="Menor"),CONCATENATE("R8C",'Mapa final'!$Q$52),"")</f>
        <v/>
      </c>
      <c r="T23" s="52" t="str">
        <f>IF(AND('Mapa final'!$AA$53="Alta",'Mapa final'!$AC$53="Menor"),CONCATENATE("R8C",'Mapa final'!$Q$53),"")</f>
        <v/>
      </c>
      <c r="U23" s="53" t="str">
        <f>IF(AND('Mapa final'!$AA$54="Alta",'Mapa final'!$AC$54="Menor"),CONCATENATE("R8C",'Mapa final'!$Q$54),"")</f>
        <v/>
      </c>
      <c r="V23" s="36" t="str">
        <f>IF(AND('Mapa final'!$AA$49="Alta",'Mapa final'!$AC$49="Moderado"),CONCATENATE("R8C",'Mapa final'!$Q$49),"")</f>
        <v/>
      </c>
      <c r="W23" s="37" t="str">
        <f>IF(AND('Mapa final'!$AA$50="Alta",'Mapa final'!$AC$50="Moderado"),CONCATENATE("R8C",'Mapa final'!$Q$50),"")</f>
        <v/>
      </c>
      <c r="X23" s="37" t="str">
        <f>IF(AND('Mapa final'!$AA$51="Alta",'Mapa final'!$AC$51="Moderado"),CONCATENATE("R8C",'Mapa final'!$Q$51),"")</f>
        <v/>
      </c>
      <c r="Y23" s="37" t="str">
        <f>IF(AND('Mapa final'!$AA$52="Alta",'Mapa final'!$AC$52="Moderado"),CONCATENATE("R8C",'Mapa final'!$Q$52),"")</f>
        <v/>
      </c>
      <c r="Z23" s="37" t="str">
        <f>IF(AND('Mapa final'!$AA$53="Alta",'Mapa final'!$AC$53="Moderado"),CONCATENATE("R8C",'Mapa final'!$Q$53),"")</f>
        <v/>
      </c>
      <c r="AA23" s="38" t="str">
        <f>IF(AND('Mapa final'!$AA$54="Alta",'Mapa final'!$AC$54="Moderado"),CONCATENATE("R8C",'Mapa final'!$Q$54),"")</f>
        <v/>
      </c>
      <c r="AB23" s="36" t="str">
        <f>IF(AND('Mapa final'!$AA$49="Alta",'Mapa final'!$AC$49="Mayor"),CONCATENATE("R8C",'Mapa final'!$Q$49),"")</f>
        <v/>
      </c>
      <c r="AC23" s="37" t="str">
        <f>IF(AND('Mapa final'!$AA$50="Alta",'Mapa final'!$AC$50="Mayor"),CONCATENATE("R8C",'Mapa final'!$Q$50),"")</f>
        <v/>
      </c>
      <c r="AD23" s="37" t="str">
        <f>IF(AND('Mapa final'!$AA$51="Alta",'Mapa final'!$AC$51="Mayor"),CONCATENATE("R8C",'Mapa final'!$Q$51),"")</f>
        <v/>
      </c>
      <c r="AE23" s="37" t="str">
        <f>IF(AND('Mapa final'!$AA$52="Alta",'Mapa final'!$AC$52="Mayor"),CONCATENATE("R8C",'Mapa final'!$Q$52),"")</f>
        <v/>
      </c>
      <c r="AF23" s="37" t="str">
        <f>IF(AND('Mapa final'!$AA$53="Alta",'Mapa final'!$AC$53="Mayor"),CONCATENATE("R8C",'Mapa final'!$Q$53),"")</f>
        <v/>
      </c>
      <c r="AG23" s="38" t="str">
        <f>IF(AND('Mapa final'!$AA$54="Alta",'Mapa final'!$AC$54="Mayor"),CONCATENATE("R8C",'Mapa final'!$Q$54),"")</f>
        <v/>
      </c>
      <c r="AH23" s="39" t="str">
        <f>IF(AND('Mapa final'!$AA$49="Alta",'Mapa final'!$AC$49="Catastrófico"),CONCATENATE("R8C",'Mapa final'!$Q$49),"")</f>
        <v/>
      </c>
      <c r="AI23" s="40" t="str">
        <f>IF(AND('Mapa final'!$AA$50="Alta",'Mapa final'!$AC$50="Catastrófico"),CONCATENATE("R8C",'Mapa final'!$Q$50),"")</f>
        <v/>
      </c>
      <c r="AJ23" s="40" t="str">
        <f>IF(AND('Mapa final'!$AA$51="Alta",'Mapa final'!$AC$51="Catastrófico"),CONCATENATE("R8C",'Mapa final'!$Q$51),"")</f>
        <v/>
      </c>
      <c r="AK23" s="40" t="str">
        <f>IF(AND('Mapa final'!$AA$52="Alta",'Mapa final'!$AC$52="Catastrófico"),CONCATENATE("R8C",'Mapa final'!$Q$52),"")</f>
        <v/>
      </c>
      <c r="AL23" s="40" t="str">
        <f>IF(AND('Mapa final'!$AA$53="Alta",'Mapa final'!$AC$53="Catastrófico"),CONCATENATE("R8C",'Mapa final'!$Q$53),"")</f>
        <v/>
      </c>
      <c r="AM23" s="41" t="str">
        <f>IF(AND('Mapa final'!$AA$54="Alta",'Mapa final'!$AC$54="Catastrófico"),CONCATENATE("R8C",'Mapa final'!$Q$54),"")</f>
        <v/>
      </c>
      <c r="AN23" s="67"/>
      <c r="AO23" s="377"/>
      <c r="AP23" s="378"/>
      <c r="AQ23" s="378"/>
      <c r="AR23" s="378"/>
      <c r="AS23" s="378"/>
      <c r="AT23" s="379"/>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326"/>
      <c r="C24" s="326"/>
      <c r="D24" s="327"/>
      <c r="E24" s="367"/>
      <c r="F24" s="368"/>
      <c r="G24" s="368"/>
      <c r="H24" s="368"/>
      <c r="I24" s="368"/>
      <c r="J24" s="51" t="str">
        <f>IF(AND('Mapa final'!$AA$55="Alta",'Mapa final'!$AC$55="Leve"),CONCATENATE("R9C",'Mapa final'!$Q$55),"")</f>
        <v/>
      </c>
      <c r="K24" s="52" t="str">
        <f>IF(AND('Mapa final'!$AA$56="Alta",'Mapa final'!$AC$56="Leve"),CONCATENATE("R9C",'Mapa final'!$Q$56),"")</f>
        <v/>
      </c>
      <c r="L24" s="52" t="str">
        <f>IF(AND('Mapa final'!$AA$57="Alta",'Mapa final'!$AC$57="Leve"),CONCATENATE("R9C",'Mapa final'!$Q$57),"")</f>
        <v/>
      </c>
      <c r="M24" s="52" t="str">
        <f>IF(AND('Mapa final'!$AA$58="Alta",'Mapa final'!$AC$58="Leve"),CONCATENATE("R9C",'Mapa final'!$Q$58),"")</f>
        <v/>
      </c>
      <c r="N24" s="52" t="str">
        <f>IF(AND('Mapa final'!$AA$59="Alta",'Mapa final'!$AC$59="Leve"),CONCATENATE("R9C",'Mapa final'!$Q$59),"")</f>
        <v/>
      </c>
      <c r="O24" s="53" t="str">
        <f>IF(AND('Mapa final'!$AA$60="Alta",'Mapa final'!$AC$60="Leve"),CONCATENATE("R9C",'Mapa final'!$Q$60),"")</f>
        <v/>
      </c>
      <c r="P24" s="51" t="str">
        <f>IF(AND('Mapa final'!$AA$55="Alta",'Mapa final'!$AC$55="Menor"),CONCATENATE("R9C",'Mapa final'!$Q$55),"")</f>
        <v/>
      </c>
      <c r="Q24" s="52" t="str">
        <f>IF(AND('Mapa final'!$AA$56="Alta",'Mapa final'!$AC$56="Menor"),CONCATENATE("R9C",'Mapa final'!$Q$56),"")</f>
        <v/>
      </c>
      <c r="R24" s="52" t="str">
        <f>IF(AND('Mapa final'!$AA$57="Alta",'Mapa final'!$AC$57="Menor"),CONCATENATE("R9C",'Mapa final'!$Q$57),"")</f>
        <v/>
      </c>
      <c r="S24" s="52" t="str">
        <f>IF(AND('Mapa final'!$AA$58="Alta",'Mapa final'!$AC$58="Menor"),CONCATENATE("R9C",'Mapa final'!$Q$58),"")</f>
        <v/>
      </c>
      <c r="T24" s="52" t="str">
        <f>IF(AND('Mapa final'!$AA$59="Alta",'Mapa final'!$AC$59="Menor"),CONCATENATE("R9C",'Mapa final'!$Q$59),"")</f>
        <v/>
      </c>
      <c r="U24" s="53" t="str">
        <f>IF(AND('Mapa final'!$AA$60="Alta",'Mapa final'!$AC$60="Menor"),CONCATENATE("R9C",'Mapa final'!$Q$60),"")</f>
        <v/>
      </c>
      <c r="V24" s="36" t="str">
        <f>IF(AND('Mapa final'!$AA$55="Alta",'Mapa final'!$AC$55="Moderado"),CONCATENATE("R9C",'Mapa final'!$Q$55),"")</f>
        <v/>
      </c>
      <c r="W24" s="37" t="str">
        <f>IF(AND('Mapa final'!$AA$56="Alta",'Mapa final'!$AC$56="Moderado"),CONCATENATE("R9C",'Mapa final'!$Q$56),"")</f>
        <v/>
      </c>
      <c r="X24" s="37" t="str">
        <f>IF(AND('Mapa final'!$AA$57="Alta",'Mapa final'!$AC$57="Moderado"),CONCATENATE("R9C",'Mapa final'!$Q$57),"")</f>
        <v/>
      </c>
      <c r="Y24" s="37" t="str">
        <f>IF(AND('Mapa final'!$AA$58="Alta",'Mapa final'!$AC$58="Moderado"),CONCATENATE("R9C",'Mapa final'!$Q$58),"")</f>
        <v/>
      </c>
      <c r="Z24" s="37" t="str">
        <f>IF(AND('Mapa final'!$AA$59="Alta",'Mapa final'!$AC$59="Moderado"),CONCATENATE("R9C",'Mapa final'!$Q$59),"")</f>
        <v/>
      </c>
      <c r="AA24" s="38" t="str">
        <f>IF(AND('Mapa final'!$AA$60="Alta",'Mapa final'!$AC$60="Moderado"),CONCATENATE("R9C",'Mapa final'!$Q$60),"")</f>
        <v/>
      </c>
      <c r="AB24" s="36" t="str">
        <f>IF(AND('Mapa final'!$AA$55="Alta",'Mapa final'!$AC$55="Mayor"),CONCATENATE("R9C",'Mapa final'!$Q$55),"")</f>
        <v/>
      </c>
      <c r="AC24" s="37" t="str">
        <f>IF(AND('Mapa final'!$AA$56="Alta",'Mapa final'!$AC$56="Mayor"),CONCATENATE("R9C",'Mapa final'!$Q$56),"")</f>
        <v/>
      </c>
      <c r="AD24" s="37" t="str">
        <f>IF(AND('Mapa final'!$AA$57="Alta",'Mapa final'!$AC$57="Mayor"),CONCATENATE("R9C",'Mapa final'!$Q$57),"")</f>
        <v/>
      </c>
      <c r="AE24" s="37" t="str">
        <f>IF(AND('Mapa final'!$AA$58="Alta",'Mapa final'!$AC$58="Mayor"),CONCATENATE("R9C",'Mapa final'!$Q$58),"")</f>
        <v/>
      </c>
      <c r="AF24" s="37" t="str">
        <f>IF(AND('Mapa final'!$AA$59="Alta",'Mapa final'!$AC$59="Mayor"),CONCATENATE("R9C",'Mapa final'!$Q$59),"")</f>
        <v/>
      </c>
      <c r="AG24" s="38" t="str">
        <f>IF(AND('Mapa final'!$AA$60="Alta",'Mapa final'!$AC$60="Mayor"),CONCATENATE("R9C",'Mapa final'!$Q$60),"")</f>
        <v/>
      </c>
      <c r="AH24" s="39" t="str">
        <f>IF(AND('Mapa final'!$AA$55="Alta",'Mapa final'!$AC$55="Catastrófico"),CONCATENATE("R9C",'Mapa final'!$Q$55),"")</f>
        <v/>
      </c>
      <c r="AI24" s="40" t="str">
        <f>IF(AND('Mapa final'!$AA$56="Alta",'Mapa final'!$AC$56="Catastrófico"),CONCATENATE("R9C",'Mapa final'!$Q$56),"")</f>
        <v/>
      </c>
      <c r="AJ24" s="40" t="str">
        <f>IF(AND('Mapa final'!$AA$57="Alta",'Mapa final'!$AC$57="Catastrófico"),CONCATENATE("R9C",'Mapa final'!$Q$57),"")</f>
        <v/>
      </c>
      <c r="AK24" s="40" t="str">
        <f>IF(AND('Mapa final'!$AA$58="Alta",'Mapa final'!$AC$58="Catastrófico"),CONCATENATE("R9C",'Mapa final'!$Q$58),"")</f>
        <v/>
      </c>
      <c r="AL24" s="40" t="str">
        <f>IF(AND('Mapa final'!$AA$59="Alta",'Mapa final'!$AC$59="Catastrófico"),CONCATENATE("R9C",'Mapa final'!$Q$59),"")</f>
        <v/>
      </c>
      <c r="AM24" s="41" t="str">
        <f>IF(AND('Mapa final'!$AA$60="Alta",'Mapa final'!$AC$60="Catastrófico"),CONCATENATE("R9C",'Mapa final'!$Q$60),"")</f>
        <v/>
      </c>
      <c r="AN24" s="67"/>
      <c r="AO24" s="377"/>
      <c r="AP24" s="378"/>
      <c r="AQ24" s="378"/>
      <c r="AR24" s="378"/>
      <c r="AS24" s="378"/>
      <c r="AT24" s="379"/>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326"/>
      <c r="C25" s="326"/>
      <c r="D25" s="327"/>
      <c r="E25" s="370"/>
      <c r="F25" s="371"/>
      <c r="G25" s="371"/>
      <c r="H25" s="371"/>
      <c r="I25" s="371"/>
      <c r="J25" s="54" t="str">
        <f>IF(AND('Mapa final'!$AA$61="Alta",'Mapa final'!$AC$61="Leve"),CONCATENATE("R10C",'Mapa final'!$Q$61),"")</f>
        <v/>
      </c>
      <c r="K25" s="55" t="str">
        <f>IF(AND('Mapa final'!$AA$62="Alta",'Mapa final'!$AC$62="Leve"),CONCATENATE("R10C",'Mapa final'!$Q$62),"")</f>
        <v/>
      </c>
      <c r="L25" s="55" t="str">
        <f>IF(AND('Mapa final'!$AA$63="Alta",'Mapa final'!$AC$63="Leve"),CONCATENATE("R10C",'Mapa final'!$Q$63),"")</f>
        <v/>
      </c>
      <c r="M25" s="55" t="str">
        <f>IF(AND('Mapa final'!$AA$64="Alta",'Mapa final'!$AC$64="Leve"),CONCATENATE("R10C",'Mapa final'!$Q$64),"")</f>
        <v/>
      </c>
      <c r="N25" s="55" t="str">
        <f>IF(AND('Mapa final'!$AA$65="Alta",'Mapa final'!$AC$65="Leve"),CONCATENATE("R10C",'Mapa final'!$Q$65),"")</f>
        <v/>
      </c>
      <c r="O25" s="56" t="str">
        <f>IF(AND('Mapa final'!$AA$66="Alta",'Mapa final'!$AC$66="Leve"),CONCATENATE("R10C",'Mapa final'!$Q$66),"")</f>
        <v/>
      </c>
      <c r="P25" s="54" t="str">
        <f>IF(AND('Mapa final'!$AA$61="Alta",'Mapa final'!$AC$61="Menor"),CONCATENATE("R10C",'Mapa final'!$Q$61),"")</f>
        <v/>
      </c>
      <c r="Q25" s="55" t="str">
        <f>IF(AND('Mapa final'!$AA$62="Alta",'Mapa final'!$AC$62="Menor"),CONCATENATE("R10C",'Mapa final'!$Q$62),"")</f>
        <v/>
      </c>
      <c r="R25" s="55" t="str">
        <f>IF(AND('Mapa final'!$AA$63="Alta",'Mapa final'!$AC$63="Menor"),CONCATENATE("R10C",'Mapa final'!$Q$63),"")</f>
        <v/>
      </c>
      <c r="S25" s="55" t="str">
        <f>IF(AND('Mapa final'!$AA$64="Alta",'Mapa final'!$AC$64="Menor"),CONCATENATE("R10C",'Mapa final'!$Q$64),"")</f>
        <v/>
      </c>
      <c r="T25" s="55" t="str">
        <f>IF(AND('Mapa final'!$AA$65="Alta",'Mapa final'!$AC$65="Menor"),CONCATENATE("R10C",'Mapa final'!$Q$65),"")</f>
        <v/>
      </c>
      <c r="U25" s="56" t="str">
        <f>IF(AND('Mapa final'!$AA$66="Alta",'Mapa final'!$AC$66="Menor"),CONCATENATE("R10C",'Mapa final'!$Q$66),"")</f>
        <v/>
      </c>
      <c r="V25" s="42" t="str">
        <f>IF(AND('Mapa final'!$AA$61="Alta",'Mapa final'!$AC$61="Moderado"),CONCATENATE("R10C",'Mapa final'!$Q$61),"")</f>
        <v/>
      </c>
      <c r="W25" s="43" t="str">
        <f>IF(AND('Mapa final'!$AA$62="Alta",'Mapa final'!$AC$62="Moderado"),CONCATENATE("R10C",'Mapa final'!$Q$62),"")</f>
        <v/>
      </c>
      <c r="X25" s="43" t="str">
        <f>IF(AND('Mapa final'!$AA$63="Alta",'Mapa final'!$AC$63="Moderado"),CONCATENATE("R10C",'Mapa final'!$Q$63),"")</f>
        <v/>
      </c>
      <c r="Y25" s="43" t="str">
        <f>IF(AND('Mapa final'!$AA$64="Alta",'Mapa final'!$AC$64="Moderado"),CONCATENATE("R10C",'Mapa final'!$Q$64),"")</f>
        <v/>
      </c>
      <c r="Z25" s="43" t="str">
        <f>IF(AND('Mapa final'!$AA$65="Alta",'Mapa final'!$AC$65="Moderado"),CONCATENATE("R10C",'Mapa final'!$Q$65),"")</f>
        <v/>
      </c>
      <c r="AA25" s="44" t="str">
        <f>IF(AND('Mapa final'!$AA$66="Alta",'Mapa final'!$AC$66="Moderado"),CONCATENATE("R10C",'Mapa final'!$Q$66),"")</f>
        <v/>
      </c>
      <c r="AB25" s="42" t="str">
        <f>IF(AND('Mapa final'!$AA$61="Alta",'Mapa final'!$AC$61="Mayor"),CONCATENATE("R10C",'Mapa final'!$Q$61),"")</f>
        <v/>
      </c>
      <c r="AC25" s="43" t="str">
        <f>IF(AND('Mapa final'!$AA$62="Alta",'Mapa final'!$AC$62="Mayor"),CONCATENATE("R10C",'Mapa final'!$Q$62),"")</f>
        <v/>
      </c>
      <c r="AD25" s="43" t="str">
        <f>IF(AND('Mapa final'!$AA$63="Alta",'Mapa final'!$AC$63="Mayor"),CONCATENATE("R10C",'Mapa final'!$Q$63),"")</f>
        <v/>
      </c>
      <c r="AE25" s="43" t="str">
        <f>IF(AND('Mapa final'!$AA$64="Alta",'Mapa final'!$AC$64="Mayor"),CONCATENATE("R10C",'Mapa final'!$Q$64),"")</f>
        <v/>
      </c>
      <c r="AF25" s="43" t="str">
        <f>IF(AND('Mapa final'!$AA$65="Alta",'Mapa final'!$AC$65="Mayor"),CONCATENATE("R10C",'Mapa final'!$Q$65),"")</f>
        <v/>
      </c>
      <c r="AG25" s="44" t="str">
        <f>IF(AND('Mapa final'!$AA$66="Alta",'Mapa final'!$AC$66="Mayor"),CONCATENATE("R10C",'Mapa final'!$Q$66),"")</f>
        <v/>
      </c>
      <c r="AH25" s="45" t="str">
        <f>IF(AND('Mapa final'!$AA$61="Alta",'Mapa final'!$AC$61="Catastrófico"),CONCATENATE("R10C",'Mapa final'!$Q$61),"")</f>
        <v/>
      </c>
      <c r="AI25" s="46" t="str">
        <f>IF(AND('Mapa final'!$AA$62="Alta",'Mapa final'!$AC$62="Catastrófico"),CONCATENATE("R10C",'Mapa final'!$Q$62),"")</f>
        <v/>
      </c>
      <c r="AJ25" s="46" t="str">
        <f>IF(AND('Mapa final'!$AA$63="Alta",'Mapa final'!$AC$63="Catastrófico"),CONCATENATE("R10C",'Mapa final'!$Q$63),"")</f>
        <v/>
      </c>
      <c r="AK25" s="46" t="str">
        <f>IF(AND('Mapa final'!$AA$64="Alta",'Mapa final'!$AC$64="Catastrófico"),CONCATENATE("R10C",'Mapa final'!$Q$64),"")</f>
        <v/>
      </c>
      <c r="AL25" s="46" t="str">
        <f>IF(AND('Mapa final'!$AA$65="Alta",'Mapa final'!$AC$65="Catastrófico"),CONCATENATE("R10C",'Mapa final'!$Q$65),"")</f>
        <v/>
      </c>
      <c r="AM25" s="47" t="str">
        <f>IF(AND('Mapa final'!$AA$66="Alta",'Mapa final'!$AC$66="Catastrófico"),CONCATENATE("R10C",'Mapa final'!$Q$66),"")</f>
        <v/>
      </c>
      <c r="AN25" s="67"/>
      <c r="AO25" s="380"/>
      <c r="AP25" s="381"/>
      <c r="AQ25" s="381"/>
      <c r="AR25" s="381"/>
      <c r="AS25" s="381"/>
      <c r="AT25" s="382"/>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326"/>
      <c r="C26" s="326"/>
      <c r="D26" s="327"/>
      <c r="E26" s="364" t="s">
        <v>112</v>
      </c>
      <c r="F26" s="365"/>
      <c r="G26" s="365"/>
      <c r="H26" s="365"/>
      <c r="I26" s="366"/>
      <c r="J26" s="48" t="str">
        <f>IF(AND('Mapa final'!$AA$10="Media",'Mapa final'!$AC$10="Leve"),CONCATENATE("R1C",'Mapa final'!$Q$10),"")</f>
        <v/>
      </c>
      <c r="K26" s="49" t="str">
        <f>IF(AND('Mapa final'!$AA$11="Media",'Mapa final'!$AC$11="Leve"),CONCATENATE("R1C",'Mapa final'!$Q$11),"")</f>
        <v/>
      </c>
      <c r="L26" s="49" t="str">
        <f>IF(AND('Mapa final'!$AA$12="Media",'Mapa final'!$AC$12="Leve"),CONCATENATE("R1C",'Mapa final'!$Q$12),"")</f>
        <v/>
      </c>
      <c r="M26" s="49" t="e">
        <f>IF(AND('Mapa final'!#REF!="Media",'Mapa final'!#REF!="Leve"),CONCATENATE("R1C",'Mapa final'!#REF!),"")</f>
        <v>#REF!</v>
      </c>
      <c r="N26" s="49" t="e">
        <f>IF(AND('Mapa final'!#REF!="Media",'Mapa final'!#REF!="Leve"),CONCATENATE("R1C",'Mapa final'!#REF!),"")</f>
        <v>#REF!</v>
      </c>
      <c r="O26" s="50" t="e">
        <f>IF(AND('Mapa final'!#REF!="Media",'Mapa final'!#REF!="Leve"),CONCATENATE("R1C",'Mapa final'!#REF!),"")</f>
        <v>#REF!</v>
      </c>
      <c r="P26" s="48" t="str">
        <f>IF(AND('Mapa final'!$AA$10="Media",'Mapa final'!$AC$10="Menor"),CONCATENATE("R1C",'Mapa final'!$Q$10),"")</f>
        <v/>
      </c>
      <c r="Q26" s="49" t="str">
        <f>IF(AND('Mapa final'!$AA$11="Media",'Mapa final'!$AC$11="Menor"),CONCATENATE("R1C",'Mapa final'!$Q$11),"")</f>
        <v/>
      </c>
      <c r="R26" s="49" t="str">
        <f>IF(AND('Mapa final'!$AA$12="Media",'Mapa final'!$AC$12="Menor"),CONCATENATE("R1C",'Mapa final'!$Q$12),"")</f>
        <v/>
      </c>
      <c r="S26" s="49" t="e">
        <f>IF(AND('Mapa final'!#REF!="Media",'Mapa final'!#REF!="Menor"),CONCATENATE("R1C",'Mapa final'!#REF!),"")</f>
        <v>#REF!</v>
      </c>
      <c r="T26" s="49" t="e">
        <f>IF(AND('Mapa final'!#REF!="Media",'Mapa final'!#REF!="Menor"),CONCATENATE("R1C",'Mapa final'!#REF!),"")</f>
        <v>#REF!</v>
      </c>
      <c r="U26" s="50" t="e">
        <f>IF(AND('Mapa final'!#REF!="Media",'Mapa final'!#REF!="Menor"),CONCATENATE("R1C",'Mapa final'!#REF!),"")</f>
        <v>#REF!</v>
      </c>
      <c r="V26" s="48" t="str">
        <f>IF(AND('Mapa final'!$AA$10="Media",'Mapa final'!$AC$10="Moderado"),CONCATENATE("R1C",'Mapa final'!$Q$10),"")</f>
        <v/>
      </c>
      <c r="W26" s="49" t="str">
        <f>IF(AND('Mapa final'!$AA$11="Media",'Mapa final'!$AC$11="Moderado"),CONCATENATE("R1C",'Mapa final'!$Q$11),"")</f>
        <v/>
      </c>
      <c r="X26" s="49" t="str">
        <f>IF(AND('Mapa final'!$AA$12="Media",'Mapa final'!$AC$12="Moderado"),CONCATENATE("R1C",'Mapa final'!$Q$12),"")</f>
        <v/>
      </c>
      <c r="Y26" s="49" t="e">
        <f>IF(AND('Mapa final'!#REF!="Media",'Mapa final'!#REF!="Moderado"),CONCATENATE("R1C",'Mapa final'!#REF!),"")</f>
        <v>#REF!</v>
      </c>
      <c r="Z26" s="49" t="e">
        <f>IF(AND('Mapa final'!#REF!="Media",'Mapa final'!#REF!="Moderado"),CONCATENATE("R1C",'Mapa final'!#REF!),"")</f>
        <v>#REF!</v>
      </c>
      <c r="AA26" s="50" t="e">
        <f>IF(AND('Mapa final'!#REF!="Media",'Mapa final'!#REF!="Moderado"),CONCATENATE("R1C",'Mapa final'!#REF!),"")</f>
        <v>#REF!</v>
      </c>
      <c r="AB26" s="30" t="str">
        <f>IF(AND('Mapa final'!$AA$10="Media",'Mapa final'!$AC$10="Mayor"),CONCATENATE("R1C",'Mapa final'!$Q$10),"")</f>
        <v/>
      </c>
      <c r="AC26" s="31" t="str">
        <f>IF(AND('Mapa final'!$AA$11="Media",'Mapa final'!$AC$11="Mayor"),CONCATENATE("R1C",'Mapa final'!$Q$11),"")</f>
        <v/>
      </c>
      <c r="AD26" s="31" t="str">
        <f>IF(AND('Mapa final'!$AA$12="Media",'Mapa final'!$AC$12="Mayor"),CONCATENATE("R1C",'Mapa final'!$Q$12),"")</f>
        <v/>
      </c>
      <c r="AE26" s="31" t="e">
        <f>IF(AND('Mapa final'!#REF!="Media",'Mapa final'!#REF!="Mayor"),CONCATENATE("R1C",'Mapa final'!#REF!),"")</f>
        <v>#REF!</v>
      </c>
      <c r="AF26" s="31" t="e">
        <f>IF(AND('Mapa final'!#REF!="Media",'Mapa final'!#REF!="Mayor"),CONCATENATE("R1C",'Mapa final'!#REF!),"")</f>
        <v>#REF!</v>
      </c>
      <c r="AG26" s="32" t="e">
        <f>IF(AND('Mapa final'!#REF!="Media",'Mapa final'!#REF!="Mayor"),CONCATENATE("R1C",'Mapa final'!#REF!),"")</f>
        <v>#REF!</v>
      </c>
      <c r="AH26" s="33" t="str">
        <f>IF(AND('Mapa final'!$AA$10="Media",'Mapa final'!$AC$10="Catastrófico"),CONCATENATE("R1C",'Mapa final'!$Q$10),"")</f>
        <v/>
      </c>
      <c r="AI26" s="34" t="str">
        <f>IF(AND('Mapa final'!$AA$11="Media",'Mapa final'!$AC$11="Catastrófico"),CONCATENATE("R1C",'Mapa final'!$Q$11),"")</f>
        <v/>
      </c>
      <c r="AJ26" s="34" t="str">
        <f>IF(AND('Mapa final'!$AA$12="Media",'Mapa final'!$AC$12="Catastrófico"),CONCATENATE("R1C",'Mapa final'!$Q$12),"")</f>
        <v/>
      </c>
      <c r="AK26" s="34" t="e">
        <f>IF(AND('Mapa final'!#REF!="Media",'Mapa final'!#REF!="Catastrófico"),CONCATENATE("R1C",'Mapa final'!#REF!),"")</f>
        <v>#REF!</v>
      </c>
      <c r="AL26" s="34" t="e">
        <f>IF(AND('Mapa final'!#REF!="Media",'Mapa final'!#REF!="Catastrófico"),CONCATENATE("R1C",'Mapa final'!#REF!),"")</f>
        <v>#REF!</v>
      </c>
      <c r="AM26" s="35" t="e">
        <f>IF(AND('Mapa final'!#REF!="Media",'Mapa final'!#REF!="Catastrófico"),CONCATENATE("R1C",'Mapa final'!#REF!),"")</f>
        <v>#REF!</v>
      </c>
      <c r="AN26" s="67"/>
      <c r="AO26" s="404" t="s">
        <v>80</v>
      </c>
      <c r="AP26" s="405"/>
      <c r="AQ26" s="405"/>
      <c r="AR26" s="405"/>
      <c r="AS26" s="405"/>
      <c r="AT26" s="406"/>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326"/>
      <c r="C27" s="326"/>
      <c r="D27" s="327"/>
      <c r="E27" s="383"/>
      <c r="F27" s="368"/>
      <c r="G27" s="368"/>
      <c r="H27" s="368"/>
      <c r="I27" s="369"/>
      <c r="J27" s="51" t="str">
        <f>IF(AND('Mapa final'!$AA$13="Media",'Mapa final'!$AC$13="Leve"),CONCATENATE("R2C",'Mapa final'!$Q$13),"")</f>
        <v/>
      </c>
      <c r="K27" s="52" t="str">
        <f>IF(AND('Mapa final'!$AA$14="Media",'Mapa final'!$AC$14="Leve"),CONCATENATE("R2C",'Mapa final'!$Q$14),"")</f>
        <v/>
      </c>
      <c r="L27" s="52" t="str">
        <f>IF(AND('Mapa final'!$AA$15="Media",'Mapa final'!$AC$15="Leve"),CONCATENATE("R2C",'Mapa final'!$Q$15),"")</f>
        <v/>
      </c>
      <c r="M27" s="52" t="str">
        <f>IF(AND('Mapa final'!$AA$16="Media",'Mapa final'!$AC$16="Leve"),CONCATENATE("R2C",'Mapa final'!$Q$16),"")</f>
        <v/>
      </c>
      <c r="N27" s="52" t="str">
        <f>IF(AND('Mapa final'!$AA$17="Media",'Mapa final'!$AC$17="Leve"),CONCATENATE("R2C",'Mapa final'!$Q$17),"")</f>
        <v/>
      </c>
      <c r="O27" s="53" t="str">
        <f>IF(AND('Mapa final'!$AA$18="Media",'Mapa final'!$AC$18="Leve"),CONCATENATE("R2C",'Mapa final'!$Q$18),"")</f>
        <v/>
      </c>
      <c r="P27" s="51" t="str">
        <f>IF(AND('Mapa final'!$AA$13="Media",'Mapa final'!$AC$13="Menor"),CONCATENATE("R2C",'Mapa final'!$Q$13),"")</f>
        <v/>
      </c>
      <c r="Q27" s="52" t="str">
        <f>IF(AND('Mapa final'!$AA$14="Media",'Mapa final'!$AC$14="Menor"),CONCATENATE("R2C",'Mapa final'!$Q$14),"")</f>
        <v/>
      </c>
      <c r="R27" s="52" t="str">
        <f>IF(AND('Mapa final'!$AA$15="Media",'Mapa final'!$AC$15="Menor"),CONCATENATE("R2C",'Mapa final'!$Q$15),"")</f>
        <v/>
      </c>
      <c r="S27" s="52" t="str">
        <f>IF(AND('Mapa final'!$AA$16="Media",'Mapa final'!$AC$16="Menor"),CONCATENATE("R2C",'Mapa final'!$Q$16),"")</f>
        <v/>
      </c>
      <c r="T27" s="52" t="str">
        <f>IF(AND('Mapa final'!$AA$17="Media",'Mapa final'!$AC$17="Menor"),CONCATENATE("R2C",'Mapa final'!$Q$17),"")</f>
        <v/>
      </c>
      <c r="U27" s="53" t="str">
        <f>IF(AND('Mapa final'!$AA$18="Media",'Mapa final'!$AC$18="Menor"),CONCATENATE("R2C",'Mapa final'!$Q$18),"")</f>
        <v/>
      </c>
      <c r="V27" s="51" t="str">
        <f>IF(AND('Mapa final'!$AA$13="Media",'Mapa final'!$AC$13="Moderado"),CONCATENATE("R2C",'Mapa final'!$Q$13),"")</f>
        <v/>
      </c>
      <c r="W27" s="52" t="str">
        <f>IF(AND('Mapa final'!$AA$14="Media",'Mapa final'!$AC$14="Moderado"),CONCATENATE("R2C",'Mapa final'!$Q$14),"")</f>
        <v/>
      </c>
      <c r="X27" s="52" t="str">
        <f>IF(AND('Mapa final'!$AA$15="Media",'Mapa final'!$AC$15="Moderado"),CONCATENATE("R2C",'Mapa final'!$Q$15),"")</f>
        <v/>
      </c>
      <c r="Y27" s="52" t="str">
        <f>IF(AND('Mapa final'!$AA$16="Media",'Mapa final'!$AC$16="Moderado"),CONCATENATE("R2C",'Mapa final'!$Q$16),"")</f>
        <v/>
      </c>
      <c r="Z27" s="52" t="str">
        <f>IF(AND('Mapa final'!$AA$17="Media",'Mapa final'!$AC$17="Moderado"),CONCATENATE("R2C",'Mapa final'!$Q$17),"")</f>
        <v/>
      </c>
      <c r="AA27" s="53" t="str">
        <f>IF(AND('Mapa final'!$AA$18="Media",'Mapa final'!$AC$18="Moderado"),CONCATENATE("R2C",'Mapa final'!$Q$18),"")</f>
        <v/>
      </c>
      <c r="AB27" s="36" t="str">
        <f>IF(AND('Mapa final'!$AA$13="Media",'Mapa final'!$AC$13="Mayor"),CONCATENATE("R2C",'Mapa final'!$Q$13),"")</f>
        <v/>
      </c>
      <c r="AC27" s="37" t="str">
        <f>IF(AND('Mapa final'!$AA$14="Media",'Mapa final'!$AC$14="Mayor"),CONCATENATE("R2C",'Mapa final'!$Q$14),"")</f>
        <v/>
      </c>
      <c r="AD27" s="37" t="str">
        <f>IF(AND('Mapa final'!$AA$15="Media",'Mapa final'!$AC$15="Mayor"),CONCATENATE("R2C",'Mapa final'!$Q$15),"")</f>
        <v/>
      </c>
      <c r="AE27" s="37" t="str">
        <f>IF(AND('Mapa final'!$AA$16="Media",'Mapa final'!$AC$16="Mayor"),CONCATENATE("R2C",'Mapa final'!$Q$16),"")</f>
        <v/>
      </c>
      <c r="AF27" s="37" t="str">
        <f>IF(AND('Mapa final'!$AA$17="Media",'Mapa final'!$AC$17="Mayor"),CONCATENATE("R2C",'Mapa final'!$Q$17),"")</f>
        <v/>
      </c>
      <c r="AG27" s="38" t="str">
        <f>IF(AND('Mapa final'!$AA$18="Media",'Mapa final'!$AC$18="Mayor"),CONCATENATE("R2C",'Mapa final'!$Q$18),"")</f>
        <v/>
      </c>
      <c r="AH27" s="39" t="str">
        <f>IF(AND('Mapa final'!$AA$13="Media",'Mapa final'!$AC$13="Catastrófico"),CONCATENATE("R2C",'Mapa final'!$Q$13),"")</f>
        <v/>
      </c>
      <c r="AI27" s="40" t="str">
        <f>IF(AND('Mapa final'!$AA$14="Media",'Mapa final'!$AC$14="Catastrófico"),CONCATENATE("R2C",'Mapa final'!$Q$14),"")</f>
        <v/>
      </c>
      <c r="AJ27" s="40" t="str">
        <f>IF(AND('Mapa final'!$AA$15="Media",'Mapa final'!$AC$15="Catastrófico"),CONCATENATE("R2C",'Mapa final'!$Q$15),"")</f>
        <v/>
      </c>
      <c r="AK27" s="40" t="str">
        <f>IF(AND('Mapa final'!$AA$16="Media",'Mapa final'!$AC$16="Catastrófico"),CONCATENATE("R2C",'Mapa final'!$Q$16),"")</f>
        <v/>
      </c>
      <c r="AL27" s="40" t="str">
        <f>IF(AND('Mapa final'!$AA$17="Media",'Mapa final'!$AC$17="Catastrófico"),CONCATENATE("R2C",'Mapa final'!$Q$17),"")</f>
        <v/>
      </c>
      <c r="AM27" s="41" t="str">
        <f>IF(AND('Mapa final'!$AA$18="Media",'Mapa final'!$AC$18="Catastrófico"),CONCATENATE("R2C",'Mapa final'!$Q$18),"")</f>
        <v/>
      </c>
      <c r="AN27" s="67"/>
      <c r="AO27" s="407"/>
      <c r="AP27" s="408"/>
      <c r="AQ27" s="408"/>
      <c r="AR27" s="408"/>
      <c r="AS27" s="408"/>
      <c r="AT27" s="409"/>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326"/>
      <c r="C28" s="326"/>
      <c r="D28" s="327"/>
      <c r="E28" s="367"/>
      <c r="F28" s="368"/>
      <c r="G28" s="368"/>
      <c r="H28" s="368"/>
      <c r="I28" s="369"/>
      <c r="J28" s="51" t="str">
        <f>IF(AND('Mapa final'!$AA$19="Media",'Mapa final'!$AC$19="Leve"),CONCATENATE("R3C",'Mapa final'!$Q$19),"")</f>
        <v/>
      </c>
      <c r="K28" s="52" t="str">
        <f>IF(AND('Mapa final'!$AA$20="Media",'Mapa final'!$AC$20="Leve"),CONCATENATE("R3C",'Mapa final'!$Q$20),"")</f>
        <v/>
      </c>
      <c r="L28" s="52" t="str">
        <f>IF(AND('Mapa final'!$AA$21="Media",'Mapa final'!$AC$21="Leve"),CONCATENATE("R3C",'Mapa final'!$Q$21),"")</f>
        <v/>
      </c>
      <c r="M28" s="52" t="str">
        <f>IF(AND('Mapa final'!$AA$22="Media",'Mapa final'!$AC$22="Leve"),CONCATENATE("R3C",'Mapa final'!$Q$22),"")</f>
        <v/>
      </c>
      <c r="N28" s="52" t="str">
        <f>IF(AND('Mapa final'!$AA$23="Media",'Mapa final'!$AC$23="Leve"),CONCATENATE("R3C",'Mapa final'!$Q$23),"")</f>
        <v/>
      </c>
      <c r="O28" s="53" t="str">
        <f>IF(AND('Mapa final'!$AA$24="Media",'Mapa final'!$AC$24="Leve"),CONCATENATE("R3C",'Mapa final'!$Q$24),"")</f>
        <v/>
      </c>
      <c r="P28" s="51" t="str">
        <f>IF(AND('Mapa final'!$AA$19="Media",'Mapa final'!$AC$19="Menor"),CONCATENATE("R3C",'Mapa final'!$Q$19),"")</f>
        <v/>
      </c>
      <c r="Q28" s="52" t="str">
        <f>IF(AND('Mapa final'!$AA$20="Media",'Mapa final'!$AC$20="Menor"),CONCATENATE("R3C",'Mapa final'!$Q$20),"")</f>
        <v/>
      </c>
      <c r="R28" s="52" t="str">
        <f>IF(AND('Mapa final'!$AA$21="Media",'Mapa final'!$AC$21="Menor"),CONCATENATE("R3C",'Mapa final'!$Q$21),"")</f>
        <v/>
      </c>
      <c r="S28" s="52" t="str">
        <f>IF(AND('Mapa final'!$AA$22="Media",'Mapa final'!$AC$22="Menor"),CONCATENATE("R3C",'Mapa final'!$Q$22),"")</f>
        <v/>
      </c>
      <c r="T28" s="52" t="str">
        <f>IF(AND('Mapa final'!$AA$23="Media",'Mapa final'!$AC$23="Menor"),CONCATENATE("R3C",'Mapa final'!$Q$23),"")</f>
        <v/>
      </c>
      <c r="U28" s="53" t="str">
        <f>IF(AND('Mapa final'!$AA$24="Media",'Mapa final'!$AC$24="Menor"),CONCATENATE("R3C",'Mapa final'!$Q$24),"")</f>
        <v/>
      </c>
      <c r="V28" s="51" t="str">
        <f>IF(AND('Mapa final'!$AA$19="Media",'Mapa final'!$AC$19="Moderado"),CONCATENATE("R3C",'Mapa final'!$Q$19),"")</f>
        <v/>
      </c>
      <c r="W28" s="52" t="str">
        <f>IF(AND('Mapa final'!$AA$20="Media",'Mapa final'!$AC$20="Moderado"),CONCATENATE("R3C",'Mapa final'!$Q$20),"")</f>
        <v/>
      </c>
      <c r="X28" s="52" t="str">
        <f>IF(AND('Mapa final'!$AA$21="Media",'Mapa final'!$AC$21="Moderado"),CONCATENATE("R3C",'Mapa final'!$Q$21),"")</f>
        <v/>
      </c>
      <c r="Y28" s="52" t="str">
        <f>IF(AND('Mapa final'!$AA$22="Media",'Mapa final'!$AC$22="Moderado"),CONCATENATE("R3C",'Mapa final'!$Q$22),"")</f>
        <v/>
      </c>
      <c r="Z28" s="52" t="str">
        <f>IF(AND('Mapa final'!$AA$23="Media",'Mapa final'!$AC$23="Moderado"),CONCATENATE("R3C",'Mapa final'!$Q$23),"")</f>
        <v/>
      </c>
      <c r="AA28" s="53" t="str">
        <f>IF(AND('Mapa final'!$AA$24="Media",'Mapa final'!$AC$24="Moderado"),CONCATENATE("R3C",'Mapa final'!$Q$24),"")</f>
        <v/>
      </c>
      <c r="AB28" s="36" t="str">
        <f>IF(AND('Mapa final'!$AA$19="Media",'Mapa final'!$AC$19="Mayor"),CONCATENATE("R3C",'Mapa final'!$Q$19),"")</f>
        <v/>
      </c>
      <c r="AC28" s="37" t="str">
        <f>IF(AND('Mapa final'!$AA$20="Media",'Mapa final'!$AC$20="Mayor"),CONCATENATE("R3C",'Mapa final'!$Q$20),"")</f>
        <v/>
      </c>
      <c r="AD28" s="37" t="str">
        <f>IF(AND('Mapa final'!$AA$21="Media",'Mapa final'!$AC$21="Mayor"),CONCATENATE("R3C",'Mapa final'!$Q$21),"")</f>
        <v/>
      </c>
      <c r="AE28" s="37" t="str">
        <f>IF(AND('Mapa final'!$AA$22="Media",'Mapa final'!$AC$22="Mayor"),CONCATENATE("R3C",'Mapa final'!$Q$22),"")</f>
        <v/>
      </c>
      <c r="AF28" s="37" t="str">
        <f>IF(AND('Mapa final'!$AA$23="Media",'Mapa final'!$AC$23="Mayor"),CONCATENATE("R3C",'Mapa final'!$Q$23),"")</f>
        <v/>
      </c>
      <c r="AG28" s="38" t="str">
        <f>IF(AND('Mapa final'!$AA$24="Media",'Mapa final'!$AC$24="Mayor"),CONCATENATE("R3C",'Mapa final'!$Q$24),"")</f>
        <v/>
      </c>
      <c r="AH28" s="39" t="str">
        <f>IF(AND('Mapa final'!$AA$19="Media",'Mapa final'!$AC$19="Catastrófico"),CONCATENATE("R3C",'Mapa final'!$Q$19),"")</f>
        <v/>
      </c>
      <c r="AI28" s="40" t="str">
        <f>IF(AND('Mapa final'!$AA$20="Media",'Mapa final'!$AC$20="Catastrófico"),CONCATENATE("R3C",'Mapa final'!$Q$20),"")</f>
        <v/>
      </c>
      <c r="AJ28" s="40" t="str">
        <f>IF(AND('Mapa final'!$AA$21="Media",'Mapa final'!$AC$21="Catastrófico"),CONCATENATE("R3C",'Mapa final'!$Q$21),"")</f>
        <v/>
      </c>
      <c r="AK28" s="40" t="str">
        <f>IF(AND('Mapa final'!$AA$22="Media",'Mapa final'!$AC$22="Catastrófico"),CONCATENATE("R3C",'Mapa final'!$Q$22),"")</f>
        <v/>
      </c>
      <c r="AL28" s="40" t="str">
        <f>IF(AND('Mapa final'!$AA$23="Media",'Mapa final'!$AC$23="Catastrófico"),CONCATENATE("R3C",'Mapa final'!$Q$23),"")</f>
        <v/>
      </c>
      <c r="AM28" s="41" t="str">
        <f>IF(AND('Mapa final'!$AA$24="Media",'Mapa final'!$AC$24="Catastrófico"),CONCATENATE("R3C",'Mapa final'!$Q$24),"")</f>
        <v/>
      </c>
      <c r="AN28" s="67"/>
      <c r="AO28" s="407"/>
      <c r="AP28" s="408"/>
      <c r="AQ28" s="408"/>
      <c r="AR28" s="408"/>
      <c r="AS28" s="408"/>
      <c r="AT28" s="409"/>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326"/>
      <c r="C29" s="326"/>
      <c r="D29" s="327"/>
      <c r="E29" s="367"/>
      <c r="F29" s="368"/>
      <c r="G29" s="368"/>
      <c r="H29" s="368"/>
      <c r="I29" s="369"/>
      <c r="J29" s="51" t="str">
        <f>IF(AND('Mapa final'!$AA$25="Media",'Mapa final'!$AC$25="Leve"),CONCATENATE("R4C",'Mapa final'!$Q$25),"")</f>
        <v/>
      </c>
      <c r="K29" s="52" t="str">
        <f>IF(AND('Mapa final'!$AA$26="Media",'Mapa final'!$AC$26="Leve"),CONCATENATE("R4C",'Mapa final'!$Q$26),"")</f>
        <v/>
      </c>
      <c r="L29" s="52" t="str">
        <f>IF(AND('Mapa final'!$AA$27="Media",'Mapa final'!$AC$27="Leve"),CONCATENATE("R4C",'Mapa final'!$Q$27),"")</f>
        <v/>
      </c>
      <c r="M29" s="52" t="str">
        <f>IF(AND('Mapa final'!$AA$28="Media",'Mapa final'!$AC$28="Leve"),CONCATENATE("R4C",'Mapa final'!$Q$28),"")</f>
        <v/>
      </c>
      <c r="N29" s="52" t="str">
        <f>IF(AND('Mapa final'!$AA$29="Media",'Mapa final'!$AC$29="Leve"),CONCATENATE("R4C",'Mapa final'!$Q$29),"")</f>
        <v/>
      </c>
      <c r="O29" s="53" t="str">
        <f>IF(AND('Mapa final'!$AA$30="Media",'Mapa final'!$AC$30="Leve"),CONCATENATE("R4C",'Mapa final'!$Q$30),"")</f>
        <v/>
      </c>
      <c r="P29" s="51" t="str">
        <f>IF(AND('Mapa final'!$AA$25="Media",'Mapa final'!$AC$25="Menor"),CONCATENATE("R4C",'Mapa final'!$Q$25),"")</f>
        <v/>
      </c>
      <c r="Q29" s="52" t="str">
        <f>IF(AND('Mapa final'!$AA$26="Media",'Mapa final'!$AC$26="Menor"),CONCATENATE("R4C",'Mapa final'!$Q$26),"")</f>
        <v/>
      </c>
      <c r="R29" s="52" t="str">
        <f>IF(AND('Mapa final'!$AA$27="Media",'Mapa final'!$AC$27="Menor"),CONCATENATE("R4C",'Mapa final'!$Q$27),"")</f>
        <v/>
      </c>
      <c r="S29" s="52" t="str">
        <f>IF(AND('Mapa final'!$AA$28="Media",'Mapa final'!$AC$28="Menor"),CONCATENATE("R4C",'Mapa final'!$Q$28),"")</f>
        <v/>
      </c>
      <c r="T29" s="52" t="str">
        <f>IF(AND('Mapa final'!$AA$29="Media",'Mapa final'!$AC$29="Menor"),CONCATENATE("R4C",'Mapa final'!$Q$29),"")</f>
        <v/>
      </c>
      <c r="U29" s="53" t="str">
        <f>IF(AND('Mapa final'!$AA$30="Media",'Mapa final'!$AC$30="Menor"),CONCATENATE("R4C",'Mapa final'!$Q$30),"")</f>
        <v/>
      </c>
      <c r="V29" s="51" t="str">
        <f>IF(AND('Mapa final'!$AA$25="Media",'Mapa final'!$AC$25="Moderado"),CONCATENATE("R4C",'Mapa final'!$Q$25),"")</f>
        <v/>
      </c>
      <c r="W29" s="52" t="str">
        <f>IF(AND('Mapa final'!$AA$26="Media",'Mapa final'!$AC$26="Moderado"),CONCATENATE("R4C",'Mapa final'!$Q$26),"")</f>
        <v/>
      </c>
      <c r="X29" s="52" t="str">
        <f>IF(AND('Mapa final'!$AA$27="Media",'Mapa final'!$AC$27="Moderado"),CONCATENATE("R4C",'Mapa final'!$Q$27),"")</f>
        <v/>
      </c>
      <c r="Y29" s="52" t="str">
        <f>IF(AND('Mapa final'!$AA$28="Media",'Mapa final'!$AC$28="Moderado"),CONCATENATE("R4C",'Mapa final'!$Q$28),"")</f>
        <v/>
      </c>
      <c r="Z29" s="52" t="str">
        <f>IF(AND('Mapa final'!$AA$29="Media",'Mapa final'!$AC$29="Moderado"),CONCATENATE("R4C",'Mapa final'!$Q$29),"")</f>
        <v/>
      </c>
      <c r="AA29" s="53" t="str">
        <f>IF(AND('Mapa final'!$AA$30="Media",'Mapa final'!$AC$30="Moderado"),CONCATENATE("R4C",'Mapa final'!$Q$30),"")</f>
        <v/>
      </c>
      <c r="AB29" s="36" t="str">
        <f>IF(AND('Mapa final'!$AA$25="Media",'Mapa final'!$AC$25="Mayor"),CONCATENATE("R4C",'Mapa final'!$Q$25),"")</f>
        <v/>
      </c>
      <c r="AC29" s="37" t="str">
        <f>IF(AND('Mapa final'!$AA$26="Media",'Mapa final'!$AC$26="Mayor"),CONCATENATE("R4C",'Mapa final'!$Q$26),"")</f>
        <v/>
      </c>
      <c r="AD29" s="37" t="str">
        <f>IF(AND('Mapa final'!$AA$27="Media",'Mapa final'!$AC$27="Mayor"),CONCATENATE("R4C",'Mapa final'!$Q$27),"")</f>
        <v/>
      </c>
      <c r="AE29" s="37" t="str">
        <f>IF(AND('Mapa final'!$AA$28="Media",'Mapa final'!$AC$28="Mayor"),CONCATENATE("R4C",'Mapa final'!$Q$28),"")</f>
        <v/>
      </c>
      <c r="AF29" s="37" t="str">
        <f>IF(AND('Mapa final'!$AA$29="Media",'Mapa final'!$AC$29="Mayor"),CONCATENATE("R4C",'Mapa final'!$Q$29),"")</f>
        <v/>
      </c>
      <c r="AG29" s="38" t="str">
        <f>IF(AND('Mapa final'!$AA$30="Media",'Mapa final'!$AC$30="Mayor"),CONCATENATE("R4C",'Mapa final'!$Q$30),"")</f>
        <v/>
      </c>
      <c r="AH29" s="39" t="str">
        <f>IF(AND('Mapa final'!$AA$25="Media",'Mapa final'!$AC$25="Catastrófico"),CONCATENATE("R4C",'Mapa final'!$Q$25),"")</f>
        <v/>
      </c>
      <c r="AI29" s="40" t="str">
        <f>IF(AND('Mapa final'!$AA$26="Media",'Mapa final'!$AC$26="Catastrófico"),CONCATENATE("R4C",'Mapa final'!$Q$26),"")</f>
        <v/>
      </c>
      <c r="AJ29" s="40" t="str">
        <f>IF(AND('Mapa final'!$AA$27="Media",'Mapa final'!$AC$27="Catastrófico"),CONCATENATE("R4C",'Mapa final'!$Q$27),"")</f>
        <v/>
      </c>
      <c r="AK29" s="40" t="str">
        <f>IF(AND('Mapa final'!$AA$28="Media",'Mapa final'!$AC$28="Catastrófico"),CONCATENATE("R4C",'Mapa final'!$Q$28),"")</f>
        <v/>
      </c>
      <c r="AL29" s="40" t="str">
        <f>IF(AND('Mapa final'!$AA$29="Media",'Mapa final'!$AC$29="Catastrófico"),CONCATENATE("R4C",'Mapa final'!$Q$29),"")</f>
        <v/>
      </c>
      <c r="AM29" s="41" t="str">
        <f>IF(AND('Mapa final'!$AA$30="Media",'Mapa final'!$AC$30="Catastrófico"),CONCATENATE("R4C",'Mapa final'!$Q$30),"")</f>
        <v/>
      </c>
      <c r="AN29" s="67"/>
      <c r="AO29" s="407"/>
      <c r="AP29" s="408"/>
      <c r="AQ29" s="408"/>
      <c r="AR29" s="408"/>
      <c r="AS29" s="408"/>
      <c r="AT29" s="409"/>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326"/>
      <c r="C30" s="326"/>
      <c r="D30" s="327"/>
      <c r="E30" s="367"/>
      <c r="F30" s="368"/>
      <c r="G30" s="368"/>
      <c r="H30" s="368"/>
      <c r="I30" s="369"/>
      <c r="J30" s="51" t="str">
        <f>IF(AND('Mapa final'!$AA$31="Media",'Mapa final'!$AC$31="Leve"),CONCATENATE("R5C",'Mapa final'!$Q$31),"")</f>
        <v/>
      </c>
      <c r="K30" s="52" t="str">
        <f>IF(AND('Mapa final'!$AA$32="Media",'Mapa final'!$AC$32="Leve"),CONCATENATE("R5C",'Mapa final'!$Q$32),"")</f>
        <v/>
      </c>
      <c r="L30" s="52" t="str">
        <f>IF(AND('Mapa final'!$AA$33="Media",'Mapa final'!$AC$33="Leve"),CONCATENATE("R5C",'Mapa final'!$Q$33),"")</f>
        <v/>
      </c>
      <c r="M30" s="52" t="str">
        <f>IF(AND('Mapa final'!$AA$34="Media",'Mapa final'!$AC$34="Leve"),CONCATENATE("R5C",'Mapa final'!$Q$34),"")</f>
        <v/>
      </c>
      <c r="N30" s="52" t="str">
        <f>IF(AND('Mapa final'!$AA$35="Media",'Mapa final'!$AC$35="Leve"),CONCATENATE("R5C",'Mapa final'!$Q$35),"")</f>
        <v/>
      </c>
      <c r="O30" s="53" t="str">
        <f>IF(AND('Mapa final'!$AA$36="Media",'Mapa final'!$AC$36="Leve"),CONCATENATE("R5C",'Mapa final'!$Q$36),"")</f>
        <v/>
      </c>
      <c r="P30" s="51" t="str">
        <f>IF(AND('Mapa final'!$AA$31="Media",'Mapa final'!$AC$31="Menor"),CONCATENATE("R5C",'Mapa final'!$Q$31),"")</f>
        <v/>
      </c>
      <c r="Q30" s="52" t="str">
        <f>IF(AND('Mapa final'!$AA$32="Media",'Mapa final'!$AC$32="Menor"),CONCATENATE("R5C",'Mapa final'!$Q$32),"")</f>
        <v/>
      </c>
      <c r="R30" s="52" t="str">
        <f>IF(AND('Mapa final'!$AA$33="Media",'Mapa final'!$AC$33="Menor"),CONCATENATE("R5C",'Mapa final'!$Q$33),"")</f>
        <v/>
      </c>
      <c r="S30" s="52" t="str">
        <f>IF(AND('Mapa final'!$AA$34="Media",'Mapa final'!$AC$34="Menor"),CONCATENATE("R5C",'Mapa final'!$Q$34),"")</f>
        <v/>
      </c>
      <c r="T30" s="52" t="str">
        <f>IF(AND('Mapa final'!$AA$35="Media",'Mapa final'!$AC$35="Menor"),CONCATENATE("R5C",'Mapa final'!$Q$35),"")</f>
        <v/>
      </c>
      <c r="U30" s="53" t="str">
        <f>IF(AND('Mapa final'!$AA$36="Media",'Mapa final'!$AC$36="Menor"),CONCATENATE("R5C",'Mapa final'!$Q$36),"")</f>
        <v/>
      </c>
      <c r="V30" s="51" t="str">
        <f>IF(AND('Mapa final'!$AA$31="Media",'Mapa final'!$AC$31="Moderado"),CONCATENATE("R5C",'Mapa final'!$Q$31),"")</f>
        <v/>
      </c>
      <c r="W30" s="52" t="str">
        <f>IF(AND('Mapa final'!$AA$32="Media",'Mapa final'!$AC$32="Moderado"),CONCATENATE("R5C",'Mapa final'!$Q$32),"")</f>
        <v/>
      </c>
      <c r="X30" s="52" t="str">
        <f>IF(AND('Mapa final'!$AA$33="Media",'Mapa final'!$AC$33="Moderado"),CONCATENATE("R5C",'Mapa final'!$Q$33),"")</f>
        <v/>
      </c>
      <c r="Y30" s="52" t="str">
        <f>IF(AND('Mapa final'!$AA$34="Media",'Mapa final'!$AC$34="Moderado"),CONCATENATE("R5C",'Mapa final'!$Q$34),"")</f>
        <v/>
      </c>
      <c r="Z30" s="52" t="str">
        <f>IF(AND('Mapa final'!$AA$35="Media",'Mapa final'!$AC$35="Moderado"),CONCATENATE("R5C",'Mapa final'!$Q$35),"")</f>
        <v/>
      </c>
      <c r="AA30" s="53" t="str">
        <f>IF(AND('Mapa final'!$AA$36="Media",'Mapa final'!$AC$36="Moderado"),CONCATENATE("R5C",'Mapa final'!$Q$36),"")</f>
        <v/>
      </c>
      <c r="AB30" s="36" t="str">
        <f>IF(AND('Mapa final'!$AA$31="Media",'Mapa final'!$AC$31="Mayor"),CONCATENATE("R5C",'Mapa final'!$Q$31),"")</f>
        <v/>
      </c>
      <c r="AC30" s="37" t="str">
        <f>IF(AND('Mapa final'!$AA$32="Media",'Mapa final'!$AC$32="Mayor"),CONCATENATE("R5C",'Mapa final'!$Q$32),"")</f>
        <v/>
      </c>
      <c r="AD30" s="37" t="str">
        <f>IF(AND('Mapa final'!$AA$33="Media",'Mapa final'!$AC$33="Mayor"),CONCATENATE("R5C",'Mapa final'!$Q$33),"")</f>
        <v/>
      </c>
      <c r="AE30" s="37" t="str">
        <f>IF(AND('Mapa final'!$AA$34="Media",'Mapa final'!$AC$34="Mayor"),CONCATENATE("R5C",'Mapa final'!$Q$34),"")</f>
        <v/>
      </c>
      <c r="AF30" s="37" t="str">
        <f>IF(AND('Mapa final'!$AA$35="Media",'Mapa final'!$AC$35="Mayor"),CONCATENATE("R5C",'Mapa final'!$Q$35),"")</f>
        <v/>
      </c>
      <c r="AG30" s="38" t="str">
        <f>IF(AND('Mapa final'!$AA$36="Media",'Mapa final'!$AC$36="Mayor"),CONCATENATE("R5C",'Mapa final'!$Q$36),"")</f>
        <v/>
      </c>
      <c r="AH30" s="39" t="str">
        <f>IF(AND('Mapa final'!$AA$31="Media",'Mapa final'!$AC$31="Catastrófico"),CONCATENATE("R5C",'Mapa final'!$Q$31),"")</f>
        <v/>
      </c>
      <c r="AI30" s="40" t="str">
        <f>IF(AND('Mapa final'!$AA$32="Media",'Mapa final'!$AC$32="Catastrófico"),CONCATENATE("R5C",'Mapa final'!$Q$32),"")</f>
        <v/>
      </c>
      <c r="AJ30" s="40" t="str">
        <f>IF(AND('Mapa final'!$AA$33="Media",'Mapa final'!$AC$33="Catastrófico"),CONCATENATE("R5C",'Mapa final'!$Q$33),"")</f>
        <v/>
      </c>
      <c r="AK30" s="40" t="str">
        <f>IF(AND('Mapa final'!$AA$34="Media",'Mapa final'!$AC$34="Catastrófico"),CONCATENATE("R5C",'Mapa final'!$Q$34),"")</f>
        <v/>
      </c>
      <c r="AL30" s="40" t="str">
        <f>IF(AND('Mapa final'!$AA$35="Media",'Mapa final'!$AC$35="Catastrófico"),CONCATENATE("R5C",'Mapa final'!$Q$35),"")</f>
        <v/>
      </c>
      <c r="AM30" s="41" t="str">
        <f>IF(AND('Mapa final'!$AA$36="Media",'Mapa final'!$AC$36="Catastrófico"),CONCATENATE("R5C",'Mapa final'!$Q$36),"")</f>
        <v/>
      </c>
      <c r="AN30" s="67"/>
      <c r="AO30" s="407"/>
      <c r="AP30" s="408"/>
      <c r="AQ30" s="408"/>
      <c r="AR30" s="408"/>
      <c r="AS30" s="408"/>
      <c r="AT30" s="409"/>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326"/>
      <c r="C31" s="326"/>
      <c r="D31" s="327"/>
      <c r="E31" s="367"/>
      <c r="F31" s="368"/>
      <c r="G31" s="368"/>
      <c r="H31" s="368"/>
      <c r="I31" s="369"/>
      <c r="J31" s="51" t="str">
        <f>IF(AND('Mapa final'!$AA$37="Media",'Mapa final'!$AC$37="Leve"),CONCATENATE("R6C",'Mapa final'!$Q$37),"")</f>
        <v/>
      </c>
      <c r="K31" s="52" t="str">
        <f>IF(AND('Mapa final'!$AA$38="Media",'Mapa final'!$AC$38="Leve"),CONCATENATE("R6C",'Mapa final'!$Q$38),"")</f>
        <v/>
      </c>
      <c r="L31" s="52" t="str">
        <f>IF(AND('Mapa final'!$AA$39="Media",'Mapa final'!$AC$39="Leve"),CONCATENATE("R6C",'Mapa final'!$Q$39),"")</f>
        <v/>
      </c>
      <c r="M31" s="52" t="str">
        <f>IF(AND('Mapa final'!$AA$40="Media",'Mapa final'!$AC$40="Leve"),CONCATENATE("R6C",'Mapa final'!$Q$40),"")</f>
        <v/>
      </c>
      <c r="N31" s="52" t="str">
        <f>IF(AND('Mapa final'!$AA$41="Media",'Mapa final'!$AC$41="Leve"),CONCATENATE("R6C",'Mapa final'!$Q$41),"")</f>
        <v/>
      </c>
      <c r="O31" s="53" t="str">
        <f>IF(AND('Mapa final'!$AA$42="Media",'Mapa final'!$AC$42="Leve"),CONCATENATE("R6C",'Mapa final'!$Q$42),"")</f>
        <v/>
      </c>
      <c r="P31" s="51" t="str">
        <f>IF(AND('Mapa final'!$AA$37="Media",'Mapa final'!$AC$37="Menor"),CONCATENATE("R6C",'Mapa final'!$Q$37),"")</f>
        <v/>
      </c>
      <c r="Q31" s="52" t="str">
        <f>IF(AND('Mapa final'!$AA$38="Media",'Mapa final'!$AC$38="Menor"),CONCATENATE("R6C",'Mapa final'!$Q$38),"")</f>
        <v/>
      </c>
      <c r="R31" s="52" t="str">
        <f>IF(AND('Mapa final'!$AA$39="Media",'Mapa final'!$AC$39="Menor"),CONCATENATE("R6C",'Mapa final'!$Q$39),"")</f>
        <v/>
      </c>
      <c r="S31" s="52" t="str">
        <f>IF(AND('Mapa final'!$AA$40="Media",'Mapa final'!$AC$40="Menor"),CONCATENATE("R6C",'Mapa final'!$Q$40),"")</f>
        <v/>
      </c>
      <c r="T31" s="52" t="str">
        <f>IF(AND('Mapa final'!$AA$41="Media",'Mapa final'!$AC$41="Menor"),CONCATENATE("R6C",'Mapa final'!$Q$41),"")</f>
        <v/>
      </c>
      <c r="U31" s="53" t="str">
        <f>IF(AND('Mapa final'!$AA$42="Media",'Mapa final'!$AC$42="Menor"),CONCATENATE("R6C",'Mapa final'!$Q$42),"")</f>
        <v/>
      </c>
      <c r="V31" s="51" t="str">
        <f>IF(AND('Mapa final'!$AA$37="Media",'Mapa final'!$AC$37="Moderado"),CONCATENATE("R6C",'Mapa final'!$Q$37),"")</f>
        <v/>
      </c>
      <c r="W31" s="52" t="str">
        <f>IF(AND('Mapa final'!$AA$38="Media",'Mapa final'!$AC$38="Moderado"),CONCATENATE("R6C",'Mapa final'!$Q$38),"")</f>
        <v/>
      </c>
      <c r="X31" s="52" t="str">
        <f>IF(AND('Mapa final'!$AA$39="Media",'Mapa final'!$AC$39="Moderado"),CONCATENATE("R6C",'Mapa final'!$Q$39),"")</f>
        <v/>
      </c>
      <c r="Y31" s="52" t="str">
        <f>IF(AND('Mapa final'!$AA$40="Media",'Mapa final'!$AC$40="Moderado"),CONCATENATE("R6C",'Mapa final'!$Q$40),"")</f>
        <v/>
      </c>
      <c r="Z31" s="52" t="str">
        <f>IF(AND('Mapa final'!$AA$41="Media",'Mapa final'!$AC$41="Moderado"),CONCATENATE("R6C",'Mapa final'!$Q$41),"")</f>
        <v/>
      </c>
      <c r="AA31" s="53" t="str">
        <f>IF(AND('Mapa final'!$AA$42="Media",'Mapa final'!$AC$42="Moderado"),CONCATENATE("R6C",'Mapa final'!$Q$42),"")</f>
        <v/>
      </c>
      <c r="AB31" s="36" t="str">
        <f>IF(AND('Mapa final'!$AA$37="Media",'Mapa final'!$AC$37="Mayor"),CONCATENATE("R6C",'Mapa final'!$Q$37),"")</f>
        <v/>
      </c>
      <c r="AC31" s="37" t="str">
        <f>IF(AND('Mapa final'!$AA$38="Media",'Mapa final'!$AC$38="Mayor"),CONCATENATE("R6C",'Mapa final'!$Q$38),"")</f>
        <v/>
      </c>
      <c r="AD31" s="37" t="str">
        <f>IF(AND('Mapa final'!$AA$39="Media",'Mapa final'!$AC$39="Mayor"),CONCATENATE("R6C",'Mapa final'!$Q$39),"")</f>
        <v/>
      </c>
      <c r="AE31" s="37" t="str">
        <f>IF(AND('Mapa final'!$AA$40="Media",'Mapa final'!$AC$40="Mayor"),CONCATENATE("R6C",'Mapa final'!$Q$40),"")</f>
        <v/>
      </c>
      <c r="AF31" s="37" t="str">
        <f>IF(AND('Mapa final'!$AA$41="Media",'Mapa final'!$AC$41="Mayor"),CONCATENATE("R6C",'Mapa final'!$Q$41),"")</f>
        <v/>
      </c>
      <c r="AG31" s="38" t="str">
        <f>IF(AND('Mapa final'!$AA$42="Media",'Mapa final'!$AC$42="Mayor"),CONCATENATE("R6C",'Mapa final'!$Q$42),"")</f>
        <v/>
      </c>
      <c r="AH31" s="39" t="str">
        <f>IF(AND('Mapa final'!$AA$37="Media",'Mapa final'!$AC$37="Catastrófico"),CONCATENATE("R6C",'Mapa final'!$Q$37),"")</f>
        <v/>
      </c>
      <c r="AI31" s="40" t="str">
        <f>IF(AND('Mapa final'!$AA$38="Media",'Mapa final'!$AC$38="Catastrófico"),CONCATENATE("R6C",'Mapa final'!$Q$38),"")</f>
        <v/>
      </c>
      <c r="AJ31" s="40" t="str">
        <f>IF(AND('Mapa final'!$AA$39="Media",'Mapa final'!$AC$39="Catastrófico"),CONCATENATE("R6C",'Mapa final'!$Q$39),"")</f>
        <v/>
      </c>
      <c r="AK31" s="40" t="str">
        <f>IF(AND('Mapa final'!$AA$40="Media",'Mapa final'!$AC$40="Catastrófico"),CONCATENATE("R6C",'Mapa final'!$Q$40),"")</f>
        <v/>
      </c>
      <c r="AL31" s="40" t="str">
        <f>IF(AND('Mapa final'!$AA$41="Media",'Mapa final'!$AC$41="Catastrófico"),CONCATENATE("R6C",'Mapa final'!$Q$41),"")</f>
        <v/>
      </c>
      <c r="AM31" s="41" t="str">
        <f>IF(AND('Mapa final'!$AA$42="Media",'Mapa final'!$AC$42="Catastrófico"),CONCATENATE("R6C",'Mapa final'!$Q$42),"")</f>
        <v/>
      </c>
      <c r="AN31" s="67"/>
      <c r="AO31" s="407"/>
      <c r="AP31" s="408"/>
      <c r="AQ31" s="408"/>
      <c r="AR31" s="408"/>
      <c r="AS31" s="408"/>
      <c r="AT31" s="409"/>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326"/>
      <c r="C32" s="326"/>
      <c r="D32" s="327"/>
      <c r="E32" s="367"/>
      <c r="F32" s="368"/>
      <c r="G32" s="368"/>
      <c r="H32" s="368"/>
      <c r="I32" s="369"/>
      <c r="J32" s="51" t="str">
        <f>IF(AND('Mapa final'!$AA$43="Media",'Mapa final'!$AC$43="Leve"),CONCATENATE("R7C",'Mapa final'!$Q$43),"")</f>
        <v/>
      </c>
      <c r="K32" s="52" t="str">
        <f>IF(AND('Mapa final'!$AA$44="Media",'Mapa final'!$AC$44="Leve"),CONCATENATE("R7C",'Mapa final'!$Q$44),"")</f>
        <v/>
      </c>
      <c r="L32" s="52" t="str">
        <f>IF(AND('Mapa final'!$AA$45="Media",'Mapa final'!$AC$45="Leve"),CONCATENATE("R7C",'Mapa final'!$Q$45),"")</f>
        <v/>
      </c>
      <c r="M32" s="52" t="str">
        <f>IF(AND('Mapa final'!$AA$46="Media",'Mapa final'!$AC$46="Leve"),CONCATENATE("R7C",'Mapa final'!$Q$46),"")</f>
        <v/>
      </c>
      <c r="N32" s="52" t="str">
        <f>IF(AND('Mapa final'!$AA$47="Media",'Mapa final'!$AC$47="Leve"),CONCATENATE("R7C",'Mapa final'!$Q$47),"")</f>
        <v/>
      </c>
      <c r="O32" s="53" t="str">
        <f>IF(AND('Mapa final'!$AA$48="Media",'Mapa final'!$AC$48="Leve"),CONCATENATE("R7C",'Mapa final'!$Q$48),"")</f>
        <v/>
      </c>
      <c r="P32" s="51" t="str">
        <f>IF(AND('Mapa final'!$AA$43="Media",'Mapa final'!$AC$43="Menor"),CONCATENATE("R7C",'Mapa final'!$Q$43),"")</f>
        <v/>
      </c>
      <c r="Q32" s="52" t="str">
        <f>IF(AND('Mapa final'!$AA$44="Media",'Mapa final'!$AC$44="Menor"),CONCATENATE("R7C",'Mapa final'!$Q$44),"")</f>
        <v/>
      </c>
      <c r="R32" s="52" t="str">
        <f>IF(AND('Mapa final'!$AA$45="Media",'Mapa final'!$AC$45="Menor"),CONCATENATE("R7C",'Mapa final'!$Q$45),"")</f>
        <v/>
      </c>
      <c r="S32" s="52" t="str">
        <f>IF(AND('Mapa final'!$AA$46="Media",'Mapa final'!$AC$46="Menor"),CONCATENATE("R7C",'Mapa final'!$Q$46),"")</f>
        <v/>
      </c>
      <c r="T32" s="52" t="str">
        <f>IF(AND('Mapa final'!$AA$47="Media",'Mapa final'!$AC$47="Menor"),CONCATENATE("R7C",'Mapa final'!$Q$47),"")</f>
        <v/>
      </c>
      <c r="U32" s="53" t="str">
        <f>IF(AND('Mapa final'!$AA$48="Media",'Mapa final'!$AC$48="Menor"),CONCATENATE("R7C",'Mapa final'!$Q$48),"")</f>
        <v/>
      </c>
      <c r="V32" s="51" t="str">
        <f>IF(AND('Mapa final'!$AA$43="Media",'Mapa final'!$AC$43="Moderado"),CONCATENATE("R7C",'Mapa final'!$Q$43),"")</f>
        <v/>
      </c>
      <c r="W32" s="52" t="str">
        <f>IF(AND('Mapa final'!$AA$44="Media",'Mapa final'!$AC$44="Moderado"),CONCATENATE("R7C",'Mapa final'!$Q$44),"")</f>
        <v/>
      </c>
      <c r="X32" s="52" t="str">
        <f>IF(AND('Mapa final'!$AA$45="Media",'Mapa final'!$AC$45="Moderado"),CONCATENATE("R7C",'Mapa final'!$Q$45),"")</f>
        <v/>
      </c>
      <c r="Y32" s="52" t="str">
        <f>IF(AND('Mapa final'!$AA$46="Media",'Mapa final'!$AC$46="Moderado"),CONCATENATE("R7C",'Mapa final'!$Q$46),"")</f>
        <v/>
      </c>
      <c r="Z32" s="52" t="str">
        <f>IF(AND('Mapa final'!$AA$47="Media",'Mapa final'!$AC$47="Moderado"),CONCATENATE("R7C",'Mapa final'!$Q$47),"")</f>
        <v/>
      </c>
      <c r="AA32" s="53" t="str">
        <f>IF(AND('Mapa final'!$AA$48="Media",'Mapa final'!$AC$48="Moderado"),CONCATENATE("R7C",'Mapa final'!$Q$48),"")</f>
        <v/>
      </c>
      <c r="AB32" s="36" t="str">
        <f>IF(AND('Mapa final'!$AA$43="Media",'Mapa final'!$AC$43="Mayor"),CONCATENATE("R7C",'Mapa final'!$Q$43),"")</f>
        <v/>
      </c>
      <c r="AC32" s="37" t="str">
        <f>IF(AND('Mapa final'!$AA$44="Media",'Mapa final'!$AC$44="Mayor"),CONCATENATE("R7C",'Mapa final'!$Q$44),"")</f>
        <v/>
      </c>
      <c r="AD32" s="37" t="str">
        <f>IF(AND('Mapa final'!$AA$45="Media",'Mapa final'!$AC$45="Mayor"),CONCATENATE("R7C",'Mapa final'!$Q$45),"")</f>
        <v/>
      </c>
      <c r="AE32" s="37" t="str">
        <f>IF(AND('Mapa final'!$AA$46="Media",'Mapa final'!$AC$46="Mayor"),CONCATENATE("R7C",'Mapa final'!$Q$46),"")</f>
        <v/>
      </c>
      <c r="AF32" s="37" t="str">
        <f>IF(AND('Mapa final'!$AA$47="Media",'Mapa final'!$AC$47="Mayor"),CONCATENATE("R7C",'Mapa final'!$Q$47),"")</f>
        <v/>
      </c>
      <c r="AG32" s="38" t="str">
        <f>IF(AND('Mapa final'!$AA$48="Media",'Mapa final'!$AC$48="Mayor"),CONCATENATE("R7C",'Mapa final'!$Q$48),"")</f>
        <v/>
      </c>
      <c r="AH32" s="39" t="str">
        <f>IF(AND('Mapa final'!$AA$43="Media",'Mapa final'!$AC$43="Catastrófico"),CONCATENATE("R7C",'Mapa final'!$Q$43),"")</f>
        <v/>
      </c>
      <c r="AI32" s="40" t="str">
        <f>IF(AND('Mapa final'!$AA$44="Media",'Mapa final'!$AC$44="Catastrófico"),CONCATENATE("R7C",'Mapa final'!$Q$44),"")</f>
        <v/>
      </c>
      <c r="AJ32" s="40" t="str">
        <f>IF(AND('Mapa final'!$AA$45="Media",'Mapa final'!$AC$45="Catastrófico"),CONCATENATE("R7C",'Mapa final'!$Q$45),"")</f>
        <v/>
      </c>
      <c r="AK32" s="40" t="str">
        <f>IF(AND('Mapa final'!$AA$46="Media",'Mapa final'!$AC$46="Catastrófico"),CONCATENATE("R7C",'Mapa final'!$Q$46),"")</f>
        <v/>
      </c>
      <c r="AL32" s="40" t="str">
        <f>IF(AND('Mapa final'!$AA$47="Media",'Mapa final'!$AC$47="Catastrófico"),CONCATENATE("R7C",'Mapa final'!$Q$47),"")</f>
        <v/>
      </c>
      <c r="AM32" s="41" t="str">
        <f>IF(AND('Mapa final'!$AA$48="Media",'Mapa final'!$AC$48="Catastrófico"),CONCATENATE("R7C",'Mapa final'!$Q$48),"")</f>
        <v/>
      </c>
      <c r="AN32" s="67"/>
      <c r="AO32" s="407"/>
      <c r="AP32" s="408"/>
      <c r="AQ32" s="408"/>
      <c r="AR32" s="408"/>
      <c r="AS32" s="408"/>
      <c r="AT32" s="409"/>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326"/>
      <c r="C33" s="326"/>
      <c r="D33" s="327"/>
      <c r="E33" s="367"/>
      <c r="F33" s="368"/>
      <c r="G33" s="368"/>
      <c r="H33" s="368"/>
      <c r="I33" s="369"/>
      <c r="J33" s="51" t="str">
        <f>IF(AND('Mapa final'!$AA$49="Media",'Mapa final'!$AC$49="Leve"),CONCATENATE("R8C",'Mapa final'!$Q$49),"")</f>
        <v/>
      </c>
      <c r="K33" s="52" t="str">
        <f>IF(AND('Mapa final'!$AA$50="Media",'Mapa final'!$AC$50="Leve"),CONCATENATE("R8C",'Mapa final'!$Q$50),"")</f>
        <v/>
      </c>
      <c r="L33" s="52" t="str">
        <f>IF(AND('Mapa final'!$AA$51="Media",'Mapa final'!$AC$51="Leve"),CONCATENATE("R8C",'Mapa final'!$Q$51),"")</f>
        <v/>
      </c>
      <c r="M33" s="52" t="str">
        <f>IF(AND('Mapa final'!$AA$52="Media",'Mapa final'!$AC$52="Leve"),CONCATENATE("R8C",'Mapa final'!$Q$52),"")</f>
        <v/>
      </c>
      <c r="N33" s="52" t="str">
        <f>IF(AND('Mapa final'!$AA$53="Media",'Mapa final'!$AC$53="Leve"),CONCATENATE("R8C",'Mapa final'!$Q$53),"")</f>
        <v/>
      </c>
      <c r="O33" s="53" t="str">
        <f>IF(AND('Mapa final'!$AA$54="Media",'Mapa final'!$AC$54="Leve"),CONCATENATE("R8C",'Mapa final'!$Q$54),"")</f>
        <v/>
      </c>
      <c r="P33" s="51" t="str">
        <f>IF(AND('Mapa final'!$AA$49="Media",'Mapa final'!$AC$49="Menor"),CONCATENATE("R8C",'Mapa final'!$Q$49),"")</f>
        <v/>
      </c>
      <c r="Q33" s="52" t="str">
        <f>IF(AND('Mapa final'!$AA$50="Media",'Mapa final'!$AC$50="Menor"),CONCATENATE("R8C",'Mapa final'!$Q$50),"")</f>
        <v/>
      </c>
      <c r="R33" s="52" t="str">
        <f>IF(AND('Mapa final'!$AA$51="Media",'Mapa final'!$AC$51="Menor"),CONCATENATE("R8C",'Mapa final'!$Q$51),"")</f>
        <v/>
      </c>
      <c r="S33" s="52" t="str">
        <f>IF(AND('Mapa final'!$AA$52="Media",'Mapa final'!$AC$52="Menor"),CONCATENATE("R8C",'Mapa final'!$Q$52),"")</f>
        <v/>
      </c>
      <c r="T33" s="52" t="str">
        <f>IF(AND('Mapa final'!$AA$53="Media",'Mapa final'!$AC$53="Menor"),CONCATENATE("R8C",'Mapa final'!$Q$53),"")</f>
        <v/>
      </c>
      <c r="U33" s="53" t="str">
        <f>IF(AND('Mapa final'!$AA$54="Media",'Mapa final'!$AC$54="Menor"),CONCATENATE("R8C",'Mapa final'!$Q$54),"")</f>
        <v/>
      </c>
      <c r="V33" s="51" t="str">
        <f>IF(AND('Mapa final'!$AA$49="Media",'Mapa final'!$AC$49="Moderado"),CONCATENATE("R8C",'Mapa final'!$Q$49),"")</f>
        <v/>
      </c>
      <c r="W33" s="52" t="str">
        <f>IF(AND('Mapa final'!$AA$50="Media",'Mapa final'!$AC$50="Moderado"),CONCATENATE("R8C",'Mapa final'!$Q$50),"")</f>
        <v/>
      </c>
      <c r="X33" s="52" t="str">
        <f>IF(AND('Mapa final'!$AA$51="Media",'Mapa final'!$AC$51="Moderado"),CONCATENATE("R8C",'Mapa final'!$Q$51),"")</f>
        <v/>
      </c>
      <c r="Y33" s="52" t="str">
        <f>IF(AND('Mapa final'!$AA$52="Media",'Mapa final'!$AC$52="Moderado"),CONCATENATE("R8C",'Mapa final'!$Q$52),"")</f>
        <v/>
      </c>
      <c r="Z33" s="52" t="str">
        <f>IF(AND('Mapa final'!$AA$53="Media",'Mapa final'!$AC$53="Moderado"),CONCATENATE("R8C",'Mapa final'!$Q$53),"")</f>
        <v/>
      </c>
      <c r="AA33" s="53" t="str">
        <f>IF(AND('Mapa final'!$AA$54="Media",'Mapa final'!$AC$54="Moderado"),CONCATENATE("R8C",'Mapa final'!$Q$54),"")</f>
        <v/>
      </c>
      <c r="AB33" s="36" t="str">
        <f>IF(AND('Mapa final'!$AA$49="Media",'Mapa final'!$AC$49="Mayor"),CONCATENATE("R8C",'Mapa final'!$Q$49),"")</f>
        <v/>
      </c>
      <c r="AC33" s="37" t="str">
        <f>IF(AND('Mapa final'!$AA$50="Media",'Mapa final'!$AC$50="Mayor"),CONCATENATE("R8C",'Mapa final'!$Q$50),"")</f>
        <v/>
      </c>
      <c r="AD33" s="37" t="str">
        <f>IF(AND('Mapa final'!$AA$51="Media",'Mapa final'!$AC$51="Mayor"),CONCATENATE("R8C",'Mapa final'!$Q$51),"")</f>
        <v/>
      </c>
      <c r="AE33" s="37" t="str">
        <f>IF(AND('Mapa final'!$AA$52="Media",'Mapa final'!$AC$52="Mayor"),CONCATENATE("R8C",'Mapa final'!$Q$52),"")</f>
        <v/>
      </c>
      <c r="AF33" s="37" t="str">
        <f>IF(AND('Mapa final'!$AA$53="Media",'Mapa final'!$AC$53="Mayor"),CONCATENATE("R8C",'Mapa final'!$Q$53),"")</f>
        <v/>
      </c>
      <c r="AG33" s="38" t="str">
        <f>IF(AND('Mapa final'!$AA$54="Media",'Mapa final'!$AC$54="Mayor"),CONCATENATE("R8C",'Mapa final'!$Q$54),"")</f>
        <v/>
      </c>
      <c r="AH33" s="39" t="str">
        <f>IF(AND('Mapa final'!$AA$49="Media",'Mapa final'!$AC$49="Catastrófico"),CONCATENATE("R8C",'Mapa final'!$Q$49),"")</f>
        <v/>
      </c>
      <c r="AI33" s="40" t="str">
        <f>IF(AND('Mapa final'!$AA$50="Media",'Mapa final'!$AC$50="Catastrófico"),CONCATENATE("R8C",'Mapa final'!$Q$50),"")</f>
        <v/>
      </c>
      <c r="AJ33" s="40" t="str">
        <f>IF(AND('Mapa final'!$AA$51="Media",'Mapa final'!$AC$51="Catastrófico"),CONCATENATE("R8C",'Mapa final'!$Q$51),"")</f>
        <v/>
      </c>
      <c r="AK33" s="40" t="str">
        <f>IF(AND('Mapa final'!$AA$52="Media",'Mapa final'!$AC$52="Catastrófico"),CONCATENATE("R8C",'Mapa final'!$Q$52),"")</f>
        <v/>
      </c>
      <c r="AL33" s="40" t="str">
        <f>IF(AND('Mapa final'!$AA$53="Media",'Mapa final'!$AC$53="Catastrófico"),CONCATENATE("R8C",'Mapa final'!$Q$53),"")</f>
        <v/>
      </c>
      <c r="AM33" s="41" t="str">
        <f>IF(AND('Mapa final'!$AA$54="Media",'Mapa final'!$AC$54="Catastrófico"),CONCATENATE("R8C",'Mapa final'!$Q$54),"")</f>
        <v/>
      </c>
      <c r="AN33" s="67"/>
      <c r="AO33" s="407"/>
      <c r="AP33" s="408"/>
      <c r="AQ33" s="408"/>
      <c r="AR33" s="408"/>
      <c r="AS33" s="408"/>
      <c r="AT33" s="409"/>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326"/>
      <c r="C34" s="326"/>
      <c r="D34" s="327"/>
      <c r="E34" s="367"/>
      <c r="F34" s="368"/>
      <c r="G34" s="368"/>
      <c r="H34" s="368"/>
      <c r="I34" s="369"/>
      <c r="J34" s="51" t="str">
        <f>IF(AND('Mapa final'!$AA$55="Media",'Mapa final'!$AC$55="Leve"),CONCATENATE("R9C",'Mapa final'!$Q$55),"")</f>
        <v/>
      </c>
      <c r="K34" s="52" t="str">
        <f>IF(AND('Mapa final'!$AA$56="Media",'Mapa final'!$AC$56="Leve"),CONCATENATE("R9C",'Mapa final'!$Q$56),"")</f>
        <v/>
      </c>
      <c r="L34" s="52" t="str">
        <f>IF(AND('Mapa final'!$AA$57="Media",'Mapa final'!$AC$57="Leve"),CONCATENATE("R9C",'Mapa final'!$Q$57),"")</f>
        <v/>
      </c>
      <c r="M34" s="52" t="str">
        <f>IF(AND('Mapa final'!$AA$58="Media",'Mapa final'!$AC$58="Leve"),CONCATENATE("R9C",'Mapa final'!$Q$58),"")</f>
        <v/>
      </c>
      <c r="N34" s="52" t="str">
        <f>IF(AND('Mapa final'!$AA$59="Media",'Mapa final'!$AC$59="Leve"),CONCATENATE("R9C",'Mapa final'!$Q$59),"")</f>
        <v/>
      </c>
      <c r="O34" s="53" t="str">
        <f>IF(AND('Mapa final'!$AA$60="Media",'Mapa final'!$AC$60="Leve"),CONCATENATE("R9C",'Mapa final'!$Q$60),"")</f>
        <v/>
      </c>
      <c r="P34" s="51" t="str">
        <f>IF(AND('Mapa final'!$AA$55="Media",'Mapa final'!$AC$55="Menor"),CONCATENATE("R9C",'Mapa final'!$Q$55),"")</f>
        <v/>
      </c>
      <c r="Q34" s="52" t="str">
        <f>IF(AND('Mapa final'!$AA$56="Media",'Mapa final'!$AC$56="Menor"),CONCATENATE("R9C",'Mapa final'!$Q$56),"")</f>
        <v/>
      </c>
      <c r="R34" s="52" t="str">
        <f>IF(AND('Mapa final'!$AA$57="Media",'Mapa final'!$AC$57="Menor"),CONCATENATE("R9C",'Mapa final'!$Q$57),"")</f>
        <v/>
      </c>
      <c r="S34" s="52" t="str">
        <f>IF(AND('Mapa final'!$AA$58="Media",'Mapa final'!$AC$58="Menor"),CONCATENATE("R9C",'Mapa final'!$Q$58),"")</f>
        <v/>
      </c>
      <c r="T34" s="52" t="str">
        <f>IF(AND('Mapa final'!$AA$59="Media",'Mapa final'!$AC$59="Menor"),CONCATENATE("R9C",'Mapa final'!$Q$59),"")</f>
        <v/>
      </c>
      <c r="U34" s="53" t="str">
        <f>IF(AND('Mapa final'!$AA$60="Media",'Mapa final'!$AC$60="Menor"),CONCATENATE("R9C",'Mapa final'!$Q$60),"")</f>
        <v/>
      </c>
      <c r="V34" s="51" t="str">
        <f>IF(AND('Mapa final'!$AA$55="Media",'Mapa final'!$AC$55="Moderado"),CONCATENATE("R9C",'Mapa final'!$Q$55),"")</f>
        <v/>
      </c>
      <c r="W34" s="52" t="str">
        <f>IF(AND('Mapa final'!$AA$56="Media",'Mapa final'!$AC$56="Moderado"),CONCATENATE("R9C",'Mapa final'!$Q$56),"")</f>
        <v/>
      </c>
      <c r="X34" s="52" t="str">
        <f>IF(AND('Mapa final'!$AA$57="Media",'Mapa final'!$AC$57="Moderado"),CONCATENATE("R9C",'Mapa final'!$Q$57),"")</f>
        <v/>
      </c>
      <c r="Y34" s="52" t="str">
        <f>IF(AND('Mapa final'!$AA$58="Media",'Mapa final'!$AC$58="Moderado"),CONCATENATE("R9C",'Mapa final'!$Q$58),"")</f>
        <v/>
      </c>
      <c r="Z34" s="52" t="str">
        <f>IF(AND('Mapa final'!$AA$59="Media",'Mapa final'!$AC$59="Moderado"),CONCATENATE("R9C",'Mapa final'!$Q$59),"")</f>
        <v/>
      </c>
      <c r="AA34" s="53" t="str">
        <f>IF(AND('Mapa final'!$AA$60="Media",'Mapa final'!$AC$60="Moderado"),CONCATENATE("R9C",'Mapa final'!$Q$60),"")</f>
        <v/>
      </c>
      <c r="AB34" s="36" t="str">
        <f>IF(AND('Mapa final'!$AA$55="Media",'Mapa final'!$AC$55="Mayor"),CONCATENATE("R9C",'Mapa final'!$Q$55),"")</f>
        <v/>
      </c>
      <c r="AC34" s="37" t="str">
        <f>IF(AND('Mapa final'!$AA$56="Media",'Mapa final'!$AC$56="Mayor"),CONCATENATE("R9C",'Mapa final'!$Q$56),"")</f>
        <v/>
      </c>
      <c r="AD34" s="37" t="str">
        <f>IF(AND('Mapa final'!$AA$57="Media",'Mapa final'!$AC$57="Mayor"),CONCATENATE("R9C",'Mapa final'!$Q$57),"")</f>
        <v/>
      </c>
      <c r="AE34" s="37" t="str">
        <f>IF(AND('Mapa final'!$AA$58="Media",'Mapa final'!$AC$58="Mayor"),CONCATENATE("R9C",'Mapa final'!$Q$58),"")</f>
        <v/>
      </c>
      <c r="AF34" s="37" t="str">
        <f>IF(AND('Mapa final'!$AA$59="Media",'Mapa final'!$AC$59="Mayor"),CONCATENATE("R9C",'Mapa final'!$Q$59),"")</f>
        <v/>
      </c>
      <c r="AG34" s="38" t="str">
        <f>IF(AND('Mapa final'!$AA$60="Media",'Mapa final'!$AC$60="Mayor"),CONCATENATE("R9C",'Mapa final'!$Q$60),"")</f>
        <v/>
      </c>
      <c r="AH34" s="39" t="str">
        <f>IF(AND('Mapa final'!$AA$55="Media",'Mapa final'!$AC$55="Catastrófico"),CONCATENATE("R9C",'Mapa final'!$Q$55),"")</f>
        <v/>
      </c>
      <c r="AI34" s="40" t="str">
        <f>IF(AND('Mapa final'!$AA$56="Media",'Mapa final'!$AC$56="Catastrófico"),CONCATENATE("R9C",'Mapa final'!$Q$56),"")</f>
        <v/>
      </c>
      <c r="AJ34" s="40" t="str">
        <f>IF(AND('Mapa final'!$AA$57="Media",'Mapa final'!$AC$57="Catastrófico"),CONCATENATE("R9C",'Mapa final'!$Q$57),"")</f>
        <v/>
      </c>
      <c r="AK34" s="40" t="str">
        <f>IF(AND('Mapa final'!$AA$58="Media",'Mapa final'!$AC$58="Catastrófico"),CONCATENATE("R9C",'Mapa final'!$Q$58),"")</f>
        <v/>
      </c>
      <c r="AL34" s="40" t="str">
        <f>IF(AND('Mapa final'!$AA$59="Media",'Mapa final'!$AC$59="Catastrófico"),CONCATENATE("R9C",'Mapa final'!$Q$59),"")</f>
        <v/>
      </c>
      <c r="AM34" s="41" t="str">
        <f>IF(AND('Mapa final'!$AA$60="Media",'Mapa final'!$AC$60="Catastrófico"),CONCATENATE("R9C",'Mapa final'!$Q$60),"")</f>
        <v/>
      </c>
      <c r="AN34" s="67"/>
      <c r="AO34" s="407"/>
      <c r="AP34" s="408"/>
      <c r="AQ34" s="408"/>
      <c r="AR34" s="408"/>
      <c r="AS34" s="408"/>
      <c r="AT34" s="409"/>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326"/>
      <c r="C35" s="326"/>
      <c r="D35" s="327"/>
      <c r="E35" s="370"/>
      <c r="F35" s="371"/>
      <c r="G35" s="371"/>
      <c r="H35" s="371"/>
      <c r="I35" s="372"/>
      <c r="J35" s="51" t="str">
        <f>IF(AND('Mapa final'!$AA$61="Media",'Mapa final'!$AC$61="Leve"),CONCATENATE("R10C",'Mapa final'!$Q$61),"")</f>
        <v/>
      </c>
      <c r="K35" s="52" t="str">
        <f>IF(AND('Mapa final'!$AA$62="Media",'Mapa final'!$AC$62="Leve"),CONCATENATE("R10C",'Mapa final'!$Q$62),"")</f>
        <v/>
      </c>
      <c r="L35" s="52" t="str">
        <f>IF(AND('Mapa final'!$AA$63="Media",'Mapa final'!$AC$63="Leve"),CONCATENATE("R10C",'Mapa final'!$Q$63),"")</f>
        <v/>
      </c>
      <c r="M35" s="52" t="str">
        <f>IF(AND('Mapa final'!$AA$64="Media",'Mapa final'!$AC$64="Leve"),CONCATENATE("R10C",'Mapa final'!$Q$64),"")</f>
        <v/>
      </c>
      <c r="N35" s="52" t="str">
        <f>IF(AND('Mapa final'!$AA$65="Media",'Mapa final'!$AC$65="Leve"),CONCATENATE("R10C",'Mapa final'!$Q$65),"")</f>
        <v/>
      </c>
      <c r="O35" s="53" t="str">
        <f>IF(AND('Mapa final'!$AA$66="Media",'Mapa final'!$AC$66="Leve"),CONCATENATE("R10C",'Mapa final'!$Q$66),"")</f>
        <v/>
      </c>
      <c r="P35" s="51" t="str">
        <f>IF(AND('Mapa final'!$AA$61="Media",'Mapa final'!$AC$61="Menor"),CONCATENATE("R10C",'Mapa final'!$Q$61),"")</f>
        <v/>
      </c>
      <c r="Q35" s="52" t="str">
        <f>IF(AND('Mapa final'!$AA$62="Media",'Mapa final'!$AC$62="Menor"),CONCATENATE("R10C",'Mapa final'!$Q$62),"")</f>
        <v/>
      </c>
      <c r="R35" s="52" t="str">
        <f>IF(AND('Mapa final'!$AA$63="Media",'Mapa final'!$AC$63="Menor"),CONCATENATE("R10C",'Mapa final'!$Q$63),"")</f>
        <v/>
      </c>
      <c r="S35" s="52" t="str">
        <f>IF(AND('Mapa final'!$AA$64="Media",'Mapa final'!$AC$64="Menor"),CONCATENATE("R10C",'Mapa final'!$Q$64),"")</f>
        <v/>
      </c>
      <c r="T35" s="52" t="str">
        <f>IF(AND('Mapa final'!$AA$65="Media",'Mapa final'!$AC$65="Menor"),CONCATENATE("R10C",'Mapa final'!$Q$65),"")</f>
        <v/>
      </c>
      <c r="U35" s="53" t="str">
        <f>IF(AND('Mapa final'!$AA$66="Media",'Mapa final'!$AC$66="Menor"),CONCATENATE("R10C",'Mapa final'!$Q$66),"")</f>
        <v/>
      </c>
      <c r="V35" s="51" t="str">
        <f>IF(AND('Mapa final'!$AA$61="Media",'Mapa final'!$AC$61="Moderado"),CONCATENATE("R10C",'Mapa final'!$Q$61),"")</f>
        <v/>
      </c>
      <c r="W35" s="52" t="str">
        <f>IF(AND('Mapa final'!$AA$62="Media",'Mapa final'!$AC$62="Moderado"),CONCATENATE("R10C",'Mapa final'!$Q$62),"")</f>
        <v/>
      </c>
      <c r="X35" s="52" t="str">
        <f>IF(AND('Mapa final'!$AA$63="Media",'Mapa final'!$AC$63="Moderado"),CONCATENATE("R10C",'Mapa final'!$Q$63),"")</f>
        <v/>
      </c>
      <c r="Y35" s="52" t="str">
        <f>IF(AND('Mapa final'!$AA$64="Media",'Mapa final'!$AC$64="Moderado"),CONCATENATE("R10C",'Mapa final'!$Q$64),"")</f>
        <v/>
      </c>
      <c r="Z35" s="52" t="str">
        <f>IF(AND('Mapa final'!$AA$65="Media",'Mapa final'!$AC$65="Moderado"),CONCATENATE("R10C",'Mapa final'!$Q$65),"")</f>
        <v/>
      </c>
      <c r="AA35" s="53" t="str">
        <f>IF(AND('Mapa final'!$AA$66="Media",'Mapa final'!$AC$66="Moderado"),CONCATENATE("R10C",'Mapa final'!$Q$66),"")</f>
        <v/>
      </c>
      <c r="AB35" s="42" t="str">
        <f>IF(AND('Mapa final'!$AA$61="Media",'Mapa final'!$AC$61="Mayor"),CONCATENATE("R10C",'Mapa final'!$Q$61),"")</f>
        <v/>
      </c>
      <c r="AC35" s="43" t="str">
        <f>IF(AND('Mapa final'!$AA$62="Media",'Mapa final'!$AC$62="Mayor"),CONCATENATE("R10C",'Mapa final'!$Q$62),"")</f>
        <v/>
      </c>
      <c r="AD35" s="43" t="str">
        <f>IF(AND('Mapa final'!$AA$63="Media",'Mapa final'!$AC$63="Mayor"),CONCATENATE("R10C",'Mapa final'!$Q$63),"")</f>
        <v/>
      </c>
      <c r="AE35" s="43" t="str">
        <f>IF(AND('Mapa final'!$AA$64="Media",'Mapa final'!$AC$64="Mayor"),CONCATENATE("R10C",'Mapa final'!$Q$64),"")</f>
        <v/>
      </c>
      <c r="AF35" s="43" t="str">
        <f>IF(AND('Mapa final'!$AA$65="Media",'Mapa final'!$AC$65="Mayor"),CONCATENATE("R10C",'Mapa final'!$Q$65),"")</f>
        <v/>
      </c>
      <c r="AG35" s="44" t="str">
        <f>IF(AND('Mapa final'!$AA$66="Media",'Mapa final'!$AC$66="Mayor"),CONCATENATE("R10C",'Mapa final'!$Q$66),"")</f>
        <v/>
      </c>
      <c r="AH35" s="45" t="str">
        <f>IF(AND('Mapa final'!$AA$61="Media",'Mapa final'!$AC$61="Catastrófico"),CONCATENATE("R10C",'Mapa final'!$Q$61),"")</f>
        <v/>
      </c>
      <c r="AI35" s="46" t="str">
        <f>IF(AND('Mapa final'!$AA$62="Media",'Mapa final'!$AC$62="Catastrófico"),CONCATENATE("R10C",'Mapa final'!$Q$62),"")</f>
        <v/>
      </c>
      <c r="AJ35" s="46" t="str">
        <f>IF(AND('Mapa final'!$AA$63="Media",'Mapa final'!$AC$63="Catastrófico"),CONCATENATE("R10C",'Mapa final'!$Q$63),"")</f>
        <v/>
      </c>
      <c r="AK35" s="46" t="str">
        <f>IF(AND('Mapa final'!$AA$64="Media",'Mapa final'!$AC$64="Catastrófico"),CONCATENATE("R10C",'Mapa final'!$Q$64),"")</f>
        <v/>
      </c>
      <c r="AL35" s="46" t="str">
        <f>IF(AND('Mapa final'!$AA$65="Media",'Mapa final'!$AC$65="Catastrófico"),CONCATENATE("R10C",'Mapa final'!$Q$65),"")</f>
        <v/>
      </c>
      <c r="AM35" s="47" t="str">
        <f>IF(AND('Mapa final'!$AA$66="Media",'Mapa final'!$AC$66="Catastrófico"),CONCATENATE("R10C",'Mapa final'!$Q$66),"")</f>
        <v/>
      </c>
      <c r="AN35" s="67"/>
      <c r="AO35" s="410"/>
      <c r="AP35" s="411"/>
      <c r="AQ35" s="411"/>
      <c r="AR35" s="411"/>
      <c r="AS35" s="411"/>
      <c r="AT35" s="412"/>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326"/>
      <c r="C36" s="326"/>
      <c r="D36" s="327"/>
      <c r="E36" s="364" t="s">
        <v>109</v>
      </c>
      <c r="F36" s="365"/>
      <c r="G36" s="365"/>
      <c r="H36" s="365"/>
      <c r="I36" s="365"/>
      <c r="J36" s="57" t="str">
        <f>IF(AND('Mapa final'!$AA$10="Baja",'Mapa final'!$AC$10="Leve"),CONCATENATE("R1C",'Mapa final'!$Q$10),"")</f>
        <v/>
      </c>
      <c r="K36" s="58" t="str">
        <f>IF(AND('Mapa final'!$AA$11="Baja",'Mapa final'!$AC$11="Leve"),CONCATENATE("R1C",'Mapa final'!$Q$11),"")</f>
        <v/>
      </c>
      <c r="L36" s="58" t="str">
        <f>IF(AND('Mapa final'!$AA$12="Baja",'Mapa final'!$AC$12="Leve"),CONCATENATE("R1C",'Mapa final'!$Q$12),"")</f>
        <v/>
      </c>
      <c r="M36" s="58" t="e">
        <f>IF(AND('Mapa final'!#REF!="Baja",'Mapa final'!#REF!="Leve"),CONCATENATE("R1C",'Mapa final'!#REF!),"")</f>
        <v>#REF!</v>
      </c>
      <c r="N36" s="58" t="e">
        <f>IF(AND('Mapa final'!#REF!="Baja",'Mapa final'!#REF!="Leve"),CONCATENATE("R1C",'Mapa final'!#REF!),"")</f>
        <v>#REF!</v>
      </c>
      <c r="O36" s="59" t="e">
        <f>IF(AND('Mapa final'!#REF!="Baja",'Mapa final'!#REF!="Leve"),CONCATENATE("R1C",'Mapa final'!#REF!),"")</f>
        <v>#REF!</v>
      </c>
      <c r="P36" s="48" t="str">
        <f>IF(AND('Mapa final'!$AA$10="Baja",'Mapa final'!$AC$10="Menor"),CONCATENATE("R1C",'Mapa final'!$Q$10),"")</f>
        <v/>
      </c>
      <c r="Q36" s="49" t="str">
        <f>IF(AND('Mapa final'!$AA$11="Baja",'Mapa final'!$AC$11="Menor"),CONCATENATE("R1C",'Mapa final'!$Q$11),"")</f>
        <v/>
      </c>
      <c r="R36" s="49" t="str">
        <f>IF(AND('Mapa final'!$AA$12="Baja",'Mapa final'!$AC$12="Menor"),CONCATENATE("R1C",'Mapa final'!$Q$12),"")</f>
        <v/>
      </c>
      <c r="S36" s="49" t="e">
        <f>IF(AND('Mapa final'!#REF!="Baja",'Mapa final'!#REF!="Menor"),CONCATENATE("R1C",'Mapa final'!#REF!),"")</f>
        <v>#REF!</v>
      </c>
      <c r="T36" s="49" t="e">
        <f>IF(AND('Mapa final'!#REF!="Baja",'Mapa final'!#REF!="Menor"),CONCATENATE("R1C",'Mapa final'!#REF!),"")</f>
        <v>#REF!</v>
      </c>
      <c r="U36" s="50" t="e">
        <f>IF(AND('Mapa final'!#REF!="Baja",'Mapa final'!#REF!="Menor"),CONCATENATE("R1C",'Mapa final'!#REF!),"")</f>
        <v>#REF!</v>
      </c>
      <c r="V36" s="48" t="str">
        <f>IF(AND('Mapa final'!$AA$10="Baja",'Mapa final'!$AC$10="Moderado"),CONCATENATE("R1C",'Mapa final'!$Q$10),"")</f>
        <v>R1C1</v>
      </c>
      <c r="W36" s="49" t="str">
        <f>IF(AND('Mapa final'!$AA$11="Baja",'Mapa final'!$AC$11="Moderado"),CONCATENATE("R1C",'Mapa final'!$Q$11),"")</f>
        <v>R1C2</v>
      </c>
      <c r="X36" s="49" t="str">
        <f>IF(AND('Mapa final'!$AA$12="Baja",'Mapa final'!$AC$12="Moderado"),CONCATENATE("R1C",'Mapa final'!$Q$12),"")</f>
        <v>R1C3</v>
      </c>
      <c r="Y36" s="49" t="e">
        <f>IF(AND('Mapa final'!#REF!="Baja",'Mapa final'!#REF!="Moderado"),CONCATENATE("R1C",'Mapa final'!#REF!),"")</f>
        <v>#REF!</v>
      </c>
      <c r="Z36" s="49" t="e">
        <f>IF(AND('Mapa final'!#REF!="Baja",'Mapa final'!#REF!="Moderado"),CONCATENATE("R1C",'Mapa final'!#REF!),"")</f>
        <v>#REF!</v>
      </c>
      <c r="AA36" s="50" t="e">
        <f>IF(AND('Mapa final'!#REF!="Baja",'Mapa final'!#REF!="Moderado"),CONCATENATE("R1C",'Mapa final'!#REF!),"")</f>
        <v>#REF!</v>
      </c>
      <c r="AB36" s="30" t="str">
        <f>IF(AND('Mapa final'!$AA$10="Baja",'Mapa final'!$AC$10="Mayor"),CONCATENATE("R1C",'Mapa final'!$Q$10),"")</f>
        <v/>
      </c>
      <c r="AC36" s="31" t="str">
        <f>IF(AND('Mapa final'!$AA$11="Baja",'Mapa final'!$AC$11="Mayor"),CONCATENATE("R1C",'Mapa final'!$Q$11),"")</f>
        <v/>
      </c>
      <c r="AD36" s="31" t="str">
        <f>IF(AND('Mapa final'!$AA$12="Baja",'Mapa final'!$AC$12="Mayor"),CONCATENATE("R1C",'Mapa final'!$Q$12),"")</f>
        <v/>
      </c>
      <c r="AE36" s="31" t="e">
        <f>IF(AND('Mapa final'!#REF!="Baja",'Mapa final'!#REF!="Mayor"),CONCATENATE("R1C",'Mapa final'!#REF!),"")</f>
        <v>#REF!</v>
      </c>
      <c r="AF36" s="31" t="e">
        <f>IF(AND('Mapa final'!#REF!="Baja",'Mapa final'!#REF!="Mayor"),CONCATENATE("R1C",'Mapa final'!#REF!),"")</f>
        <v>#REF!</v>
      </c>
      <c r="AG36" s="32" t="e">
        <f>IF(AND('Mapa final'!#REF!="Baja",'Mapa final'!#REF!="Mayor"),CONCATENATE("R1C",'Mapa final'!#REF!),"")</f>
        <v>#REF!</v>
      </c>
      <c r="AH36" s="33" t="str">
        <f>IF(AND('Mapa final'!$AA$10="Baja",'Mapa final'!$AC$10="Catastrófico"),CONCATENATE("R1C",'Mapa final'!$Q$10),"")</f>
        <v/>
      </c>
      <c r="AI36" s="34" t="str">
        <f>IF(AND('Mapa final'!$AA$11="Baja",'Mapa final'!$AC$11="Catastrófico"),CONCATENATE("R1C",'Mapa final'!$Q$11),"")</f>
        <v/>
      </c>
      <c r="AJ36" s="34" t="str">
        <f>IF(AND('Mapa final'!$AA$12="Baja",'Mapa final'!$AC$12="Catastrófico"),CONCATENATE("R1C",'Mapa final'!$Q$12),"")</f>
        <v/>
      </c>
      <c r="AK36" s="34" t="e">
        <f>IF(AND('Mapa final'!#REF!="Baja",'Mapa final'!#REF!="Catastrófico"),CONCATENATE("R1C",'Mapa final'!#REF!),"")</f>
        <v>#REF!</v>
      </c>
      <c r="AL36" s="34" t="e">
        <f>IF(AND('Mapa final'!#REF!="Baja",'Mapa final'!#REF!="Catastrófico"),CONCATENATE("R1C",'Mapa final'!#REF!),"")</f>
        <v>#REF!</v>
      </c>
      <c r="AM36" s="35" t="e">
        <f>IF(AND('Mapa final'!#REF!="Baja",'Mapa final'!#REF!="Catastrófico"),CONCATENATE("R1C",'Mapa final'!#REF!),"")</f>
        <v>#REF!</v>
      </c>
      <c r="AN36" s="67"/>
      <c r="AO36" s="395" t="s">
        <v>81</v>
      </c>
      <c r="AP36" s="396"/>
      <c r="AQ36" s="396"/>
      <c r="AR36" s="396"/>
      <c r="AS36" s="396"/>
      <c r="AT36" s="39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326"/>
      <c r="C37" s="326"/>
      <c r="D37" s="327"/>
      <c r="E37" s="383"/>
      <c r="F37" s="368"/>
      <c r="G37" s="368"/>
      <c r="H37" s="368"/>
      <c r="I37" s="368"/>
      <c r="J37" s="60" t="str">
        <f>IF(AND('Mapa final'!$AA$13="Baja",'Mapa final'!$AC$13="Leve"),CONCATENATE("R2C",'Mapa final'!$Q$13),"")</f>
        <v/>
      </c>
      <c r="K37" s="61" t="str">
        <f>IF(AND('Mapa final'!$AA$14="Baja",'Mapa final'!$AC$14="Leve"),CONCATENATE("R2C",'Mapa final'!$Q$14),"")</f>
        <v/>
      </c>
      <c r="L37" s="61" t="str">
        <f>IF(AND('Mapa final'!$AA$15="Baja",'Mapa final'!$AC$15="Leve"),CONCATENATE("R2C",'Mapa final'!$Q$15),"")</f>
        <v/>
      </c>
      <c r="M37" s="61" t="str">
        <f>IF(AND('Mapa final'!$AA$16="Baja",'Mapa final'!$AC$16="Leve"),CONCATENATE("R2C",'Mapa final'!$Q$16),"")</f>
        <v/>
      </c>
      <c r="N37" s="61" t="str">
        <f>IF(AND('Mapa final'!$AA$17="Baja",'Mapa final'!$AC$17="Leve"),CONCATENATE("R2C",'Mapa final'!$Q$17),"")</f>
        <v/>
      </c>
      <c r="O37" s="62" t="str">
        <f>IF(AND('Mapa final'!$AA$18="Baja",'Mapa final'!$AC$18="Leve"),CONCATENATE("R2C",'Mapa final'!$Q$18),"")</f>
        <v/>
      </c>
      <c r="P37" s="51" t="str">
        <f>IF(AND('Mapa final'!$AA$13="Baja",'Mapa final'!$AC$13="Menor"),CONCATENATE("R2C",'Mapa final'!$Q$13),"")</f>
        <v/>
      </c>
      <c r="Q37" s="52" t="str">
        <f>IF(AND('Mapa final'!$AA$14="Baja",'Mapa final'!$AC$14="Menor"),CONCATENATE("R2C",'Mapa final'!$Q$14),"")</f>
        <v/>
      </c>
      <c r="R37" s="52" t="str">
        <f>IF(AND('Mapa final'!$AA$15="Baja",'Mapa final'!$AC$15="Menor"),CONCATENATE("R2C",'Mapa final'!$Q$15),"")</f>
        <v/>
      </c>
      <c r="S37" s="52" t="str">
        <f>IF(AND('Mapa final'!$AA$16="Baja",'Mapa final'!$AC$16="Menor"),CONCATENATE("R2C",'Mapa final'!$Q$16),"")</f>
        <v/>
      </c>
      <c r="T37" s="52" t="str">
        <f>IF(AND('Mapa final'!$AA$17="Baja",'Mapa final'!$AC$17="Menor"),CONCATENATE("R2C",'Mapa final'!$Q$17),"")</f>
        <v/>
      </c>
      <c r="U37" s="53" t="str">
        <f>IF(AND('Mapa final'!$AA$18="Baja",'Mapa final'!$AC$18="Menor"),CONCATENATE("R2C",'Mapa final'!$Q$18),"")</f>
        <v/>
      </c>
      <c r="V37" s="51" t="str">
        <f>IF(AND('Mapa final'!$AA$13="Baja",'Mapa final'!$AC$13="Moderado"),CONCATENATE("R2C",'Mapa final'!$Q$13),"")</f>
        <v/>
      </c>
      <c r="W37" s="52" t="str">
        <f>IF(AND('Mapa final'!$AA$14="Baja",'Mapa final'!$AC$14="Moderado"),CONCATENATE("R2C",'Mapa final'!$Q$14),"")</f>
        <v/>
      </c>
      <c r="X37" s="52" t="str">
        <f>IF(AND('Mapa final'!$AA$15="Baja",'Mapa final'!$AC$15="Moderado"),CONCATENATE("R2C",'Mapa final'!$Q$15),"")</f>
        <v/>
      </c>
      <c r="Y37" s="52" t="str">
        <f>IF(AND('Mapa final'!$AA$16="Baja",'Mapa final'!$AC$16="Moderado"),CONCATENATE("R2C",'Mapa final'!$Q$16),"")</f>
        <v/>
      </c>
      <c r="Z37" s="52" t="str">
        <f>IF(AND('Mapa final'!$AA$17="Baja",'Mapa final'!$AC$17="Moderado"),CONCATENATE("R2C",'Mapa final'!$Q$17),"")</f>
        <v/>
      </c>
      <c r="AA37" s="53" t="str">
        <f>IF(AND('Mapa final'!$AA$18="Baja",'Mapa final'!$AC$18="Moderado"),CONCATENATE("R2C",'Mapa final'!$Q$18),"")</f>
        <v/>
      </c>
      <c r="AB37" s="36" t="str">
        <f>IF(AND('Mapa final'!$AA$13="Baja",'Mapa final'!$AC$13="Mayor"),CONCATENATE("R2C",'Mapa final'!$Q$13),"")</f>
        <v/>
      </c>
      <c r="AC37" s="37" t="str">
        <f>IF(AND('Mapa final'!$AA$14="Baja",'Mapa final'!$AC$14="Mayor"),CONCATENATE("R2C",'Mapa final'!$Q$14),"")</f>
        <v/>
      </c>
      <c r="AD37" s="37" t="str">
        <f>IF(AND('Mapa final'!$AA$15="Baja",'Mapa final'!$AC$15="Mayor"),CONCATENATE("R2C",'Mapa final'!$Q$15),"")</f>
        <v/>
      </c>
      <c r="AE37" s="37" t="str">
        <f>IF(AND('Mapa final'!$AA$16="Baja",'Mapa final'!$AC$16="Mayor"),CONCATENATE("R2C",'Mapa final'!$Q$16),"")</f>
        <v/>
      </c>
      <c r="AF37" s="37" t="str">
        <f>IF(AND('Mapa final'!$AA$17="Baja",'Mapa final'!$AC$17="Mayor"),CONCATENATE("R2C",'Mapa final'!$Q$17),"")</f>
        <v/>
      </c>
      <c r="AG37" s="38" t="str">
        <f>IF(AND('Mapa final'!$AA$18="Baja",'Mapa final'!$AC$18="Mayor"),CONCATENATE("R2C",'Mapa final'!$Q$18),"")</f>
        <v/>
      </c>
      <c r="AH37" s="39" t="str">
        <f>IF(AND('Mapa final'!$AA$13="Baja",'Mapa final'!$AC$13="Catastrófico"),CONCATENATE("R2C",'Mapa final'!$Q$13),"")</f>
        <v/>
      </c>
      <c r="AI37" s="40" t="str">
        <f>IF(AND('Mapa final'!$AA$14="Baja",'Mapa final'!$AC$14="Catastrófico"),CONCATENATE("R2C",'Mapa final'!$Q$14),"")</f>
        <v/>
      </c>
      <c r="AJ37" s="40" t="str">
        <f>IF(AND('Mapa final'!$AA$15="Baja",'Mapa final'!$AC$15="Catastrófico"),CONCATENATE("R2C",'Mapa final'!$Q$15),"")</f>
        <v/>
      </c>
      <c r="AK37" s="40" t="str">
        <f>IF(AND('Mapa final'!$AA$16="Baja",'Mapa final'!$AC$16="Catastrófico"),CONCATENATE("R2C",'Mapa final'!$Q$16),"")</f>
        <v/>
      </c>
      <c r="AL37" s="40" t="str">
        <f>IF(AND('Mapa final'!$AA$17="Baja",'Mapa final'!$AC$17="Catastrófico"),CONCATENATE("R2C",'Mapa final'!$Q$17),"")</f>
        <v/>
      </c>
      <c r="AM37" s="41" t="str">
        <f>IF(AND('Mapa final'!$AA$18="Baja",'Mapa final'!$AC$18="Catastrófico"),CONCATENATE("R2C",'Mapa final'!$Q$18),"")</f>
        <v/>
      </c>
      <c r="AN37" s="67"/>
      <c r="AO37" s="398"/>
      <c r="AP37" s="399"/>
      <c r="AQ37" s="399"/>
      <c r="AR37" s="399"/>
      <c r="AS37" s="399"/>
      <c r="AT37" s="400"/>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326"/>
      <c r="C38" s="326"/>
      <c r="D38" s="327"/>
      <c r="E38" s="367"/>
      <c r="F38" s="368"/>
      <c r="G38" s="368"/>
      <c r="H38" s="368"/>
      <c r="I38" s="368"/>
      <c r="J38" s="60" t="str">
        <f>IF(AND('Mapa final'!$AA$19="Baja",'Mapa final'!$AC$19="Leve"),CONCATENATE("R3C",'Mapa final'!$Q$19),"")</f>
        <v/>
      </c>
      <c r="K38" s="61" t="str">
        <f>IF(AND('Mapa final'!$AA$20="Baja",'Mapa final'!$AC$20="Leve"),CONCATENATE("R3C",'Mapa final'!$Q$20),"")</f>
        <v/>
      </c>
      <c r="L38" s="61" t="str">
        <f>IF(AND('Mapa final'!$AA$21="Baja",'Mapa final'!$AC$21="Leve"),CONCATENATE("R3C",'Mapa final'!$Q$21),"")</f>
        <v/>
      </c>
      <c r="M38" s="61" t="str">
        <f>IF(AND('Mapa final'!$AA$22="Baja",'Mapa final'!$AC$22="Leve"),CONCATENATE("R3C",'Mapa final'!$Q$22),"")</f>
        <v/>
      </c>
      <c r="N38" s="61" t="str">
        <f>IF(AND('Mapa final'!$AA$23="Baja",'Mapa final'!$AC$23="Leve"),CONCATENATE("R3C",'Mapa final'!$Q$23),"")</f>
        <v/>
      </c>
      <c r="O38" s="62" t="str">
        <f>IF(AND('Mapa final'!$AA$24="Baja",'Mapa final'!$AC$24="Leve"),CONCATENATE("R3C",'Mapa final'!$Q$24),"")</f>
        <v/>
      </c>
      <c r="P38" s="51" t="str">
        <f>IF(AND('Mapa final'!$AA$19="Baja",'Mapa final'!$AC$19="Menor"),CONCATENATE("R3C",'Mapa final'!$Q$19),"")</f>
        <v/>
      </c>
      <c r="Q38" s="52" t="str">
        <f>IF(AND('Mapa final'!$AA$20="Baja",'Mapa final'!$AC$20="Menor"),CONCATENATE("R3C",'Mapa final'!$Q$20),"")</f>
        <v/>
      </c>
      <c r="R38" s="52" t="str">
        <f>IF(AND('Mapa final'!$AA$21="Baja",'Mapa final'!$AC$21="Menor"),CONCATENATE("R3C",'Mapa final'!$Q$21),"")</f>
        <v/>
      </c>
      <c r="S38" s="52" t="str">
        <f>IF(AND('Mapa final'!$AA$22="Baja",'Mapa final'!$AC$22="Menor"),CONCATENATE("R3C",'Mapa final'!$Q$22),"")</f>
        <v/>
      </c>
      <c r="T38" s="52" t="str">
        <f>IF(AND('Mapa final'!$AA$23="Baja",'Mapa final'!$AC$23="Menor"),CONCATENATE("R3C",'Mapa final'!$Q$23),"")</f>
        <v/>
      </c>
      <c r="U38" s="53" t="str">
        <f>IF(AND('Mapa final'!$AA$24="Baja",'Mapa final'!$AC$24="Menor"),CONCATENATE("R3C",'Mapa final'!$Q$24),"")</f>
        <v/>
      </c>
      <c r="V38" s="51" t="str">
        <f>IF(AND('Mapa final'!$AA$19="Baja",'Mapa final'!$AC$19="Moderado"),CONCATENATE("R3C",'Mapa final'!$Q$19),"")</f>
        <v/>
      </c>
      <c r="W38" s="52" t="str">
        <f>IF(AND('Mapa final'!$AA$20="Baja",'Mapa final'!$AC$20="Moderado"),CONCATENATE("R3C",'Mapa final'!$Q$20),"")</f>
        <v/>
      </c>
      <c r="X38" s="52" t="str">
        <f>IF(AND('Mapa final'!$AA$21="Baja",'Mapa final'!$AC$21="Moderado"),CONCATENATE("R3C",'Mapa final'!$Q$21),"")</f>
        <v/>
      </c>
      <c r="Y38" s="52" t="str">
        <f>IF(AND('Mapa final'!$AA$22="Baja",'Mapa final'!$AC$22="Moderado"),CONCATENATE("R3C",'Mapa final'!$Q$22),"")</f>
        <v/>
      </c>
      <c r="Z38" s="52" t="str">
        <f>IF(AND('Mapa final'!$AA$23="Baja",'Mapa final'!$AC$23="Moderado"),CONCATENATE("R3C",'Mapa final'!$Q$23),"")</f>
        <v/>
      </c>
      <c r="AA38" s="53" t="str">
        <f>IF(AND('Mapa final'!$AA$24="Baja",'Mapa final'!$AC$24="Moderado"),CONCATENATE("R3C",'Mapa final'!$Q$24),"")</f>
        <v/>
      </c>
      <c r="AB38" s="36" t="str">
        <f>IF(AND('Mapa final'!$AA$19="Baja",'Mapa final'!$AC$19="Mayor"),CONCATENATE("R3C",'Mapa final'!$Q$19),"")</f>
        <v/>
      </c>
      <c r="AC38" s="37" t="str">
        <f>IF(AND('Mapa final'!$AA$20="Baja",'Mapa final'!$AC$20="Mayor"),CONCATENATE("R3C",'Mapa final'!$Q$20),"")</f>
        <v/>
      </c>
      <c r="AD38" s="37" t="str">
        <f>IF(AND('Mapa final'!$AA$21="Baja",'Mapa final'!$AC$21="Mayor"),CONCATENATE("R3C",'Mapa final'!$Q$21),"")</f>
        <v/>
      </c>
      <c r="AE38" s="37" t="str">
        <f>IF(AND('Mapa final'!$AA$22="Baja",'Mapa final'!$AC$22="Mayor"),CONCATENATE("R3C",'Mapa final'!$Q$22),"")</f>
        <v/>
      </c>
      <c r="AF38" s="37" t="str">
        <f>IF(AND('Mapa final'!$AA$23="Baja",'Mapa final'!$AC$23="Mayor"),CONCATENATE("R3C",'Mapa final'!$Q$23),"")</f>
        <v/>
      </c>
      <c r="AG38" s="38" t="str">
        <f>IF(AND('Mapa final'!$AA$24="Baja",'Mapa final'!$AC$24="Mayor"),CONCATENATE("R3C",'Mapa final'!$Q$24),"")</f>
        <v/>
      </c>
      <c r="AH38" s="39" t="str">
        <f>IF(AND('Mapa final'!$AA$19="Baja",'Mapa final'!$AC$19="Catastrófico"),CONCATENATE("R3C",'Mapa final'!$Q$19),"")</f>
        <v/>
      </c>
      <c r="AI38" s="40" t="str">
        <f>IF(AND('Mapa final'!$AA$20="Baja",'Mapa final'!$AC$20="Catastrófico"),CONCATENATE("R3C",'Mapa final'!$Q$20),"")</f>
        <v/>
      </c>
      <c r="AJ38" s="40" t="str">
        <f>IF(AND('Mapa final'!$AA$21="Baja",'Mapa final'!$AC$21="Catastrófico"),CONCATENATE("R3C",'Mapa final'!$Q$21),"")</f>
        <v/>
      </c>
      <c r="AK38" s="40" t="str">
        <f>IF(AND('Mapa final'!$AA$22="Baja",'Mapa final'!$AC$22="Catastrófico"),CONCATENATE("R3C",'Mapa final'!$Q$22),"")</f>
        <v/>
      </c>
      <c r="AL38" s="40" t="str">
        <f>IF(AND('Mapa final'!$AA$23="Baja",'Mapa final'!$AC$23="Catastrófico"),CONCATENATE("R3C",'Mapa final'!$Q$23),"")</f>
        <v/>
      </c>
      <c r="AM38" s="41" t="str">
        <f>IF(AND('Mapa final'!$AA$24="Baja",'Mapa final'!$AC$24="Catastrófico"),CONCATENATE("R3C",'Mapa final'!$Q$24),"")</f>
        <v/>
      </c>
      <c r="AN38" s="67"/>
      <c r="AO38" s="398"/>
      <c r="AP38" s="399"/>
      <c r="AQ38" s="399"/>
      <c r="AR38" s="399"/>
      <c r="AS38" s="399"/>
      <c r="AT38" s="400"/>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326"/>
      <c r="C39" s="326"/>
      <c r="D39" s="327"/>
      <c r="E39" s="367"/>
      <c r="F39" s="368"/>
      <c r="G39" s="368"/>
      <c r="H39" s="368"/>
      <c r="I39" s="368"/>
      <c r="J39" s="60" t="str">
        <f>IF(AND('Mapa final'!$AA$25="Baja",'Mapa final'!$AC$25="Leve"),CONCATENATE("R4C",'Mapa final'!$Q$25),"")</f>
        <v/>
      </c>
      <c r="K39" s="61" t="str">
        <f>IF(AND('Mapa final'!$AA$26="Baja",'Mapa final'!$AC$26="Leve"),CONCATENATE("R4C",'Mapa final'!$Q$26),"")</f>
        <v/>
      </c>
      <c r="L39" s="61" t="str">
        <f>IF(AND('Mapa final'!$AA$27="Baja",'Mapa final'!$AC$27="Leve"),CONCATENATE("R4C",'Mapa final'!$Q$27),"")</f>
        <v/>
      </c>
      <c r="M39" s="61" t="str">
        <f>IF(AND('Mapa final'!$AA$28="Baja",'Mapa final'!$AC$28="Leve"),CONCATENATE("R4C",'Mapa final'!$Q$28),"")</f>
        <v/>
      </c>
      <c r="N39" s="61" t="str">
        <f>IF(AND('Mapa final'!$AA$29="Baja",'Mapa final'!$AC$29="Leve"),CONCATENATE("R4C",'Mapa final'!$Q$29),"")</f>
        <v/>
      </c>
      <c r="O39" s="62" t="str">
        <f>IF(AND('Mapa final'!$AA$30="Baja",'Mapa final'!$AC$30="Leve"),CONCATENATE("R4C",'Mapa final'!$Q$30),"")</f>
        <v/>
      </c>
      <c r="P39" s="51" t="str">
        <f>IF(AND('Mapa final'!$AA$25="Baja",'Mapa final'!$AC$25="Menor"),CONCATENATE("R4C",'Mapa final'!$Q$25),"")</f>
        <v/>
      </c>
      <c r="Q39" s="52" t="str">
        <f>IF(AND('Mapa final'!$AA$26="Baja",'Mapa final'!$AC$26="Menor"),CONCATENATE("R4C",'Mapa final'!$Q$26),"")</f>
        <v/>
      </c>
      <c r="R39" s="52" t="str">
        <f>IF(AND('Mapa final'!$AA$27="Baja",'Mapa final'!$AC$27="Menor"),CONCATENATE("R4C",'Mapa final'!$Q$27),"")</f>
        <v/>
      </c>
      <c r="S39" s="52" t="str">
        <f>IF(AND('Mapa final'!$AA$28="Baja",'Mapa final'!$AC$28="Menor"),CONCATENATE("R4C",'Mapa final'!$Q$28),"")</f>
        <v/>
      </c>
      <c r="T39" s="52" t="str">
        <f>IF(AND('Mapa final'!$AA$29="Baja",'Mapa final'!$AC$29="Menor"),CONCATENATE("R4C",'Mapa final'!$Q$29),"")</f>
        <v/>
      </c>
      <c r="U39" s="53" t="str">
        <f>IF(AND('Mapa final'!$AA$30="Baja",'Mapa final'!$AC$30="Menor"),CONCATENATE("R4C",'Mapa final'!$Q$30),"")</f>
        <v/>
      </c>
      <c r="V39" s="51" t="str">
        <f>IF(AND('Mapa final'!$AA$25="Baja",'Mapa final'!$AC$25="Moderado"),CONCATENATE("R4C",'Mapa final'!$Q$25),"")</f>
        <v/>
      </c>
      <c r="W39" s="52" t="str">
        <f>IF(AND('Mapa final'!$AA$26="Baja",'Mapa final'!$AC$26="Moderado"),CONCATENATE("R4C",'Mapa final'!$Q$26),"")</f>
        <v/>
      </c>
      <c r="X39" s="52" t="str">
        <f>IF(AND('Mapa final'!$AA$27="Baja",'Mapa final'!$AC$27="Moderado"),CONCATENATE("R4C",'Mapa final'!$Q$27),"")</f>
        <v/>
      </c>
      <c r="Y39" s="52" t="str">
        <f>IF(AND('Mapa final'!$AA$28="Baja",'Mapa final'!$AC$28="Moderado"),CONCATENATE("R4C",'Mapa final'!$Q$28),"")</f>
        <v/>
      </c>
      <c r="Z39" s="52" t="str">
        <f>IF(AND('Mapa final'!$AA$29="Baja",'Mapa final'!$AC$29="Moderado"),CONCATENATE("R4C",'Mapa final'!$Q$29),"")</f>
        <v/>
      </c>
      <c r="AA39" s="53" t="str">
        <f>IF(AND('Mapa final'!$AA$30="Baja",'Mapa final'!$AC$30="Moderado"),CONCATENATE("R4C",'Mapa final'!$Q$30),"")</f>
        <v/>
      </c>
      <c r="AB39" s="36" t="str">
        <f>IF(AND('Mapa final'!$AA$25="Baja",'Mapa final'!$AC$25="Mayor"),CONCATENATE("R4C",'Mapa final'!$Q$25),"")</f>
        <v/>
      </c>
      <c r="AC39" s="37" t="str">
        <f>IF(AND('Mapa final'!$AA$26="Baja",'Mapa final'!$AC$26="Mayor"),CONCATENATE("R4C",'Mapa final'!$Q$26),"")</f>
        <v/>
      </c>
      <c r="AD39" s="37" t="str">
        <f>IF(AND('Mapa final'!$AA$27="Baja",'Mapa final'!$AC$27="Mayor"),CONCATENATE("R4C",'Mapa final'!$Q$27),"")</f>
        <v/>
      </c>
      <c r="AE39" s="37" t="str">
        <f>IF(AND('Mapa final'!$AA$28="Baja",'Mapa final'!$AC$28="Mayor"),CONCATENATE("R4C",'Mapa final'!$Q$28),"")</f>
        <v/>
      </c>
      <c r="AF39" s="37" t="str">
        <f>IF(AND('Mapa final'!$AA$29="Baja",'Mapa final'!$AC$29="Mayor"),CONCATENATE("R4C",'Mapa final'!$Q$29),"")</f>
        <v/>
      </c>
      <c r="AG39" s="38" t="str">
        <f>IF(AND('Mapa final'!$AA$30="Baja",'Mapa final'!$AC$30="Mayor"),CONCATENATE("R4C",'Mapa final'!$Q$30),"")</f>
        <v/>
      </c>
      <c r="AH39" s="39" t="str">
        <f>IF(AND('Mapa final'!$AA$25="Baja",'Mapa final'!$AC$25="Catastrófico"),CONCATENATE("R4C",'Mapa final'!$Q$25),"")</f>
        <v/>
      </c>
      <c r="AI39" s="40" t="str">
        <f>IF(AND('Mapa final'!$AA$26="Baja",'Mapa final'!$AC$26="Catastrófico"),CONCATENATE("R4C",'Mapa final'!$Q$26),"")</f>
        <v/>
      </c>
      <c r="AJ39" s="40" t="str">
        <f>IF(AND('Mapa final'!$AA$27="Baja",'Mapa final'!$AC$27="Catastrófico"),CONCATENATE("R4C",'Mapa final'!$Q$27),"")</f>
        <v/>
      </c>
      <c r="AK39" s="40" t="str">
        <f>IF(AND('Mapa final'!$AA$28="Baja",'Mapa final'!$AC$28="Catastrófico"),CONCATENATE("R4C",'Mapa final'!$Q$28),"")</f>
        <v/>
      </c>
      <c r="AL39" s="40" t="str">
        <f>IF(AND('Mapa final'!$AA$29="Baja",'Mapa final'!$AC$29="Catastrófico"),CONCATENATE("R4C",'Mapa final'!$Q$29),"")</f>
        <v/>
      </c>
      <c r="AM39" s="41" t="str">
        <f>IF(AND('Mapa final'!$AA$30="Baja",'Mapa final'!$AC$30="Catastrófico"),CONCATENATE("R4C",'Mapa final'!$Q$30),"")</f>
        <v/>
      </c>
      <c r="AN39" s="67"/>
      <c r="AO39" s="398"/>
      <c r="AP39" s="399"/>
      <c r="AQ39" s="399"/>
      <c r="AR39" s="399"/>
      <c r="AS39" s="399"/>
      <c r="AT39" s="400"/>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326"/>
      <c r="C40" s="326"/>
      <c r="D40" s="327"/>
      <c r="E40" s="367"/>
      <c r="F40" s="368"/>
      <c r="G40" s="368"/>
      <c r="H40" s="368"/>
      <c r="I40" s="368"/>
      <c r="J40" s="60" t="str">
        <f>IF(AND('Mapa final'!$AA$31="Baja",'Mapa final'!$AC$31="Leve"),CONCATENATE("R5C",'Mapa final'!$Q$31),"")</f>
        <v/>
      </c>
      <c r="K40" s="61" t="str">
        <f>IF(AND('Mapa final'!$AA$32="Baja",'Mapa final'!$AC$32="Leve"),CONCATENATE("R5C",'Mapa final'!$Q$32),"")</f>
        <v/>
      </c>
      <c r="L40" s="61" t="str">
        <f>IF(AND('Mapa final'!$AA$33="Baja",'Mapa final'!$AC$33="Leve"),CONCATENATE("R5C",'Mapa final'!$Q$33),"")</f>
        <v/>
      </c>
      <c r="M40" s="61" t="str">
        <f>IF(AND('Mapa final'!$AA$34="Baja",'Mapa final'!$AC$34="Leve"),CONCATENATE("R5C",'Mapa final'!$Q$34),"")</f>
        <v/>
      </c>
      <c r="N40" s="61" t="str">
        <f>IF(AND('Mapa final'!$AA$35="Baja",'Mapa final'!$AC$35="Leve"),CONCATENATE("R5C",'Mapa final'!$Q$35),"")</f>
        <v/>
      </c>
      <c r="O40" s="62" t="str">
        <f>IF(AND('Mapa final'!$AA$36="Baja",'Mapa final'!$AC$36="Leve"),CONCATENATE("R5C",'Mapa final'!$Q$36),"")</f>
        <v/>
      </c>
      <c r="P40" s="51" t="str">
        <f>IF(AND('Mapa final'!$AA$31="Baja",'Mapa final'!$AC$31="Menor"),CONCATENATE("R5C",'Mapa final'!$Q$31),"")</f>
        <v/>
      </c>
      <c r="Q40" s="52" t="str">
        <f>IF(AND('Mapa final'!$AA$32="Baja",'Mapa final'!$AC$32="Menor"),CONCATENATE("R5C",'Mapa final'!$Q$32),"")</f>
        <v/>
      </c>
      <c r="R40" s="52" t="str">
        <f>IF(AND('Mapa final'!$AA$33="Baja",'Mapa final'!$AC$33="Menor"),CONCATENATE("R5C",'Mapa final'!$Q$33),"")</f>
        <v/>
      </c>
      <c r="S40" s="52" t="str">
        <f>IF(AND('Mapa final'!$AA$34="Baja",'Mapa final'!$AC$34="Menor"),CONCATENATE("R5C",'Mapa final'!$Q$34),"")</f>
        <v/>
      </c>
      <c r="T40" s="52" t="str">
        <f>IF(AND('Mapa final'!$AA$35="Baja",'Mapa final'!$AC$35="Menor"),CONCATENATE("R5C",'Mapa final'!$Q$35),"")</f>
        <v/>
      </c>
      <c r="U40" s="53" t="str">
        <f>IF(AND('Mapa final'!$AA$36="Baja",'Mapa final'!$AC$36="Menor"),CONCATENATE("R5C",'Mapa final'!$Q$36),"")</f>
        <v/>
      </c>
      <c r="V40" s="51" t="str">
        <f>IF(AND('Mapa final'!$AA$31="Baja",'Mapa final'!$AC$31="Moderado"),CONCATENATE("R5C",'Mapa final'!$Q$31),"")</f>
        <v/>
      </c>
      <c r="W40" s="52" t="str">
        <f>IF(AND('Mapa final'!$AA$32="Baja",'Mapa final'!$AC$32="Moderado"),CONCATENATE("R5C",'Mapa final'!$Q$32),"")</f>
        <v/>
      </c>
      <c r="X40" s="52" t="str">
        <f>IF(AND('Mapa final'!$AA$33="Baja",'Mapa final'!$AC$33="Moderado"),CONCATENATE("R5C",'Mapa final'!$Q$33),"")</f>
        <v/>
      </c>
      <c r="Y40" s="52" t="str">
        <f>IF(AND('Mapa final'!$AA$34="Baja",'Mapa final'!$AC$34="Moderado"),CONCATENATE("R5C",'Mapa final'!$Q$34),"")</f>
        <v/>
      </c>
      <c r="Z40" s="52" t="str">
        <f>IF(AND('Mapa final'!$AA$35="Baja",'Mapa final'!$AC$35="Moderado"),CONCATENATE("R5C",'Mapa final'!$Q$35),"")</f>
        <v/>
      </c>
      <c r="AA40" s="53" t="str">
        <f>IF(AND('Mapa final'!$AA$36="Baja",'Mapa final'!$AC$36="Moderado"),CONCATENATE("R5C",'Mapa final'!$Q$36),"")</f>
        <v/>
      </c>
      <c r="AB40" s="36" t="str">
        <f>IF(AND('Mapa final'!$AA$31="Baja",'Mapa final'!$AC$31="Mayor"),CONCATENATE("R5C",'Mapa final'!$Q$31),"")</f>
        <v/>
      </c>
      <c r="AC40" s="37" t="str">
        <f>IF(AND('Mapa final'!$AA$32="Baja",'Mapa final'!$AC$32="Mayor"),CONCATENATE("R5C",'Mapa final'!$Q$32),"")</f>
        <v/>
      </c>
      <c r="AD40" s="37" t="str">
        <f>IF(AND('Mapa final'!$AA$33="Baja",'Mapa final'!$AC$33="Mayor"),CONCATENATE("R5C",'Mapa final'!$Q$33),"")</f>
        <v/>
      </c>
      <c r="AE40" s="37" t="str">
        <f>IF(AND('Mapa final'!$AA$34="Baja",'Mapa final'!$AC$34="Mayor"),CONCATENATE("R5C",'Mapa final'!$Q$34),"")</f>
        <v/>
      </c>
      <c r="AF40" s="37" t="str">
        <f>IF(AND('Mapa final'!$AA$35="Baja",'Mapa final'!$AC$35="Mayor"),CONCATENATE("R5C",'Mapa final'!$Q$35),"")</f>
        <v/>
      </c>
      <c r="AG40" s="38" t="str">
        <f>IF(AND('Mapa final'!$AA$36="Baja",'Mapa final'!$AC$36="Mayor"),CONCATENATE("R5C",'Mapa final'!$Q$36),"")</f>
        <v/>
      </c>
      <c r="AH40" s="39" t="str">
        <f>IF(AND('Mapa final'!$AA$31="Baja",'Mapa final'!$AC$31="Catastrófico"),CONCATENATE("R5C",'Mapa final'!$Q$31),"")</f>
        <v/>
      </c>
      <c r="AI40" s="40" t="str">
        <f>IF(AND('Mapa final'!$AA$32="Baja",'Mapa final'!$AC$32="Catastrófico"),CONCATENATE("R5C",'Mapa final'!$Q$32),"")</f>
        <v/>
      </c>
      <c r="AJ40" s="40" t="str">
        <f>IF(AND('Mapa final'!$AA$33="Baja",'Mapa final'!$AC$33="Catastrófico"),CONCATENATE("R5C",'Mapa final'!$Q$33),"")</f>
        <v/>
      </c>
      <c r="AK40" s="40" t="str">
        <f>IF(AND('Mapa final'!$AA$34="Baja",'Mapa final'!$AC$34="Catastrófico"),CONCATENATE("R5C",'Mapa final'!$Q$34),"")</f>
        <v/>
      </c>
      <c r="AL40" s="40" t="str">
        <f>IF(AND('Mapa final'!$AA$35="Baja",'Mapa final'!$AC$35="Catastrófico"),CONCATENATE("R5C",'Mapa final'!$Q$35),"")</f>
        <v/>
      </c>
      <c r="AM40" s="41" t="str">
        <f>IF(AND('Mapa final'!$AA$36="Baja",'Mapa final'!$AC$36="Catastrófico"),CONCATENATE("R5C",'Mapa final'!$Q$36),"")</f>
        <v/>
      </c>
      <c r="AN40" s="67"/>
      <c r="AO40" s="398"/>
      <c r="AP40" s="399"/>
      <c r="AQ40" s="399"/>
      <c r="AR40" s="399"/>
      <c r="AS40" s="399"/>
      <c r="AT40" s="400"/>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326"/>
      <c r="C41" s="326"/>
      <c r="D41" s="327"/>
      <c r="E41" s="367"/>
      <c r="F41" s="368"/>
      <c r="G41" s="368"/>
      <c r="H41" s="368"/>
      <c r="I41" s="368"/>
      <c r="J41" s="60" t="str">
        <f>IF(AND('Mapa final'!$AA$37="Baja",'Mapa final'!$AC$37="Leve"),CONCATENATE("R6C",'Mapa final'!$Q$37),"")</f>
        <v/>
      </c>
      <c r="K41" s="61" t="str">
        <f>IF(AND('Mapa final'!$AA$38="Baja",'Mapa final'!$AC$38="Leve"),CONCATENATE("R6C",'Mapa final'!$Q$38),"")</f>
        <v/>
      </c>
      <c r="L41" s="61" t="str">
        <f>IF(AND('Mapa final'!$AA$39="Baja",'Mapa final'!$AC$39="Leve"),CONCATENATE("R6C",'Mapa final'!$Q$39),"")</f>
        <v/>
      </c>
      <c r="M41" s="61" t="str">
        <f>IF(AND('Mapa final'!$AA$40="Baja",'Mapa final'!$AC$40="Leve"),CONCATENATE("R6C",'Mapa final'!$Q$40),"")</f>
        <v/>
      </c>
      <c r="N41" s="61" t="str">
        <f>IF(AND('Mapa final'!$AA$41="Baja",'Mapa final'!$AC$41="Leve"),CONCATENATE("R6C",'Mapa final'!$Q$41),"")</f>
        <v/>
      </c>
      <c r="O41" s="62" t="str">
        <f>IF(AND('Mapa final'!$AA$42="Baja",'Mapa final'!$AC$42="Leve"),CONCATENATE("R6C",'Mapa final'!$Q$42),"")</f>
        <v/>
      </c>
      <c r="P41" s="51" t="str">
        <f>IF(AND('Mapa final'!$AA$37="Baja",'Mapa final'!$AC$37="Menor"),CONCATENATE("R6C",'Mapa final'!$Q$37),"")</f>
        <v/>
      </c>
      <c r="Q41" s="52" t="str">
        <f>IF(AND('Mapa final'!$AA$38="Baja",'Mapa final'!$AC$38="Menor"),CONCATENATE("R6C",'Mapa final'!$Q$38),"")</f>
        <v/>
      </c>
      <c r="R41" s="52" t="str">
        <f>IF(AND('Mapa final'!$AA$39="Baja",'Mapa final'!$AC$39="Menor"),CONCATENATE("R6C",'Mapa final'!$Q$39),"")</f>
        <v/>
      </c>
      <c r="S41" s="52" t="str">
        <f>IF(AND('Mapa final'!$AA$40="Baja",'Mapa final'!$AC$40="Menor"),CONCATENATE("R6C",'Mapa final'!$Q$40),"")</f>
        <v/>
      </c>
      <c r="T41" s="52" t="str">
        <f>IF(AND('Mapa final'!$AA$41="Baja",'Mapa final'!$AC$41="Menor"),CONCATENATE("R6C",'Mapa final'!$Q$41),"")</f>
        <v/>
      </c>
      <c r="U41" s="53" t="str">
        <f>IF(AND('Mapa final'!$AA$42="Baja",'Mapa final'!$AC$42="Menor"),CONCATENATE("R6C",'Mapa final'!$Q$42),"")</f>
        <v/>
      </c>
      <c r="V41" s="51" t="str">
        <f>IF(AND('Mapa final'!$AA$37="Baja",'Mapa final'!$AC$37="Moderado"),CONCATENATE("R6C",'Mapa final'!$Q$37),"")</f>
        <v/>
      </c>
      <c r="W41" s="52" t="str">
        <f>IF(AND('Mapa final'!$AA$38="Baja",'Mapa final'!$AC$38="Moderado"),CONCATENATE("R6C",'Mapa final'!$Q$38),"")</f>
        <v/>
      </c>
      <c r="X41" s="52" t="str">
        <f>IF(AND('Mapa final'!$AA$39="Baja",'Mapa final'!$AC$39="Moderado"),CONCATENATE("R6C",'Mapa final'!$Q$39),"")</f>
        <v/>
      </c>
      <c r="Y41" s="52" t="str">
        <f>IF(AND('Mapa final'!$AA$40="Baja",'Mapa final'!$AC$40="Moderado"),CONCATENATE("R6C",'Mapa final'!$Q$40),"")</f>
        <v/>
      </c>
      <c r="Z41" s="52" t="str">
        <f>IF(AND('Mapa final'!$AA$41="Baja",'Mapa final'!$AC$41="Moderado"),CONCATENATE("R6C",'Mapa final'!$Q$41),"")</f>
        <v/>
      </c>
      <c r="AA41" s="53" t="str">
        <f>IF(AND('Mapa final'!$AA$42="Baja",'Mapa final'!$AC$42="Moderado"),CONCATENATE("R6C",'Mapa final'!$Q$42),"")</f>
        <v/>
      </c>
      <c r="AB41" s="36" t="str">
        <f>IF(AND('Mapa final'!$AA$37="Baja",'Mapa final'!$AC$37="Mayor"),CONCATENATE("R6C",'Mapa final'!$Q$37),"")</f>
        <v/>
      </c>
      <c r="AC41" s="37" t="str">
        <f>IF(AND('Mapa final'!$AA$38="Baja",'Mapa final'!$AC$38="Mayor"),CONCATENATE("R6C",'Mapa final'!$Q$38),"")</f>
        <v/>
      </c>
      <c r="AD41" s="37" t="str">
        <f>IF(AND('Mapa final'!$AA$39="Baja",'Mapa final'!$AC$39="Mayor"),CONCATENATE("R6C",'Mapa final'!$Q$39),"")</f>
        <v/>
      </c>
      <c r="AE41" s="37" t="str">
        <f>IF(AND('Mapa final'!$AA$40="Baja",'Mapa final'!$AC$40="Mayor"),CONCATENATE("R6C",'Mapa final'!$Q$40),"")</f>
        <v/>
      </c>
      <c r="AF41" s="37" t="str">
        <f>IF(AND('Mapa final'!$AA$41="Baja",'Mapa final'!$AC$41="Mayor"),CONCATENATE("R6C",'Mapa final'!$Q$41),"")</f>
        <v/>
      </c>
      <c r="AG41" s="38" t="str">
        <f>IF(AND('Mapa final'!$AA$42="Baja",'Mapa final'!$AC$42="Mayor"),CONCATENATE("R6C",'Mapa final'!$Q$42),"")</f>
        <v/>
      </c>
      <c r="AH41" s="39" t="str">
        <f>IF(AND('Mapa final'!$AA$37="Baja",'Mapa final'!$AC$37="Catastrófico"),CONCATENATE("R6C",'Mapa final'!$Q$37),"")</f>
        <v/>
      </c>
      <c r="AI41" s="40" t="str">
        <f>IF(AND('Mapa final'!$AA$38="Baja",'Mapa final'!$AC$38="Catastrófico"),CONCATENATE("R6C",'Mapa final'!$Q$38),"")</f>
        <v/>
      </c>
      <c r="AJ41" s="40" t="str">
        <f>IF(AND('Mapa final'!$AA$39="Baja",'Mapa final'!$AC$39="Catastrófico"),CONCATENATE("R6C",'Mapa final'!$Q$39),"")</f>
        <v/>
      </c>
      <c r="AK41" s="40" t="str">
        <f>IF(AND('Mapa final'!$AA$40="Baja",'Mapa final'!$AC$40="Catastrófico"),CONCATENATE("R6C",'Mapa final'!$Q$40),"")</f>
        <v/>
      </c>
      <c r="AL41" s="40" t="str">
        <f>IF(AND('Mapa final'!$AA$41="Baja",'Mapa final'!$AC$41="Catastrófico"),CONCATENATE("R6C",'Mapa final'!$Q$41),"")</f>
        <v/>
      </c>
      <c r="AM41" s="41" t="str">
        <f>IF(AND('Mapa final'!$AA$42="Baja",'Mapa final'!$AC$42="Catastrófico"),CONCATENATE("R6C",'Mapa final'!$Q$42),"")</f>
        <v/>
      </c>
      <c r="AN41" s="67"/>
      <c r="AO41" s="398"/>
      <c r="AP41" s="399"/>
      <c r="AQ41" s="399"/>
      <c r="AR41" s="399"/>
      <c r="AS41" s="399"/>
      <c r="AT41" s="400"/>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326"/>
      <c r="C42" s="326"/>
      <c r="D42" s="327"/>
      <c r="E42" s="367"/>
      <c r="F42" s="368"/>
      <c r="G42" s="368"/>
      <c r="H42" s="368"/>
      <c r="I42" s="368"/>
      <c r="J42" s="60" t="str">
        <f>IF(AND('Mapa final'!$AA$43="Baja",'Mapa final'!$AC$43="Leve"),CONCATENATE("R7C",'Mapa final'!$Q$43),"")</f>
        <v/>
      </c>
      <c r="K42" s="61" t="str">
        <f>IF(AND('Mapa final'!$AA$44="Baja",'Mapa final'!$AC$44="Leve"),CONCATENATE("R7C",'Mapa final'!$Q$44),"")</f>
        <v/>
      </c>
      <c r="L42" s="61" t="str">
        <f>IF(AND('Mapa final'!$AA$45="Baja",'Mapa final'!$AC$45="Leve"),CONCATENATE("R7C",'Mapa final'!$Q$45),"")</f>
        <v/>
      </c>
      <c r="M42" s="61" t="str">
        <f>IF(AND('Mapa final'!$AA$46="Baja",'Mapa final'!$AC$46="Leve"),CONCATENATE("R7C",'Mapa final'!$Q$46),"")</f>
        <v/>
      </c>
      <c r="N42" s="61" t="str">
        <f>IF(AND('Mapa final'!$AA$47="Baja",'Mapa final'!$AC$47="Leve"),CONCATENATE("R7C",'Mapa final'!$Q$47),"")</f>
        <v/>
      </c>
      <c r="O42" s="62" t="str">
        <f>IF(AND('Mapa final'!$AA$48="Baja",'Mapa final'!$AC$48="Leve"),CONCATENATE("R7C",'Mapa final'!$Q$48),"")</f>
        <v/>
      </c>
      <c r="P42" s="51" t="str">
        <f>IF(AND('Mapa final'!$AA$43="Baja",'Mapa final'!$AC$43="Menor"),CONCATENATE("R7C",'Mapa final'!$Q$43),"")</f>
        <v/>
      </c>
      <c r="Q42" s="52" t="str">
        <f>IF(AND('Mapa final'!$AA$44="Baja",'Mapa final'!$AC$44="Menor"),CONCATENATE("R7C",'Mapa final'!$Q$44),"")</f>
        <v/>
      </c>
      <c r="R42" s="52" t="str">
        <f>IF(AND('Mapa final'!$AA$45="Baja",'Mapa final'!$AC$45="Menor"),CONCATENATE("R7C",'Mapa final'!$Q$45),"")</f>
        <v/>
      </c>
      <c r="S42" s="52" t="str">
        <f>IF(AND('Mapa final'!$AA$46="Baja",'Mapa final'!$AC$46="Menor"),CONCATENATE("R7C",'Mapa final'!$Q$46),"")</f>
        <v/>
      </c>
      <c r="T42" s="52" t="str">
        <f>IF(AND('Mapa final'!$AA$47="Baja",'Mapa final'!$AC$47="Menor"),CONCATENATE("R7C",'Mapa final'!$Q$47),"")</f>
        <v/>
      </c>
      <c r="U42" s="53" t="str">
        <f>IF(AND('Mapa final'!$AA$48="Baja",'Mapa final'!$AC$48="Menor"),CONCATENATE("R7C",'Mapa final'!$Q$48),"")</f>
        <v/>
      </c>
      <c r="V42" s="51" t="str">
        <f>IF(AND('Mapa final'!$AA$43="Baja",'Mapa final'!$AC$43="Moderado"),CONCATENATE("R7C",'Mapa final'!$Q$43),"")</f>
        <v/>
      </c>
      <c r="W42" s="52" t="str">
        <f>IF(AND('Mapa final'!$AA$44="Baja",'Mapa final'!$AC$44="Moderado"),CONCATENATE("R7C",'Mapa final'!$Q$44),"")</f>
        <v/>
      </c>
      <c r="X42" s="52" t="str">
        <f>IF(AND('Mapa final'!$AA$45="Baja",'Mapa final'!$AC$45="Moderado"),CONCATENATE("R7C",'Mapa final'!$Q$45),"")</f>
        <v/>
      </c>
      <c r="Y42" s="52" t="str">
        <f>IF(AND('Mapa final'!$AA$46="Baja",'Mapa final'!$AC$46="Moderado"),CONCATENATE("R7C",'Mapa final'!$Q$46),"")</f>
        <v/>
      </c>
      <c r="Z42" s="52" t="str">
        <f>IF(AND('Mapa final'!$AA$47="Baja",'Mapa final'!$AC$47="Moderado"),CONCATENATE("R7C",'Mapa final'!$Q$47),"")</f>
        <v/>
      </c>
      <c r="AA42" s="53" t="str">
        <f>IF(AND('Mapa final'!$AA$48="Baja",'Mapa final'!$AC$48="Moderado"),CONCATENATE("R7C",'Mapa final'!$Q$48),"")</f>
        <v/>
      </c>
      <c r="AB42" s="36" t="str">
        <f>IF(AND('Mapa final'!$AA$43="Baja",'Mapa final'!$AC$43="Mayor"),CONCATENATE("R7C",'Mapa final'!$Q$43),"")</f>
        <v/>
      </c>
      <c r="AC42" s="37" t="str">
        <f>IF(AND('Mapa final'!$AA$44="Baja",'Mapa final'!$AC$44="Mayor"),CONCATENATE("R7C",'Mapa final'!$Q$44),"")</f>
        <v/>
      </c>
      <c r="AD42" s="37" t="str">
        <f>IF(AND('Mapa final'!$AA$45="Baja",'Mapa final'!$AC$45="Mayor"),CONCATENATE("R7C",'Mapa final'!$Q$45),"")</f>
        <v/>
      </c>
      <c r="AE42" s="37" t="str">
        <f>IF(AND('Mapa final'!$AA$46="Baja",'Mapa final'!$AC$46="Mayor"),CONCATENATE("R7C",'Mapa final'!$Q$46),"")</f>
        <v/>
      </c>
      <c r="AF42" s="37" t="str">
        <f>IF(AND('Mapa final'!$AA$47="Baja",'Mapa final'!$AC$47="Mayor"),CONCATENATE("R7C",'Mapa final'!$Q$47),"")</f>
        <v/>
      </c>
      <c r="AG42" s="38" t="str">
        <f>IF(AND('Mapa final'!$AA$48="Baja",'Mapa final'!$AC$48="Mayor"),CONCATENATE("R7C",'Mapa final'!$Q$48),"")</f>
        <v/>
      </c>
      <c r="AH42" s="39" t="str">
        <f>IF(AND('Mapa final'!$AA$43="Baja",'Mapa final'!$AC$43="Catastrófico"),CONCATENATE("R7C",'Mapa final'!$Q$43),"")</f>
        <v/>
      </c>
      <c r="AI42" s="40" t="str">
        <f>IF(AND('Mapa final'!$AA$44="Baja",'Mapa final'!$AC$44="Catastrófico"),CONCATENATE("R7C",'Mapa final'!$Q$44),"")</f>
        <v/>
      </c>
      <c r="AJ42" s="40" t="str">
        <f>IF(AND('Mapa final'!$AA$45="Baja",'Mapa final'!$AC$45="Catastrófico"),CONCATENATE("R7C",'Mapa final'!$Q$45),"")</f>
        <v/>
      </c>
      <c r="AK42" s="40" t="str">
        <f>IF(AND('Mapa final'!$AA$46="Baja",'Mapa final'!$AC$46="Catastrófico"),CONCATENATE("R7C",'Mapa final'!$Q$46),"")</f>
        <v/>
      </c>
      <c r="AL42" s="40" t="str">
        <f>IF(AND('Mapa final'!$AA$47="Baja",'Mapa final'!$AC$47="Catastrófico"),CONCATENATE("R7C",'Mapa final'!$Q$47),"")</f>
        <v/>
      </c>
      <c r="AM42" s="41" t="str">
        <f>IF(AND('Mapa final'!$AA$48="Baja",'Mapa final'!$AC$48="Catastrófico"),CONCATENATE("R7C",'Mapa final'!$Q$48),"")</f>
        <v/>
      </c>
      <c r="AN42" s="67"/>
      <c r="AO42" s="398"/>
      <c r="AP42" s="399"/>
      <c r="AQ42" s="399"/>
      <c r="AR42" s="399"/>
      <c r="AS42" s="399"/>
      <c r="AT42" s="400"/>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326"/>
      <c r="C43" s="326"/>
      <c r="D43" s="327"/>
      <c r="E43" s="367"/>
      <c r="F43" s="368"/>
      <c r="G43" s="368"/>
      <c r="H43" s="368"/>
      <c r="I43" s="368"/>
      <c r="J43" s="60" t="str">
        <f>IF(AND('Mapa final'!$AA$49="Baja",'Mapa final'!$AC$49="Leve"),CONCATENATE("R8C",'Mapa final'!$Q$49),"")</f>
        <v/>
      </c>
      <c r="K43" s="61" t="str">
        <f>IF(AND('Mapa final'!$AA$50="Baja",'Mapa final'!$AC$50="Leve"),CONCATENATE("R8C",'Mapa final'!$Q$50),"")</f>
        <v/>
      </c>
      <c r="L43" s="61" t="str">
        <f>IF(AND('Mapa final'!$AA$51="Baja",'Mapa final'!$AC$51="Leve"),CONCATENATE("R8C",'Mapa final'!$Q$51),"")</f>
        <v/>
      </c>
      <c r="M43" s="61" t="str">
        <f>IF(AND('Mapa final'!$AA$52="Baja",'Mapa final'!$AC$52="Leve"),CONCATENATE("R8C",'Mapa final'!$Q$52),"")</f>
        <v/>
      </c>
      <c r="N43" s="61" t="str">
        <f>IF(AND('Mapa final'!$AA$53="Baja",'Mapa final'!$AC$53="Leve"),CONCATENATE("R8C",'Mapa final'!$Q$53),"")</f>
        <v/>
      </c>
      <c r="O43" s="62" t="str">
        <f>IF(AND('Mapa final'!$AA$54="Baja",'Mapa final'!$AC$54="Leve"),CONCATENATE("R8C",'Mapa final'!$Q$54),"")</f>
        <v/>
      </c>
      <c r="P43" s="51" t="str">
        <f>IF(AND('Mapa final'!$AA$49="Baja",'Mapa final'!$AC$49="Menor"),CONCATENATE("R8C",'Mapa final'!$Q$49),"")</f>
        <v/>
      </c>
      <c r="Q43" s="52" t="str">
        <f>IF(AND('Mapa final'!$AA$50="Baja",'Mapa final'!$AC$50="Menor"),CONCATENATE("R8C",'Mapa final'!$Q$50),"")</f>
        <v/>
      </c>
      <c r="R43" s="52" t="str">
        <f>IF(AND('Mapa final'!$AA$51="Baja",'Mapa final'!$AC$51="Menor"),CONCATENATE("R8C",'Mapa final'!$Q$51),"")</f>
        <v/>
      </c>
      <c r="S43" s="52" t="str">
        <f>IF(AND('Mapa final'!$AA$52="Baja",'Mapa final'!$AC$52="Menor"),CONCATENATE("R8C",'Mapa final'!$Q$52),"")</f>
        <v/>
      </c>
      <c r="T43" s="52" t="str">
        <f>IF(AND('Mapa final'!$AA$53="Baja",'Mapa final'!$AC$53="Menor"),CONCATENATE("R8C",'Mapa final'!$Q$53),"")</f>
        <v/>
      </c>
      <c r="U43" s="53" t="str">
        <f>IF(AND('Mapa final'!$AA$54="Baja",'Mapa final'!$AC$54="Menor"),CONCATENATE("R8C",'Mapa final'!$Q$54),"")</f>
        <v/>
      </c>
      <c r="V43" s="51" t="str">
        <f>IF(AND('Mapa final'!$AA$49="Baja",'Mapa final'!$AC$49="Moderado"),CONCATENATE("R8C",'Mapa final'!$Q$49),"")</f>
        <v/>
      </c>
      <c r="W43" s="52" t="str">
        <f>IF(AND('Mapa final'!$AA$50="Baja",'Mapa final'!$AC$50="Moderado"),CONCATENATE("R8C",'Mapa final'!$Q$50),"")</f>
        <v/>
      </c>
      <c r="X43" s="52" t="str">
        <f>IF(AND('Mapa final'!$AA$51="Baja",'Mapa final'!$AC$51="Moderado"),CONCATENATE("R8C",'Mapa final'!$Q$51),"")</f>
        <v/>
      </c>
      <c r="Y43" s="52" t="str">
        <f>IF(AND('Mapa final'!$AA$52="Baja",'Mapa final'!$AC$52="Moderado"),CONCATENATE("R8C",'Mapa final'!$Q$52),"")</f>
        <v/>
      </c>
      <c r="Z43" s="52" t="str">
        <f>IF(AND('Mapa final'!$AA$53="Baja",'Mapa final'!$AC$53="Moderado"),CONCATENATE("R8C",'Mapa final'!$Q$53),"")</f>
        <v/>
      </c>
      <c r="AA43" s="53" t="str">
        <f>IF(AND('Mapa final'!$AA$54="Baja",'Mapa final'!$AC$54="Moderado"),CONCATENATE("R8C",'Mapa final'!$Q$54),"")</f>
        <v/>
      </c>
      <c r="AB43" s="36" t="str">
        <f>IF(AND('Mapa final'!$AA$49="Baja",'Mapa final'!$AC$49="Mayor"),CONCATENATE("R8C",'Mapa final'!$Q$49),"")</f>
        <v/>
      </c>
      <c r="AC43" s="37" t="str">
        <f>IF(AND('Mapa final'!$AA$50="Baja",'Mapa final'!$AC$50="Mayor"),CONCATENATE("R8C",'Mapa final'!$Q$50),"")</f>
        <v/>
      </c>
      <c r="AD43" s="37" t="str">
        <f>IF(AND('Mapa final'!$AA$51="Baja",'Mapa final'!$AC$51="Mayor"),CONCATENATE("R8C",'Mapa final'!$Q$51),"")</f>
        <v/>
      </c>
      <c r="AE43" s="37" t="str">
        <f>IF(AND('Mapa final'!$AA$52="Baja",'Mapa final'!$AC$52="Mayor"),CONCATENATE("R8C",'Mapa final'!$Q$52),"")</f>
        <v/>
      </c>
      <c r="AF43" s="37" t="str">
        <f>IF(AND('Mapa final'!$AA$53="Baja",'Mapa final'!$AC$53="Mayor"),CONCATENATE("R8C",'Mapa final'!$Q$53),"")</f>
        <v/>
      </c>
      <c r="AG43" s="38" t="str">
        <f>IF(AND('Mapa final'!$AA$54="Baja",'Mapa final'!$AC$54="Mayor"),CONCATENATE("R8C",'Mapa final'!$Q$54),"")</f>
        <v/>
      </c>
      <c r="AH43" s="39" t="str">
        <f>IF(AND('Mapa final'!$AA$49="Baja",'Mapa final'!$AC$49="Catastrófico"),CONCATENATE("R8C",'Mapa final'!$Q$49),"")</f>
        <v/>
      </c>
      <c r="AI43" s="40" t="str">
        <f>IF(AND('Mapa final'!$AA$50="Baja",'Mapa final'!$AC$50="Catastrófico"),CONCATENATE("R8C",'Mapa final'!$Q$50),"")</f>
        <v/>
      </c>
      <c r="AJ43" s="40" t="str">
        <f>IF(AND('Mapa final'!$AA$51="Baja",'Mapa final'!$AC$51="Catastrófico"),CONCATENATE("R8C",'Mapa final'!$Q$51),"")</f>
        <v/>
      </c>
      <c r="AK43" s="40" t="str">
        <f>IF(AND('Mapa final'!$AA$52="Baja",'Mapa final'!$AC$52="Catastrófico"),CONCATENATE("R8C",'Mapa final'!$Q$52),"")</f>
        <v/>
      </c>
      <c r="AL43" s="40" t="str">
        <f>IF(AND('Mapa final'!$AA$53="Baja",'Mapa final'!$AC$53="Catastrófico"),CONCATENATE("R8C",'Mapa final'!$Q$53),"")</f>
        <v/>
      </c>
      <c r="AM43" s="41" t="str">
        <f>IF(AND('Mapa final'!$AA$54="Baja",'Mapa final'!$AC$54="Catastrófico"),CONCATENATE("R8C",'Mapa final'!$Q$54),"")</f>
        <v/>
      </c>
      <c r="AN43" s="67"/>
      <c r="AO43" s="398"/>
      <c r="AP43" s="399"/>
      <c r="AQ43" s="399"/>
      <c r="AR43" s="399"/>
      <c r="AS43" s="399"/>
      <c r="AT43" s="400"/>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326"/>
      <c r="C44" s="326"/>
      <c r="D44" s="327"/>
      <c r="E44" s="367"/>
      <c r="F44" s="368"/>
      <c r="G44" s="368"/>
      <c r="H44" s="368"/>
      <c r="I44" s="368"/>
      <c r="J44" s="60" t="str">
        <f>IF(AND('Mapa final'!$AA$55="Baja",'Mapa final'!$AC$55="Leve"),CONCATENATE("R9C",'Mapa final'!$Q$55),"")</f>
        <v/>
      </c>
      <c r="K44" s="61" t="str">
        <f>IF(AND('Mapa final'!$AA$56="Baja",'Mapa final'!$AC$56="Leve"),CONCATENATE("R9C",'Mapa final'!$Q$56),"")</f>
        <v/>
      </c>
      <c r="L44" s="61" t="str">
        <f>IF(AND('Mapa final'!$AA$57="Baja",'Mapa final'!$AC$57="Leve"),CONCATENATE("R9C",'Mapa final'!$Q$57),"")</f>
        <v/>
      </c>
      <c r="M44" s="61" t="str">
        <f>IF(AND('Mapa final'!$AA$58="Baja",'Mapa final'!$AC$58="Leve"),CONCATENATE("R9C",'Mapa final'!$Q$58),"")</f>
        <v/>
      </c>
      <c r="N44" s="61" t="str">
        <f>IF(AND('Mapa final'!$AA$59="Baja",'Mapa final'!$AC$59="Leve"),CONCATENATE("R9C",'Mapa final'!$Q$59),"")</f>
        <v/>
      </c>
      <c r="O44" s="62" t="str">
        <f>IF(AND('Mapa final'!$AA$60="Baja",'Mapa final'!$AC$60="Leve"),CONCATENATE("R9C",'Mapa final'!$Q$60),"")</f>
        <v/>
      </c>
      <c r="P44" s="51" t="str">
        <f>IF(AND('Mapa final'!$AA$55="Baja",'Mapa final'!$AC$55="Menor"),CONCATENATE("R9C",'Mapa final'!$Q$55),"")</f>
        <v/>
      </c>
      <c r="Q44" s="52" t="str">
        <f>IF(AND('Mapa final'!$AA$56="Baja",'Mapa final'!$AC$56="Menor"),CONCATENATE("R9C",'Mapa final'!$Q$56),"")</f>
        <v/>
      </c>
      <c r="R44" s="52" t="str">
        <f>IF(AND('Mapa final'!$AA$57="Baja",'Mapa final'!$AC$57="Menor"),CONCATENATE("R9C",'Mapa final'!$Q$57),"")</f>
        <v/>
      </c>
      <c r="S44" s="52" t="str">
        <f>IF(AND('Mapa final'!$AA$58="Baja",'Mapa final'!$AC$58="Menor"),CONCATENATE("R9C",'Mapa final'!$Q$58),"")</f>
        <v/>
      </c>
      <c r="T44" s="52" t="str">
        <f>IF(AND('Mapa final'!$AA$59="Baja",'Mapa final'!$AC$59="Menor"),CONCATENATE("R9C",'Mapa final'!$Q$59),"")</f>
        <v/>
      </c>
      <c r="U44" s="53" t="str">
        <f>IF(AND('Mapa final'!$AA$60="Baja",'Mapa final'!$AC$60="Menor"),CONCATENATE("R9C",'Mapa final'!$Q$60),"")</f>
        <v/>
      </c>
      <c r="V44" s="51" t="str">
        <f>IF(AND('Mapa final'!$AA$55="Baja",'Mapa final'!$AC$55="Moderado"),CONCATENATE("R9C",'Mapa final'!$Q$55),"")</f>
        <v/>
      </c>
      <c r="W44" s="52" t="str">
        <f>IF(AND('Mapa final'!$AA$56="Baja",'Mapa final'!$AC$56="Moderado"),CONCATENATE("R9C",'Mapa final'!$Q$56),"")</f>
        <v/>
      </c>
      <c r="X44" s="52" t="str">
        <f>IF(AND('Mapa final'!$AA$57="Baja",'Mapa final'!$AC$57="Moderado"),CONCATENATE("R9C",'Mapa final'!$Q$57),"")</f>
        <v/>
      </c>
      <c r="Y44" s="52" t="str">
        <f>IF(AND('Mapa final'!$AA$58="Baja",'Mapa final'!$AC$58="Moderado"),CONCATENATE("R9C",'Mapa final'!$Q$58),"")</f>
        <v/>
      </c>
      <c r="Z44" s="52" t="str">
        <f>IF(AND('Mapa final'!$AA$59="Baja",'Mapa final'!$AC$59="Moderado"),CONCATENATE("R9C",'Mapa final'!$Q$59),"")</f>
        <v/>
      </c>
      <c r="AA44" s="53" t="str">
        <f>IF(AND('Mapa final'!$AA$60="Baja",'Mapa final'!$AC$60="Moderado"),CONCATENATE("R9C",'Mapa final'!$Q$60),"")</f>
        <v/>
      </c>
      <c r="AB44" s="36" t="str">
        <f>IF(AND('Mapa final'!$AA$55="Baja",'Mapa final'!$AC$55="Mayor"),CONCATENATE("R9C",'Mapa final'!$Q$55),"")</f>
        <v/>
      </c>
      <c r="AC44" s="37" t="str">
        <f>IF(AND('Mapa final'!$AA$56="Baja",'Mapa final'!$AC$56="Mayor"),CONCATENATE("R9C",'Mapa final'!$Q$56),"")</f>
        <v/>
      </c>
      <c r="AD44" s="37" t="str">
        <f>IF(AND('Mapa final'!$AA$57="Baja",'Mapa final'!$AC$57="Mayor"),CONCATENATE("R9C",'Mapa final'!$Q$57),"")</f>
        <v/>
      </c>
      <c r="AE44" s="37" t="str">
        <f>IF(AND('Mapa final'!$AA$58="Baja",'Mapa final'!$AC$58="Mayor"),CONCATENATE("R9C",'Mapa final'!$Q$58),"")</f>
        <v/>
      </c>
      <c r="AF44" s="37" t="str">
        <f>IF(AND('Mapa final'!$AA$59="Baja",'Mapa final'!$AC$59="Mayor"),CONCATENATE("R9C",'Mapa final'!$Q$59),"")</f>
        <v/>
      </c>
      <c r="AG44" s="38" t="str">
        <f>IF(AND('Mapa final'!$AA$60="Baja",'Mapa final'!$AC$60="Mayor"),CONCATENATE("R9C",'Mapa final'!$Q$60),"")</f>
        <v/>
      </c>
      <c r="AH44" s="39" t="str">
        <f>IF(AND('Mapa final'!$AA$55="Baja",'Mapa final'!$AC$55="Catastrófico"),CONCATENATE("R9C",'Mapa final'!$Q$55),"")</f>
        <v/>
      </c>
      <c r="AI44" s="40" t="str">
        <f>IF(AND('Mapa final'!$AA$56="Baja",'Mapa final'!$AC$56="Catastrófico"),CONCATENATE("R9C",'Mapa final'!$Q$56),"")</f>
        <v/>
      </c>
      <c r="AJ44" s="40" t="str">
        <f>IF(AND('Mapa final'!$AA$57="Baja",'Mapa final'!$AC$57="Catastrófico"),CONCATENATE("R9C",'Mapa final'!$Q$57),"")</f>
        <v/>
      </c>
      <c r="AK44" s="40" t="str">
        <f>IF(AND('Mapa final'!$AA$58="Baja",'Mapa final'!$AC$58="Catastrófico"),CONCATENATE("R9C",'Mapa final'!$Q$58),"")</f>
        <v/>
      </c>
      <c r="AL44" s="40" t="str">
        <f>IF(AND('Mapa final'!$AA$59="Baja",'Mapa final'!$AC$59="Catastrófico"),CONCATENATE("R9C",'Mapa final'!$Q$59),"")</f>
        <v/>
      </c>
      <c r="AM44" s="41" t="str">
        <f>IF(AND('Mapa final'!$AA$60="Baja",'Mapa final'!$AC$60="Catastrófico"),CONCATENATE("R9C",'Mapa final'!$Q$60),"")</f>
        <v/>
      </c>
      <c r="AN44" s="67"/>
      <c r="AO44" s="398"/>
      <c r="AP44" s="399"/>
      <c r="AQ44" s="399"/>
      <c r="AR44" s="399"/>
      <c r="AS44" s="399"/>
      <c r="AT44" s="400"/>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326"/>
      <c r="C45" s="326"/>
      <c r="D45" s="327"/>
      <c r="E45" s="370"/>
      <c r="F45" s="371"/>
      <c r="G45" s="371"/>
      <c r="H45" s="371"/>
      <c r="I45" s="371"/>
      <c r="J45" s="63" t="str">
        <f>IF(AND('Mapa final'!$AA$61="Baja",'Mapa final'!$AC$61="Leve"),CONCATENATE("R10C",'Mapa final'!$Q$61),"")</f>
        <v/>
      </c>
      <c r="K45" s="64" t="str">
        <f>IF(AND('Mapa final'!$AA$62="Baja",'Mapa final'!$AC$62="Leve"),CONCATENATE("R10C",'Mapa final'!$Q$62),"")</f>
        <v/>
      </c>
      <c r="L45" s="64" t="str">
        <f>IF(AND('Mapa final'!$AA$63="Baja",'Mapa final'!$AC$63="Leve"),CONCATENATE("R10C",'Mapa final'!$Q$63),"")</f>
        <v/>
      </c>
      <c r="M45" s="64" t="str">
        <f>IF(AND('Mapa final'!$AA$64="Baja",'Mapa final'!$AC$64="Leve"),CONCATENATE("R10C",'Mapa final'!$Q$64),"")</f>
        <v/>
      </c>
      <c r="N45" s="64" t="str">
        <f>IF(AND('Mapa final'!$AA$65="Baja",'Mapa final'!$AC$65="Leve"),CONCATENATE("R10C",'Mapa final'!$Q$65),"")</f>
        <v/>
      </c>
      <c r="O45" s="65" t="str">
        <f>IF(AND('Mapa final'!$AA$66="Baja",'Mapa final'!$AC$66="Leve"),CONCATENATE("R10C",'Mapa final'!$Q$66),"")</f>
        <v/>
      </c>
      <c r="P45" s="51" t="str">
        <f>IF(AND('Mapa final'!$AA$61="Baja",'Mapa final'!$AC$61="Menor"),CONCATENATE("R10C",'Mapa final'!$Q$61),"")</f>
        <v/>
      </c>
      <c r="Q45" s="52" t="str">
        <f>IF(AND('Mapa final'!$AA$62="Baja",'Mapa final'!$AC$62="Menor"),CONCATENATE("R10C",'Mapa final'!$Q$62),"")</f>
        <v/>
      </c>
      <c r="R45" s="52" t="str">
        <f>IF(AND('Mapa final'!$AA$63="Baja",'Mapa final'!$AC$63="Menor"),CONCATENATE("R10C",'Mapa final'!$Q$63),"")</f>
        <v/>
      </c>
      <c r="S45" s="52" t="str">
        <f>IF(AND('Mapa final'!$AA$64="Baja",'Mapa final'!$AC$64="Menor"),CONCATENATE("R10C",'Mapa final'!$Q$64),"")</f>
        <v/>
      </c>
      <c r="T45" s="52" t="str">
        <f>IF(AND('Mapa final'!$AA$65="Baja",'Mapa final'!$AC$65="Menor"),CONCATENATE("R10C",'Mapa final'!$Q$65),"")</f>
        <v/>
      </c>
      <c r="U45" s="53" t="str">
        <f>IF(AND('Mapa final'!$AA$66="Baja",'Mapa final'!$AC$66="Menor"),CONCATENATE("R10C",'Mapa final'!$Q$66),"")</f>
        <v/>
      </c>
      <c r="V45" s="54" t="str">
        <f>IF(AND('Mapa final'!$AA$61="Baja",'Mapa final'!$AC$61="Moderado"),CONCATENATE("R10C",'Mapa final'!$Q$61),"")</f>
        <v/>
      </c>
      <c r="W45" s="55" t="str">
        <f>IF(AND('Mapa final'!$AA$62="Baja",'Mapa final'!$AC$62="Moderado"),CONCATENATE("R10C",'Mapa final'!$Q$62),"")</f>
        <v/>
      </c>
      <c r="X45" s="55" t="str">
        <f>IF(AND('Mapa final'!$AA$63="Baja",'Mapa final'!$AC$63="Moderado"),CONCATENATE("R10C",'Mapa final'!$Q$63),"")</f>
        <v/>
      </c>
      <c r="Y45" s="55" t="str">
        <f>IF(AND('Mapa final'!$AA$64="Baja",'Mapa final'!$AC$64="Moderado"),CONCATENATE("R10C",'Mapa final'!$Q$64),"")</f>
        <v/>
      </c>
      <c r="Z45" s="55" t="str">
        <f>IF(AND('Mapa final'!$AA$65="Baja",'Mapa final'!$AC$65="Moderado"),CONCATENATE("R10C",'Mapa final'!$Q$65),"")</f>
        <v/>
      </c>
      <c r="AA45" s="56" t="str">
        <f>IF(AND('Mapa final'!$AA$66="Baja",'Mapa final'!$AC$66="Moderado"),CONCATENATE("R10C",'Mapa final'!$Q$66),"")</f>
        <v/>
      </c>
      <c r="AB45" s="42" t="str">
        <f>IF(AND('Mapa final'!$AA$61="Baja",'Mapa final'!$AC$61="Mayor"),CONCATENATE("R10C",'Mapa final'!$Q$61),"")</f>
        <v/>
      </c>
      <c r="AC45" s="43" t="str">
        <f>IF(AND('Mapa final'!$AA$62="Baja",'Mapa final'!$AC$62="Mayor"),CONCATENATE("R10C",'Mapa final'!$Q$62),"")</f>
        <v/>
      </c>
      <c r="AD45" s="43" t="str">
        <f>IF(AND('Mapa final'!$AA$63="Baja",'Mapa final'!$AC$63="Mayor"),CONCATENATE("R10C",'Mapa final'!$Q$63),"")</f>
        <v/>
      </c>
      <c r="AE45" s="43" t="str">
        <f>IF(AND('Mapa final'!$AA$64="Baja",'Mapa final'!$AC$64="Mayor"),CONCATENATE("R10C",'Mapa final'!$Q$64),"")</f>
        <v/>
      </c>
      <c r="AF45" s="43" t="str">
        <f>IF(AND('Mapa final'!$AA$65="Baja",'Mapa final'!$AC$65="Mayor"),CONCATENATE("R10C",'Mapa final'!$Q$65),"")</f>
        <v/>
      </c>
      <c r="AG45" s="44" t="str">
        <f>IF(AND('Mapa final'!$AA$66="Baja",'Mapa final'!$AC$66="Mayor"),CONCATENATE("R10C",'Mapa final'!$Q$66),"")</f>
        <v/>
      </c>
      <c r="AH45" s="45" t="str">
        <f>IF(AND('Mapa final'!$AA$61="Baja",'Mapa final'!$AC$61="Catastrófico"),CONCATENATE("R10C",'Mapa final'!$Q$61),"")</f>
        <v/>
      </c>
      <c r="AI45" s="46" t="str">
        <f>IF(AND('Mapa final'!$AA$62="Baja",'Mapa final'!$AC$62="Catastrófico"),CONCATENATE("R10C",'Mapa final'!$Q$62),"")</f>
        <v/>
      </c>
      <c r="AJ45" s="46" t="str">
        <f>IF(AND('Mapa final'!$AA$63="Baja",'Mapa final'!$AC$63="Catastrófico"),CONCATENATE("R10C",'Mapa final'!$Q$63),"")</f>
        <v/>
      </c>
      <c r="AK45" s="46" t="str">
        <f>IF(AND('Mapa final'!$AA$64="Baja",'Mapa final'!$AC$64="Catastrófico"),CONCATENATE("R10C",'Mapa final'!$Q$64),"")</f>
        <v/>
      </c>
      <c r="AL45" s="46" t="str">
        <f>IF(AND('Mapa final'!$AA$65="Baja",'Mapa final'!$AC$65="Catastrófico"),CONCATENATE("R10C",'Mapa final'!$Q$65),"")</f>
        <v/>
      </c>
      <c r="AM45" s="47" t="str">
        <f>IF(AND('Mapa final'!$AA$66="Baja",'Mapa final'!$AC$66="Catastrófico"),CONCATENATE("R10C",'Mapa final'!$Q$66),"")</f>
        <v/>
      </c>
      <c r="AN45" s="67"/>
      <c r="AO45" s="401"/>
      <c r="AP45" s="402"/>
      <c r="AQ45" s="402"/>
      <c r="AR45" s="402"/>
      <c r="AS45" s="402"/>
      <c r="AT45" s="403"/>
    </row>
    <row r="46" spans="1:80" ht="46.5" customHeight="1" x14ac:dyDescent="0.45">
      <c r="A46" s="67"/>
      <c r="B46" s="326"/>
      <c r="C46" s="326"/>
      <c r="D46" s="327"/>
      <c r="E46" s="364" t="s">
        <v>108</v>
      </c>
      <c r="F46" s="365"/>
      <c r="G46" s="365"/>
      <c r="H46" s="365"/>
      <c r="I46" s="366"/>
      <c r="J46" s="57" t="str">
        <f>IF(AND('Mapa final'!$AA$10="Muy Baja",'Mapa final'!$AC$10="Leve"),CONCATENATE("R1C",'Mapa final'!$Q$10),"")</f>
        <v/>
      </c>
      <c r="K46" s="58" t="str">
        <f>IF(AND('Mapa final'!$AA$11="Muy Baja",'Mapa final'!$AC$11="Leve"),CONCATENATE("R1C",'Mapa final'!$Q$11),"")</f>
        <v/>
      </c>
      <c r="L46" s="58" t="str">
        <f>IF(AND('Mapa final'!$AA$12="Muy Baja",'Mapa final'!$AC$12="Leve"),CONCATENATE("R1C",'Mapa final'!$Q$12),"")</f>
        <v/>
      </c>
      <c r="M46" s="58" t="e">
        <f>IF(AND('Mapa final'!#REF!="Muy Baja",'Mapa final'!#REF!="Leve"),CONCATENATE("R1C",'Mapa final'!#REF!),"")</f>
        <v>#REF!</v>
      </c>
      <c r="N46" s="58" t="e">
        <f>IF(AND('Mapa final'!#REF!="Muy Baja",'Mapa final'!#REF!="Leve"),CONCATENATE("R1C",'Mapa final'!#REF!),"")</f>
        <v>#REF!</v>
      </c>
      <c r="O46" s="59" t="e">
        <f>IF(AND('Mapa final'!#REF!="Muy Baja",'Mapa final'!#REF!="Leve"),CONCATENATE("R1C",'Mapa final'!#REF!),"")</f>
        <v>#REF!</v>
      </c>
      <c r="P46" s="57" t="str">
        <f>IF(AND('Mapa final'!$AA$10="Muy Baja",'Mapa final'!$AC$10="Menor"),CONCATENATE("R1C",'Mapa final'!$Q$10),"")</f>
        <v/>
      </c>
      <c r="Q46" s="58" t="str">
        <f>IF(AND('Mapa final'!$AA$11="Muy Baja",'Mapa final'!$AC$11="Menor"),CONCATENATE("R1C",'Mapa final'!$Q$11),"")</f>
        <v/>
      </c>
      <c r="R46" s="58" t="str">
        <f>IF(AND('Mapa final'!$AA$12="Muy Baja",'Mapa final'!$AC$12="Menor"),CONCATENATE("R1C",'Mapa final'!$Q$12),"")</f>
        <v/>
      </c>
      <c r="S46" s="58" t="e">
        <f>IF(AND('Mapa final'!#REF!="Muy Baja",'Mapa final'!#REF!="Menor"),CONCATENATE("R1C",'Mapa final'!#REF!),"")</f>
        <v>#REF!</v>
      </c>
      <c r="T46" s="58" t="e">
        <f>IF(AND('Mapa final'!#REF!="Muy Baja",'Mapa final'!#REF!="Menor"),CONCATENATE("R1C",'Mapa final'!#REF!),"")</f>
        <v>#REF!</v>
      </c>
      <c r="U46" s="59" t="e">
        <f>IF(AND('Mapa final'!#REF!="Muy Baja",'Mapa final'!#REF!="Menor"),CONCATENATE("R1C",'Mapa final'!#REF!),"")</f>
        <v>#REF!</v>
      </c>
      <c r="V46" s="48" t="str">
        <f>IF(AND('Mapa final'!$AA$10="Muy Baja",'Mapa final'!$AC$10="Moderado"),CONCATENATE("R1C",'Mapa final'!$Q$10),"")</f>
        <v/>
      </c>
      <c r="W46" s="66" t="str">
        <f>IF(AND('Mapa final'!$AA$11="Muy Baja",'Mapa final'!$AC$11="Moderado"),CONCATENATE("R1C",'Mapa final'!$Q$11),"")</f>
        <v/>
      </c>
      <c r="X46" s="49" t="str">
        <f>IF(AND('Mapa final'!$AA$12="Muy Baja",'Mapa final'!$AC$12="Moderado"),CONCATENATE("R1C",'Mapa final'!$Q$12),"")</f>
        <v/>
      </c>
      <c r="Y46" s="49" t="e">
        <f>IF(AND('Mapa final'!#REF!="Muy Baja",'Mapa final'!#REF!="Moderado"),CONCATENATE("R1C",'Mapa final'!#REF!),"")</f>
        <v>#REF!</v>
      </c>
      <c r="Z46" s="49" t="e">
        <f>IF(AND('Mapa final'!#REF!="Muy Baja",'Mapa final'!#REF!="Moderado"),CONCATENATE("R1C",'Mapa final'!#REF!),"")</f>
        <v>#REF!</v>
      </c>
      <c r="AA46" s="50" t="e">
        <f>IF(AND('Mapa final'!#REF!="Muy Baja",'Mapa final'!#REF!="Moderado"),CONCATENATE("R1C",'Mapa final'!#REF!),"")</f>
        <v>#REF!</v>
      </c>
      <c r="AB46" s="30" t="str">
        <f>IF(AND('Mapa final'!$AA$10="Muy Baja",'Mapa final'!$AC$10="Mayor"),CONCATENATE("R1C",'Mapa final'!$Q$10),"")</f>
        <v/>
      </c>
      <c r="AC46" s="31" t="str">
        <f>IF(AND('Mapa final'!$AA$11="Muy Baja",'Mapa final'!$AC$11="Mayor"),CONCATENATE("R1C",'Mapa final'!$Q$11),"")</f>
        <v/>
      </c>
      <c r="AD46" s="31" t="str">
        <f>IF(AND('Mapa final'!$AA$12="Muy Baja",'Mapa final'!$AC$12="Mayor"),CONCATENATE("R1C",'Mapa final'!$Q$12),"")</f>
        <v/>
      </c>
      <c r="AE46" s="31" t="e">
        <f>IF(AND('Mapa final'!#REF!="Muy Baja",'Mapa final'!#REF!="Mayor"),CONCATENATE("R1C",'Mapa final'!#REF!),"")</f>
        <v>#REF!</v>
      </c>
      <c r="AF46" s="31" t="e">
        <f>IF(AND('Mapa final'!#REF!="Muy Baja",'Mapa final'!#REF!="Mayor"),CONCATENATE("R1C",'Mapa final'!#REF!),"")</f>
        <v>#REF!</v>
      </c>
      <c r="AG46" s="32" t="e">
        <f>IF(AND('Mapa final'!#REF!="Muy Baja",'Mapa final'!#REF!="Mayor"),CONCATENATE("R1C",'Mapa final'!#REF!),"")</f>
        <v>#REF!</v>
      </c>
      <c r="AH46" s="33" t="str">
        <f>IF(AND('Mapa final'!$AA$10="Muy Baja",'Mapa final'!$AC$10="Catastrófico"),CONCATENATE("R1C",'Mapa final'!$Q$10),"")</f>
        <v/>
      </c>
      <c r="AI46" s="34" t="str">
        <f>IF(AND('Mapa final'!$AA$11="Muy Baja",'Mapa final'!$AC$11="Catastrófico"),CONCATENATE("R1C",'Mapa final'!$Q$11),"")</f>
        <v/>
      </c>
      <c r="AJ46" s="34" t="str">
        <f>IF(AND('Mapa final'!$AA$12="Muy Baja",'Mapa final'!$AC$12="Catastrófico"),CONCATENATE("R1C",'Mapa final'!$Q$12),"")</f>
        <v/>
      </c>
      <c r="AK46" s="34" t="e">
        <f>IF(AND('Mapa final'!#REF!="Muy Baja",'Mapa final'!#REF!="Catastrófico"),CONCATENATE("R1C",'Mapa final'!#REF!),"")</f>
        <v>#REF!</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326"/>
      <c r="C47" s="326"/>
      <c r="D47" s="327"/>
      <c r="E47" s="383"/>
      <c r="F47" s="368"/>
      <c r="G47" s="368"/>
      <c r="H47" s="368"/>
      <c r="I47" s="369"/>
      <c r="J47" s="60" t="str">
        <f>IF(AND('Mapa final'!$AA$13="Muy Baja",'Mapa final'!$AC$13="Leve"),CONCATENATE("R2C",'Mapa final'!$Q$13),"")</f>
        <v/>
      </c>
      <c r="K47" s="61" t="str">
        <f>IF(AND('Mapa final'!$AA$14="Muy Baja",'Mapa final'!$AC$14="Leve"),CONCATENATE("R2C",'Mapa final'!$Q$14),"")</f>
        <v/>
      </c>
      <c r="L47" s="61" t="str">
        <f>IF(AND('Mapa final'!$AA$15="Muy Baja",'Mapa final'!$AC$15="Leve"),CONCATENATE("R2C",'Mapa final'!$Q$15),"")</f>
        <v/>
      </c>
      <c r="M47" s="61" t="str">
        <f>IF(AND('Mapa final'!$AA$16="Muy Baja",'Mapa final'!$AC$16="Leve"),CONCATENATE("R2C",'Mapa final'!$Q$16),"")</f>
        <v/>
      </c>
      <c r="N47" s="61" t="str">
        <f>IF(AND('Mapa final'!$AA$17="Muy Baja",'Mapa final'!$AC$17="Leve"),CONCATENATE("R2C",'Mapa final'!$Q$17),"")</f>
        <v/>
      </c>
      <c r="O47" s="62" t="str">
        <f>IF(AND('Mapa final'!$AA$18="Muy Baja",'Mapa final'!$AC$18="Leve"),CONCATENATE("R2C",'Mapa final'!$Q$18),"")</f>
        <v/>
      </c>
      <c r="P47" s="60" t="str">
        <f>IF(AND('Mapa final'!$AA$13="Muy Baja",'Mapa final'!$AC$13="Menor"),CONCATENATE("R2C",'Mapa final'!$Q$13),"")</f>
        <v/>
      </c>
      <c r="Q47" s="61" t="str">
        <f>IF(AND('Mapa final'!$AA$14="Muy Baja",'Mapa final'!$AC$14="Menor"),CONCATENATE("R2C",'Mapa final'!$Q$14),"")</f>
        <v/>
      </c>
      <c r="R47" s="61" t="str">
        <f>IF(AND('Mapa final'!$AA$15="Muy Baja",'Mapa final'!$AC$15="Menor"),CONCATENATE("R2C",'Mapa final'!$Q$15),"")</f>
        <v/>
      </c>
      <c r="S47" s="61" t="str">
        <f>IF(AND('Mapa final'!$AA$16="Muy Baja",'Mapa final'!$AC$16="Menor"),CONCATENATE("R2C",'Mapa final'!$Q$16),"")</f>
        <v/>
      </c>
      <c r="T47" s="61" t="str">
        <f>IF(AND('Mapa final'!$AA$17="Muy Baja",'Mapa final'!$AC$17="Menor"),CONCATENATE("R2C",'Mapa final'!$Q$17),"")</f>
        <v/>
      </c>
      <c r="U47" s="62" t="str">
        <f>IF(AND('Mapa final'!$AA$18="Muy Baja",'Mapa final'!$AC$18="Menor"),CONCATENATE("R2C",'Mapa final'!$Q$18),"")</f>
        <v/>
      </c>
      <c r="V47" s="51" t="str">
        <f>IF(AND('Mapa final'!$AA$13="Muy Baja",'Mapa final'!$AC$13="Moderado"),CONCATENATE("R2C",'Mapa final'!$Q$13),"")</f>
        <v/>
      </c>
      <c r="W47" s="52" t="str">
        <f>IF(AND('Mapa final'!$AA$14="Muy Baja",'Mapa final'!$AC$14="Moderado"),CONCATENATE("R2C",'Mapa final'!$Q$14),"")</f>
        <v/>
      </c>
      <c r="X47" s="52" t="str">
        <f>IF(AND('Mapa final'!$AA$15="Muy Baja",'Mapa final'!$AC$15="Moderado"),CONCATENATE("R2C",'Mapa final'!$Q$15),"")</f>
        <v/>
      </c>
      <c r="Y47" s="52" t="str">
        <f>IF(AND('Mapa final'!$AA$16="Muy Baja",'Mapa final'!$AC$16="Moderado"),CONCATENATE("R2C",'Mapa final'!$Q$16),"")</f>
        <v/>
      </c>
      <c r="Z47" s="52" t="str">
        <f>IF(AND('Mapa final'!$AA$17="Muy Baja",'Mapa final'!$AC$17="Moderado"),CONCATENATE("R2C",'Mapa final'!$Q$17),"")</f>
        <v/>
      </c>
      <c r="AA47" s="53" t="str">
        <f>IF(AND('Mapa final'!$AA$18="Muy Baja",'Mapa final'!$AC$18="Moderado"),CONCATENATE("R2C",'Mapa final'!$Q$18),"")</f>
        <v/>
      </c>
      <c r="AB47" s="36" t="str">
        <f>IF(AND('Mapa final'!$AA$13="Muy Baja",'Mapa final'!$AC$13="Mayor"),CONCATENATE("R2C",'Mapa final'!$Q$13),"")</f>
        <v/>
      </c>
      <c r="AC47" s="37" t="str">
        <f>IF(AND('Mapa final'!$AA$14="Muy Baja",'Mapa final'!$AC$14="Mayor"),CONCATENATE("R2C",'Mapa final'!$Q$14),"")</f>
        <v/>
      </c>
      <c r="AD47" s="37" t="str">
        <f>IF(AND('Mapa final'!$AA$15="Muy Baja",'Mapa final'!$AC$15="Mayor"),CONCATENATE("R2C",'Mapa final'!$Q$15),"")</f>
        <v/>
      </c>
      <c r="AE47" s="37" t="str">
        <f>IF(AND('Mapa final'!$AA$16="Muy Baja",'Mapa final'!$AC$16="Mayor"),CONCATENATE("R2C",'Mapa final'!$Q$16),"")</f>
        <v/>
      </c>
      <c r="AF47" s="37" t="str">
        <f>IF(AND('Mapa final'!$AA$17="Muy Baja",'Mapa final'!$AC$17="Mayor"),CONCATENATE("R2C",'Mapa final'!$Q$17),"")</f>
        <v/>
      </c>
      <c r="AG47" s="38" t="str">
        <f>IF(AND('Mapa final'!$AA$18="Muy Baja",'Mapa final'!$AC$18="Mayor"),CONCATENATE("R2C",'Mapa final'!$Q$18),"")</f>
        <v/>
      </c>
      <c r="AH47" s="39" t="str">
        <f>IF(AND('Mapa final'!$AA$13="Muy Baja",'Mapa final'!$AC$13="Catastrófico"),CONCATENATE("R2C",'Mapa final'!$Q$13),"")</f>
        <v/>
      </c>
      <c r="AI47" s="40" t="str">
        <f>IF(AND('Mapa final'!$AA$14="Muy Baja",'Mapa final'!$AC$14="Catastrófico"),CONCATENATE("R2C",'Mapa final'!$Q$14),"")</f>
        <v/>
      </c>
      <c r="AJ47" s="40" t="str">
        <f>IF(AND('Mapa final'!$AA$15="Muy Baja",'Mapa final'!$AC$15="Catastrófico"),CONCATENATE("R2C",'Mapa final'!$Q$15),"")</f>
        <v/>
      </c>
      <c r="AK47" s="40" t="str">
        <f>IF(AND('Mapa final'!$AA$16="Muy Baja",'Mapa final'!$AC$16="Catastrófico"),CONCATENATE("R2C",'Mapa final'!$Q$16),"")</f>
        <v/>
      </c>
      <c r="AL47" s="40" t="str">
        <f>IF(AND('Mapa final'!$AA$17="Muy Baja",'Mapa final'!$AC$17="Catastrófico"),CONCATENATE("R2C",'Mapa final'!$Q$17),"")</f>
        <v/>
      </c>
      <c r="AM47" s="41" t="str">
        <f>IF(AND('Mapa final'!$AA$18="Muy Baja",'Mapa final'!$AC$18="Catastrófico"),CONCATENATE("R2C",'Mapa final'!$Q$18),"")</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326"/>
      <c r="C48" s="326"/>
      <c r="D48" s="327"/>
      <c r="E48" s="383"/>
      <c r="F48" s="368"/>
      <c r="G48" s="368"/>
      <c r="H48" s="368"/>
      <c r="I48" s="369"/>
      <c r="J48" s="60" t="str">
        <f>IF(AND('Mapa final'!$AA$19="Muy Baja",'Mapa final'!$AC$19="Leve"),CONCATENATE("R3C",'Mapa final'!$Q$19),"")</f>
        <v/>
      </c>
      <c r="K48" s="61" t="str">
        <f>IF(AND('Mapa final'!$AA$20="Muy Baja",'Mapa final'!$AC$20="Leve"),CONCATENATE("R3C",'Mapa final'!$Q$20),"")</f>
        <v/>
      </c>
      <c r="L48" s="61" t="str">
        <f>IF(AND('Mapa final'!$AA$21="Muy Baja",'Mapa final'!$AC$21="Leve"),CONCATENATE("R3C",'Mapa final'!$Q$21),"")</f>
        <v/>
      </c>
      <c r="M48" s="61" t="str">
        <f>IF(AND('Mapa final'!$AA$22="Muy Baja",'Mapa final'!$AC$22="Leve"),CONCATENATE("R3C",'Mapa final'!$Q$22),"")</f>
        <v/>
      </c>
      <c r="N48" s="61" t="str">
        <f>IF(AND('Mapa final'!$AA$23="Muy Baja",'Mapa final'!$AC$23="Leve"),CONCATENATE("R3C",'Mapa final'!$Q$23),"")</f>
        <v/>
      </c>
      <c r="O48" s="62" t="str">
        <f>IF(AND('Mapa final'!$AA$24="Muy Baja",'Mapa final'!$AC$24="Leve"),CONCATENATE("R3C",'Mapa final'!$Q$24),"")</f>
        <v/>
      </c>
      <c r="P48" s="60" t="str">
        <f>IF(AND('Mapa final'!$AA$19="Muy Baja",'Mapa final'!$AC$19="Menor"),CONCATENATE("R3C",'Mapa final'!$Q$19),"")</f>
        <v/>
      </c>
      <c r="Q48" s="61" t="str">
        <f>IF(AND('Mapa final'!$AA$20="Muy Baja",'Mapa final'!$AC$20="Menor"),CONCATENATE("R3C",'Mapa final'!$Q$20),"")</f>
        <v/>
      </c>
      <c r="R48" s="61" t="str">
        <f>IF(AND('Mapa final'!$AA$21="Muy Baja",'Mapa final'!$AC$21="Menor"),CONCATENATE("R3C",'Mapa final'!$Q$21),"")</f>
        <v/>
      </c>
      <c r="S48" s="61" t="str">
        <f>IF(AND('Mapa final'!$AA$22="Muy Baja",'Mapa final'!$AC$22="Menor"),CONCATENATE("R3C",'Mapa final'!$Q$22),"")</f>
        <v/>
      </c>
      <c r="T48" s="61" t="str">
        <f>IF(AND('Mapa final'!$AA$23="Muy Baja",'Mapa final'!$AC$23="Menor"),CONCATENATE("R3C",'Mapa final'!$Q$23),"")</f>
        <v/>
      </c>
      <c r="U48" s="62" t="str">
        <f>IF(AND('Mapa final'!$AA$24="Muy Baja",'Mapa final'!$AC$24="Menor"),CONCATENATE("R3C",'Mapa final'!$Q$24),"")</f>
        <v/>
      </c>
      <c r="V48" s="51" t="str">
        <f>IF(AND('Mapa final'!$AA$19="Muy Baja",'Mapa final'!$AC$19="Moderado"),CONCATENATE("R3C",'Mapa final'!$Q$19),"")</f>
        <v/>
      </c>
      <c r="W48" s="52" t="str">
        <f>IF(AND('Mapa final'!$AA$20="Muy Baja",'Mapa final'!$AC$20="Moderado"),CONCATENATE("R3C",'Mapa final'!$Q$20),"")</f>
        <v/>
      </c>
      <c r="X48" s="52" t="str">
        <f>IF(AND('Mapa final'!$AA$21="Muy Baja",'Mapa final'!$AC$21="Moderado"),CONCATENATE("R3C",'Mapa final'!$Q$21),"")</f>
        <v/>
      </c>
      <c r="Y48" s="52" t="str">
        <f>IF(AND('Mapa final'!$AA$22="Muy Baja",'Mapa final'!$AC$22="Moderado"),CONCATENATE("R3C",'Mapa final'!$Q$22),"")</f>
        <v/>
      </c>
      <c r="Z48" s="52" t="str">
        <f>IF(AND('Mapa final'!$AA$23="Muy Baja",'Mapa final'!$AC$23="Moderado"),CONCATENATE("R3C",'Mapa final'!$Q$23),"")</f>
        <v/>
      </c>
      <c r="AA48" s="53" t="str">
        <f>IF(AND('Mapa final'!$AA$24="Muy Baja",'Mapa final'!$AC$24="Moderado"),CONCATENATE("R3C",'Mapa final'!$Q$24),"")</f>
        <v/>
      </c>
      <c r="AB48" s="36" t="str">
        <f>IF(AND('Mapa final'!$AA$19="Muy Baja",'Mapa final'!$AC$19="Mayor"),CONCATENATE("R3C",'Mapa final'!$Q$19),"")</f>
        <v/>
      </c>
      <c r="AC48" s="37" t="str">
        <f>IF(AND('Mapa final'!$AA$20="Muy Baja",'Mapa final'!$AC$20="Mayor"),CONCATENATE("R3C",'Mapa final'!$Q$20),"")</f>
        <v/>
      </c>
      <c r="AD48" s="37" t="str">
        <f>IF(AND('Mapa final'!$AA$21="Muy Baja",'Mapa final'!$AC$21="Mayor"),CONCATENATE("R3C",'Mapa final'!$Q$21),"")</f>
        <v/>
      </c>
      <c r="AE48" s="37" t="str">
        <f>IF(AND('Mapa final'!$AA$22="Muy Baja",'Mapa final'!$AC$22="Mayor"),CONCATENATE("R3C",'Mapa final'!$Q$22),"")</f>
        <v/>
      </c>
      <c r="AF48" s="37" t="str">
        <f>IF(AND('Mapa final'!$AA$23="Muy Baja",'Mapa final'!$AC$23="Mayor"),CONCATENATE("R3C",'Mapa final'!$Q$23),"")</f>
        <v/>
      </c>
      <c r="AG48" s="38" t="str">
        <f>IF(AND('Mapa final'!$AA$24="Muy Baja",'Mapa final'!$AC$24="Mayor"),CONCATENATE("R3C",'Mapa final'!$Q$24),"")</f>
        <v/>
      </c>
      <c r="AH48" s="39" t="str">
        <f>IF(AND('Mapa final'!$AA$19="Muy Baja",'Mapa final'!$AC$19="Catastrófico"),CONCATENATE("R3C",'Mapa final'!$Q$19),"")</f>
        <v/>
      </c>
      <c r="AI48" s="40" t="str">
        <f>IF(AND('Mapa final'!$AA$20="Muy Baja",'Mapa final'!$AC$20="Catastrófico"),CONCATENATE("R3C",'Mapa final'!$Q$20),"")</f>
        <v/>
      </c>
      <c r="AJ48" s="40" t="str">
        <f>IF(AND('Mapa final'!$AA$21="Muy Baja",'Mapa final'!$AC$21="Catastrófico"),CONCATENATE("R3C",'Mapa final'!$Q$21),"")</f>
        <v/>
      </c>
      <c r="AK48" s="40" t="str">
        <f>IF(AND('Mapa final'!$AA$22="Muy Baja",'Mapa final'!$AC$22="Catastrófico"),CONCATENATE("R3C",'Mapa final'!$Q$22),"")</f>
        <v/>
      </c>
      <c r="AL48" s="40" t="str">
        <f>IF(AND('Mapa final'!$AA$23="Muy Baja",'Mapa final'!$AC$23="Catastrófico"),CONCATENATE("R3C",'Mapa final'!$Q$23),"")</f>
        <v/>
      </c>
      <c r="AM48" s="41" t="str">
        <f>IF(AND('Mapa final'!$AA$24="Muy Baja",'Mapa final'!$AC$24="Catastrófico"),CONCATENATE("R3C",'Mapa final'!$Q$24),"")</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326"/>
      <c r="C49" s="326"/>
      <c r="D49" s="327"/>
      <c r="E49" s="367"/>
      <c r="F49" s="368"/>
      <c r="G49" s="368"/>
      <c r="H49" s="368"/>
      <c r="I49" s="369"/>
      <c r="J49" s="60" t="str">
        <f>IF(AND('Mapa final'!$AA$25="Muy Baja",'Mapa final'!$AC$25="Leve"),CONCATENATE("R4C",'Mapa final'!$Q$25),"")</f>
        <v/>
      </c>
      <c r="K49" s="61" t="str">
        <f>IF(AND('Mapa final'!$AA$26="Muy Baja",'Mapa final'!$AC$26="Leve"),CONCATENATE("R4C",'Mapa final'!$Q$26),"")</f>
        <v/>
      </c>
      <c r="L49" s="61" t="str">
        <f>IF(AND('Mapa final'!$AA$27="Muy Baja",'Mapa final'!$AC$27="Leve"),CONCATENATE("R4C",'Mapa final'!$Q$27),"")</f>
        <v/>
      </c>
      <c r="M49" s="61" t="str">
        <f>IF(AND('Mapa final'!$AA$28="Muy Baja",'Mapa final'!$AC$28="Leve"),CONCATENATE("R4C",'Mapa final'!$Q$28),"")</f>
        <v/>
      </c>
      <c r="N49" s="61" t="str">
        <f>IF(AND('Mapa final'!$AA$29="Muy Baja",'Mapa final'!$AC$29="Leve"),CONCATENATE("R4C",'Mapa final'!$Q$29),"")</f>
        <v/>
      </c>
      <c r="O49" s="62" t="str">
        <f>IF(AND('Mapa final'!$AA$30="Muy Baja",'Mapa final'!$AC$30="Leve"),CONCATENATE("R4C",'Mapa final'!$Q$30),"")</f>
        <v/>
      </c>
      <c r="P49" s="60" t="str">
        <f>IF(AND('Mapa final'!$AA$25="Muy Baja",'Mapa final'!$AC$25="Menor"),CONCATENATE("R4C",'Mapa final'!$Q$25),"")</f>
        <v/>
      </c>
      <c r="Q49" s="61" t="str">
        <f>IF(AND('Mapa final'!$AA$26="Muy Baja",'Mapa final'!$AC$26="Menor"),CONCATENATE("R4C",'Mapa final'!$Q$26),"")</f>
        <v/>
      </c>
      <c r="R49" s="61" t="str">
        <f>IF(AND('Mapa final'!$AA$27="Muy Baja",'Mapa final'!$AC$27="Menor"),CONCATENATE("R4C",'Mapa final'!$Q$27),"")</f>
        <v/>
      </c>
      <c r="S49" s="61" t="str">
        <f>IF(AND('Mapa final'!$AA$28="Muy Baja",'Mapa final'!$AC$28="Menor"),CONCATENATE("R4C",'Mapa final'!$Q$28),"")</f>
        <v/>
      </c>
      <c r="T49" s="61" t="str">
        <f>IF(AND('Mapa final'!$AA$29="Muy Baja",'Mapa final'!$AC$29="Menor"),CONCATENATE("R4C",'Mapa final'!$Q$29),"")</f>
        <v/>
      </c>
      <c r="U49" s="62" t="str">
        <f>IF(AND('Mapa final'!$AA$30="Muy Baja",'Mapa final'!$AC$30="Menor"),CONCATENATE("R4C",'Mapa final'!$Q$30),"")</f>
        <v/>
      </c>
      <c r="V49" s="51" t="str">
        <f>IF(AND('Mapa final'!$AA$25="Muy Baja",'Mapa final'!$AC$25="Moderado"),CONCATENATE("R4C",'Mapa final'!$Q$25),"")</f>
        <v/>
      </c>
      <c r="W49" s="52" t="str">
        <f>IF(AND('Mapa final'!$AA$26="Muy Baja",'Mapa final'!$AC$26="Moderado"),CONCATENATE("R4C",'Mapa final'!$Q$26),"")</f>
        <v/>
      </c>
      <c r="X49" s="52" t="str">
        <f>IF(AND('Mapa final'!$AA$27="Muy Baja",'Mapa final'!$AC$27="Moderado"),CONCATENATE("R4C",'Mapa final'!$Q$27),"")</f>
        <v/>
      </c>
      <c r="Y49" s="52" t="str">
        <f>IF(AND('Mapa final'!$AA$28="Muy Baja",'Mapa final'!$AC$28="Moderado"),CONCATENATE("R4C",'Mapa final'!$Q$28),"")</f>
        <v/>
      </c>
      <c r="Z49" s="52" t="str">
        <f>IF(AND('Mapa final'!$AA$29="Muy Baja",'Mapa final'!$AC$29="Moderado"),CONCATENATE("R4C",'Mapa final'!$Q$29),"")</f>
        <v/>
      </c>
      <c r="AA49" s="53" t="str">
        <f>IF(AND('Mapa final'!$AA$30="Muy Baja",'Mapa final'!$AC$30="Moderado"),CONCATENATE("R4C",'Mapa final'!$Q$30),"")</f>
        <v/>
      </c>
      <c r="AB49" s="36" t="str">
        <f>IF(AND('Mapa final'!$AA$25="Muy Baja",'Mapa final'!$AC$25="Mayor"),CONCATENATE("R4C",'Mapa final'!$Q$25),"")</f>
        <v/>
      </c>
      <c r="AC49" s="37" t="str">
        <f>IF(AND('Mapa final'!$AA$26="Muy Baja",'Mapa final'!$AC$26="Mayor"),CONCATENATE("R4C",'Mapa final'!$Q$26),"")</f>
        <v/>
      </c>
      <c r="AD49" s="37" t="str">
        <f>IF(AND('Mapa final'!$AA$27="Muy Baja",'Mapa final'!$AC$27="Mayor"),CONCATENATE("R4C",'Mapa final'!$Q$27),"")</f>
        <v/>
      </c>
      <c r="AE49" s="37" t="str">
        <f>IF(AND('Mapa final'!$AA$28="Muy Baja",'Mapa final'!$AC$28="Mayor"),CONCATENATE("R4C",'Mapa final'!$Q$28),"")</f>
        <v/>
      </c>
      <c r="AF49" s="37" t="str">
        <f>IF(AND('Mapa final'!$AA$29="Muy Baja",'Mapa final'!$AC$29="Mayor"),CONCATENATE("R4C",'Mapa final'!$Q$29),"")</f>
        <v/>
      </c>
      <c r="AG49" s="38" t="str">
        <f>IF(AND('Mapa final'!$AA$30="Muy Baja",'Mapa final'!$AC$30="Mayor"),CONCATENATE("R4C",'Mapa final'!$Q$30),"")</f>
        <v/>
      </c>
      <c r="AH49" s="39" t="str">
        <f>IF(AND('Mapa final'!$AA$25="Muy Baja",'Mapa final'!$AC$25="Catastrófico"),CONCATENATE("R4C",'Mapa final'!$Q$25),"")</f>
        <v/>
      </c>
      <c r="AI49" s="40" t="str">
        <f>IF(AND('Mapa final'!$AA$26="Muy Baja",'Mapa final'!$AC$26="Catastrófico"),CONCATENATE("R4C",'Mapa final'!$Q$26),"")</f>
        <v/>
      </c>
      <c r="AJ49" s="40" t="str">
        <f>IF(AND('Mapa final'!$AA$27="Muy Baja",'Mapa final'!$AC$27="Catastrófico"),CONCATENATE("R4C",'Mapa final'!$Q$27),"")</f>
        <v/>
      </c>
      <c r="AK49" s="40" t="str">
        <f>IF(AND('Mapa final'!$AA$28="Muy Baja",'Mapa final'!$AC$28="Catastrófico"),CONCATENATE("R4C",'Mapa final'!$Q$28),"")</f>
        <v/>
      </c>
      <c r="AL49" s="40" t="str">
        <f>IF(AND('Mapa final'!$AA$29="Muy Baja",'Mapa final'!$AC$29="Catastrófico"),CONCATENATE("R4C",'Mapa final'!$Q$29),"")</f>
        <v/>
      </c>
      <c r="AM49" s="41" t="str">
        <f>IF(AND('Mapa final'!$AA$30="Muy Baja",'Mapa final'!$AC$30="Catastrófico"),CONCATENATE("R4C",'Mapa final'!$Q$30),"")</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326"/>
      <c r="C50" s="326"/>
      <c r="D50" s="327"/>
      <c r="E50" s="367"/>
      <c r="F50" s="368"/>
      <c r="G50" s="368"/>
      <c r="H50" s="368"/>
      <c r="I50" s="369"/>
      <c r="J50" s="60" t="str">
        <f>IF(AND('Mapa final'!$AA$31="Muy Baja",'Mapa final'!$AC$31="Leve"),CONCATENATE("R5C",'Mapa final'!$Q$31),"")</f>
        <v/>
      </c>
      <c r="K50" s="61" t="str">
        <f>IF(AND('Mapa final'!$AA$32="Muy Baja",'Mapa final'!$AC$32="Leve"),CONCATENATE("R5C",'Mapa final'!$Q$32),"")</f>
        <v/>
      </c>
      <c r="L50" s="61" t="str">
        <f>IF(AND('Mapa final'!$AA$33="Muy Baja",'Mapa final'!$AC$33="Leve"),CONCATENATE("R5C",'Mapa final'!$Q$33),"")</f>
        <v/>
      </c>
      <c r="M50" s="61" t="str">
        <f>IF(AND('Mapa final'!$AA$34="Muy Baja",'Mapa final'!$AC$34="Leve"),CONCATENATE("R5C",'Mapa final'!$Q$34),"")</f>
        <v/>
      </c>
      <c r="N50" s="61" t="str">
        <f>IF(AND('Mapa final'!$AA$35="Muy Baja",'Mapa final'!$AC$35="Leve"),CONCATENATE("R5C",'Mapa final'!$Q$35),"")</f>
        <v/>
      </c>
      <c r="O50" s="62" t="str">
        <f>IF(AND('Mapa final'!$AA$36="Muy Baja",'Mapa final'!$AC$36="Leve"),CONCATENATE("R5C",'Mapa final'!$Q$36),"")</f>
        <v/>
      </c>
      <c r="P50" s="60" t="str">
        <f>IF(AND('Mapa final'!$AA$31="Muy Baja",'Mapa final'!$AC$31="Menor"),CONCATENATE("R5C",'Mapa final'!$Q$31),"")</f>
        <v/>
      </c>
      <c r="Q50" s="61" t="str">
        <f>IF(AND('Mapa final'!$AA$32="Muy Baja",'Mapa final'!$AC$32="Menor"),CONCATENATE("R5C",'Mapa final'!$Q$32),"")</f>
        <v/>
      </c>
      <c r="R50" s="61" t="str">
        <f>IF(AND('Mapa final'!$AA$33="Muy Baja",'Mapa final'!$AC$33="Menor"),CONCATENATE("R5C",'Mapa final'!$Q$33),"")</f>
        <v/>
      </c>
      <c r="S50" s="61" t="str">
        <f>IF(AND('Mapa final'!$AA$34="Muy Baja",'Mapa final'!$AC$34="Menor"),CONCATENATE("R5C",'Mapa final'!$Q$34),"")</f>
        <v/>
      </c>
      <c r="T50" s="61" t="str">
        <f>IF(AND('Mapa final'!$AA$35="Muy Baja",'Mapa final'!$AC$35="Menor"),CONCATENATE("R5C",'Mapa final'!$Q$35),"")</f>
        <v/>
      </c>
      <c r="U50" s="62" t="str">
        <f>IF(AND('Mapa final'!$AA$36="Muy Baja",'Mapa final'!$AC$36="Menor"),CONCATENATE("R5C",'Mapa final'!$Q$36),"")</f>
        <v/>
      </c>
      <c r="V50" s="51" t="str">
        <f>IF(AND('Mapa final'!$AA$31="Muy Baja",'Mapa final'!$AC$31="Moderado"),CONCATENATE("R5C",'Mapa final'!$Q$31),"")</f>
        <v/>
      </c>
      <c r="W50" s="52" t="str">
        <f>IF(AND('Mapa final'!$AA$32="Muy Baja",'Mapa final'!$AC$32="Moderado"),CONCATENATE("R5C",'Mapa final'!$Q$32),"")</f>
        <v/>
      </c>
      <c r="X50" s="52" t="str">
        <f>IF(AND('Mapa final'!$AA$33="Muy Baja",'Mapa final'!$AC$33="Moderado"),CONCATENATE("R5C",'Mapa final'!$Q$33),"")</f>
        <v/>
      </c>
      <c r="Y50" s="52" t="str">
        <f>IF(AND('Mapa final'!$AA$34="Muy Baja",'Mapa final'!$AC$34="Moderado"),CONCATENATE("R5C",'Mapa final'!$Q$34),"")</f>
        <v/>
      </c>
      <c r="Z50" s="52" t="str">
        <f>IF(AND('Mapa final'!$AA$35="Muy Baja",'Mapa final'!$AC$35="Moderado"),CONCATENATE("R5C",'Mapa final'!$Q$35),"")</f>
        <v/>
      </c>
      <c r="AA50" s="53" t="str">
        <f>IF(AND('Mapa final'!$AA$36="Muy Baja",'Mapa final'!$AC$36="Moderado"),CONCATENATE("R5C",'Mapa final'!$Q$36),"")</f>
        <v/>
      </c>
      <c r="AB50" s="36" t="str">
        <f>IF(AND('Mapa final'!$AA$31="Muy Baja",'Mapa final'!$AC$31="Mayor"),CONCATENATE("R5C",'Mapa final'!$Q$31),"")</f>
        <v/>
      </c>
      <c r="AC50" s="37" t="str">
        <f>IF(AND('Mapa final'!$AA$32="Muy Baja",'Mapa final'!$AC$32="Mayor"),CONCATENATE("R5C",'Mapa final'!$Q$32),"")</f>
        <v/>
      </c>
      <c r="AD50" s="37" t="str">
        <f>IF(AND('Mapa final'!$AA$33="Muy Baja",'Mapa final'!$AC$33="Mayor"),CONCATENATE("R5C",'Mapa final'!$Q$33),"")</f>
        <v/>
      </c>
      <c r="AE50" s="37" t="str">
        <f>IF(AND('Mapa final'!$AA$34="Muy Baja",'Mapa final'!$AC$34="Mayor"),CONCATENATE("R5C",'Mapa final'!$Q$34),"")</f>
        <v/>
      </c>
      <c r="AF50" s="37" t="str">
        <f>IF(AND('Mapa final'!$AA$35="Muy Baja",'Mapa final'!$AC$35="Mayor"),CONCATENATE("R5C",'Mapa final'!$Q$35),"")</f>
        <v/>
      </c>
      <c r="AG50" s="38" t="str">
        <f>IF(AND('Mapa final'!$AA$36="Muy Baja",'Mapa final'!$AC$36="Mayor"),CONCATENATE("R5C",'Mapa final'!$Q$36),"")</f>
        <v/>
      </c>
      <c r="AH50" s="39" t="str">
        <f>IF(AND('Mapa final'!$AA$31="Muy Baja",'Mapa final'!$AC$31="Catastrófico"),CONCATENATE("R5C",'Mapa final'!$Q$31),"")</f>
        <v/>
      </c>
      <c r="AI50" s="40" t="str">
        <f>IF(AND('Mapa final'!$AA$32="Muy Baja",'Mapa final'!$AC$32="Catastrófico"),CONCATENATE("R5C",'Mapa final'!$Q$32),"")</f>
        <v/>
      </c>
      <c r="AJ50" s="40" t="str">
        <f>IF(AND('Mapa final'!$AA$33="Muy Baja",'Mapa final'!$AC$33="Catastrófico"),CONCATENATE("R5C",'Mapa final'!$Q$33),"")</f>
        <v/>
      </c>
      <c r="AK50" s="40" t="str">
        <f>IF(AND('Mapa final'!$AA$34="Muy Baja",'Mapa final'!$AC$34="Catastrófico"),CONCATENATE("R5C",'Mapa final'!$Q$34),"")</f>
        <v/>
      </c>
      <c r="AL50" s="40" t="str">
        <f>IF(AND('Mapa final'!$AA$35="Muy Baja",'Mapa final'!$AC$35="Catastrófico"),CONCATENATE("R5C",'Mapa final'!$Q$35),"")</f>
        <v/>
      </c>
      <c r="AM50" s="41" t="str">
        <f>IF(AND('Mapa final'!$AA$36="Muy Baja",'Mapa final'!$AC$36="Catastrófico"),CONCATENATE("R5C",'Mapa final'!$Q$36),"")</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326"/>
      <c r="C51" s="326"/>
      <c r="D51" s="327"/>
      <c r="E51" s="367"/>
      <c r="F51" s="368"/>
      <c r="G51" s="368"/>
      <c r="H51" s="368"/>
      <c r="I51" s="369"/>
      <c r="J51" s="60" t="str">
        <f>IF(AND('Mapa final'!$AA$37="Muy Baja",'Mapa final'!$AC$37="Leve"),CONCATENATE("R6C",'Mapa final'!$Q$37),"")</f>
        <v/>
      </c>
      <c r="K51" s="61" t="str">
        <f>IF(AND('Mapa final'!$AA$38="Muy Baja",'Mapa final'!$AC$38="Leve"),CONCATENATE("R6C",'Mapa final'!$Q$38),"")</f>
        <v/>
      </c>
      <c r="L51" s="61" t="str">
        <f>IF(AND('Mapa final'!$AA$39="Muy Baja",'Mapa final'!$AC$39="Leve"),CONCATENATE("R6C",'Mapa final'!$Q$39),"")</f>
        <v/>
      </c>
      <c r="M51" s="61" t="str">
        <f>IF(AND('Mapa final'!$AA$40="Muy Baja",'Mapa final'!$AC$40="Leve"),CONCATENATE("R6C",'Mapa final'!$Q$40),"")</f>
        <v/>
      </c>
      <c r="N51" s="61" t="str">
        <f>IF(AND('Mapa final'!$AA$41="Muy Baja",'Mapa final'!$AC$41="Leve"),CONCATENATE("R6C",'Mapa final'!$Q$41),"")</f>
        <v/>
      </c>
      <c r="O51" s="62" t="str">
        <f>IF(AND('Mapa final'!$AA$42="Muy Baja",'Mapa final'!$AC$42="Leve"),CONCATENATE("R6C",'Mapa final'!$Q$42),"")</f>
        <v/>
      </c>
      <c r="P51" s="60" t="str">
        <f>IF(AND('Mapa final'!$AA$37="Muy Baja",'Mapa final'!$AC$37="Menor"),CONCATENATE("R6C",'Mapa final'!$Q$37),"")</f>
        <v/>
      </c>
      <c r="Q51" s="61" t="str">
        <f>IF(AND('Mapa final'!$AA$38="Muy Baja",'Mapa final'!$AC$38="Menor"),CONCATENATE("R6C",'Mapa final'!$Q$38),"")</f>
        <v/>
      </c>
      <c r="R51" s="61" t="str">
        <f>IF(AND('Mapa final'!$AA$39="Muy Baja",'Mapa final'!$AC$39="Menor"),CONCATENATE("R6C",'Mapa final'!$Q$39),"")</f>
        <v/>
      </c>
      <c r="S51" s="61" t="str">
        <f>IF(AND('Mapa final'!$AA$40="Muy Baja",'Mapa final'!$AC$40="Menor"),CONCATENATE("R6C",'Mapa final'!$Q$40),"")</f>
        <v/>
      </c>
      <c r="T51" s="61" t="str">
        <f>IF(AND('Mapa final'!$AA$41="Muy Baja",'Mapa final'!$AC$41="Menor"),CONCATENATE("R6C",'Mapa final'!$Q$41),"")</f>
        <v/>
      </c>
      <c r="U51" s="62" t="str">
        <f>IF(AND('Mapa final'!$AA$42="Muy Baja",'Mapa final'!$AC$42="Menor"),CONCATENATE("R6C",'Mapa final'!$Q$42),"")</f>
        <v/>
      </c>
      <c r="V51" s="51" t="str">
        <f>IF(AND('Mapa final'!$AA$37="Muy Baja",'Mapa final'!$AC$37="Moderado"),CONCATENATE("R6C",'Mapa final'!$Q$37),"")</f>
        <v/>
      </c>
      <c r="W51" s="52" t="str">
        <f>IF(AND('Mapa final'!$AA$38="Muy Baja",'Mapa final'!$AC$38="Moderado"),CONCATENATE("R6C",'Mapa final'!$Q$38),"")</f>
        <v/>
      </c>
      <c r="X51" s="52" t="str">
        <f>IF(AND('Mapa final'!$AA$39="Muy Baja",'Mapa final'!$AC$39="Moderado"),CONCATENATE("R6C",'Mapa final'!$Q$39),"")</f>
        <v/>
      </c>
      <c r="Y51" s="52" t="str">
        <f>IF(AND('Mapa final'!$AA$40="Muy Baja",'Mapa final'!$AC$40="Moderado"),CONCATENATE("R6C",'Mapa final'!$Q$40),"")</f>
        <v/>
      </c>
      <c r="Z51" s="52" t="str">
        <f>IF(AND('Mapa final'!$AA$41="Muy Baja",'Mapa final'!$AC$41="Moderado"),CONCATENATE("R6C",'Mapa final'!$Q$41),"")</f>
        <v/>
      </c>
      <c r="AA51" s="53" t="str">
        <f>IF(AND('Mapa final'!$AA$42="Muy Baja",'Mapa final'!$AC$42="Moderado"),CONCATENATE("R6C",'Mapa final'!$Q$42),"")</f>
        <v/>
      </c>
      <c r="AB51" s="36" t="str">
        <f>IF(AND('Mapa final'!$AA$37="Muy Baja",'Mapa final'!$AC$37="Mayor"),CONCATENATE("R6C",'Mapa final'!$Q$37),"")</f>
        <v/>
      </c>
      <c r="AC51" s="37" t="str">
        <f>IF(AND('Mapa final'!$AA$38="Muy Baja",'Mapa final'!$AC$38="Mayor"),CONCATENATE("R6C",'Mapa final'!$Q$38),"")</f>
        <v/>
      </c>
      <c r="AD51" s="37" t="str">
        <f>IF(AND('Mapa final'!$AA$39="Muy Baja",'Mapa final'!$AC$39="Mayor"),CONCATENATE("R6C",'Mapa final'!$Q$39),"")</f>
        <v/>
      </c>
      <c r="AE51" s="37" t="str">
        <f>IF(AND('Mapa final'!$AA$40="Muy Baja",'Mapa final'!$AC$40="Mayor"),CONCATENATE("R6C",'Mapa final'!$Q$40),"")</f>
        <v/>
      </c>
      <c r="AF51" s="37" t="str">
        <f>IF(AND('Mapa final'!$AA$41="Muy Baja",'Mapa final'!$AC$41="Mayor"),CONCATENATE("R6C",'Mapa final'!$Q$41),"")</f>
        <v/>
      </c>
      <c r="AG51" s="38" t="str">
        <f>IF(AND('Mapa final'!$AA$42="Muy Baja",'Mapa final'!$AC$42="Mayor"),CONCATENATE("R6C",'Mapa final'!$Q$42),"")</f>
        <v/>
      </c>
      <c r="AH51" s="39" t="str">
        <f>IF(AND('Mapa final'!$AA$37="Muy Baja",'Mapa final'!$AC$37="Catastrófico"),CONCATENATE("R6C",'Mapa final'!$Q$37),"")</f>
        <v/>
      </c>
      <c r="AI51" s="40" t="str">
        <f>IF(AND('Mapa final'!$AA$38="Muy Baja",'Mapa final'!$AC$38="Catastrófico"),CONCATENATE("R6C",'Mapa final'!$Q$38),"")</f>
        <v/>
      </c>
      <c r="AJ51" s="40" t="str">
        <f>IF(AND('Mapa final'!$AA$39="Muy Baja",'Mapa final'!$AC$39="Catastrófico"),CONCATENATE("R6C",'Mapa final'!$Q$39),"")</f>
        <v/>
      </c>
      <c r="AK51" s="40" t="str">
        <f>IF(AND('Mapa final'!$AA$40="Muy Baja",'Mapa final'!$AC$40="Catastrófico"),CONCATENATE("R6C",'Mapa final'!$Q$40),"")</f>
        <v/>
      </c>
      <c r="AL51" s="40" t="str">
        <f>IF(AND('Mapa final'!$AA$41="Muy Baja",'Mapa final'!$AC$41="Catastrófico"),CONCATENATE("R6C",'Mapa final'!$Q$41),"")</f>
        <v/>
      </c>
      <c r="AM51" s="41" t="str">
        <f>IF(AND('Mapa final'!$AA$42="Muy Baja",'Mapa final'!$AC$42="Catastrófico"),CONCATENATE("R6C",'Mapa final'!$Q$42),"")</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326"/>
      <c r="C52" s="326"/>
      <c r="D52" s="327"/>
      <c r="E52" s="367"/>
      <c r="F52" s="368"/>
      <c r="G52" s="368"/>
      <c r="H52" s="368"/>
      <c r="I52" s="369"/>
      <c r="J52" s="60" t="str">
        <f>IF(AND('Mapa final'!$AA$43="Muy Baja",'Mapa final'!$AC$43="Leve"),CONCATENATE("R7C",'Mapa final'!$Q$43),"")</f>
        <v/>
      </c>
      <c r="K52" s="61" t="str">
        <f>IF(AND('Mapa final'!$AA$44="Muy Baja",'Mapa final'!$AC$44="Leve"),CONCATENATE("R7C",'Mapa final'!$Q$44),"")</f>
        <v/>
      </c>
      <c r="L52" s="61" t="str">
        <f>IF(AND('Mapa final'!$AA$45="Muy Baja",'Mapa final'!$AC$45="Leve"),CONCATENATE("R7C",'Mapa final'!$Q$45),"")</f>
        <v/>
      </c>
      <c r="M52" s="61" t="str">
        <f>IF(AND('Mapa final'!$AA$46="Muy Baja",'Mapa final'!$AC$46="Leve"),CONCATENATE("R7C",'Mapa final'!$Q$46),"")</f>
        <v/>
      </c>
      <c r="N52" s="61" t="str">
        <f>IF(AND('Mapa final'!$AA$47="Muy Baja",'Mapa final'!$AC$47="Leve"),CONCATENATE("R7C",'Mapa final'!$Q$47),"")</f>
        <v/>
      </c>
      <c r="O52" s="62" t="str">
        <f>IF(AND('Mapa final'!$AA$48="Muy Baja",'Mapa final'!$AC$48="Leve"),CONCATENATE("R7C",'Mapa final'!$Q$48),"")</f>
        <v/>
      </c>
      <c r="P52" s="60" t="str">
        <f>IF(AND('Mapa final'!$AA$43="Muy Baja",'Mapa final'!$AC$43="Menor"),CONCATENATE("R7C",'Mapa final'!$Q$43),"")</f>
        <v/>
      </c>
      <c r="Q52" s="61" t="str">
        <f>IF(AND('Mapa final'!$AA$44="Muy Baja",'Mapa final'!$AC$44="Menor"),CONCATENATE("R7C",'Mapa final'!$Q$44),"")</f>
        <v/>
      </c>
      <c r="R52" s="61" t="str">
        <f>IF(AND('Mapa final'!$AA$45="Muy Baja",'Mapa final'!$AC$45="Menor"),CONCATENATE("R7C",'Mapa final'!$Q$45),"")</f>
        <v/>
      </c>
      <c r="S52" s="61" t="str">
        <f>IF(AND('Mapa final'!$AA$46="Muy Baja",'Mapa final'!$AC$46="Menor"),CONCATENATE("R7C",'Mapa final'!$Q$46),"")</f>
        <v/>
      </c>
      <c r="T52" s="61" t="str">
        <f>IF(AND('Mapa final'!$AA$47="Muy Baja",'Mapa final'!$AC$47="Menor"),CONCATENATE("R7C",'Mapa final'!$Q$47),"")</f>
        <v/>
      </c>
      <c r="U52" s="62" t="str">
        <f>IF(AND('Mapa final'!$AA$48="Muy Baja",'Mapa final'!$AC$48="Menor"),CONCATENATE("R7C",'Mapa final'!$Q$48),"")</f>
        <v/>
      </c>
      <c r="V52" s="51" t="str">
        <f>IF(AND('Mapa final'!$AA$43="Muy Baja",'Mapa final'!$AC$43="Moderado"),CONCATENATE("R7C",'Mapa final'!$Q$43),"")</f>
        <v/>
      </c>
      <c r="W52" s="52" t="str">
        <f>IF(AND('Mapa final'!$AA$44="Muy Baja",'Mapa final'!$AC$44="Moderado"),CONCATENATE("R7C",'Mapa final'!$Q$44),"")</f>
        <v/>
      </c>
      <c r="X52" s="52" t="str">
        <f>IF(AND('Mapa final'!$AA$45="Muy Baja",'Mapa final'!$AC$45="Moderado"),CONCATENATE("R7C",'Mapa final'!$Q$45),"")</f>
        <v/>
      </c>
      <c r="Y52" s="52" t="str">
        <f>IF(AND('Mapa final'!$AA$46="Muy Baja",'Mapa final'!$AC$46="Moderado"),CONCATENATE("R7C",'Mapa final'!$Q$46),"")</f>
        <v/>
      </c>
      <c r="Z52" s="52" t="str">
        <f>IF(AND('Mapa final'!$AA$47="Muy Baja",'Mapa final'!$AC$47="Moderado"),CONCATENATE("R7C",'Mapa final'!$Q$47),"")</f>
        <v/>
      </c>
      <c r="AA52" s="53" t="str">
        <f>IF(AND('Mapa final'!$AA$48="Muy Baja",'Mapa final'!$AC$48="Moderado"),CONCATENATE("R7C",'Mapa final'!$Q$48),"")</f>
        <v/>
      </c>
      <c r="AB52" s="36" t="str">
        <f>IF(AND('Mapa final'!$AA$43="Muy Baja",'Mapa final'!$AC$43="Mayor"),CONCATENATE("R7C",'Mapa final'!$Q$43),"")</f>
        <v/>
      </c>
      <c r="AC52" s="37" t="str">
        <f>IF(AND('Mapa final'!$AA$44="Muy Baja",'Mapa final'!$AC$44="Mayor"),CONCATENATE("R7C",'Mapa final'!$Q$44),"")</f>
        <v/>
      </c>
      <c r="AD52" s="37" t="str">
        <f>IF(AND('Mapa final'!$AA$45="Muy Baja",'Mapa final'!$AC$45="Mayor"),CONCATENATE("R7C",'Mapa final'!$Q$45),"")</f>
        <v/>
      </c>
      <c r="AE52" s="37" t="str">
        <f>IF(AND('Mapa final'!$AA$46="Muy Baja",'Mapa final'!$AC$46="Mayor"),CONCATENATE("R7C",'Mapa final'!$Q$46),"")</f>
        <v/>
      </c>
      <c r="AF52" s="37" t="str">
        <f>IF(AND('Mapa final'!$AA$47="Muy Baja",'Mapa final'!$AC$47="Mayor"),CONCATENATE("R7C",'Mapa final'!$Q$47),"")</f>
        <v/>
      </c>
      <c r="AG52" s="38" t="str">
        <f>IF(AND('Mapa final'!$AA$48="Muy Baja",'Mapa final'!$AC$48="Mayor"),CONCATENATE("R7C",'Mapa final'!$Q$48),"")</f>
        <v/>
      </c>
      <c r="AH52" s="39" t="str">
        <f>IF(AND('Mapa final'!$AA$43="Muy Baja",'Mapa final'!$AC$43="Catastrófico"),CONCATENATE("R7C",'Mapa final'!$Q$43),"")</f>
        <v/>
      </c>
      <c r="AI52" s="40" t="str">
        <f>IF(AND('Mapa final'!$AA$44="Muy Baja",'Mapa final'!$AC$44="Catastrófico"),CONCATENATE("R7C",'Mapa final'!$Q$44),"")</f>
        <v/>
      </c>
      <c r="AJ52" s="40" t="str">
        <f>IF(AND('Mapa final'!$AA$45="Muy Baja",'Mapa final'!$AC$45="Catastrófico"),CONCATENATE("R7C",'Mapa final'!$Q$45),"")</f>
        <v/>
      </c>
      <c r="AK52" s="40" t="str">
        <f>IF(AND('Mapa final'!$AA$46="Muy Baja",'Mapa final'!$AC$46="Catastrófico"),CONCATENATE("R7C",'Mapa final'!$Q$46),"")</f>
        <v/>
      </c>
      <c r="AL52" s="40" t="str">
        <f>IF(AND('Mapa final'!$AA$47="Muy Baja",'Mapa final'!$AC$47="Catastrófico"),CONCATENATE("R7C",'Mapa final'!$Q$47),"")</f>
        <v/>
      </c>
      <c r="AM52" s="41" t="str">
        <f>IF(AND('Mapa final'!$AA$48="Muy Baja",'Mapa final'!$AC$48="Catastrófico"),CONCATENATE("R7C",'Mapa final'!$Q$48),"")</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326"/>
      <c r="C53" s="326"/>
      <c r="D53" s="327"/>
      <c r="E53" s="367"/>
      <c r="F53" s="368"/>
      <c r="G53" s="368"/>
      <c r="H53" s="368"/>
      <c r="I53" s="369"/>
      <c r="J53" s="60" t="str">
        <f>IF(AND('Mapa final'!$AA$49="Muy Baja",'Mapa final'!$AC$49="Leve"),CONCATENATE("R8C",'Mapa final'!$Q$49),"")</f>
        <v/>
      </c>
      <c r="K53" s="61" t="str">
        <f>IF(AND('Mapa final'!$AA$50="Muy Baja",'Mapa final'!$AC$50="Leve"),CONCATENATE("R8C",'Mapa final'!$Q$50),"")</f>
        <v/>
      </c>
      <c r="L53" s="61" t="str">
        <f>IF(AND('Mapa final'!$AA$51="Muy Baja",'Mapa final'!$AC$51="Leve"),CONCATENATE("R8C",'Mapa final'!$Q$51),"")</f>
        <v/>
      </c>
      <c r="M53" s="61" t="str">
        <f>IF(AND('Mapa final'!$AA$52="Muy Baja",'Mapa final'!$AC$52="Leve"),CONCATENATE("R8C",'Mapa final'!$Q$52),"")</f>
        <v/>
      </c>
      <c r="N53" s="61" t="str">
        <f>IF(AND('Mapa final'!$AA$53="Muy Baja",'Mapa final'!$AC$53="Leve"),CONCATENATE("R8C",'Mapa final'!$Q$53),"")</f>
        <v/>
      </c>
      <c r="O53" s="62" t="str">
        <f>IF(AND('Mapa final'!$AA$54="Muy Baja",'Mapa final'!$AC$54="Leve"),CONCATENATE("R8C",'Mapa final'!$Q$54),"")</f>
        <v/>
      </c>
      <c r="P53" s="60" t="str">
        <f>IF(AND('Mapa final'!$AA$49="Muy Baja",'Mapa final'!$AC$49="Menor"),CONCATENATE("R8C",'Mapa final'!$Q$49),"")</f>
        <v/>
      </c>
      <c r="Q53" s="61" t="str">
        <f>IF(AND('Mapa final'!$AA$50="Muy Baja",'Mapa final'!$AC$50="Menor"),CONCATENATE("R8C",'Mapa final'!$Q$50),"")</f>
        <v/>
      </c>
      <c r="R53" s="61" t="str">
        <f>IF(AND('Mapa final'!$AA$51="Muy Baja",'Mapa final'!$AC$51="Menor"),CONCATENATE("R8C",'Mapa final'!$Q$51),"")</f>
        <v/>
      </c>
      <c r="S53" s="61" t="str">
        <f>IF(AND('Mapa final'!$AA$52="Muy Baja",'Mapa final'!$AC$52="Menor"),CONCATENATE("R8C",'Mapa final'!$Q$52),"")</f>
        <v/>
      </c>
      <c r="T53" s="61" t="str">
        <f>IF(AND('Mapa final'!$AA$53="Muy Baja",'Mapa final'!$AC$53="Menor"),CONCATENATE("R8C",'Mapa final'!$Q$53),"")</f>
        <v/>
      </c>
      <c r="U53" s="62" t="str">
        <f>IF(AND('Mapa final'!$AA$54="Muy Baja",'Mapa final'!$AC$54="Menor"),CONCATENATE("R8C",'Mapa final'!$Q$54),"")</f>
        <v/>
      </c>
      <c r="V53" s="51" t="str">
        <f>IF(AND('Mapa final'!$AA$49="Muy Baja",'Mapa final'!$AC$49="Moderado"),CONCATENATE("R8C",'Mapa final'!$Q$49),"")</f>
        <v/>
      </c>
      <c r="W53" s="52" t="str">
        <f>IF(AND('Mapa final'!$AA$50="Muy Baja",'Mapa final'!$AC$50="Moderado"),CONCATENATE("R8C",'Mapa final'!$Q$50),"")</f>
        <v/>
      </c>
      <c r="X53" s="52" t="str">
        <f>IF(AND('Mapa final'!$AA$51="Muy Baja",'Mapa final'!$AC$51="Moderado"),CONCATENATE("R8C",'Mapa final'!$Q$51),"")</f>
        <v/>
      </c>
      <c r="Y53" s="52" t="str">
        <f>IF(AND('Mapa final'!$AA$52="Muy Baja",'Mapa final'!$AC$52="Moderado"),CONCATENATE("R8C",'Mapa final'!$Q$52),"")</f>
        <v/>
      </c>
      <c r="Z53" s="52" t="str">
        <f>IF(AND('Mapa final'!$AA$53="Muy Baja",'Mapa final'!$AC$53="Moderado"),CONCATENATE("R8C",'Mapa final'!$Q$53),"")</f>
        <v/>
      </c>
      <c r="AA53" s="53" t="str">
        <f>IF(AND('Mapa final'!$AA$54="Muy Baja",'Mapa final'!$AC$54="Moderado"),CONCATENATE("R8C",'Mapa final'!$Q$54),"")</f>
        <v/>
      </c>
      <c r="AB53" s="36" t="str">
        <f>IF(AND('Mapa final'!$AA$49="Muy Baja",'Mapa final'!$AC$49="Mayor"),CONCATENATE("R8C",'Mapa final'!$Q$49),"")</f>
        <v/>
      </c>
      <c r="AC53" s="37" t="str">
        <f>IF(AND('Mapa final'!$AA$50="Muy Baja",'Mapa final'!$AC$50="Mayor"),CONCATENATE("R8C",'Mapa final'!$Q$50),"")</f>
        <v/>
      </c>
      <c r="AD53" s="37" t="str">
        <f>IF(AND('Mapa final'!$AA$51="Muy Baja",'Mapa final'!$AC$51="Mayor"),CONCATENATE("R8C",'Mapa final'!$Q$51),"")</f>
        <v/>
      </c>
      <c r="AE53" s="37" t="str">
        <f>IF(AND('Mapa final'!$AA$52="Muy Baja",'Mapa final'!$AC$52="Mayor"),CONCATENATE("R8C",'Mapa final'!$Q$52),"")</f>
        <v/>
      </c>
      <c r="AF53" s="37" t="str">
        <f>IF(AND('Mapa final'!$AA$53="Muy Baja",'Mapa final'!$AC$53="Mayor"),CONCATENATE("R8C",'Mapa final'!$Q$53),"")</f>
        <v/>
      </c>
      <c r="AG53" s="38" t="str">
        <f>IF(AND('Mapa final'!$AA$54="Muy Baja",'Mapa final'!$AC$54="Mayor"),CONCATENATE("R8C",'Mapa final'!$Q$54),"")</f>
        <v/>
      </c>
      <c r="AH53" s="39" t="str">
        <f>IF(AND('Mapa final'!$AA$49="Muy Baja",'Mapa final'!$AC$49="Catastrófico"),CONCATENATE("R8C",'Mapa final'!$Q$49),"")</f>
        <v/>
      </c>
      <c r="AI53" s="40" t="str">
        <f>IF(AND('Mapa final'!$AA$50="Muy Baja",'Mapa final'!$AC$50="Catastrófico"),CONCATENATE("R8C",'Mapa final'!$Q$50),"")</f>
        <v/>
      </c>
      <c r="AJ53" s="40" t="str">
        <f>IF(AND('Mapa final'!$AA$51="Muy Baja",'Mapa final'!$AC$51="Catastrófico"),CONCATENATE("R8C",'Mapa final'!$Q$51),"")</f>
        <v/>
      </c>
      <c r="AK53" s="40" t="str">
        <f>IF(AND('Mapa final'!$AA$52="Muy Baja",'Mapa final'!$AC$52="Catastrófico"),CONCATENATE("R8C",'Mapa final'!$Q$52),"")</f>
        <v/>
      </c>
      <c r="AL53" s="40" t="str">
        <f>IF(AND('Mapa final'!$AA$53="Muy Baja",'Mapa final'!$AC$53="Catastrófico"),CONCATENATE("R8C",'Mapa final'!$Q$53),"")</f>
        <v/>
      </c>
      <c r="AM53" s="41" t="str">
        <f>IF(AND('Mapa final'!$AA$54="Muy Baja",'Mapa final'!$AC$54="Catastrófico"),CONCATENATE("R8C",'Mapa final'!$Q$54),"")</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326"/>
      <c r="C54" s="326"/>
      <c r="D54" s="327"/>
      <c r="E54" s="367"/>
      <c r="F54" s="368"/>
      <c r="G54" s="368"/>
      <c r="H54" s="368"/>
      <c r="I54" s="369"/>
      <c r="J54" s="60" t="str">
        <f>IF(AND('Mapa final'!$AA$55="Muy Baja",'Mapa final'!$AC$55="Leve"),CONCATENATE("R9C",'Mapa final'!$Q$55),"")</f>
        <v/>
      </c>
      <c r="K54" s="61" t="str">
        <f>IF(AND('Mapa final'!$AA$56="Muy Baja",'Mapa final'!$AC$56="Leve"),CONCATENATE("R9C",'Mapa final'!$Q$56),"")</f>
        <v/>
      </c>
      <c r="L54" s="61" t="str">
        <f>IF(AND('Mapa final'!$AA$57="Muy Baja",'Mapa final'!$AC$57="Leve"),CONCATENATE("R9C",'Mapa final'!$Q$57),"")</f>
        <v/>
      </c>
      <c r="M54" s="61" t="str">
        <f>IF(AND('Mapa final'!$AA$58="Muy Baja",'Mapa final'!$AC$58="Leve"),CONCATENATE("R9C",'Mapa final'!$Q$58),"")</f>
        <v/>
      </c>
      <c r="N54" s="61" t="str">
        <f>IF(AND('Mapa final'!$AA$59="Muy Baja",'Mapa final'!$AC$59="Leve"),CONCATENATE("R9C",'Mapa final'!$Q$59),"")</f>
        <v/>
      </c>
      <c r="O54" s="62" t="str">
        <f>IF(AND('Mapa final'!$AA$60="Muy Baja",'Mapa final'!$AC$60="Leve"),CONCATENATE("R9C",'Mapa final'!$Q$60),"")</f>
        <v/>
      </c>
      <c r="P54" s="60" t="str">
        <f>IF(AND('Mapa final'!$AA$55="Muy Baja",'Mapa final'!$AC$55="Menor"),CONCATENATE("R9C",'Mapa final'!$Q$55),"")</f>
        <v/>
      </c>
      <c r="Q54" s="61" t="str">
        <f>IF(AND('Mapa final'!$AA$56="Muy Baja",'Mapa final'!$AC$56="Menor"),CONCATENATE("R9C",'Mapa final'!$Q$56),"")</f>
        <v/>
      </c>
      <c r="R54" s="61" t="str">
        <f>IF(AND('Mapa final'!$AA$57="Muy Baja",'Mapa final'!$AC$57="Menor"),CONCATENATE("R9C",'Mapa final'!$Q$57),"")</f>
        <v/>
      </c>
      <c r="S54" s="61" t="str">
        <f>IF(AND('Mapa final'!$AA$58="Muy Baja",'Mapa final'!$AC$58="Menor"),CONCATENATE("R9C",'Mapa final'!$Q$58),"")</f>
        <v/>
      </c>
      <c r="T54" s="61" t="str">
        <f>IF(AND('Mapa final'!$AA$59="Muy Baja",'Mapa final'!$AC$59="Menor"),CONCATENATE("R9C",'Mapa final'!$Q$59),"")</f>
        <v/>
      </c>
      <c r="U54" s="62" t="str">
        <f>IF(AND('Mapa final'!$AA$60="Muy Baja",'Mapa final'!$AC$60="Menor"),CONCATENATE("R9C",'Mapa final'!$Q$60),"")</f>
        <v/>
      </c>
      <c r="V54" s="51" t="str">
        <f>IF(AND('Mapa final'!$AA$55="Muy Baja",'Mapa final'!$AC$55="Moderado"),CONCATENATE("R9C",'Mapa final'!$Q$55),"")</f>
        <v/>
      </c>
      <c r="W54" s="52" t="str">
        <f>IF(AND('Mapa final'!$AA$56="Muy Baja",'Mapa final'!$AC$56="Moderado"),CONCATENATE("R9C",'Mapa final'!$Q$56),"")</f>
        <v/>
      </c>
      <c r="X54" s="52" t="str">
        <f>IF(AND('Mapa final'!$AA$57="Muy Baja",'Mapa final'!$AC$57="Moderado"),CONCATENATE("R9C",'Mapa final'!$Q$57),"")</f>
        <v/>
      </c>
      <c r="Y54" s="52" t="str">
        <f>IF(AND('Mapa final'!$AA$58="Muy Baja",'Mapa final'!$AC$58="Moderado"),CONCATENATE("R9C",'Mapa final'!$Q$58),"")</f>
        <v/>
      </c>
      <c r="Z54" s="52" t="str">
        <f>IF(AND('Mapa final'!$AA$59="Muy Baja",'Mapa final'!$AC$59="Moderado"),CONCATENATE("R9C",'Mapa final'!$Q$59),"")</f>
        <v/>
      </c>
      <c r="AA54" s="53" t="str">
        <f>IF(AND('Mapa final'!$AA$60="Muy Baja",'Mapa final'!$AC$60="Moderado"),CONCATENATE("R9C",'Mapa final'!$Q$60),"")</f>
        <v/>
      </c>
      <c r="AB54" s="36" t="str">
        <f>IF(AND('Mapa final'!$AA$55="Muy Baja",'Mapa final'!$AC$55="Mayor"),CONCATENATE("R9C",'Mapa final'!$Q$55),"")</f>
        <v/>
      </c>
      <c r="AC54" s="37" t="str">
        <f>IF(AND('Mapa final'!$AA$56="Muy Baja",'Mapa final'!$AC$56="Mayor"),CONCATENATE("R9C",'Mapa final'!$Q$56),"")</f>
        <v/>
      </c>
      <c r="AD54" s="37" t="str">
        <f>IF(AND('Mapa final'!$AA$57="Muy Baja",'Mapa final'!$AC$57="Mayor"),CONCATENATE("R9C",'Mapa final'!$Q$57),"")</f>
        <v/>
      </c>
      <c r="AE54" s="37" t="str">
        <f>IF(AND('Mapa final'!$AA$58="Muy Baja",'Mapa final'!$AC$58="Mayor"),CONCATENATE("R9C",'Mapa final'!$Q$58),"")</f>
        <v/>
      </c>
      <c r="AF54" s="37" t="str">
        <f>IF(AND('Mapa final'!$AA$59="Muy Baja",'Mapa final'!$AC$59="Mayor"),CONCATENATE("R9C",'Mapa final'!$Q$59),"")</f>
        <v/>
      </c>
      <c r="AG54" s="38" t="str">
        <f>IF(AND('Mapa final'!$AA$60="Muy Baja",'Mapa final'!$AC$60="Mayor"),CONCATENATE("R9C",'Mapa final'!$Q$60),"")</f>
        <v/>
      </c>
      <c r="AH54" s="39" t="str">
        <f>IF(AND('Mapa final'!$AA$55="Muy Baja",'Mapa final'!$AC$55="Catastrófico"),CONCATENATE("R9C",'Mapa final'!$Q$55),"")</f>
        <v/>
      </c>
      <c r="AI54" s="40" t="str">
        <f>IF(AND('Mapa final'!$AA$56="Muy Baja",'Mapa final'!$AC$56="Catastrófico"),CONCATENATE("R9C",'Mapa final'!$Q$56),"")</f>
        <v/>
      </c>
      <c r="AJ54" s="40" t="str">
        <f>IF(AND('Mapa final'!$AA$57="Muy Baja",'Mapa final'!$AC$57="Catastrófico"),CONCATENATE("R9C",'Mapa final'!$Q$57),"")</f>
        <v/>
      </c>
      <c r="AK54" s="40" t="str">
        <f>IF(AND('Mapa final'!$AA$58="Muy Baja",'Mapa final'!$AC$58="Catastrófico"),CONCATENATE("R9C",'Mapa final'!$Q$58),"")</f>
        <v/>
      </c>
      <c r="AL54" s="40" t="str">
        <f>IF(AND('Mapa final'!$AA$59="Muy Baja",'Mapa final'!$AC$59="Catastrófico"),CONCATENATE("R9C",'Mapa final'!$Q$59),"")</f>
        <v/>
      </c>
      <c r="AM54" s="41" t="str">
        <f>IF(AND('Mapa final'!$AA$60="Muy Baja",'Mapa final'!$AC$60="Catastrófico"),CONCATENATE("R9C",'Mapa final'!$Q$60),"")</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326"/>
      <c r="C55" s="326"/>
      <c r="D55" s="327"/>
      <c r="E55" s="370"/>
      <c r="F55" s="371"/>
      <c r="G55" s="371"/>
      <c r="H55" s="371"/>
      <c r="I55" s="372"/>
      <c r="J55" s="63" t="str">
        <f>IF(AND('Mapa final'!$AA$61="Muy Baja",'Mapa final'!$AC$61="Leve"),CONCATENATE("R10C",'Mapa final'!$Q$61),"")</f>
        <v/>
      </c>
      <c r="K55" s="64" t="str">
        <f>IF(AND('Mapa final'!$AA$62="Muy Baja",'Mapa final'!$AC$62="Leve"),CONCATENATE("R10C",'Mapa final'!$Q$62),"")</f>
        <v/>
      </c>
      <c r="L55" s="64" t="str">
        <f>IF(AND('Mapa final'!$AA$63="Muy Baja",'Mapa final'!$AC$63="Leve"),CONCATENATE("R10C",'Mapa final'!$Q$63),"")</f>
        <v/>
      </c>
      <c r="M55" s="64" t="str">
        <f>IF(AND('Mapa final'!$AA$64="Muy Baja",'Mapa final'!$AC$64="Leve"),CONCATENATE("R10C",'Mapa final'!$Q$64),"")</f>
        <v/>
      </c>
      <c r="N55" s="64" t="str">
        <f>IF(AND('Mapa final'!$AA$65="Muy Baja",'Mapa final'!$AC$65="Leve"),CONCATENATE("R10C",'Mapa final'!$Q$65),"")</f>
        <v/>
      </c>
      <c r="O55" s="65" t="str">
        <f>IF(AND('Mapa final'!$AA$66="Muy Baja",'Mapa final'!$AC$66="Leve"),CONCATENATE("R10C",'Mapa final'!$Q$66),"")</f>
        <v/>
      </c>
      <c r="P55" s="63" t="str">
        <f>IF(AND('Mapa final'!$AA$61="Muy Baja",'Mapa final'!$AC$61="Menor"),CONCATENATE("R10C",'Mapa final'!$Q$61),"")</f>
        <v/>
      </c>
      <c r="Q55" s="64" t="str">
        <f>IF(AND('Mapa final'!$AA$62="Muy Baja",'Mapa final'!$AC$62="Menor"),CONCATENATE("R10C",'Mapa final'!$Q$62),"")</f>
        <v/>
      </c>
      <c r="R55" s="64" t="str">
        <f>IF(AND('Mapa final'!$AA$63="Muy Baja",'Mapa final'!$AC$63="Menor"),CONCATENATE("R10C",'Mapa final'!$Q$63),"")</f>
        <v/>
      </c>
      <c r="S55" s="64" t="str">
        <f>IF(AND('Mapa final'!$AA$64="Muy Baja",'Mapa final'!$AC$64="Menor"),CONCATENATE("R10C",'Mapa final'!$Q$64),"")</f>
        <v/>
      </c>
      <c r="T55" s="64" t="str">
        <f>IF(AND('Mapa final'!$AA$65="Muy Baja",'Mapa final'!$AC$65="Menor"),CONCATENATE("R10C",'Mapa final'!$Q$65),"")</f>
        <v/>
      </c>
      <c r="U55" s="65" t="str">
        <f>IF(AND('Mapa final'!$AA$66="Muy Baja",'Mapa final'!$AC$66="Menor"),CONCATENATE("R10C",'Mapa final'!$Q$66),"")</f>
        <v/>
      </c>
      <c r="V55" s="54" t="str">
        <f>IF(AND('Mapa final'!$AA$61="Muy Baja",'Mapa final'!$AC$61="Moderado"),CONCATENATE("R10C",'Mapa final'!$Q$61),"")</f>
        <v/>
      </c>
      <c r="W55" s="55" t="str">
        <f>IF(AND('Mapa final'!$AA$62="Muy Baja",'Mapa final'!$AC$62="Moderado"),CONCATENATE("R10C",'Mapa final'!$Q$62),"")</f>
        <v/>
      </c>
      <c r="X55" s="55" t="str">
        <f>IF(AND('Mapa final'!$AA$63="Muy Baja",'Mapa final'!$AC$63="Moderado"),CONCATENATE("R10C",'Mapa final'!$Q$63),"")</f>
        <v/>
      </c>
      <c r="Y55" s="55" t="str">
        <f>IF(AND('Mapa final'!$AA$64="Muy Baja",'Mapa final'!$AC$64="Moderado"),CONCATENATE("R10C",'Mapa final'!$Q$64),"")</f>
        <v/>
      </c>
      <c r="Z55" s="55" t="str">
        <f>IF(AND('Mapa final'!$AA$65="Muy Baja",'Mapa final'!$AC$65="Moderado"),CONCATENATE("R10C",'Mapa final'!$Q$65),"")</f>
        <v/>
      </c>
      <c r="AA55" s="56" t="str">
        <f>IF(AND('Mapa final'!$AA$66="Muy Baja",'Mapa final'!$AC$66="Moderado"),CONCATENATE("R10C",'Mapa final'!$Q$66),"")</f>
        <v/>
      </c>
      <c r="AB55" s="42" t="str">
        <f>IF(AND('Mapa final'!$AA$61="Muy Baja",'Mapa final'!$AC$61="Mayor"),CONCATENATE("R10C",'Mapa final'!$Q$61),"")</f>
        <v/>
      </c>
      <c r="AC55" s="43" t="str">
        <f>IF(AND('Mapa final'!$AA$62="Muy Baja",'Mapa final'!$AC$62="Mayor"),CONCATENATE("R10C",'Mapa final'!$Q$62),"")</f>
        <v/>
      </c>
      <c r="AD55" s="43" t="str">
        <f>IF(AND('Mapa final'!$AA$63="Muy Baja",'Mapa final'!$AC$63="Mayor"),CONCATENATE("R10C",'Mapa final'!$Q$63),"")</f>
        <v/>
      </c>
      <c r="AE55" s="43" t="str">
        <f>IF(AND('Mapa final'!$AA$64="Muy Baja",'Mapa final'!$AC$64="Mayor"),CONCATENATE("R10C",'Mapa final'!$Q$64),"")</f>
        <v/>
      </c>
      <c r="AF55" s="43" t="str">
        <f>IF(AND('Mapa final'!$AA$65="Muy Baja",'Mapa final'!$AC$65="Mayor"),CONCATENATE("R10C",'Mapa final'!$Q$65),"")</f>
        <v/>
      </c>
      <c r="AG55" s="44" t="str">
        <f>IF(AND('Mapa final'!$AA$66="Muy Baja",'Mapa final'!$AC$66="Mayor"),CONCATENATE("R10C",'Mapa final'!$Q$66),"")</f>
        <v/>
      </c>
      <c r="AH55" s="45" t="str">
        <f>IF(AND('Mapa final'!$AA$61="Muy Baja",'Mapa final'!$AC$61="Catastrófico"),CONCATENATE("R10C",'Mapa final'!$Q$61),"")</f>
        <v/>
      </c>
      <c r="AI55" s="46" t="str">
        <f>IF(AND('Mapa final'!$AA$62="Muy Baja",'Mapa final'!$AC$62="Catastrófico"),CONCATENATE("R10C",'Mapa final'!$Q$62),"")</f>
        <v/>
      </c>
      <c r="AJ55" s="46" t="str">
        <f>IF(AND('Mapa final'!$AA$63="Muy Baja",'Mapa final'!$AC$63="Catastrófico"),CONCATENATE("R10C",'Mapa final'!$Q$63),"")</f>
        <v/>
      </c>
      <c r="AK55" s="46" t="str">
        <f>IF(AND('Mapa final'!$AA$64="Muy Baja",'Mapa final'!$AC$64="Catastrófico"),CONCATENATE("R10C",'Mapa final'!$Q$64),"")</f>
        <v/>
      </c>
      <c r="AL55" s="46" t="str">
        <f>IF(AND('Mapa final'!$AA$65="Muy Baja",'Mapa final'!$AC$65="Catastrófico"),CONCATENATE("R10C",'Mapa final'!$Q$65),"")</f>
        <v/>
      </c>
      <c r="AM55" s="47" t="str">
        <f>IF(AND('Mapa final'!$AA$66="Muy Baja",'Mapa final'!$AC$66="Catastrófico"),CONCATENATE("R10C",'Mapa final'!$Q$66),"")</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364" t="s">
        <v>107</v>
      </c>
      <c r="K56" s="365"/>
      <c r="L56" s="365"/>
      <c r="M56" s="365"/>
      <c r="N56" s="365"/>
      <c r="O56" s="366"/>
      <c r="P56" s="364" t="s">
        <v>106</v>
      </c>
      <c r="Q56" s="365"/>
      <c r="R56" s="365"/>
      <c r="S56" s="365"/>
      <c r="T56" s="365"/>
      <c r="U56" s="366"/>
      <c r="V56" s="364" t="s">
        <v>105</v>
      </c>
      <c r="W56" s="365"/>
      <c r="X56" s="365"/>
      <c r="Y56" s="365"/>
      <c r="Z56" s="365"/>
      <c r="AA56" s="366"/>
      <c r="AB56" s="364" t="s">
        <v>104</v>
      </c>
      <c r="AC56" s="373"/>
      <c r="AD56" s="365"/>
      <c r="AE56" s="365"/>
      <c r="AF56" s="365"/>
      <c r="AG56" s="366"/>
      <c r="AH56" s="364" t="s">
        <v>103</v>
      </c>
      <c r="AI56" s="365"/>
      <c r="AJ56" s="365"/>
      <c r="AK56" s="365"/>
      <c r="AL56" s="365"/>
      <c r="AM56" s="366"/>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367"/>
      <c r="K57" s="368"/>
      <c r="L57" s="368"/>
      <c r="M57" s="368"/>
      <c r="N57" s="368"/>
      <c r="O57" s="369"/>
      <c r="P57" s="367"/>
      <c r="Q57" s="368"/>
      <c r="R57" s="368"/>
      <c r="S57" s="368"/>
      <c r="T57" s="368"/>
      <c r="U57" s="369"/>
      <c r="V57" s="367"/>
      <c r="W57" s="368"/>
      <c r="X57" s="368"/>
      <c r="Y57" s="368"/>
      <c r="Z57" s="368"/>
      <c r="AA57" s="369"/>
      <c r="AB57" s="367"/>
      <c r="AC57" s="368"/>
      <c r="AD57" s="368"/>
      <c r="AE57" s="368"/>
      <c r="AF57" s="368"/>
      <c r="AG57" s="369"/>
      <c r="AH57" s="367"/>
      <c r="AI57" s="368"/>
      <c r="AJ57" s="368"/>
      <c r="AK57" s="368"/>
      <c r="AL57" s="368"/>
      <c r="AM57" s="369"/>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367"/>
      <c r="K58" s="368"/>
      <c r="L58" s="368"/>
      <c r="M58" s="368"/>
      <c r="N58" s="368"/>
      <c r="O58" s="369"/>
      <c r="P58" s="367"/>
      <c r="Q58" s="368"/>
      <c r="R58" s="368"/>
      <c r="S58" s="368"/>
      <c r="T58" s="368"/>
      <c r="U58" s="369"/>
      <c r="V58" s="367"/>
      <c r="W58" s="368"/>
      <c r="X58" s="368"/>
      <c r="Y58" s="368"/>
      <c r="Z58" s="368"/>
      <c r="AA58" s="369"/>
      <c r="AB58" s="367"/>
      <c r="AC58" s="368"/>
      <c r="AD58" s="368"/>
      <c r="AE58" s="368"/>
      <c r="AF58" s="368"/>
      <c r="AG58" s="369"/>
      <c r="AH58" s="367"/>
      <c r="AI58" s="368"/>
      <c r="AJ58" s="368"/>
      <c r="AK58" s="368"/>
      <c r="AL58" s="368"/>
      <c r="AM58" s="369"/>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367"/>
      <c r="K59" s="368"/>
      <c r="L59" s="368"/>
      <c r="M59" s="368"/>
      <c r="N59" s="368"/>
      <c r="O59" s="369"/>
      <c r="P59" s="367"/>
      <c r="Q59" s="368"/>
      <c r="R59" s="368"/>
      <c r="S59" s="368"/>
      <c r="T59" s="368"/>
      <c r="U59" s="369"/>
      <c r="V59" s="367"/>
      <c r="W59" s="368"/>
      <c r="X59" s="368"/>
      <c r="Y59" s="368"/>
      <c r="Z59" s="368"/>
      <c r="AA59" s="369"/>
      <c r="AB59" s="367"/>
      <c r="AC59" s="368"/>
      <c r="AD59" s="368"/>
      <c r="AE59" s="368"/>
      <c r="AF59" s="368"/>
      <c r="AG59" s="369"/>
      <c r="AH59" s="367"/>
      <c r="AI59" s="368"/>
      <c r="AJ59" s="368"/>
      <c r="AK59" s="368"/>
      <c r="AL59" s="368"/>
      <c r="AM59" s="369"/>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367"/>
      <c r="K60" s="368"/>
      <c r="L60" s="368"/>
      <c r="M60" s="368"/>
      <c r="N60" s="368"/>
      <c r="O60" s="369"/>
      <c r="P60" s="367"/>
      <c r="Q60" s="368"/>
      <c r="R60" s="368"/>
      <c r="S60" s="368"/>
      <c r="T60" s="368"/>
      <c r="U60" s="369"/>
      <c r="V60" s="367"/>
      <c r="W60" s="368"/>
      <c r="X60" s="368"/>
      <c r="Y60" s="368"/>
      <c r="Z60" s="368"/>
      <c r="AA60" s="369"/>
      <c r="AB60" s="367"/>
      <c r="AC60" s="368"/>
      <c r="AD60" s="368"/>
      <c r="AE60" s="368"/>
      <c r="AF60" s="368"/>
      <c r="AG60" s="369"/>
      <c r="AH60" s="367"/>
      <c r="AI60" s="368"/>
      <c r="AJ60" s="368"/>
      <c r="AK60" s="368"/>
      <c r="AL60" s="368"/>
      <c r="AM60" s="369"/>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370"/>
      <c r="K61" s="371"/>
      <c r="L61" s="371"/>
      <c r="M61" s="371"/>
      <c r="N61" s="371"/>
      <c r="O61" s="372"/>
      <c r="P61" s="370"/>
      <c r="Q61" s="371"/>
      <c r="R61" s="371"/>
      <c r="S61" s="371"/>
      <c r="T61" s="371"/>
      <c r="U61" s="372"/>
      <c r="V61" s="370"/>
      <c r="W61" s="371"/>
      <c r="X61" s="371"/>
      <c r="Y61" s="371"/>
      <c r="Z61" s="371"/>
      <c r="AA61" s="372"/>
      <c r="AB61" s="370"/>
      <c r="AC61" s="371"/>
      <c r="AD61" s="371"/>
      <c r="AE61" s="371"/>
      <c r="AF61" s="371"/>
      <c r="AG61" s="372"/>
      <c r="AH61" s="370"/>
      <c r="AI61" s="371"/>
      <c r="AJ61" s="371"/>
      <c r="AK61" s="371"/>
      <c r="AL61" s="371"/>
      <c r="AM61" s="372"/>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413" t="s">
        <v>55</v>
      </c>
      <c r="C1" s="413"/>
      <c r="D1" s="413"/>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D3" sqref="D3:D8"/>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414" t="s">
        <v>62</v>
      </c>
      <c r="C1" s="414"/>
      <c r="D1" s="414"/>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8" t="s">
        <v>56</v>
      </c>
      <c r="D3" s="128" t="s">
        <v>57</v>
      </c>
      <c r="E3" s="89"/>
      <c r="F3" s="89"/>
      <c r="G3" s="89"/>
      <c r="H3" s="89"/>
      <c r="I3" s="89"/>
      <c r="J3" s="89"/>
      <c r="K3" s="89"/>
      <c r="L3" s="89"/>
      <c r="M3" s="89"/>
      <c r="N3" s="89"/>
      <c r="O3" s="89"/>
      <c r="P3" s="89"/>
      <c r="Q3" s="89"/>
      <c r="R3" s="89"/>
      <c r="S3" s="89"/>
      <c r="T3" s="89"/>
      <c r="U3" s="89"/>
    </row>
    <row r="4" spans="1:21" ht="32.4" x14ac:dyDescent="0.3">
      <c r="A4" s="89" t="s">
        <v>82</v>
      </c>
      <c r="B4" s="129" t="s">
        <v>96</v>
      </c>
      <c r="C4" s="130" t="s">
        <v>205</v>
      </c>
      <c r="D4" s="131" t="s">
        <v>92</v>
      </c>
      <c r="E4" s="89"/>
      <c r="F4" s="89"/>
      <c r="G4" s="89"/>
      <c r="H4" s="89"/>
      <c r="I4" s="89"/>
      <c r="J4" s="89"/>
      <c r="K4" s="89"/>
      <c r="L4" s="89"/>
      <c r="M4" s="89"/>
      <c r="N4" s="89"/>
      <c r="O4" s="89"/>
      <c r="P4" s="89"/>
      <c r="Q4" s="89"/>
      <c r="R4" s="89"/>
      <c r="S4" s="89"/>
      <c r="T4" s="89"/>
      <c r="U4" s="89"/>
    </row>
    <row r="5" spans="1:21" ht="64.8" x14ac:dyDescent="0.3">
      <c r="A5" s="89" t="s">
        <v>83</v>
      </c>
      <c r="B5" s="132" t="s">
        <v>58</v>
      </c>
      <c r="C5" s="133" t="s">
        <v>206</v>
      </c>
      <c r="D5" s="134" t="s">
        <v>93</v>
      </c>
      <c r="E5" s="89"/>
      <c r="F5" s="89"/>
      <c r="G5" s="89"/>
      <c r="H5" s="89"/>
      <c r="I5" s="89"/>
      <c r="J5" s="89"/>
      <c r="K5" s="89"/>
      <c r="L5" s="89"/>
      <c r="M5" s="89"/>
      <c r="N5" s="89"/>
      <c r="O5" s="89"/>
      <c r="P5" s="89"/>
      <c r="Q5" s="89"/>
      <c r="R5" s="89"/>
      <c r="S5" s="89"/>
      <c r="T5" s="89"/>
      <c r="U5" s="89"/>
    </row>
    <row r="6" spans="1:21" ht="64.8" x14ac:dyDescent="0.3">
      <c r="A6" s="89" t="s">
        <v>80</v>
      </c>
      <c r="B6" s="135" t="s">
        <v>59</v>
      </c>
      <c r="C6" s="133" t="s">
        <v>210</v>
      </c>
      <c r="D6" s="134" t="s">
        <v>95</v>
      </c>
      <c r="E6" s="89"/>
      <c r="F6" s="89"/>
      <c r="G6" s="89"/>
      <c r="H6" s="89"/>
      <c r="I6" s="89"/>
      <c r="J6" s="89"/>
      <c r="K6" s="89"/>
      <c r="L6" s="89"/>
      <c r="M6" s="89"/>
      <c r="N6" s="89"/>
      <c r="O6" s="89"/>
      <c r="P6" s="89"/>
      <c r="Q6" s="89"/>
      <c r="R6" s="89"/>
      <c r="S6" s="89"/>
      <c r="T6" s="89"/>
      <c r="U6" s="89"/>
    </row>
    <row r="7" spans="1:21" ht="97.2" x14ac:dyDescent="0.3">
      <c r="A7" s="89" t="s">
        <v>7</v>
      </c>
      <c r="B7" s="136" t="s">
        <v>60</v>
      </c>
      <c r="C7" s="133" t="s">
        <v>211</v>
      </c>
      <c r="D7" s="134" t="s">
        <v>94</v>
      </c>
      <c r="E7" s="89"/>
      <c r="F7" s="89"/>
      <c r="G7" s="89"/>
      <c r="H7" s="89"/>
      <c r="I7" s="89"/>
      <c r="J7" s="89"/>
      <c r="K7" s="89"/>
      <c r="L7" s="89"/>
      <c r="M7" s="89"/>
      <c r="N7" s="89"/>
      <c r="O7" s="89"/>
      <c r="P7" s="89"/>
      <c r="Q7" s="89"/>
      <c r="R7" s="89"/>
      <c r="S7" s="89"/>
      <c r="T7" s="89"/>
      <c r="U7" s="89"/>
    </row>
    <row r="8" spans="1:21" ht="64.8" x14ac:dyDescent="0.3">
      <c r="A8" s="89" t="s">
        <v>84</v>
      </c>
      <c r="B8" s="137" t="s">
        <v>61</v>
      </c>
      <c r="C8" s="133" t="s">
        <v>207</v>
      </c>
      <c r="D8" s="134"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42"/>
      <c r="D9" s="142"/>
      <c r="E9" s="87"/>
      <c r="F9" s="87"/>
      <c r="G9" s="87"/>
      <c r="H9" s="87"/>
      <c r="I9" s="87"/>
      <c r="J9" s="87"/>
      <c r="K9" s="87"/>
      <c r="L9" s="87"/>
      <c r="M9" s="87"/>
      <c r="N9" s="87"/>
      <c r="O9" s="87"/>
      <c r="P9" s="87"/>
      <c r="Q9" s="87"/>
      <c r="R9" s="87"/>
      <c r="S9" s="87"/>
      <c r="T9" s="87"/>
      <c r="U9" s="87"/>
    </row>
    <row r="10" spans="1:21" s="23" customFormat="1" x14ac:dyDescent="0.3">
      <c r="A10" s="87"/>
      <c r="B10" s="143"/>
      <c r="C10" s="143"/>
      <c r="D10" s="143"/>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2"/>
      <c r="D22" s="142"/>
      <c r="E22" s="87"/>
      <c r="F22" s="87"/>
      <c r="G22" s="87"/>
      <c r="H22" s="87"/>
      <c r="I22" s="87"/>
      <c r="J22" s="87"/>
      <c r="K22" s="87"/>
      <c r="L22" s="87"/>
      <c r="M22" s="87"/>
      <c r="N22" s="87"/>
      <c r="O22" s="87"/>
    </row>
    <row r="23" spans="1:15" s="23" customFormat="1" ht="20.399999999999999" x14ac:dyDescent="0.3">
      <c r="A23" s="87"/>
      <c r="B23" s="87"/>
      <c r="C23" s="142"/>
      <c r="D23" s="142"/>
      <c r="E23" s="87"/>
      <c r="F23" s="87"/>
      <c r="G23" s="87"/>
      <c r="H23" s="87"/>
      <c r="I23" s="87"/>
      <c r="J23" s="87"/>
      <c r="K23" s="87"/>
      <c r="L23" s="87"/>
      <c r="M23" s="87"/>
      <c r="N23" s="87"/>
      <c r="O23" s="87"/>
    </row>
    <row r="24" spans="1:15" s="23" customFormat="1" ht="20.399999999999999" x14ac:dyDescent="0.3">
      <c r="A24" s="87"/>
      <c r="B24" s="87"/>
      <c r="C24" s="142"/>
      <c r="D24" s="142"/>
      <c r="E24" s="87"/>
      <c r="F24" s="87"/>
      <c r="G24" s="87"/>
      <c r="H24" s="87"/>
      <c r="I24" s="87"/>
      <c r="J24" s="87"/>
      <c r="K24" s="87"/>
      <c r="L24" s="87"/>
      <c r="M24" s="87"/>
      <c r="N24" s="87"/>
      <c r="O24" s="87"/>
    </row>
    <row r="25" spans="1:15" s="23" customFormat="1" ht="20.399999999999999" x14ac:dyDescent="0.3">
      <c r="A25" s="87"/>
      <c r="B25" s="87"/>
      <c r="C25" s="142"/>
      <c r="D25" s="142"/>
      <c r="E25" s="87"/>
      <c r="F25" s="87"/>
      <c r="G25" s="87"/>
      <c r="H25" s="87"/>
      <c r="I25" s="87"/>
      <c r="J25" s="87"/>
      <c r="K25" s="87"/>
      <c r="L25" s="87"/>
      <c r="M25" s="87"/>
      <c r="N25" s="87"/>
      <c r="O25" s="87"/>
    </row>
    <row r="26" spans="1:15" s="23" customFormat="1" ht="20.399999999999999" x14ac:dyDescent="0.3">
      <c r="A26" s="87"/>
      <c r="B26" s="87"/>
      <c r="C26" s="142"/>
      <c r="D26" s="142"/>
      <c r="E26" s="87"/>
      <c r="F26" s="87"/>
      <c r="G26" s="87"/>
      <c r="H26" s="87"/>
      <c r="I26" s="87"/>
      <c r="J26" s="87"/>
      <c r="K26" s="87"/>
      <c r="L26" s="87"/>
      <c r="M26" s="87"/>
      <c r="N26" s="87"/>
      <c r="O26" s="87"/>
    </row>
    <row r="27" spans="1:15" s="23" customFormat="1" ht="20.399999999999999" x14ac:dyDescent="0.3">
      <c r="A27" s="87"/>
      <c r="B27" s="87"/>
      <c r="C27" s="142"/>
      <c r="D27" s="142"/>
      <c r="E27" s="87"/>
      <c r="F27" s="87"/>
      <c r="G27" s="87"/>
      <c r="H27" s="87"/>
      <c r="I27" s="87"/>
      <c r="J27" s="87"/>
      <c r="K27" s="87"/>
      <c r="L27" s="87"/>
      <c r="M27" s="87"/>
      <c r="N27" s="87"/>
      <c r="O27" s="87"/>
    </row>
    <row r="28" spans="1:15" s="23" customFormat="1" ht="20.399999999999999" x14ac:dyDescent="0.3">
      <c r="A28" s="87"/>
      <c r="B28" s="87"/>
      <c r="C28" s="142"/>
      <c r="D28" s="142"/>
      <c r="E28" s="87"/>
      <c r="F28" s="87"/>
      <c r="G28" s="87"/>
      <c r="H28" s="87"/>
      <c r="I28" s="87"/>
      <c r="J28" s="87"/>
      <c r="K28" s="87"/>
      <c r="L28" s="87"/>
      <c r="M28" s="87"/>
      <c r="N28" s="87"/>
      <c r="O28" s="87"/>
    </row>
    <row r="29" spans="1:15" s="23" customFormat="1" ht="20.399999999999999" x14ac:dyDescent="0.3">
      <c r="A29" s="87"/>
      <c r="B29" s="87"/>
      <c r="C29" s="142"/>
      <c r="D29" s="142"/>
      <c r="E29" s="87"/>
      <c r="F29" s="87"/>
      <c r="G29" s="87"/>
      <c r="H29" s="87"/>
      <c r="I29" s="87"/>
      <c r="J29" s="87"/>
      <c r="K29" s="87"/>
      <c r="L29" s="87"/>
      <c r="M29" s="87"/>
      <c r="N29" s="87"/>
      <c r="O29" s="87"/>
    </row>
    <row r="30" spans="1:15" s="23" customFormat="1" ht="20.399999999999999" x14ac:dyDescent="0.3">
      <c r="A30" s="87"/>
      <c r="B30" s="87"/>
      <c r="C30" s="142"/>
      <c r="D30" s="142"/>
      <c r="E30" s="87"/>
      <c r="F30" s="87"/>
      <c r="G30" s="87"/>
      <c r="H30" s="87"/>
      <c r="I30" s="87"/>
      <c r="J30" s="87"/>
      <c r="K30" s="87"/>
      <c r="L30" s="87"/>
      <c r="M30" s="87"/>
      <c r="N30" s="87"/>
      <c r="O30" s="87"/>
    </row>
    <row r="31" spans="1:15" s="23" customFormat="1" ht="20.399999999999999" x14ac:dyDescent="0.3">
      <c r="A31" s="87"/>
      <c r="B31" s="87"/>
      <c r="C31" s="142"/>
      <c r="D31" s="142"/>
      <c r="E31" s="87"/>
      <c r="F31" s="87"/>
      <c r="G31" s="87"/>
      <c r="H31" s="87"/>
      <c r="I31" s="87"/>
      <c r="J31" s="87"/>
      <c r="K31" s="87"/>
      <c r="L31" s="87"/>
      <c r="M31" s="87"/>
      <c r="N31" s="87"/>
      <c r="O31" s="87"/>
    </row>
    <row r="32" spans="1:15" s="23" customFormat="1" ht="20.399999999999999" x14ac:dyDescent="0.3">
      <c r="A32" s="87"/>
      <c r="B32" s="87"/>
      <c r="C32" s="142"/>
      <c r="D32" s="142"/>
      <c r="E32" s="87"/>
      <c r="F32" s="87"/>
      <c r="G32" s="87"/>
      <c r="H32" s="87"/>
      <c r="I32" s="87"/>
      <c r="J32" s="87"/>
      <c r="K32" s="87"/>
      <c r="L32" s="87"/>
      <c r="M32" s="87"/>
      <c r="N32" s="87"/>
      <c r="O32" s="87"/>
    </row>
    <row r="33" spans="1:15" s="23" customFormat="1" ht="20.399999999999999" x14ac:dyDescent="0.3">
      <c r="A33" s="87"/>
      <c r="B33" s="87"/>
      <c r="C33" s="142"/>
      <c r="D33" s="142"/>
      <c r="E33" s="87"/>
      <c r="F33" s="87"/>
      <c r="G33" s="87"/>
      <c r="H33" s="87"/>
      <c r="I33" s="87"/>
      <c r="J33" s="87"/>
      <c r="K33" s="87"/>
      <c r="L33" s="87"/>
      <c r="M33" s="87"/>
      <c r="N33" s="87"/>
      <c r="O33" s="87"/>
    </row>
    <row r="34" spans="1:15" s="23" customFormat="1" ht="20.399999999999999" x14ac:dyDescent="0.3">
      <c r="A34" s="87"/>
      <c r="B34" s="87"/>
      <c r="C34" s="142"/>
      <c r="D34" s="142"/>
      <c r="E34" s="87"/>
      <c r="F34" s="87"/>
      <c r="G34" s="87"/>
      <c r="H34" s="87"/>
      <c r="I34" s="87"/>
      <c r="J34" s="87"/>
      <c r="K34" s="87"/>
      <c r="L34" s="87"/>
      <c r="M34" s="87"/>
      <c r="N34" s="87"/>
      <c r="O34" s="87"/>
    </row>
    <row r="35" spans="1:15" s="23" customFormat="1" ht="20.399999999999999" x14ac:dyDescent="0.3">
      <c r="A35" s="87"/>
      <c r="B35" s="87"/>
      <c r="C35" s="142"/>
      <c r="D35" s="142"/>
      <c r="E35" s="87"/>
      <c r="F35" s="87"/>
      <c r="G35" s="87"/>
      <c r="H35" s="87"/>
      <c r="I35" s="87"/>
      <c r="J35" s="87"/>
      <c r="K35" s="87"/>
      <c r="L35" s="87"/>
      <c r="M35" s="87"/>
      <c r="N35" s="87"/>
      <c r="O35" s="87"/>
    </row>
    <row r="36" spans="1:15" s="23" customFormat="1" ht="20.399999999999999" x14ac:dyDescent="0.3">
      <c r="A36" s="87"/>
      <c r="B36" s="87"/>
      <c r="C36" s="142"/>
      <c r="D36" s="142"/>
      <c r="E36" s="87"/>
      <c r="F36" s="87"/>
      <c r="G36" s="87"/>
      <c r="H36" s="87"/>
      <c r="I36" s="87"/>
      <c r="J36" s="87"/>
      <c r="K36" s="87"/>
      <c r="L36" s="87"/>
      <c r="M36" s="87"/>
      <c r="N36" s="87"/>
      <c r="O36" s="87"/>
    </row>
    <row r="37" spans="1:15" s="23" customFormat="1" ht="20.399999999999999" x14ac:dyDescent="0.3">
      <c r="A37" s="87"/>
      <c r="B37" s="87"/>
      <c r="C37" s="142"/>
      <c r="D37" s="142"/>
      <c r="E37" s="87"/>
      <c r="F37" s="87"/>
      <c r="G37" s="87"/>
      <c r="H37" s="87"/>
      <c r="I37" s="87"/>
      <c r="J37" s="87"/>
      <c r="K37" s="87"/>
      <c r="L37" s="87"/>
      <c r="M37" s="87"/>
      <c r="N37" s="87"/>
      <c r="O37" s="87"/>
    </row>
    <row r="38" spans="1:15" s="23" customFormat="1" ht="20.399999999999999" x14ac:dyDescent="0.3">
      <c r="A38" s="87"/>
      <c r="B38" s="87"/>
      <c r="C38" s="142"/>
      <c r="D38" s="142"/>
      <c r="E38" s="87"/>
      <c r="F38" s="87"/>
      <c r="G38" s="87"/>
      <c r="H38" s="87"/>
      <c r="I38" s="87"/>
      <c r="J38" s="87"/>
      <c r="K38" s="87"/>
      <c r="L38" s="87"/>
      <c r="M38" s="87"/>
      <c r="N38" s="87"/>
      <c r="O38" s="87"/>
    </row>
    <row r="39" spans="1:15" s="23" customFormat="1" ht="20.399999999999999" x14ac:dyDescent="0.3">
      <c r="A39" s="87"/>
      <c r="B39" s="87"/>
      <c r="C39" s="142"/>
      <c r="D39" s="142"/>
      <c r="E39" s="87"/>
      <c r="F39" s="87"/>
      <c r="G39" s="87"/>
      <c r="H39" s="87"/>
      <c r="I39" s="87"/>
      <c r="J39" s="87"/>
      <c r="K39" s="87"/>
      <c r="L39" s="87"/>
      <c r="M39" s="87"/>
      <c r="N39" s="87"/>
      <c r="O39" s="87"/>
    </row>
    <row r="40" spans="1:15" s="23" customFormat="1" ht="20.399999999999999" x14ac:dyDescent="0.3">
      <c r="A40" s="87"/>
      <c r="B40" s="87"/>
      <c r="C40" s="142"/>
      <c r="D40" s="142"/>
      <c r="E40" s="87"/>
      <c r="F40" s="87"/>
      <c r="G40" s="87"/>
      <c r="H40" s="87"/>
      <c r="I40" s="87"/>
      <c r="J40" s="87"/>
      <c r="K40" s="87"/>
      <c r="L40" s="87"/>
      <c r="M40" s="87"/>
      <c r="N40" s="87"/>
      <c r="O40" s="87"/>
    </row>
    <row r="41" spans="1:15" s="23" customFormat="1" ht="20.399999999999999" x14ac:dyDescent="0.3">
      <c r="A41" s="87"/>
      <c r="B41" s="87"/>
      <c r="C41" s="142"/>
      <c r="D41" s="142"/>
      <c r="E41" s="87"/>
      <c r="F41" s="87"/>
      <c r="G41" s="87"/>
      <c r="H41" s="87"/>
      <c r="I41" s="87"/>
      <c r="J41" s="87"/>
      <c r="K41" s="87"/>
      <c r="L41" s="87"/>
      <c r="M41" s="87"/>
      <c r="N41" s="87"/>
      <c r="O41" s="87"/>
    </row>
    <row r="42" spans="1:15" s="23" customFormat="1" ht="20.399999999999999" x14ac:dyDescent="0.3">
      <c r="A42" s="87"/>
      <c r="B42" s="87"/>
      <c r="C42" s="142"/>
      <c r="D42" s="142"/>
      <c r="E42" s="87"/>
      <c r="F42" s="87"/>
      <c r="G42" s="87"/>
      <c r="H42" s="87"/>
      <c r="I42" s="87"/>
      <c r="J42" s="87"/>
      <c r="K42" s="87"/>
      <c r="L42" s="87"/>
      <c r="M42" s="87"/>
      <c r="N42" s="87"/>
      <c r="O42" s="87"/>
    </row>
    <row r="43" spans="1:15" s="23" customFormat="1" ht="20.399999999999999" x14ac:dyDescent="0.3">
      <c r="A43" s="87"/>
      <c r="B43" s="87"/>
      <c r="C43" s="142"/>
      <c r="D43" s="142"/>
      <c r="E43" s="87"/>
      <c r="F43" s="87"/>
      <c r="G43" s="87"/>
      <c r="H43" s="87"/>
      <c r="I43" s="87"/>
      <c r="J43" s="87"/>
      <c r="K43" s="87"/>
      <c r="L43" s="87"/>
      <c r="M43" s="87"/>
      <c r="N43" s="87"/>
      <c r="O43" s="87"/>
    </row>
    <row r="44" spans="1:15" s="23" customFormat="1" ht="20.399999999999999" x14ac:dyDescent="0.3">
      <c r="A44" s="87"/>
      <c r="B44" s="87"/>
      <c r="C44" s="142"/>
      <c r="D44" s="142"/>
      <c r="E44" s="87"/>
      <c r="F44" s="87"/>
      <c r="G44" s="87"/>
      <c r="H44" s="87"/>
      <c r="I44" s="87"/>
      <c r="J44" s="87"/>
      <c r="K44" s="87"/>
      <c r="L44" s="87"/>
      <c r="M44" s="87"/>
      <c r="N44" s="87"/>
      <c r="O44" s="87"/>
    </row>
    <row r="45" spans="1:15" s="23" customFormat="1" ht="20.399999999999999" x14ac:dyDescent="0.3">
      <c r="A45" s="87"/>
      <c r="B45" s="87"/>
      <c r="C45" s="142"/>
      <c r="D45" s="142"/>
      <c r="E45" s="87"/>
      <c r="F45" s="87"/>
      <c r="G45" s="87"/>
      <c r="H45" s="87"/>
      <c r="I45" s="87"/>
      <c r="J45" s="87"/>
      <c r="K45" s="87"/>
      <c r="L45" s="87"/>
      <c r="M45" s="87"/>
      <c r="N45" s="87"/>
      <c r="O45" s="87"/>
    </row>
    <row r="46" spans="1:15" s="23" customFormat="1" ht="20.399999999999999" x14ac:dyDescent="0.3">
      <c r="A46" s="87"/>
      <c r="B46" s="87"/>
      <c r="C46" s="142"/>
      <c r="D46" s="142"/>
      <c r="E46" s="87"/>
      <c r="F46" s="87"/>
      <c r="G46" s="87"/>
      <c r="H46" s="87"/>
      <c r="I46" s="87"/>
      <c r="J46" s="87"/>
      <c r="K46" s="87"/>
      <c r="L46" s="87"/>
      <c r="M46" s="87"/>
      <c r="N46" s="87"/>
      <c r="O46" s="87"/>
    </row>
    <row r="47" spans="1:15" s="23" customFormat="1" ht="20.399999999999999" x14ac:dyDescent="0.3">
      <c r="A47" s="87"/>
      <c r="B47" s="87"/>
      <c r="C47" s="142"/>
      <c r="D47" s="142"/>
      <c r="E47" s="87"/>
      <c r="F47" s="87"/>
      <c r="G47" s="87"/>
      <c r="H47" s="87"/>
      <c r="I47" s="87"/>
      <c r="J47" s="87"/>
      <c r="K47" s="87"/>
      <c r="L47" s="87"/>
      <c r="M47" s="87"/>
      <c r="N47" s="87"/>
      <c r="O47" s="87"/>
    </row>
    <row r="48" spans="1:15" s="23" customFormat="1" ht="20.399999999999999" x14ac:dyDescent="0.3">
      <c r="A48" s="87"/>
      <c r="B48" s="87"/>
      <c r="C48" s="142"/>
      <c r="D48" s="142"/>
      <c r="E48" s="87"/>
      <c r="F48" s="87"/>
      <c r="G48" s="87"/>
      <c r="H48" s="87"/>
      <c r="I48" s="87"/>
      <c r="J48" s="87"/>
      <c r="K48" s="87"/>
      <c r="L48" s="87"/>
      <c r="M48" s="87"/>
      <c r="N48" s="87"/>
      <c r="O48" s="87"/>
    </row>
    <row r="49" spans="1:15" s="23" customFormat="1" ht="20.399999999999999" x14ac:dyDescent="0.3">
      <c r="A49" s="87"/>
      <c r="B49" s="87"/>
      <c r="C49" s="142"/>
      <c r="D49" s="142"/>
      <c r="E49" s="87"/>
      <c r="F49" s="87"/>
      <c r="G49" s="87"/>
      <c r="H49" s="87"/>
      <c r="I49" s="87"/>
      <c r="J49" s="87"/>
      <c r="K49" s="87"/>
      <c r="L49" s="87"/>
      <c r="M49" s="87"/>
      <c r="N49" s="87"/>
      <c r="O49" s="87"/>
    </row>
    <row r="50" spans="1:15" s="23" customFormat="1" ht="20.399999999999999" x14ac:dyDescent="0.3">
      <c r="A50" s="87"/>
      <c r="B50" s="87"/>
      <c r="C50" s="142"/>
      <c r="D50" s="142"/>
      <c r="E50" s="87"/>
      <c r="F50" s="87"/>
      <c r="G50" s="87"/>
      <c r="H50" s="87"/>
      <c r="I50" s="87"/>
      <c r="J50" s="87"/>
      <c r="K50" s="87"/>
      <c r="L50" s="87"/>
      <c r="M50" s="87"/>
      <c r="N50" s="87"/>
      <c r="O50" s="87"/>
    </row>
    <row r="51" spans="1:15" s="23" customFormat="1" ht="20.399999999999999" x14ac:dyDescent="0.3">
      <c r="A51" s="87"/>
      <c r="B51" s="87"/>
      <c r="C51" s="142"/>
      <c r="D51" s="142"/>
      <c r="E51" s="87"/>
      <c r="F51" s="87"/>
      <c r="G51" s="87"/>
      <c r="H51" s="87"/>
      <c r="I51" s="87"/>
      <c r="J51" s="87"/>
      <c r="K51" s="87"/>
      <c r="L51" s="87"/>
      <c r="M51" s="87"/>
      <c r="N51" s="87"/>
      <c r="O51" s="87"/>
    </row>
    <row r="52" spans="1:15" s="23" customFormat="1" ht="20.399999999999999" x14ac:dyDescent="0.3">
      <c r="A52" s="87"/>
      <c r="C52" s="144"/>
      <c r="D52" s="144"/>
    </row>
    <row r="53" spans="1:15" s="23" customFormat="1" ht="20.399999999999999" x14ac:dyDescent="0.3">
      <c r="A53" s="87"/>
      <c r="C53" s="144"/>
      <c r="D53" s="144"/>
    </row>
    <row r="54" spans="1:15" s="23" customFormat="1" ht="20.399999999999999" x14ac:dyDescent="0.3">
      <c r="A54" s="87"/>
      <c r="C54" s="144"/>
      <c r="D54" s="144"/>
    </row>
    <row r="55" spans="1:15" s="23" customFormat="1" ht="20.399999999999999" x14ac:dyDescent="0.3">
      <c r="A55" s="87"/>
      <c r="C55" s="144"/>
      <c r="D55" s="144"/>
    </row>
    <row r="56" spans="1:15" s="23" customFormat="1" ht="20.399999999999999" x14ac:dyDescent="0.3">
      <c r="A56" s="87"/>
      <c r="C56" s="144"/>
      <c r="D56" s="144"/>
    </row>
    <row r="57" spans="1:15" s="23" customFormat="1" ht="20.399999999999999" x14ac:dyDescent="0.3">
      <c r="A57" s="87"/>
      <c r="C57" s="144"/>
      <c r="D57" s="144"/>
    </row>
    <row r="58" spans="1:15" s="23" customFormat="1" ht="20.399999999999999" x14ac:dyDescent="0.3">
      <c r="A58" s="87"/>
      <c r="C58" s="144"/>
      <c r="D58" s="144"/>
    </row>
    <row r="59" spans="1:15" s="23" customFormat="1" ht="20.399999999999999" x14ac:dyDescent="0.3">
      <c r="A59" s="87"/>
      <c r="C59" s="144"/>
      <c r="D59" s="144"/>
    </row>
    <row r="60" spans="1:15" s="23" customFormat="1" ht="20.399999999999999" x14ac:dyDescent="0.3">
      <c r="A60" s="87"/>
      <c r="C60" s="144"/>
      <c r="D60" s="144"/>
    </row>
    <row r="61" spans="1:15" s="23" customFormat="1" ht="20.399999999999999" x14ac:dyDescent="0.3">
      <c r="A61" s="87"/>
      <c r="C61" s="144"/>
      <c r="D61" s="144"/>
    </row>
    <row r="62" spans="1:15" s="23" customFormat="1" ht="20.399999999999999" x14ac:dyDescent="0.3">
      <c r="A62" s="87"/>
      <c r="C62" s="144"/>
      <c r="D62" s="144"/>
    </row>
    <row r="63" spans="1:15" s="23" customFormat="1" ht="20.399999999999999" x14ac:dyDescent="0.3">
      <c r="A63" s="87"/>
      <c r="C63" s="144"/>
      <c r="D63" s="144"/>
    </row>
    <row r="64" spans="1:15" s="23" customFormat="1" ht="20.399999999999999" x14ac:dyDescent="0.3">
      <c r="A64" s="87"/>
      <c r="C64" s="144"/>
      <c r="D64" s="144"/>
    </row>
    <row r="65" spans="1:4" s="23" customFormat="1" ht="20.399999999999999" x14ac:dyDescent="0.3">
      <c r="A65" s="87"/>
      <c r="C65" s="144"/>
      <c r="D65" s="144"/>
    </row>
    <row r="66" spans="1:4" s="23" customFormat="1" ht="20.399999999999999" x14ac:dyDescent="0.3">
      <c r="A66" s="87"/>
      <c r="C66" s="144"/>
      <c r="D66" s="144"/>
    </row>
    <row r="67" spans="1:4" s="23" customFormat="1" ht="20.399999999999999" x14ac:dyDescent="0.3">
      <c r="A67" s="87"/>
      <c r="C67" s="144"/>
      <c r="D67" s="144"/>
    </row>
    <row r="68" spans="1:4" s="23" customFormat="1" ht="20.399999999999999" x14ac:dyDescent="0.3">
      <c r="A68" s="87"/>
      <c r="C68" s="144"/>
      <c r="D68" s="144"/>
    </row>
    <row r="69" spans="1:4" s="23" customFormat="1" ht="20.399999999999999" x14ac:dyDescent="0.3">
      <c r="A69" s="87"/>
      <c r="C69" s="144"/>
      <c r="D69" s="144"/>
    </row>
    <row r="70" spans="1:4" s="23" customFormat="1" ht="20.399999999999999" x14ac:dyDescent="0.3">
      <c r="A70" s="87"/>
      <c r="C70" s="144"/>
      <c r="D70" s="144"/>
    </row>
    <row r="71" spans="1:4" s="23" customFormat="1" ht="20.399999999999999" x14ac:dyDescent="0.3">
      <c r="A71" s="87"/>
      <c r="C71" s="144"/>
      <c r="D71" s="144"/>
    </row>
    <row r="72" spans="1:4" s="23" customFormat="1" ht="20.399999999999999" x14ac:dyDescent="0.3">
      <c r="A72" s="87"/>
      <c r="C72" s="144"/>
      <c r="D72" s="144"/>
    </row>
    <row r="73" spans="1:4" s="23" customFormat="1" ht="20.399999999999999" x14ac:dyDescent="0.3">
      <c r="A73" s="87"/>
      <c r="C73" s="144"/>
      <c r="D73" s="144"/>
    </row>
    <row r="74" spans="1:4" s="23" customFormat="1" ht="20.399999999999999" x14ac:dyDescent="0.3">
      <c r="A74" s="87"/>
      <c r="C74" s="144"/>
      <c r="D74" s="144"/>
    </row>
    <row r="75" spans="1:4" s="23" customFormat="1" ht="20.399999999999999" x14ac:dyDescent="0.3">
      <c r="A75" s="87"/>
      <c r="C75" s="144"/>
      <c r="D75" s="144"/>
    </row>
    <row r="76" spans="1:4" s="23" customFormat="1" ht="20.399999999999999" x14ac:dyDescent="0.3">
      <c r="A76" s="87"/>
      <c r="C76" s="144"/>
      <c r="D76" s="144"/>
    </row>
    <row r="77" spans="1:4" s="23" customFormat="1" ht="20.399999999999999" x14ac:dyDescent="0.3">
      <c r="A77" s="87"/>
      <c r="C77" s="144"/>
      <c r="D77" s="144"/>
    </row>
    <row r="78" spans="1:4" s="23" customFormat="1" ht="20.399999999999999" x14ac:dyDescent="0.3">
      <c r="A78" s="87"/>
      <c r="C78" s="144"/>
      <c r="D78" s="144"/>
    </row>
    <row r="79" spans="1:4" s="23" customFormat="1" ht="20.399999999999999" x14ac:dyDescent="0.3">
      <c r="A79" s="87"/>
      <c r="C79" s="144"/>
      <c r="D79" s="144"/>
    </row>
    <row r="80" spans="1:4" s="23" customFormat="1" ht="20.399999999999999" x14ac:dyDescent="0.3">
      <c r="A80" s="87"/>
      <c r="C80" s="144"/>
      <c r="D80" s="144"/>
    </row>
    <row r="81" spans="1:4" s="23" customFormat="1" ht="20.399999999999999" x14ac:dyDescent="0.3">
      <c r="A81" s="87"/>
      <c r="C81" s="144"/>
      <c r="D81" s="144"/>
    </row>
    <row r="82" spans="1:4" s="23" customFormat="1" ht="20.399999999999999" x14ac:dyDescent="0.3">
      <c r="A82" s="87"/>
      <c r="C82" s="144"/>
      <c r="D82" s="144"/>
    </row>
    <row r="83" spans="1:4" s="23" customFormat="1" ht="20.399999999999999" x14ac:dyDescent="0.3">
      <c r="A83" s="87"/>
      <c r="C83" s="144"/>
      <c r="D83" s="144"/>
    </row>
    <row r="84" spans="1:4" s="23" customFormat="1" ht="20.399999999999999" x14ac:dyDescent="0.3">
      <c r="A84" s="87"/>
      <c r="C84" s="144"/>
      <c r="D84" s="144"/>
    </row>
    <row r="85" spans="1:4" s="23" customFormat="1" ht="20.399999999999999" x14ac:dyDescent="0.3">
      <c r="A85" s="87"/>
      <c r="C85" s="144"/>
      <c r="D85" s="144"/>
    </row>
    <row r="86" spans="1:4" s="23" customFormat="1" ht="20.399999999999999" x14ac:dyDescent="0.3">
      <c r="A86" s="87"/>
      <c r="C86" s="144"/>
      <c r="D86" s="144"/>
    </row>
    <row r="87" spans="1:4" s="23" customFormat="1" ht="20.399999999999999" x14ac:dyDescent="0.3">
      <c r="A87" s="87"/>
      <c r="C87" s="144"/>
      <c r="D87" s="144"/>
    </row>
    <row r="88" spans="1:4" s="23" customFormat="1" ht="20.399999999999999" x14ac:dyDescent="0.3">
      <c r="A88" s="87"/>
      <c r="C88" s="144"/>
      <c r="D88" s="144"/>
    </row>
    <row r="89" spans="1:4" s="23" customFormat="1" ht="20.399999999999999" x14ac:dyDescent="0.3">
      <c r="A89" s="87"/>
      <c r="C89" s="144"/>
      <c r="D89" s="144"/>
    </row>
    <row r="90" spans="1:4" s="23" customFormat="1" ht="20.399999999999999" x14ac:dyDescent="0.3">
      <c r="A90" s="87"/>
      <c r="C90" s="144"/>
      <c r="D90" s="144"/>
    </row>
    <row r="91" spans="1:4" s="23" customFormat="1" ht="20.399999999999999" x14ac:dyDescent="0.3">
      <c r="A91" s="87"/>
      <c r="C91" s="144"/>
      <c r="D91" s="144"/>
    </row>
    <row r="92" spans="1:4" s="23" customFormat="1" ht="20.399999999999999" x14ac:dyDescent="0.3">
      <c r="A92" s="87"/>
      <c r="C92" s="144"/>
      <c r="D92" s="144"/>
    </row>
    <row r="93" spans="1:4" s="23" customFormat="1" ht="20.399999999999999" x14ac:dyDescent="0.3">
      <c r="A93" s="87"/>
      <c r="C93" s="144"/>
      <c r="D93" s="144"/>
    </row>
    <row r="94" spans="1:4" s="23" customFormat="1" ht="20.399999999999999" x14ac:dyDescent="0.3">
      <c r="A94" s="87"/>
      <c r="C94" s="144"/>
      <c r="D94" s="144"/>
    </row>
    <row r="95" spans="1:4" s="23" customFormat="1" ht="20.399999999999999" x14ac:dyDescent="0.3">
      <c r="A95" s="87"/>
      <c r="C95" s="144"/>
      <c r="D95" s="144"/>
    </row>
    <row r="96" spans="1:4" s="23" customFormat="1" ht="20.399999999999999" x14ac:dyDescent="0.3">
      <c r="A96" s="87"/>
      <c r="C96" s="144"/>
      <c r="D96" s="144"/>
    </row>
    <row r="97" spans="1:4" s="23" customFormat="1" ht="20.399999999999999" x14ac:dyDescent="0.3">
      <c r="A97" s="87"/>
      <c r="C97" s="144"/>
      <c r="D97" s="144"/>
    </row>
    <row r="98" spans="1:4" s="23" customFormat="1" ht="20.399999999999999" x14ac:dyDescent="0.3">
      <c r="A98" s="87"/>
      <c r="C98" s="144"/>
      <c r="D98" s="144"/>
    </row>
    <row r="99" spans="1:4" s="23" customFormat="1" ht="20.399999999999999" x14ac:dyDescent="0.3">
      <c r="A99" s="87"/>
      <c r="C99" s="144"/>
      <c r="D99" s="144"/>
    </row>
    <row r="100" spans="1:4" s="23" customFormat="1" ht="20.399999999999999" x14ac:dyDescent="0.3">
      <c r="A100" s="87"/>
      <c r="C100" s="144"/>
      <c r="D100" s="144"/>
    </row>
    <row r="101" spans="1:4" s="23" customFormat="1" ht="20.399999999999999" x14ac:dyDescent="0.3">
      <c r="A101" s="87"/>
      <c r="C101" s="144"/>
      <c r="D101" s="144"/>
    </row>
    <row r="102" spans="1:4" s="23" customFormat="1" ht="20.399999999999999" x14ac:dyDescent="0.3">
      <c r="A102" s="87"/>
      <c r="C102" s="144"/>
      <c r="D102" s="144"/>
    </row>
    <row r="103" spans="1:4" s="23" customFormat="1" ht="20.399999999999999" x14ac:dyDescent="0.3">
      <c r="A103" s="87"/>
      <c r="C103" s="144"/>
      <c r="D103" s="144"/>
    </row>
    <row r="104" spans="1:4" s="23" customFormat="1" ht="20.399999999999999" x14ac:dyDescent="0.3">
      <c r="A104" s="87"/>
      <c r="C104" s="144"/>
      <c r="D104" s="144"/>
    </row>
    <row r="105" spans="1:4" s="23" customFormat="1" ht="20.399999999999999" x14ac:dyDescent="0.3">
      <c r="A105" s="87"/>
      <c r="C105" s="144"/>
      <c r="D105" s="144"/>
    </row>
    <row r="106" spans="1:4" s="23" customFormat="1" ht="20.399999999999999" x14ac:dyDescent="0.3">
      <c r="A106" s="87"/>
      <c r="C106" s="144"/>
      <c r="D106" s="144"/>
    </row>
    <row r="107" spans="1:4" s="23" customFormat="1" ht="20.399999999999999" x14ac:dyDescent="0.3">
      <c r="A107" s="87"/>
      <c r="C107" s="144"/>
      <c r="D107" s="144"/>
    </row>
    <row r="108" spans="1:4" s="23" customFormat="1" ht="20.399999999999999" x14ac:dyDescent="0.3">
      <c r="A108" s="87"/>
      <c r="C108" s="144"/>
      <c r="D108" s="144"/>
    </row>
    <row r="109" spans="1:4" s="23" customFormat="1" ht="20.399999999999999" x14ac:dyDescent="0.3">
      <c r="A109" s="87"/>
      <c r="C109" s="144"/>
      <c r="D109" s="144"/>
    </row>
    <row r="110" spans="1:4" s="23" customFormat="1" ht="20.399999999999999" x14ac:dyDescent="0.3">
      <c r="A110" s="87"/>
      <c r="C110" s="144"/>
      <c r="D110" s="144"/>
    </row>
    <row r="111" spans="1:4" s="23" customFormat="1" ht="20.399999999999999" x14ac:dyDescent="0.3">
      <c r="A111" s="87"/>
      <c r="C111" s="144"/>
      <c r="D111" s="144"/>
    </row>
    <row r="112" spans="1:4" s="23" customFormat="1" ht="20.399999999999999" x14ac:dyDescent="0.3">
      <c r="A112" s="87"/>
      <c r="C112" s="144"/>
      <c r="D112" s="144"/>
    </row>
    <row r="113" spans="1:4" s="23" customFormat="1" ht="20.399999999999999" x14ac:dyDescent="0.3">
      <c r="A113" s="87"/>
      <c r="C113" s="144"/>
      <c r="D113" s="144"/>
    </row>
    <row r="114" spans="1:4" s="23" customFormat="1" ht="20.399999999999999" x14ac:dyDescent="0.3">
      <c r="A114" s="87"/>
      <c r="C114" s="144"/>
      <c r="D114" s="144"/>
    </row>
    <row r="115" spans="1:4" s="23" customFormat="1" ht="20.399999999999999" x14ac:dyDescent="0.3">
      <c r="A115" s="87"/>
      <c r="C115" s="144"/>
      <c r="D115" s="144"/>
    </row>
    <row r="116" spans="1:4" s="23" customFormat="1" ht="20.399999999999999" x14ac:dyDescent="0.3">
      <c r="A116" s="87"/>
      <c r="C116" s="144"/>
      <c r="D116" s="144"/>
    </row>
    <row r="117" spans="1:4" s="23" customFormat="1" ht="20.399999999999999" x14ac:dyDescent="0.3">
      <c r="A117" s="87"/>
      <c r="C117" s="144"/>
      <c r="D117" s="144"/>
    </row>
    <row r="118" spans="1:4" s="23" customFormat="1" ht="20.399999999999999" x14ac:dyDescent="0.3">
      <c r="A118" s="87"/>
      <c r="C118" s="144"/>
      <c r="D118" s="144"/>
    </row>
    <row r="119" spans="1:4" s="23" customFormat="1" ht="20.399999999999999" x14ac:dyDescent="0.3">
      <c r="A119" s="87"/>
      <c r="C119" s="144"/>
      <c r="D119" s="144"/>
    </row>
    <row r="120" spans="1:4" s="23" customFormat="1" ht="20.399999999999999" x14ac:dyDescent="0.3">
      <c r="A120" s="87"/>
      <c r="C120" s="144"/>
      <c r="D120" s="144"/>
    </row>
    <row r="121" spans="1:4" s="23" customFormat="1" ht="20.399999999999999" x14ac:dyDescent="0.3">
      <c r="A121" s="87"/>
      <c r="C121" s="144"/>
      <c r="D121" s="144"/>
    </row>
    <row r="122" spans="1:4" s="23" customFormat="1" ht="20.399999999999999" x14ac:dyDescent="0.3">
      <c r="A122" s="87"/>
      <c r="C122" s="144"/>
      <c r="D122" s="144"/>
    </row>
    <row r="123" spans="1:4" s="23" customFormat="1" ht="20.399999999999999" x14ac:dyDescent="0.3">
      <c r="A123" s="87"/>
      <c r="C123" s="144"/>
      <c r="D123" s="144"/>
    </row>
    <row r="124" spans="1:4" s="23" customFormat="1" ht="20.399999999999999" x14ac:dyDescent="0.3">
      <c r="A124" s="87"/>
      <c r="C124" s="144"/>
      <c r="D124" s="144"/>
    </row>
    <row r="125" spans="1:4" s="23" customFormat="1" ht="20.399999999999999" x14ac:dyDescent="0.3">
      <c r="A125" s="87"/>
      <c r="C125" s="144"/>
      <c r="D125" s="144"/>
    </row>
    <row r="126" spans="1:4" s="23" customFormat="1" ht="20.399999999999999" x14ac:dyDescent="0.3">
      <c r="A126" s="87"/>
      <c r="C126" s="144"/>
      <c r="D126" s="144"/>
    </row>
    <row r="127" spans="1:4" s="23" customFormat="1" ht="20.399999999999999" x14ac:dyDescent="0.3">
      <c r="A127" s="87"/>
      <c r="C127" s="144"/>
      <c r="D127" s="144"/>
    </row>
    <row r="128" spans="1:4" s="23" customFormat="1" ht="20.399999999999999" x14ac:dyDescent="0.3">
      <c r="A128" s="87"/>
      <c r="C128" s="144"/>
      <c r="D128" s="144"/>
    </row>
    <row r="129" spans="1:4" s="23" customFormat="1" ht="20.399999999999999" x14ac:dyDescent="0.3">
      <c r="A129" s="87"/>
      <c r="C129" s="144"/>
      <c r="D129" s="144"/>
    </row>
    <row r="130" spans="1:4" s="23" customFormat="1" ht="20.399999999999999" x14ac:dyDescent="0.3">
      <c r="A130" s="87"/>
      <c r="C130" s="144"/>
      <c r="D130" s="144"/>
    </row>
    <row r="131" spans="1:4" s="23" customFormat="1" ht="20.399999999999999" x14ac:dyDescent="0.3">
      <c r="A131" s="87"/>
      <c r="C131" s="144"/>
      <c r="D131" s="144"/>
    </row>
    <row r="132" spans="1:4" s="23" customFormat="1" ht="20.399999999999999" x14ac:dyDescent="0.3">
      <c r="A132" s="87"/>
      <c r="C132" s="144"/>
      <c r="D132" s="144"/>
    </row>
    <row r="133" spans="1:4" s="23" customFormat="1" ht="20.399999999999999" x14ac:dyDescent="0.3">
      <c r="A133" s="87"/>
      <c r="C133" s="144"/>
      <c r="D133" s="144"/>
    </row>
    <row r="134" spans="1:4" s="23" customFormat="1" ht="20.399999999999999" x14ac:dyDescent="0.3">
      <c r="A134" s="87"/>
      <c r="C134" s="144"/>
      <c r="D134" s="144"/>
    </row>
    <row r="135" spans="1:4" s="23" customFormat="1" ht="20.399999999999999" x14ac:dyDescent="0.3">
      <c r="A135" s="87"/>
      <c r="C135" s="144"/>
      <c r="D135" s="144"/>
    </row>
    <row r="136" spans="1:4" s="23" customFormat="1" ht="20.399999999999999" x14ac:dyDescent="0.3">
      <c r="A136" s="87"/>
      <c r="C136" s="144"/>
      <c r="D136" s="144"/>
    </row>
    <row r="137" spans="1:4" s="23" customFormat="1" ht="20.399999999999999" x14ac:dyDescent="0.3">
      <c r="A137" s="87"/>
      <c r="C137" s="144"/>
      <c r="D137" s="144"/>
    </row>
    <row r="138" spans="1:4" s="23" customFormat="1" ht="20.399999999999999" x14ac:dyDescent="0.3">
      <c r="A138" s="87"/>
      <c r="C138" s="144"/>
      <c r="D138" s="144"/>
    </row>
    <row r="139" spans="1:4" s="23" customFormat="1" ht="20.399999999999999" x14ac:dyDescent="0.3">
      <c r="A139" s="87"/>
      <c r="C139" s="144"/>
      <c r="D139" s="144"/>
    </row>
    <row r="140" spans="1:4" s="23" customFormat="1" ht="20.399999999999999" x14ac:dyDescent="0.3">
      <c r="A140" s="87"/>
      <c r="C140" s="144"/>
      <c r="D140" s="144"/>
    </row>
    <row r="141" spans="1:4" s="23" customFormat="1" ht="20.399999999999999" x14ac:dyDescent="0.3">
      <c r="A141" s="87"/>
      <c r="C141" s="144"/>
      <c r="D141" s="144"/>
    </row>
    <row r="142" spans="1:4" s="23" customFormat="1" ht="20.399999999999999" x14ac:dyDescent="0.3">
      <c r="A142" s="87"/>
      <c r="C142" s="144"/>
      <c r="D142" s="144"/>
    </row>
    <row r="143" spans="1:4" s="23" customFormat="1" ht="20.399999999999999" x14ac:dyDescent="0.3">
      <c r="A143" s="87"/>
      <c r="C143" s="144"/>
      <c r="D143" s="144"/>
    </row>
    <row r="144" spans="1:4" s="23" customFormat="1" ht="20.399999999999999" x14ac:dyDescent="0.3">
      <c r="A144" s="87"/>
      <c r="C144" s="144"/>
      <c r="D144" s="144"/>
    </row>
    <row r="145" spans="1:4" s="23" customFormat="1" ht="20.399999999999999" x14ac:dyDescent="0.3">
      <c r="A145" s="87"/>
      <c r="C145" s="144"/>
      <c r="D145" s="144"/>
    </row>
    <row r="146" spans="1:4" s="23" customFormat="1" ht="20.399999999999999" x14ac:dyDescent="0.3">
      <c r="A146" s="87"/>
      <c r="C146" s="144"/>
      <c r="D146" s="144"/>
    </row>
    <row r="147" spans="1:4" s="23" customFormat="1" ht="20.399999999999999" x14ac:dyDescent="0.3">
      <c r="A147" s="87"/>
      <c r="C147" s="144"/>
      <c r="D147" s="144"/>
    </row>
    <row r="148" spans="1:4" s="23" customFormat="1" ht="20.399999999999999" x14ac:dyDescent="0.3">
      <c r="A148" s="87"/>
      <c r="C148" s="144"/>
      <c r="D148" s="144"/>
    </row>
    <row r="149" spans="1:4" s="23" customFormat="1" ht="20.399999999999999" x14ac:dyDescent="0.3">
      <c r="A149" s="87"/>
      <c r="C149" s="144"/>
      <c r="D149" s="144"/>
    </row>
    <row r="150" spans="1:4" s="23" customFormat="1" ht="20.399999999999999" x14ac:dyDescent="0.3">
      <c r="A150" s="87"/>
      <c r="C150" s="144"/>
      <c r="D150" s="144"/>
    </row>
    <row r="151" spans="1:4" s="23" customFormat="1" ht="20.399999999999999" x14ac:dyDescent="0.3">
      <c r="A151" s="87"/>
      <c r="C151" s="144"/>
      <c r="D151" s="144"/>
    </row>
    <row r="152" spans="1:4" s="23" customFormat="1" ht="20.399999999999999" x14ac:dyDescent="0.3">
      <c r="A152" s="87"/>
      <c r="C152" s="144"/>
      <c r="D152" s="144"/>
    </row>
    <row r="153" spans="1:4" s="23" customFormat="1" ht="20.399999999999999" x14ac:dyDescent="0.3">
      <c r="A153" s="87"/>
      <c r="C153" s="144"/>
      <c r="D153" s="144"/>
    </row>
    <row r="154" spans="1:4" s="23" customFormat="1" ht="20.399999999999999" x14ac:dyDescent="0.3">
      <c r="A154" s="87"/>
      <c r="C154" s="144"/>
      <c r="D154" s="144"/>
    </row>
    <row r="155" spans="1:4" s="23" customFormat="1" ht="20.399999999999999" x14ac:dyDescent="0.3">
      <c r="A155" s="87"/>
      <c r="C155" s="144"/>
      <c r="D155" s="144"/>
    </row>
    <row r="156" spans="1:4" s="23" customFormat="1" ht="20.399999999999999" x14ac:dyDescent="0.3">
      <c r="A156" s="87"/>
      <c r="C156" s="144"/>
      <c r="D156" s="144"/>
    </row>
    <row r="157" spans="1:4" s="23" customFormat="1" ht="20.399999999999999" x14ac:dyDescent="0.3">
      <c r="A157" s="87"/>
      <c r="C157" s="144"/>
      <c r="D157" s="144"/>
    </row>
    <row r="158" spans="1:4" s="23" customFormat="1" ht="20.399999999999999" x14ac:dyDescent="0.3">
      <c r="A158" s="87"/>
      <c r="C158" s="144"/>
      <c r="D158" s="144"/>
    </row>
    <row r="159" spans="1:4" s="23" customFormat="1" ht="20.399999999999999" x14ac:dyDescent="0.3">
      <c r="A159" s="87"/>
      <c r="C159" s="144"/>
      <c r="D159" s="144"/>
    </row>
    <row r="160" spans="1:4" s="23" customFormat="1" ht="20.399999999999999" x14ac:dyDescent="0.3">
      <c r="A160" s="87"/>
      <c r="C160" s="144"/>
      <c r="D160" s="144"/>
    </row>
    <row r="161" spans="1:4" s="23" customFormat="1" ht="20.399999999999999" x14ac:dyDescent="0.3">
      <c r="A161" s="87"/>
      <c r="C161" s="144"/>
      <c r="D161" s="144"/>
    </row>
    <row r="162" spans="1:4" s="23" customFormat="1" ht="20.399999999999999" x14ac:dyDescent="0.3">
      <c r="A162" s="87"/>
      <c r="C162" s="144"/>
      <c r="D162" s="144"/>
    </row>
    <row r="163" spans="1:4" s="23" customFormat="1" ht="20.399999999999999" x14ac:dyDescent="0.3">
      <c r="A163" s="87"/>
      <c r="C163" s="144"/>
      <c r="D163" s="144"/>
    </row>
    <row r="164" spans="1:4" s="23" customFormat="1" ht="20.399999999999999" x14ac:dyDescent="0.3">
      <c r="A164" s="87"/>
      <c r="C164" s="144"/>
      <c r="D164" s="144"/>
    </row>
    <row r="165" spans="1:4" s="23" customFormat="1" ht="20.399999999999999" x14ac:dyDescent="0.3">
      <c r="A165" s="87"/>
      <c r="C165" s="144"/>
      <c r="D165" s="144"/>
    </row>
    <row r="166" spans="1:4" s="23" customFormat="1" ht="20.399999999999999" x14ac:dyDescent="0.3">
      <c r="A166" s="87"/>
      <c r="C166" s="144"/>
      <c r="D166" s="144"/>
    </row>
    <row r="167" spans="1:4" s="23" customFormat="1" ht="20.399999999999999" x14ac:dyDescent="0.3">
      <c r="A167" s="87"/>
      <c r="C167" s="144"/>
      <c r="D167" s="144"/>
    </row>
    <row r="168" spans="1:4" s="23" customFormat="1" ht="20.399999999999999" x14ac:dyDescent="0.3">
      <c r="A168" s="87"/>
      <c r="C168" s="144"/>
      <c r="D168" s="144"/>
    </row>
    <row r="169" spans="1:4" s="23" customFormat="1" ht="20.399999999999999" x14ac:dyDescent="0.3">
      <c r="A169" s="87"/>
      <c r="C169" s="144"/>
      <c r="D169" s="144"/>
    </row>
    <row r="170" spans="1:4" s="23" customFormat="1" ht="20.399999999999999" x14ac:dyDescent="0.3">
      <c r="A170" s="87"/>
      <c r="C170" s="144"/>
      <c r="D170" s="144"/>
    </row>
    <row r="171" spans="1:4" s="23" customFormat="1" ht="20.399999999999999" x14ac:dyDescent="0.3">
      <c r="A171" s="87"/>
      <c r="C171" s="144"/>
      <c r="D171" s="144"/>
    </row>
    <row r="172" spans="1:4" s="23" customFormat="1" ht="20.399999999999999" x14ac:dyDescent="0.3">
      <c r="A172" s="87"/>
      <c r="C172" s="144"/>
      <c r="D172" s="144"/>
    </row>
    <row r="173" spans="1:4" s="23" customFormat="1" ht="20.399999999999999" x14ac:dyDescent="0.3">
      <c r="A173" s="87"/>
      <c r="C173" s="144"/>
      <c r="D173" s="144"/>
    </row>
    <row r="174" spans="1:4" s="23" customFormat="1" ht="20.399999999999999" x14ac:dyDescent="0.3">
      <c r="A174" s="87"/>
      <c r="C174" s="144"/>
      <c r="D174" s="144"/>
    </row>
    <row r="175" spans="1:4" s="23" customFormat="1" ht="20.399999999999999" x14ac:dyDescent="0.3">
      <c r="A175" s="87"/>
      <c r="C175" s="144"/>
      <c r="D175" s="144"/>
    </row>
    <row r="176" spans="1:4" s="23" customFormat="1" ht="20.399999999999999" x14ac:dyDescent="0.3">
      <c r="A176" s="87"/>
      <c r="C176" s="144"/>
      <c r="D176" s="144"/>
    </row>
    <row r="177" spans="1:4" s="23" customFormat="1" ht="20.399999999999999" x14ac:dyDescent="0.3">
      <c r="A177" s="87"/>
      <c r="C177" s="144"/>
      <c r="D177" s="144"/>
    </row>
    <row r="178" spans="1:4" s="23" customFormat="1" ht="20.399999999999999" x14ac:dyDescent="0.3">
      <c r="A178" s="87"/>
      <c r="C178" s="144"/>
      <c r="D178" s="144"/>
    </row>
    <row r="179" spans="1:4" s="23" customFormat="1" ht="20.399999999999999" x14ac:dyDescent="0.3">
      <c r="A179" s="87"/>
      <c r="C179" s="144"/>
      <c r="D179" s="144"/>
    </row>
    <row r="180" spans="1:4" s="23" customFormat="1" ht="20.399999999999999" x14ac:dyDescent="0.3">
      <c r="A180" s="87"/>
      <c r="C180" s="144"/>
      <c r="D180" s="144"/>
    </row>
    <row r="181" spans="1:4" s="23" customFormat="1" ht="20.399999999999999" x14ac:dyDescent="0.3">
      <c r="A181" s="87"/>
      <c r="C181" s="144"/>
      <c r="D181" s="144"/>
    </row>
    <row r="182" spans="1:4" s="23" customFormat="1" ht="20.399999999999999" x14ac:dyDescent="0.3">
      <c r="A182" s="87"/>
      <c r="C182" s="144"/>
      <c r="D182" s="144"/>
    </row>
    <row r="183" spans="1:4" s="23" customFormat="1" ht="20.399999999999999" x14ac:dyDescent="0.3">
      <c r="A183" s="87"/>
      <c r="C183" s="144"/>
      <c r="D183" s="144"/>
    </row>
    <row r="184" spans="1:4" s="23" customFormat="1" ht="20.399999999999999" x14ac:dyDescent="0.3">
      <c r="A184" s="87"/>
      <c r="C184" s="144"/>
      <c r="D184" s="144"/>
    </row>
    <row r="185" spans="1:4" s="23" customFormat="1" ht="20.399999999999999" x14ac:dyDescent="0.3">
      <c r="A185" s="87"/>
      <c r="C185" s="144"/>
      <c r="D185" s="144"/>
    </row>
    <row r="186" spans="1:4" s="23" customFormat="1" ht="20.399999999999999" x14ac:dyDescent="0.3">
      <c r="A186" s="87"/>
      <c r="C186" s="144"/>
      <c r="D186" s="144"/>
    </row>
    <row r="187" spans="1:4" s="23" customFormat="1" ht="20.399999999999999" x14ac:dyDescent="0.3">
      <c r="A187" s="87"/>
      <c r="C187" s="144"/>
      <c r="D187" s="144"/>
    </row>
    <row r="188" spans="1:4" s="23" customFormat="1" ht="20.399999999999999" x14ac:dyDescent="0.3">
      <c r="A188" s="87"/>
      <c r="C188" s="144"/>
      <c r="D188" s="144"/>
    </row>
    <row r="189" spans="1:4" s="23" customFormat="1" ht="20.399999999999999" x14ac:dyDescent="0.3">
      <c r="A189" s="87"/>
      <c r="C189" s="144"/>
      <c r="D189" s="144"/>
    </row>
    <row r="190" spans="1:4" s="23" customFormat="1" ht="20.399999999999999" x14ac:dyDescent="0.3">
      <c r="A190" s="87"/>
      <c r="C190" s="144"/>
      <c r="D190" s="144"/>
    </row>
    <row r="191" spans="1:4" s="23" customFormat="1" ht="20.399999999999999" x14ac:dyDescent="0.3">
      <c r="A191" s="87"/>
      <c r="C191" s="144"/>
      <c r="D191" s="144"/>
    </row>
    <row r="192" spans="1:4" s="23" customFormat="1" ht="20.399999999999999" x14ac:dyDescent="0.3">
      <c r="A192" s="87"/>
      <c r="C192" s="144"/>
      <c r="D192" s="144"/>
    </row>
    <row r="193" spans="1:4" s="23" customFormat="1" ht="20.399999999999999" x14ac:dyDescent="0.3">
      <c r="A193" s="87"/>
      <c r="C193" s="144"/>
      <c r="D193" s="144"/>
    </row>
    <row r="194" spans="1:4" s="23" customFormat="1" ht="20.399999999999999" x14ac:dyDescent="0.3">
      <c r="A194" s="87"/>
      <c r="C194" s="144"/>
      <c r="D194" s="144"/>
    </row>
    <row r="195" spans="1:4" s="23" customFormat="1" ht="20.399999999999999" x14ac:dyDescent="0.3">
      <c r="A195" s="87"/>
      <c r="C195" s="144"/>
      <c r="D195" s="144"/>
    </row>
    <row r="196" spans="1:4" s="23" customFormat="1" ht="20.399999999999999" x14ac:dyDescent="0.3">
      <c r="A196" s="87"/>
      <c r="C196" s="144"/>
      <c r="D196" s="144"/>
    </row>
    <row r="197" spans="1:4" s="23" customFormat="1" ht="20.399999999999999" x14ac:dyDescent="0.3">
      <c r="A197" s="87"/>
      <c r="C197" s="144"/>
      <c r="D197" s="144"/>
    </row>
    <row r="198" spans="1:4" s="23" customFormat="1" ht="20.399999999999999" x14ac:dyDescent="0.3">
      <c r="A198" s="87"/>
      <c r="C198" s="144"/>
      <c r="D198" s="144"/>
    </row>
    <row r="199" spans="1:4" s="23" customFormat="1" ht="20.399999999999999" x14ac:dyDescent="0.3">
      <c r="A199" s="87"/>
      <c r="C199" s="144"/>
      <c r="D199" s="144"/>
    </row>
    <row r="200" spans="1:4" s="23" customFormat="1" ht="20.399999999999999" x14ac:dyDescent="0.3">
      <c r="A200" s="87"/>
      <c r="C200" s="144"/>
      <c r="D200" s="144"/>
    </row>
    <row r="201" spans="1:4" s="23" customFormat="1" ht="20.399999999999999" x14ac:dyDescent="0.3">
      <c r="A201" s="87"/>
      <c r="C201" s="144"/>
      <c r="D201" s="144"/>
    </row>
    <row r="202" spans="1:4" s="23" customFormat="1" ht="20.399999999999999" x14ac:dyDescent="0.3">
      <c r="A202" s="87"/>
      <c r="C202" s="144"/>
      <c r="D202" s="144"/>
    </row>
    <row r="203" spans="1:4" s="23" customFormat="1" ht="20.399999999999999" x14ac:dyDescent="0.3">
      <c r="A203" s="87"/>
      <c r="C203" s="144"/>
      <c r="D203" s="144"/>
    </row>
    <row r="204" spans="1:4" s="23" customFormat="1" ht="20.399999999999999" x14ac:dyDescent="0.3">
      <c r="A204" s="87"/>
      <c r="C204" s="144"/>
      <c r="D204" s="144"/>
    </row>
    <row r="205" spans="1:4" s="23" customFormat="1" ht="20.399999999999999" x14ac:dyDescent="0.3">
      <c r="A205" s="87"/>
      <c r="C205" s="144"/>
      <c r="D205" s="144"/>
    </row>
    <row r="206" spans="1:4" s="23" customFormat="1" ht="20.399999999999999" x14ac:dyDescent="0.3">
      <c r="A206" s="87"/>
      <c r="C206" s="144"/>
      <c r="D206" s="144"/>
    </row>
    <row r="207" spans="1:4" s="23" customFormat="1" ht="20.399999999999999" x14ac:dyDescent="0.3">
      <c r="A207" s="87"/>
      <c r="C207" s="144"/>
      <c r="D207" s="144"/>
    </row>
    <row r="208" spans="1:4" s="23" customFormat="1" x14ac:dyDescent="0.3">
      <c r="A208" s="87"/>
    </row>
    <row r="209" spans="1:8" s="23" customFormat="1" ht="20.399999999999999" x14ac:dyDescent="0.3">
      <c r="A209" s="87"/>
      <c r="B209" s="145" t="s">
        <v>87</v>
      </c>
      <c r="C209" s="145" t="s">
        <v>140</v>
      </c>
      <c r="D209" s="146" t="s">
        <v>87</v>
      </c>
      <c r="E209" s="146" t="s">
        <v>140</v>
      </c>
    </row>
    <row r="210" spans="1:8" s="23" customFormat="1" ht="42" x14ac:dyDescent="0.4">
      <c r="A210" s="87"/>
      <c r="B210" s="147" t="s">
        <v>89</v>
      </c>
      <c r="C210" s="147"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7" t="s">
        <v>89</v>
      </c>
      <c r="C211" s="147" t="s">
        <v>206</v>
      </c>
      <c r="E211" s="23" t="s">
        <v>205</v>
      </c>
      <c r="F211" s="23" t="str">
        <f t="shared" ref="F211:F221" si="0">IF(NOT(ISBLANK(D211)),D211,IF(NOT(ISBLANK(E211)),"     "&amp;E211,FALSE))</f>
        <v xml:space="preserve">     Afectación menor a 200 SMLMV</v>
      </c>
    </row>
    <row r="212" spans="1:8" s="23" customFormat="1" ht="42" x14ac:dyDescent="0.4">
      <c r="A212" s="87"/>
      <c r="B212" s="147" t="s">
        <v>89</v>
      </c>
      <c r="C212" s="147" t="s">
        <v>210</v>
      </c>
      <c r="E212" s="23" t="s">
        <v>206</v>
      </c>
      <c r="F212" s="23" t="str">
        <f t="shared" si="0"/>
        <v xml:space="preserve">     Entre 200 y 1000 SMLMV</v>
      </c>
    </row>
    <row r="213" spans="1:8" s="23" customFormat="1" ht="42" x14ac:dyDescent="0.4">
      <c r="A213" s="87"/>
      <c r="B213" s="147" t="s">
        <v>89</v>
      </c>
      <c r="C213" s="147" t="s">
        <v>211</v>
      </c>
      <c r="E213" s="23" t="s">
        <v>210</v>
      </c>
      <c r="F213" s="23" t="str">
        <f t="shared" si="0"/>
        <v xml:space="preserve">     Entre 1000 y 5000 SMLMV </v>
      </c>
    </row>
    <row r="214" spans="1:8" s="23" customFormat="1" ht="42" x14ac:dyDescent="0.4">
      <c r="A214" s="87"/>
      <c r="B214" s="147" t="s">
        <v>89</v>
      </c>
      <c r="C214" s="147" t="s">
        <v>207</v>
      </c>
      <c r="E214" s="23" t="s">
        <v>211</v>
      </c>
      <c r="F214" s="23" t="str">
        <f t="shared" si="0"/>
        <v xml:space="preserve">     Entre 5000 y 10000 SMLMV</v>
      </c>
    </row>
    <row r="215" spans="1:8" s="23" customFormat="1" ht="21" x14ac:dyDescent="0.4">
      <c r="A215" s="87"/>
      <c r="B215" s="147" t="s">
        <v>57</v>
      </c>
      <c r="C215" s="147" t="s">
        <v>92</v>
      </c>
      <c r="E215" s="23" t="s">
        <v>207</v>
      </c>
      <c r="F215" s="23" t="str">
        <f t="shared" si="0"/>
        <v xml:space="preserve">     Mayor a 10000 SMLMV</v>
      </c>
    </row>
    <row r="216" spans="1:8" s="23" customFormat="1" ht="63" x14ac:dyDescent="0.4">
      <c r="A216" s="87"/>
      <c r="B216" s="147" t="s">
        <v>57</v>
      </c>
      <c r="C216" s="147" t="s">
        <v>93</v>
      </c>
      <c r="D216" s="23" t="s">
        <v>57</v>
      </c>
      <c r="F216" s="23" t="str">
        <f t="shared" si="0"/>
        <v>Pérdida Reputacional</v>
      </c>
    </row>
    <row r="217" spans="1:8" s="23" customFormat="1" ht="42" x14ac:dyDescent="0.4">
      <c r="A217" s="87"/>
      <c r="B217" s="147" t="s">
        <v>57</v>
      </c>
      <c r="C217" s="147" t="s">
        <v>95</v>
      </c>
      <c r="E217" s="23" t="s">
        <v>92</v>
      </c>
      <c r="F217" s="23" t="str">
        <f>IF(NOT(ISBLANK(D217)),D217,IF(NOT(ISBLANK(E217)),"     "&amp;E217,FALSE))</f>
        <v xml:space="preserve">     El riesgo afecta la imagen de alguna área de la organización</v>
      </c>
    </row>
    <row r="218" spans="1:8" s="23" customFormat="1" ht="63" x14ac:dyDescent="0.4">
      <c r="A218" s="87"/>
      <c r="B218" s="147" t="s">
        <v>57</v>
      </c>
      <c r="C218" s="147"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7" t="s">
        <v>57</v>
      </c>
      <c r="C219" s="147"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8" t="s">
        <v>141</v>
      </c>
    </row>
    <row r="224" spans="1:8" s="23" customFormat="1" x14ac:dyDescent="0.3">
      <c r="F224" s="148" t="s">
        <v>142</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415" t="s">
        <v>77</v>
      </c>
      <c r="C1" s="416"/>
      <c r="D1" s="416"/>
      <c r="E1" s="416"/>
      <c r="F1" s="417"/>
    </row>
    <row r="2" spans="2:6" ht="16.2" thickBot="1" x14ac:dyDescent="0.35">
      <c r="B2" s="73"/>
      <c r="C2" s="73"/>
      <c r="D2" s="73"/>
      <c r="E2" s="73"/>
      <c r="F2" s="73"/>
    </row>
    <row r="3" spans="2:6" ht="16.2" thickBot="1" x14ac:dyDescent="0.35">
      <c r="B3" s="419" t="s">
        <v>63</v>
      </c>
      <c r="C3" s="420"/>
      <c r="D3" s="420"/>
      <c r="E3" s="85" t="s">
        <v>64</v>
      </c>
      <c r="F3" s="86" t="s">
        <v>65</v>
      </c>
    </row>
    <row r="4" spans="2:6" ht="31.2" x14ac:dyDescent="0.3">
      <c r="B4" s="421" t="s">
        <v>66</v>
      </c>
      <c r="C4" s="423" t="s">
        <v>13</v>
      </c>
      <c r="D4" s="74" t="s">
        <v>14</v>
      </c>
      <c r="E4" s="75" t="s">
        <v>67</v>
      </c>
      <c r="F4" s="76">
        <v>0.25</v>
      </c>
    </row>
    <row r="5" spans="2:6" ht="46.8" x14ac:dyDescent="0.3">
      <c r="B5" s="422"/>
      <c r="C5" s="424"/>
      <c r="D5" s="77" t="s">
        <v>15</v>
      </c>
      <c r="E5" s="78" t="s">
        <v>68</v>
      </c>
      <c r="F5" s="79">
        <v>0.15</v>
      </c>
    </row>
    <row r="6" spans="2:6" ht="46.8" x14ac:dyDescent="0.3">
      <c r="B6" s="422"/>
      <c r="C6" s="424"/>
      <c r="D6" s="77" t="s">
        <v>16</v>
      </c>
      <c r="E6" s="78" t="s">
        <v>69</v>
      </c>
      <c r="F6" s="79">
        <v>0.1</v>
      </c>
    </row>
    <row r="7" spans="2:6" ht="62.4" x14ac:dyDescent="0.3">
      <c r="B7" s="422"/>
      <c r="C7" s="424" t="s">
        <v>17</v>
      </c>
      <c r="D7" s="77" t="s">
        <v>10</v>
      </c>
      <c r="E7" s="78" t="s">
        <v>70</v>
      </c>
      <c r="F7" s="79">
        <v>0.25</v>
      </c>
    </row>
    <row r="8" spans="2:6" ht="31.2" x14ac:dyDescent="0.3">
      <c r="B8" s="422"/>
      <c r="C8" s="424"/>
      <c r="D8" s="77" t="s">
        <v>9</v>
      </c>
      <c r="E8" s="78" t="s">
        <v>71</v>
      </c>
      <c r="F8" s="79">
        <v>0.15</v>
      </c>
    </row>
    <row r="9" spans="2:6" ht="46.8" x14ac:dyDescent="0.3">
      <c r="B9" s="422" t="s">
        <v>151</v>
      </c>
      <c r="C9" s="424" t="s">
        <v>18</v>
      </c>
      <c r="D9" s="77" t="s">
        <v>19</v>
      </c>
      <c r="E9" s="78" t="s">
        <v>72</v>
      </c>
      <c r="F9" s="80" t="s">
        <v>73</v>
      </c>
    </row>
    <row r="10" spans="2:6" ht="46.8" x14ac:dyDescent="0.3">
      <c r="B10" s="422"/>
      <c r="C10" s="424"/>
      <c r="D10" s="77" t="s">
        <v>20</v>
      </c>
      <c r="E10" s="78" t="s">
        <v>74</v>
      </c>
      <c r="F10" s="80" t="s">
        <v>73</v>
      </c>
    </row>
    <row r="11" spans="2:6" ht="46.8" x14ac:dyDescent="0.3">
      <c r="B11" s="422"/>
      <c r="C11" s="424" t="s">
        <v>21</v>
      </c>
      <c r="D11" s="77" t="s">
        <v>22</v>
      </c>
      <c r="E11" s="78" t="s">
        <v>75</v>
      </c>
      <c r="F11" s="80" t="s">
        <v>73</v>
      </c>
    </row>
    <row r="12" spans="2:6" ht="46.8" x14ac:dyDescent="0.3">
      <c r="B12" s="422"/>
      <c r="C12" s="424"/>
      <c r="D12" s="77" t="s">
        <v>23</v>
      </c>
      <c r="E12" s="78" t="s">
        <v>76</v>
      </c>
      <c r="F12" s="80" t="s">
        <v>73</v>
      </c>
    </row>
    <row r="13" spans="2:6" ht="31.2" x14ac:dyDescent="0.3">
      <c r="B13" s="422"/>
      <c r="C13" s="424" t="s">
        <v>24</v>
      </c>
      <c r="D13" s="77" t="s">
        <v>114</v>
      </c>
      <c r="E13" s="78" t="s">
        <v>117</v>
      </c>
      <c r="F13" s="80" t="s">
        <v>73</v>
      </c>
    </row>
    <row r="14" spans="2:6" ht="16.2" thickBot="1" x14ac:dyDescent="0.35">
      <c r="B14" s="425"/>
      <c r="C14" s="426"/>
      <c r="D14" s="81" t="s">
        <v>115</v>
      </c>
      <c r="E14" s="82" t="s">
        <v>116</v>
      </c>
      <c r="F14" s="83" t="s">
        <v>73</v>
      </c>
    </row>
    <row r="15" spans="2:6" ht="49.5" customHeight="1" x14ac:dyDescent="0.3">
      <c r="B15" s="418" t="s">
        <v>148</v>
      </c>
      <c r="C15" s="418"/>
      <c r="D15" s="418"/>
      <c r="E15" s="418"/>
      <c r="F15" s="418"/>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Hoja2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2024-07-22T19:58:36Z</cp:lastPrinted>
  <dcterms:created xsi:type="dcterms:W3CDTF">2020-03-24T23:12:47Z</dcterms:created>
  <dcterms:modified xsi:type="dcterms:W3CDTF">2024-08-11T21:45:22Z</dcterms:modified>
</cp:coreProperties>
</file>