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Users\RECURSOSFISICOS1212\Desktop\_DIRECCION DE RECURSOS FISICOS - DESPACHO\INFORMES 2024\2024 - MAPA DE RIESGOS DE GESTION - A 39 FEB  2024\2024- MAPA DE RIESGOS GESTION FISCALES A JUNIO 30\"/>
    </mc:Choice>
  </mc:AlternateContent>
  <xr:revisionPtr revIDLastSave="0" documentId="13_ncr:1_{A03C3EB2-5164-40C8-A65D-61C01CEE5723}" xr6:coauthVersionLast="47" xr6:coauthVersionMax="47" xr10:uidLastSave="{00000000-0000-0000-0000-000000000000}"/>
  <bookViews>
    <workbookView xWindow="-120" yWindow="-120" windowWidth="29040" windowHeight="15840" firstSheet="7" activeTab="9" xr2:uid="{00000000-000D-0000-FFFF-FFFF00000000}"/>
  </bookViews>
  <sheets>
    <sheet name="Intructivo" sheetId="20" r:id="rId1"/>
    <sheet name="Contexto" sheetId="21" r:id="rId2"/>
    <sheet name="Priorizacion de Causas" sheetId="22" r:id="rId3"/>
    <sheet name="DOFA" sheetId="23" r:id="rId4"/>
    <sheet name="Matriz Calor Inherente" sheetId="18" r:id="rId5"/>
    <sheet name="Matriz Calor Residual" sheetId="19" r:id="rId6"/>
    <sheet name="Tabla probabilidad" sheetId="12" r:id="rId7"/>
    <sheet name="Tabla Valoración controles" sheetId="15" r:id="rId8"/>
    <sheet name="Tabla Impacto" sheetId="13" r:id="rId9"/>
    <sheet name="Mapa final" sheetId="1" r:id="rId10"/>
    <sheet name="Opciones Tratamiento" sheetId="16" state="hidden" r:id="rId11"/>
    <sheet name="Hoja1" sheetId="11" state="hidden" r:id="rId12"/>
  </sheets>
  <externalReferences>
    <externalReference r:id="rId13"/>
    <externalReference r:id="rId14"/>
    <externalReference r:id="rId15"/>
  </externalReferences>
  <calcPr calcId="191029"/>
  <pivotCaches>
    <pivotCache cacheId="0" r:id="rId1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 i="1" l="1"/>
  <c r="S10" i="1"/>
  <c r="S16" i="1"/>
  <c r="A7" i="22" l="1"/>
  <c r="A6" i="22"/>
  <c r="K16" i="1"/>
  <c r="W23" i="1" l="1"/>
  <c r="T23" i="1"/>
  <c r="W22" i="1"/>
  <c r="T22" i="1"/>
  <c r="T10" i="1"/>
  <c r="W10" i="1"/>
  <c r="T11" i="1"/>
  <c r="W11" i="1"/>
  <c r="S23" i="1"/>
  <c r="S22" i="1"/>
  <c r="S17" i="1"/>
  <c r="E11" i="1" l="1"/>
  <c r="K10" i="1"/>
  <c r="N11" i="1"/>
  <c r="N12" i="1"/>
  <c r="T12" i="1"/>
  <c r="AA12" i="1" s="1"/>
  <c r="W12" i="1"/>
  <c r="N13" i="1"/>
  <c r="T13" i="1"/>
  <c r="W13" i="1"/>
  <c r="AA13" i="1"/>
  <c r="AB13" i="1" s="1"/>
  <c r="AE13" i="1"/>
  <c r="AD13" i="1" s="1"/>
  <c r="N14" i="1"/>
  <c r="T14" i="1"/>
  <c r="AA14" i="1" s="1"/>
  <c r="W14" i="1"/>
  <c r="N15" i="1"/>
  <c r="T15" i="1"/>
  <c r="W15" i="1"/>
  <c r="A6" i="23"/>
  <c r="S40" i="22"/>
  <c r="R40" i="22"/>
  <c r="S39" i="22"/>
  <c r="R39" i="22"/>
  <c r="S38" i="22"/>
  <c r="R38" i="22"/>
  <c r="S37" i="22"/>
  <c r="R37" i="22"/>
  <c r="S36" i="22"/>
  <c r="R36" i="22"/>
  <c r="S35" i="22"/>
  <c r="R35" i="22"/>
  <c r="S34" i="22"/>
  <c r="R34" i="22"/>
  <c r="S33" i="22"/>
  <c r="R33" i="22"/>
  <c r="S32" i="22"/>
  <c r="R32" i="22"/>
  <c r="S31" i="22"/>
  <c r="R31" i="22"/>
  <c r="S30" i="22"/>
  <c r="R30" i="22"/>
  <c r="S29" i="22"/>
  <c r="R29" i="22"/>
  <c r="S28" i="22"/>
  <c r="R28" i="22"/>
  <c r="S27" i="22"/>
  <c r="R27" i="22"/>
  <c r="S26" i="22"/>
  <c r="R26" i="22"/>
  <c r="S25" i="22"/>
  <c r="R25" i="22"/>
  <c r="S24" i="22"/>
  <c r="R24" i="22"/>
  <c r="S23" i="22"/>
  <c r="R23" i="22"/>
  <c r="S22" i="22"/>
  <c r="R22" i="22"/>
  <c r="S21" i="22"/>
  <c r="R21" i="22"/>
  <c r="S20" i="22"/>
  <c r="R20" i="22"/>
  <c r="S19" i="22"/>
  <c r="R19" i="22"/>
  <c r="S18" i="22"/>
  <c r="R18" i="22"/>
  <c r="S17" i="22"/>
  <c r="R17" i="22"/>
  <c r="S16" i="22"/>
  <c r="R16" i="22"/>
  <c r="S15" i="22"/>
  <c r="R15" i="22"/>
  <c r="S14" i="22"/>
  <c r="R14" i="22"/>
  <c r="S13" i="22"/>
  <c r="R13" i="22"/>
  <c r="S12" i="22"/>
  <c r="R12" i="22"/>
  <c r="S11" i="22"/>
  <c r="S41" i="22" s="1"/>
  <c r="S42" i="22" s="1"/>
  <c r="R11" i="22"/>
  <c r="L10" i="1" l="1"/>
  <c r="AA10" i="1" s="1"/>
  <c r="AF13" i="1"/>
  <c r="AC12" i="1"/>
  <c r="AB12" i="1"/>
  <c r="AC14" i="1"/>
  <c r="AB14" i="1"/>
  <c r="AE12" i="1"/>
  <c r="AD12" i="1" s="1"/>
  <c r="AE15" i="1"/>
  <c r="AD15" i="1" s="1"/>
  <c r="AA15" i="1"/>
  <c r="AC13" i="1"/>
  <c r="AE14" i="1"/>
  <c r="AD14" i="1" s="1"/>
  <c r="A1" i="23"/>
  <c r="B1" i="22"/>
  <c r="AC10" i="1" l="1"/>
  <c r="AA11" i="1" s="1"/>
  <c r="AB10" i="1"/>
  <c r="AC11" i="1"/>
  <c r="AB11" i="1"/>
  <c r="AF12" i="1"/>
  <c r="AB15" i="1"/>
  <c r="AF15" i="1" s="1"/>
  <c r="AC15" i="1"/>
  <c r="AF14" i="1"/>
  <c r="W69" i="1"/>
  <c r="T69" i="1"/>
  <c r="W68" i="1"/>
  <c r="T68" i="1"/>
  <c r="W67" i="1"/>
  <c r="T67" i="1"/>
  <c r="W66" i="1"/>
  <c r="T66" i="1"/>
  <c r="W65" i="1"/>
  <c r="T65" i="1"/>
  <c r="W64" i="1"/>
  <c r="T64" i="1"/>
  <c r="W63" i="1"/>
  <c r="T63" i="1"/>
  <c r="W62" i="1"/>
  <c r="T62" i="1"/>
  <c r="W61" i="1"/>
  <c r="T61" i="1"/>
  <c r="AE62" i="1" s="1"/>
  <c r="AD62" i="1" s="1"/>
  <c r="W60" i="1"/>
  <c r="T60" i="1"/>
  <c r="W59" i="1"/>
  <c r="T59" i="1"/>
  <c r="W58" i="1"/>
  <c r="T58" i="1"/>
  <c r="W57" i="1"/>
  <c r="T57" i="1"/>
  <c r="W56" i="1"/>
  <c r="T56" i="1"/>
  <c r="W55" i="1"/>
  <c r="T55" i="1"/>
  <c r="W54" i="1"/>
  <c r="T54" i="1"/>
  <c r="AE55" i="1" s="1"/>
  <c r="AD55" i="1" s="1"/>
  <c r="W53" i="1"/>
  <c r="T53" i="1"/>
  <c r="W52" i="1"/>
  <c r="T52" i="1"/>
  <c r="W51" i="1"/>
  <c r="T51" i="1"/>
  <c r="W50" i="1"/>
  <c r="T50" i="1"/>
  <c r="W49" i="1"/>
  <c r="T49" i="1"/>
  <c r="W48" i="1"/>
  <c r="T48" i="1"/>
  <c r="W47" i="1"/>
  <c r="T47" i="1"/>
  <c r="AE48" i="1" s="1"/>
  <c r="AD48" i="1" s="1"/>
  <c r="W46" i="1"/>
  <c r="T46" i="1"/>
  <c r="W45" i="1"/>
  <c r="T45" i="1"/>
  <c r="W44" i="1"/>
  <c r="T44" i="1"/>
  <c r="W43" i="1"/>
  <c r="T43" i="1"/>
  <c r="W42" i="1"/>
  <c r="T42" i="1"/>
  <c r="AE43" i="1" s="1"/>
  <c r="AD43" i="1" s="1"/>
  <c r="W41" i="1"/>
  <c r="T41" i="1"/>
  <c r="AE42" i="1" s="1"/>
  <c r="AD42" i="1" s="1"/>
  <c r="W40" i="1"/>
  <c r="T40" i="1"/>
  <c r="W39" i="1"/>
  <c r="T39" i="1"/>
  <c r="W38" i="1"/>
  <c r="T38" i="1"/>
  <c r="W37" i="1"/>
  <c r="T37" i="1"/>
  <c r="AE38" i="1" s="1"/>
  <c r="AD38" i="1" s="1"/>
  <c r="W36" i="1"/>
  <c r="T36" i="1"/>
  <c r="W35" i="1"/>
  <c r="T35" i="1"/>
  <c r="AE36" i="1" s="1"/>
  <c r="AD36" i="1" s="1"/>
  <c r="W34" i="1"/>
  <c r="T34" i="1"/>
  <c r="AE35" i="1" s="1"/>
  <c r="AD35" i="1" s="1"/>
  <c r="W33" i="1"/>
  <c r="T33" i="1"/>
  <c r="W32" i="1"/>
  <c r="T32" i="1"/>
  <c r="W31" i="1"/>
  <c r="T31" i="1"/>
  <c r="AE32" i="1" s="1"/>
  <c r="AD32" i="1" s="1"/>
  <c r="W30" i="1"/>
  <c r="T30" i="1"/>
  <c r="AE31" i="1" s="1"/>
  <c r="AD31" i="1" s="1"/>
  <c r="W29" i="1"/>
  <c r="T29" i="1"/>
  <c r="W28" i="1"/>
  <c r="T28" i="1"/>
  <c r="W27" i="1"/>
  <c r="T27" i="1"/>
  <c r="W26" i="1"/>
  <c r="T26" i="1"/>
  <c r="W25" i="1"/>
  <c r="T25" i="1"/>
  <c r="W24" i="1"/>
  <c r="T24" i="1"/>
  <c r="AE24" i="1" s="1"/>
  <c r="AD24" i="1" s="1"/>
  <c r="W21" i="1"/>
  <c r="T21" i="1"/>
  <c r="W20" i="1"/>
  <c r="T20" i="1"/>
  <c r="W19" i="1"/>
  <c r="T19" i="1"/>
  <c r="W18" i="1"/>
  <c r="T18" i="1"/>
  <c r="AE19" i="1" s="1"/>
  <c r="AD19" i="1" s="1"/>
  <c r="W17" i="1"/>
  <c r="T17" i="1"/>
  <c r="AE18" i="1" s="1"/>
  <c r="AD18" i="1" s="1"/>
  <c r="W16" i="1"/>
  <c r="T16" i="1"/>
  <c r="AE39" i="1" l="1"/>
  <c r="AD39" i="1" s="1"/>
  <c r="AE59" i="1"/>
  <c r="AD59" i="1" s="1"/>
  <c r="AE51" i="1"/>
  <c r="AD51" i="1" s="1"/>
  <c r="AE44" i="1"/>
  <c r="AD44" i="1" s="1"/>
  <c r="AE54" i="1"/>
  <c r="AD54" i="1" s="1"/>
  <c r="AE27" i="1"/>
  <c r="AD27" i="1" s="1"/>
  <c r="AE47" i="1"/>
  <c r="AD47" i="1" s="1"/>
  <c r="AE67" i="1"/>
  <c r="AD67" i="1" s="1"/>
  <c r="AE20" i="1"/>
  <c r="AD20" i="1" s="1"/>
  <c r="AE30" i="1"/>
  <c r="AD30" i="1" s="1"/>
  <c r="AE50" i="1"/>
  <c r="AD50" i="1" s="1"/>
  <c r="AE26" i="1"/>
  <c r="AD26" i="1" s="1"/>
  <c r="AE66" i="1"/>
  <c r="AD66" i="1" s="1"/>
  <c r="AE63" i="1"/>
  <c r="AD63" i="1" s="1"/>
  <c r="AE56" i="1"/>
  <c r="AD56" i="1" s="1"/>
  <c r="AE60" i="1"/>
  <c r="AD60" i="1" s="1"/>
  <c r="AE68" i="1"/>
  <c r="AD68" i="1" s="1"/>
  <c r="AE21" i="1"/>
  <c r="AD21" i="1" s="1"/>
  <c r="AE25" i="1"/>
  <c r="AD25" i="1" s="1"/>
  <c r="AE29" i="1"/>
  <c r="AD29" i="1" s="1"/>
  <c r="AE33" i="1"/>
  <c r="AD33" i="1" s="1"/>
  <c r="AE37" i="1"/>
  <c r="AD37" i="1" s="1"/>
  <c r="AE41" i="1"/>
  <c r="AD41" i="1" s="1"/>
  <c r="AE45" i="1"/>
  <c r="AD45" i="1" s="1"/>
  <c r="AE49" i="1"/>
  <c r="AD49" i="1" s="1"/>
  <c r="AE53" i="1"/>
  <c r="AD53" i="1" s="1"/>
  <c r="AE57" i="1"/>
  <c r="AD57" i="1" s="1"/>
  <c r="AE61" i="1"/>
  <c r="AD61" i="1" s="1"/>
  <c r="AE65" i="1"/>
  <c r="AD65" i="1" s="1"/>
  <c r="AE69" i="1"/>
  <c r="AD69" i="1" s="1"/>
  <c r="AA64" i="1"/>
  <c r="AA66" i="1"/>
  <c r="AA68" i="1"/>
  <c r="AE64" i="1"/>
  <c r="AD64" i="1" s="1"/>
  <c r="AA65" i="1"/>
  <c r="AA67" i="1"/>
  <c r="AA69" i="1"/>
  <c r="AA58" i="1"/>
  <c r="AA60" i="1"/>
  <c r="AA62" i="1"/>
  <c r="AE58" i="1"/>
  <c r="AD58" i="1" s="1"/>
  <c r="AA59" i="1"/>
  <c r="AA61" i="1"/>
  <c r="AA63" i="1"/>
  <c r="AA52" i="1"/>
  <c r="AA54" i="1"/>
  <c r="AA56" i="1"/>
  <c r="AE52" i="1"/>
  <c r="AD52" i="1" s="1"/>
  <c r="AA53" i="1"/>
  <c r="AA55" i="1"/>
  <c r="AA57" i="1"/>
  <c r="AA46" i="1"/>
  <c r="AA48" i="1"/>
  <c r="AA50" i="1"/>
  <c r="AE46" i="1"/>
  <c r="AD46" i="1" s="1"/>
  <c r="AA47" i="1"/>
  <c r="AA49" i="1"/>
  <c r="AA51" i="1"/>
  <c r="AA40" i="1"/>
  <c r="AA42" i="1"/>
  <c r="AA44" i="1"/>
  <c r="AE40" i="1"/>
  <c r="AD40" i="1" s="1"/>
  <c r="AA41" i="1"/>
  <c r="AA43" i="1"/>
  <c r="AA45" i="1"/>
  <c r="AA34" i="1"/>
  <c r="AA36" i="1"/>
  <c r="AA38" i="1"/>
  <c r="AE34" i="1"/>
  <c r="AD34" i="1" s="1"/>
  <c r="AA35" i="1"/>
  <c r="AA37" i="1"/>
  <c r="AA39" i="1"/>
  <c r="AA28" i="1"/>
  <c r="AA30" i="1"/>
  <c r="AA32" i="1"/>
  <c r="AE28" i="1"/>
  <c r="AD28" i="1" s="1"/>
  <c r="AA29" i="1"/>
  <c r="AA31" i="1"/>
  <c r="AA33" i="1"/>
  <c r="AA24" i="1"/>
  <c r="AA26" i="1"/>
  <c r="AA25" i="1"/>
  <c r="AA27" i="1"/>
  <c r="AA18" i="1"/>
  <c r="AA20" i="1"/>
  <c r="AA19" i="1"/>
  <c r="AA21" i="1"/>
  <c r="AC69" i="1" l="1"/>
  <c r="AB69" i="1"/>
  <c r="AF69" i="1" s="1"/>
  <c r="AC67" i="1"/>
  <c r="AB67" i="1"/>
  <c r="AF67" i="1" s="1"/>
  <c r="AC65" i="1"/>
  <c r="AB65" i="1"/>
  <c r="AF65" i="1" s="1"/>
  <c r="AC68" i="1"/>
  <c r="AB68" i="1"/>
  <c r="AF68" i="1" s="1"/>
  <c r="AC66" i="1"/>
  <c r="AB66" i="1"/>
  <c r="AF66" i="1" s="1"/>
  <c r="AC64" i="1"/>
  <c r="AB64" i="1"/>
  <c r="AF64" i="1" s="1"/>
  <c r="AC63" i="1"/>
  <c r="AB63" i="1"/>
  <c r="AF63" i="1" s="1"/>
  <c r="AC61" i="1"/>
  <c r="AB61" i="1"/>
  <c r="AF61" i="1" s="1"/>
  <c r="AC59" i="1"/>
  <c r="AB59" i="1"/>
  <c r="AF59" i="1" s="1"/>
  <c r="AC62" i="1"/>
  <c r="AB62" i="1"/>
  <c r="AF62" i="1" s="1"/>
  <c r="AC60" i="1"/>
  <c r="AB60" i="1"/>
  <c r="AF60" i="1" s="1"/>
  <c r="AC58" i="1"/>
  <c r="AB58" i="1"/>
  <c r="AF58" i="1" s="1"/>
  <c r="AC57" i="1"/>
  <c r="AB57" i="1"/>
  <c r="AF57" i="1" s="1"/>
  <c r="AC55" i="1"/>
  <c r="AB55" i="1"/>
  <c r="AF55" i="1" s="1"/>
  <c r="AC53" i="1"/>
  <c r="AB53" i="1"/>
  <c r="AF53" i="1" s="1"/>
  <c r="AC56" i="1"/>
  <c r="AB56" i="1"/>
  <c r="AF56" i="1" s="1"/>
  <c r="AC54" i="1"/>
  <c r="AB54" i="1"/>
  <c r="AF54" i="1" s="1"/>
  <c r="AC52" i="1"/>
  <c r="AB52" i="1"/>
  <c r="AF52" i="1" s="1"/>
  <c r="AC51" i="1"/>
  <c r="AB51" i="1"/>
  <c r="AF51" i="1" s="1"/>
  <c r="AC49" i="1"/>
  <c r="AB49" i="1"/>
  <c r="AF49" i="1" s="1"/>
  <c r="AC47" i="1"/>
  <c r="AB47" i="1"/>
  <c r="AF47" i="1" s="1"/>
  <c r="AC50" i="1"/>
  <c r="AB50" i="1"/>
  <c r="AF50" i="1" s="1"/>
  <c r="AC48" i="1"/>
  <c r="AB48" i="1"/>
  <c r="AF48" i="1" s="1"/>
  <c r="AC46" i="1"/>
  <c r="AB46" i="1"/>
  <c r="AF46" i="1" s="1"/>
  <c r="AC45" i="1"/>
  <c r="AB45" i="1"/>
  <c r="AF45" i="1" s="1"/>
  <c r="AC43" i="1"/>
  <c r="AB43" i="1"/>
  <c r="AF43" i="1" s="1"/>
  <c r="AC41" i="1"/>
  <c r="AB41" i="1"/>
  <c r="AF41" i="1" s="1"/>
  <c r="AC44" i="1"/>
  <c r="AB44" i="1"/>
  <c r="AF44" i="1" s="1"/>
  <c r="AC42" i="1"/>
  <c r="AB42" i="1"/>
  <c r="AF42" i="1" s="1"/>
  <c r="AC40" i="1"/>
  <c r="AB40" i="1"/>
  <c r="AF40" i="1" s="1"/>
  <c r="AC39" i="1"/>
  <c r="AB39" i="1"/>
  <c r="AF39" i="1" s="1"/>
  <c r="AC37" i="1"/>
  <c r="AB37" i="1"/>
  <c r="AF37" i="1" s="1"/>
  <c r="AC35" i="1"/>
  <c r="AB35" i="1"/>
  <c r="AF35" i="1" s="1"/>
  <c r="AB38" i="1"/>
  <c r="AF38" i="1" s="1"/>
  <c r="AC38" i="1"/>
  <c r="AB36" i="1"/>
  <c r="AF36" i="1" s="1"/>
  <c r="AC36" i="1"/>
  <c r="AC34" i="1"/>
  <c r="AB34" i="1"/>
  <c r="AF34" i="1" s="1"/>
  <c r="AC33" i="1"/>
  <c r="AB33" i="1"/>
  <c r="AF33" i="1" s="1"/>
  <c r="AC31" i="1"/>
  <c r="AB31" i="1"/>
  <c r="AF31" i="1" s="1"/>
  <c r="AC29" i="1"/>
  <c r="AB29" i="1"/>
  <c r="AF29" i="1" s="1"/>
  <c r="AC32" i="1"/>
  <c r="AB32" i="1"/>
  <c r="AF32" i="1" s="1"/>
  <c r="AC30" i="1"/>
  <c r="AB30" i="1"/>
  <c r="AF30" i="1" s="1"/>
  <c r="AC28" i="1"/>
  <c r="AB28" i="1"/>
  <c r="AF28" i="1" s="1"/>
  <c r="AC25" i="1"/>
  <c r="AB25" i="1"/>
  <c r="AF25" i="1" s="1"/>
  <c r="AC26" i="1"/>
  <c r="AB26" i="1"/>
  <c r="AF26" i="1" s="1"/>
  <c r="AC27" i="1"/>
  <c r="AB27" i="1"/>
  <c r="AF27" i="1" s="1"/>
  <c r="AC24" i="1"/>
  <c r="AB24" i="1"/>
  <c r="AF24" i="1" s="1"/>
  <c r="AC21" i="1"/>
  <c r="AB21" i="1"/>
  <c r="AF21" i="1" s="1"/>
  <c r="AC19" i="1"/>
  <c r="AB19" i="1"/>
  <c r="AF19" i="1" s="1"/>
  <c r="AC20" i="1"/>
  <c r="AB20" i="1"/>
  <c r="AF20" i="1" s="1"/>
  <c r="AC18" i="1"/>
  <c r="AB18" i="1"/>
  <c r="AF18" i="1" s="1"/>
  <c r="K22" i="1" l="1"/>
  <c r="L22" i="1" s="1"/>
  <c r="AA22" i="1" s="1"/>
  <c r="K28" i="1"/>
  <c r="K34" i="1"/>
  <c r="L34" i="1" s="1"/>
  <c r="K40" i="1"/>
  <c r="L40" i="1" s="1"/>
  <c r="K46" i="1"/>
  <c r="L46" i="1" s="1"/>
  <c r="K52" i="1"/>
  <c r="L52" i="1" s="1"/>
  <c r="K58" i="1"/>
  <c r="L58" i="1" s="1"/>
  <c r="K64" i="1"/>
  <c r="L64" i="1" s="1"/>
  <c r="N57" i="1"/>
  <c r="N69" i="1"/>
  <c r="N65" i="1"/>
  <c r="N53" i="1"/>
  <c r="N54" i="1"/>
  <c r="N23" i="1"/>
  <c r="N45" i="1"/>
  <c r="N33" i="1"/>
  <c r="N32" i="1"/>
  <c r="N35" i="1"/>
  <c r="N47" i="1"/>
  <c r="N29" i="1"/>
  <c r="N66" i="1"/>
  <c r="N42" i="1"/>
  <c r="N50" i="1"/>
  <c r="N48" i="1"/>
  <c r="N63" i="1"/>
  <c r="N31" i="1"/>
  <c r="N55" i="1"/>
  <c r="N51" i="1"/>
  <c r="N59" i="1"/>
  <c r="N68" i="1"/>
  <c r="N36" i="1"/>
  <c r="N49" i="1"/>
  <c r="N27" i="1"/>
  <c r="N24" i="1"/>
  <c r="N37" i="1"/>
  <c r="N25" i="1"/>
  <c r="N67" i="1"/>
  <c r="N39" i="1"/>
  <c r="N26" i="1"/>
  <c r="N41" i="1"/>
  <c r="N62" i="1"/>
  <c r="N43" i="1"/>
  <c r="N30" i="1"/>
  <c r="N60" i="1"/>
  <c r="N56" i="1"/>
  <c r="N44" i="1"/>
  <c r="N61" i="1"/>
  <c r="N38" i="1"/>
  <c r="AB22" i="1" l="1"/>
  <c r="AC22" i="1"/>
  <c r="AA23" i="1" s="1"/>
  <c r="AB23" i="1" s="1"/>
  <c r="L28" i="1"/>
  <c r="AC23" i="1" l="1"/>
  <c r="F217" i="13"/>
  <c r="N19" i="1" l="1"/>
  <c r="N17" i="1"/>
  <c r="N18" i="1"/>
  <c r="N21" i="1"/>
  <c r="N20" i="1"/>
  <c r="F221" i="13" l="1"/>
  <c r="F211" i="13"/>
  <c r="F212" i="13"/>
  <c r="F213" i="13"/>
  <c r="F214" i="13"/>
  <c r="F215" i="13"/>
  <c r="F216" i="13"/>
  <c r="F218" i="13"/>
  <c r="F219" i="13"/>
  <c r="F220" i="13"/>
  <c r="F210" i="13"/>
  <c r="B221" i="13" a="1"/>
  <c r="B221" i="13" l="1"/>
  <c r="N10" i="1" s="1"/>
  <c r="O10" i="1" s="1"/>
  <c r="P10" i="1" l="1"/>
  <c r="AE10" i="1" s="1"/>
  <c r="Q10"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AD10" i="1" l="1"/>
  <c r="AF10" i="1" s="1"/>
  <c r="AE11" i="1"/>
  <c r="AD11" i="1" s="1"/>
  <c r="AF11" i="1" s="1"/>
  <c r="L16" i="1" l="1"/>
  <c r="AA16" i="1" s="1"/>
  <c r="AC16" i="1" l="1"/>
  <c r="AA17" i="1" s="1"/>
  <c r="AB1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17" i="1" l="1"/>
  <c r="AB17"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22" i="1" l="1"/>
  <c r="O22" i="1" s="1"/>
  <c r="P22" i="1" s="1"/>
  <c r="N28" i="1"/>
  <c r="O28" i="1" s="1"/>
  <c r="N34" i="1"/>
  <c r="O34" i="1" s="1"/>
  <c r="N40" i="1"/>
  <c r="O40" i="1" s="1"/>
  <c r="N46" i="1"/>
  <c r="O46" i="1" s="1"/>
  <c r="N52" i="1"/>
  <c r="O52" i="1" s="1"/>
  <c r="N58" i="1"/>
  <c r="O58" i="1" s="1"/>
  <c r="N64" i="1"/>
  <c r="O64" i="1" s="1"/>
  <c r="N16" i="1"/>
  <c r="O16" i="1" s="1"/>
  <c r="P38" i="18" l="1"/>
  <c r="J6" i="18"/>
  <c r="V6" i="18"/>
  <c r="J22" i="18"/>
  <c r="V22" i="18"/>
  <c r="AH6" i="18"/>
  <c r="P22" i="18"/>
  <c r="AH22" i="18"/>
  <c r="P6" i="18"/>
  <c r="AB38" i="18"/>
  <c r="AB30" i="18"/>
  <c r="V14" i="18"/>
  <c r="P30" i="18"/>
  <c r="V30" i="18"/>
  <c r="AH30" i="18"/>
  <c r="V38" i="18"/>
  <c r="P14" i="18"/>
  <c r="AH14" i="18"/>
  <c r="J14" i="18"/>
  <c r="AB22" i="18"/>
  <c r="AB14" i="18"/>
  <c r="J30" i="18"/>
  <c r="AB6" i="18"/>
  <c r="J38" i="18"/>
  <c r="AH38" i="18"/>
  <c r="R38" i="18"/>
  <c r="R14" i="18"/>
  <c r="AD14" i="18"/>
  <c r="AJ38" i="18"/>
  <c r="X30" i="18"/>
  <c r="L38" i="18"/>
  <c r="AD6" i="18"/>
  <c r="R6" i="18"/>
  <c r="AJ6" i="18"/>
  <c r="AJ30" i="18"/>
  <c r="Q16" i="1"/>
  <c r="R30" i="18"/>
  <c r="AD38" i="18"/>
  <c r="AD22" i="18"/>
  <c r="P16" i="1"/>
  <c r="AE16" i="1" s="1"/>
  <c r="L30" i="18"/>
  <c r="AJ14" i="18"/>
  <c r="L14" i="18"/>
  <c r="X38" i="18"/>
  <c r="L22" i="18"/>
  <c r="AD30" i="18"/>
  <c r="AJ22" i="18"/>
  <c r="X14" i="18"/>
  <c r="X6" i="18"/>
  <c r="R22" i="18"/>
  <c r="L6" i="18"/>
  <c r="X22" i="18"/>
  <c r="P64" i="1"/>
  <c r="Q64"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P58" i="1"/>
  <c r="Q58"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Q52" i="1"/>
  <c r="P52"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P46" i="1"/>
  <c r="Q46"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Q40" i="1"/>
  <c r="P40"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Q34" i="1"/>
  <c r="P34"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28" i="1"/>
  <c r="Q28"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AE22" i="1"/>
  <c r="Q22"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D22" i="1" l="1"/>
  <c r="AE23" i="1"/>
  <c r="AD23" i="1" s="1"/>
  <c r="AD16" i="1"/>
  <c r="AF16" i="1" s="1"/>
  <c r="AE17" i="1"/>
  <c r="AD17" i="1" s="1"/>
  <c r="AF17" i="1" s="1"/>
  <c r="P36" i="19"/>
  <c r="P27" i="19"/>
  <c r="V17" i="19"/>
  <c r="J47" i="19"/>
  <c r="V47" i="19"/>
  <c r="V27" i="19"/>
  <c r="P37" i="19"/>
  <c r="AB17" i="19"/>
  <c r="P47" i="19"/>
  <c r="J7" i="19"/>
  <c r="V37" i="19"/>
  <c r="J17" i="19"/>
  <c r="AH17" i="19"/>
  <c r="J37" i="19"/>
  <c r="AH27" i="19"/>
  <c r="AH36" i="19"/>
  <c r="V36" i="19"/>
  <c r="P6" i="19"/>
  <c r="AB36" i="19"/>
  <c r="AH16" i="19"/>
  <c r="P16" i="19"/>
  <c r="AH6" i="19"/>
  <c r="V46" i="19"/>
  <c r="AB46" i="19"/>
  <c r="J6" i="19"/>
  <c r="AB26" i="19"/>
  <c r="AB16" i="19"/>
  <c r="J16" i="19"/>
  <c r="V26" i="19"/>
  <c r="P26" i="19"/>
  <c r="V16" i="19"/>
  <c r="AB6" i="19"/>
  <c r="J36" i="19"/>
  <c r="J26" i="19"/>
  <c r="J46" i="19"/>
  <c r="P46" i="19"/>
  <c r="AH46" i="19"/>
  <c r="AH26" i="19"/>
  <c r="AB7" i="19" l="1"/>
  <c r="AB37" i="19"/>
  <c r="AF23" i="1"/>
  <c r="AC18" i="19"/>
  <c r="AC8" i="19"/>
  <c r="W18" i="19"/>
  <c r="AI8" i="19"/>
  <c r="Q48" i="19"/>
  <c r="AC38" i="19"/>
  <c r="Q28" i="19"/>
  <c r="Q8" i="19"/>
  <c r="AC48" i="19"/>
  <c r="K18" i="19"/>
  <c r="Q18" i="19"/>
  <c r="W28" i="19"/>
  <c r="AI48" i="19"/>
  <c r="W8" i="19"/>
  <c r="K48" i="19"/>
  <c r="W48" i="19"/>
  <c r="Q38" i="19"/>
  <c r="K8" i="19"/>
  <c r="AI18" i="19"/>
  <c r="W38" i="19"/>
  <c r="AI28" i="19"/>
  <c r="K38" i="19"/>
  <c r="AI38" i="19"/>
  <c r="AC28" i="19"/>
  <c r="K28" i="19"/>
  <c r="AF22" i="1"/>
  <c r="P38" i="19"/>
  <c r="AH38" i="19"/>
  <c r="P48" i="19"/>
  <c r="AB18" i="19"/>
  <c r="J8" i="19"/>
  <c r="J18" i="19"/>
  <c r="J38" i="19"/>
  <c r="V38" i="19"/>
  <c r="P8" i="19"/>
  <c r="AH8" i="19"/>
  <c r="AB48" i="19"/>
  <c r="V8" i="19"/>
  <c r="AH48" i="19"/>
  <c r="AH18" i="19"/>
  <c r="V18" i="19"/>
  <c r="AH28" i="19"/>
  <c r="V48" i="19"/>
  <c r="P18" i="19"/>
  <c r="J28" i="19"/>
  <c r="J48" i="19"/>
  <c r="V28" i="19"/>
  <c r="AB8" i="19"/>
  <c r="P28" i="19"/>
  <c r="AB28" i="19"/>
  <c r="AB38" i="19"/>
  <c r="P17" i="19"/>
  <c r="AH37" i="19"/>
  <c r="J27" i="19"/>
  <c r="P7" i="19"/>
  <c r="AB27" i="19"/>
  <c r="AH7" i="19"/>
  <c r="AH47" i="19"/>
  <c r="AB47" i="19"/>
  <c r="V7" i="19"/>
  <c r="V6" i="19"/>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<sst xmlns="http://schemas.openxmlformats.org/spreadsheetml/2006/main" count="599" uniqueCount="416">
  <si>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</si>
  <si>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</si>
  <si>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</si>
  <si>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</si>
  <si>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</si>
  <si>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</si>
  <si>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</si>
  <si>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</si>
  <si>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</si>
  <si>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</si>
  <si>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</si>
  <si>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</si>
  <si>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</si>
  <si>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</si>
  <si>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</si>
  <si>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</si>
  <si>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</si>
  <si>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</si>
  <si>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</si>
  <si>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</si>
  <si>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</si>
  <si>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</si>
  <si>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</si>
  <si>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</si>
  <si>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</si>
  <si>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</si>
  <si>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</si>
  <si>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</si>
  <si>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</si>
  <si>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</si>
  <si>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</si>
  <si>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</si>
  <si>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</si>
  <si>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</si>
  <si>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</si>
  <si>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</si>
  <si>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</si>
  <si>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</si>
  <si>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</si>
  <si>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</si>
  <si>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</si>
  <si>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</si>
  <si>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</si>
  <si>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</si>
  <si>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</si>
  <si>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</si>
  <si>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</si>
  <si>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</si>
  <si>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</si>
  <si>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</si>
  <si>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</si>
  <si>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</si>
  <si>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</si>
  <si>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</si>
  <si>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</si>
  <si>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</si>
  <si>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</si>
  <si>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</si>
  <si>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</si>
  <si>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</si>
  <si>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</si>
  <si>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</si>
  <si>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</si>
  <si>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</si>
  <si>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</si>
  <si>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</si>
  <si>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</si>
  <si>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</si>
  <si>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</si>
  <si>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</si>
  <si>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</si>
  <si>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</si>
  <si>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</si>
  <si>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</si>
  <si>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</si>
  <si>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</si>
  <si>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</si>
  <si>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</si>
  <si>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</si>
  <si>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</si>
  <si>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</si>
  <si>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</si>
  <si>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</si>
  <si>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</si>
  <si>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</si>
  <si>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</si>
  <si>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</si>
  <si>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</si>
  <si>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</si>
  <si>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</si>
  <si>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</si>
  <si>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</si>
  <si>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</si>
  <si>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</si>
  <si>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</si>
  <si>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</si>
  <si>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</si>
  <si>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</si>
  <si>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</si>
  <si>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</si>
  <si>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</si>
  <si>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</si>
  <si>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</si>
  <si>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</si>
  <si>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</si>
  <si>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</si>
  <si>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</si>
  <si>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</si>
  <si>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</si>
  <si>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</si>
  <si>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</si>
  <si>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</si>
  <si>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</si>
  <si>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</si>
  <si>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</si>
  <si>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</si>
  <si>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</si>
  <si>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</si>
  <si>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</si>
  <si>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</si>
  <si>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</si>
  <si>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</si>
  <si>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</si>
  <si>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</si>
  <si>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</si>
  <si>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</si>
  <si>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</si>
  <si>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</si>
  <si>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</si>
  <si>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</si>
  <si>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</si>
  <si>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</si>
  <si>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</si>
  <si>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</si>
  <si>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</si>
  <si>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</si>
  <si>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</si>
  <si>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</si>
  <si>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</si>
  <si>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</si>
  <si>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</si>
  <si>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</si>
  <si>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</si>
  <si>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</si>
  <si>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</si>
  <si>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</si>
  <si>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</si>
  <si>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</si>
  <si>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</si>
  <si>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</si>
  <si>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</si>
  <si>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</si>
  <si>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</si>
  <si>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</si>
  <si>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</si>
  <si>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</si>
  <si>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</si>
  <si>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</si>
  <si>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</si>
  <si>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</si>
  <si>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</si>
  <si>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</si>
  <si>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</si>
  <si>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</si>
  <si>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</si>
  <si>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</si>
  <si>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</si>
  <si>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</si>
  <si>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</si>
  <si>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</si>
  <si>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</si>
  <si>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</si>
  <si>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</si>
  <si>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</si>
  <si>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</si>
  <si>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</si>
  <si>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</si>
  <si>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</si>
  <si>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</si>
  <si>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</si>
  <si>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</si>
  <si>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</si>
  <si>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</si>
  <si>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</si>
  <si>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</si>
  <si>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</si>
  <si>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</si>
  <si>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</si>
  <si>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</si>
  <si>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</si>
  <si>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</si>
  <si>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</si>
  <si>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</si>
  <si>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</si>
  <si>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</si>
  <si>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</si>
  <si>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</si>
  <si>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</si>
  <si>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</si>
  <si>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</si>
  <si>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</si>
  <si>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</si>
  <si>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</si>
  <si>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</si>
  <si>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</si>
  <si>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</si>
  <si>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</si>
  <si>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</si>
  <si>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</si>
  <si>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</si>
  <si>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</si>
  <si>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</si>
  <si>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</si>
  <si>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</si>
  <si>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FORMATO: CONTEXTO ESTRATEGICO</t>
  </si>
  <si>
    <t xml:space="preserve">CONTEXTO ESTRATEGICO </t>
  </si>
  <si>
    <t>FACTORES EXTERNOS</t>
  </si>
  <si>
    <t>CAUSAS</t>
  </si>
  <si>
    <t>FACTORES INTERNOS</t>
  </si>
  <si>
    <t>FACTORES DEL PROCESO</t>
  </si>
  <si>
    <t>SOCIALES Y CULTURALES</t>
  </si>
  <si>
    <t>POLÍTICOS</t>
  </si>
  <si>
    <t>TECNOLÓGICOS</t>
  </si>
  <si>
    <t>AMBIENTALES</t>
  </si>
  <si>
    <t>OTROS</t>
  </si>
  <si>
    <t xml:space="preserve">Versión: </t>
  </si>
  <si>
    <t xml:space="preserve">Fecha: </t>
  </si>
  <si>
    <t xml:space="preserve">Pagina:  </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</si>
  <si>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</si>
  <si>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</si>
  <si>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</si>
  <si>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</si>
  <si>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</si>
  <si>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</si>
  <si>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</si>
  <si>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</si>
  <si>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</si>
  <si>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</si>
  <si>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</si>
  <si>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</si>
  <si>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</si>
  <si>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</si>
  <si>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</si>
  <si>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</si>
  <si>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</si>
  <si>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</si>
  <si>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</si>
  <si>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</si>
  <si>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</si>
  <si>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</si>
  <si>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</si>
  <si>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</si>
  <si>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</si>
  <si>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</si>
  <si>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</si>
  <si>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</si>
  <si>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</si>
  <si>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</si>
  <si>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</si>
  <si>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</si>
  <si>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</si>
  <si>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</si>
  <si>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 xml:space="preserve">Codigo: </t>
  </si>
  <si>
    <t>Tipo de Riesgos</t>
  </si>
  <si>
    <t xml:space="preserve">PROCESO: SISTEMA INTEGRADO DE GESTIÓN </t>
  </si>
  <si>
    <t>Codigo:FOR-029-PRO-SIG-01</t>
  </si>
  <si>
    <t>Versión: 01</t>
  </si>
  <si>
    <t>Fecha: 21/02/2024</t>
  </si>
  <si>
    <t>Pagina:  1 de 1</t>
  </si>
  <si>
    <t>Fecha:21/02/2024</t>
  </si>
  <si>
    <t>PROCESO:  GESTION DE RECURSOS FISICOS</t>
  </si>
  <si>
    <t xml:space="preserve">OBJETIVO: GESTIONAR OPORTUNAMENTE EL FUNCIONAMIENTO DE LA ADMINISTRACION CENTRAL MEDIANTE LA ADQUISICIÓN Y MANTENIMIENTO DE BIENES Y SERVICIOS, EJECUTANDO EL 80% DEL PRESUPUESTO ASIGNADO CONTRIBUYENDO A LA GESTIÓN DE LOS PROCESOS Y AL LOGRO DE LOS OBJETIVOS INSTITUCIONALES.
</t>
  </si>
  <si>
    <t>Declaratoria de emergecia sanitaria por epidemias, pandemias y/o catastrofes naturales.</t>
  </si>
  <si>
    <t>PERSONAL DE LA ENTIDAD (Capacidad del personal, políticas de manejo del talento humano, idoneidad)</t>
  </si>
  <si>
    <t>Personal de planta insuficiente o sin las competencias  para el desarrollo de las actividades propias del proceso.</t>
  </si>
  <si>
    <t>ARTICULACIÓN DE LOS PROCESOS</t>
  </si>
  <si>
    <t>Deficiente articulacion de la informacion entre procesos para la identificación de los predios de propiedad del Municipio.</t>
  </si>
  <si>
    <t>LEGALES Y REGLAMENTARIOS</t>
  </si>
  <si>
    <t>Constantes cambios normativos (leyes, decretos, acuerdos).</t>
  </si>
  <si>
    <t>INTERACCIÓN CON LOS PROCESOS</t>
  </si>
  <si>
    <t>Demora en la adjudicación de los procesos contractuales para adelantar las actividades propias de la Direccion. (demora en los tiempo de respuesta)</t>
  </si>
  <si>
    <t>Situaciones de Orden Publico</t>
  </si>
  <si>
    <t>Falta de apropiación a los valores y principios  establecidos en el  Código de Integridad y Buen Gobierno</t>
  </si>
  <si>
    <t>TRANSVERSALIDAD</t>
  </si>
  <si>
    <t>Dificultad en acatar los lineamientos y directrices de Recursos Fisicos en los difentes procesos</t>
  </si>
  <si>
    <t>Cambios de Gobierno</t>
  </si>
  <si>
    <t>FINANCIEROS</t>
  </si>
  <si>
    <t>Falta de Presupuesto para cumplir con el correcto funcionamiento de los procesos de la entidad y metas del plan de desarrollo</t>
  </si>
  <si>
    <t>COMUNICACIÓN ENTRE LOS PROCESOS</t>
  </si>
  <si>
    <t xml:space="preserve">Baja efectividad de los flujos de informacion (demora en los tiempos de respuesta) </t>
  </si>
  <si>
    <t xml:space="preserve">Baja seguridad informatica </t>
  </si>
  <si>
    <t>Desconcimiento sobre la utilizacion adecuada de los elementos y bienes (devolutivos y de consumo) a cargo de los funcionarios</t>
  </si>
  <si>
    <t>PROCEDIMIENTOS DEL PROCESO</t>
  </si>
  <si>
    <t>Deficiente control al momentos de la desvinculacion o traslado de los Funcionarios</t>
  </si>
  <si>
    <t>ECONÓMICOS Y FINANCIEROS</t>
  </si>
  <si>
    <t>Incremento de precios en las cotizaciones de los oferentes en la contratación</t>
  </si>
  <si>
    <t>Falta de Politicas y/o procedimientos para la identificacion de los bienes fiscales y de uso publico del municipio.</t>
  </si>
  <si>
    <t>Dificultad de comunicación con las entidades del orden publico y privado</t>
  </si>
  <si>
    <t>TECNOLOGÍA (integridad de datos, disponibilidad de datos y sistemas, desarrollo, producción, mantenimiento de sistemas de información)</t>
  </si>
  <si>
    <t>Inadecuado manejo de la informacion en la base de datos asociada al proceso de identificacion de los Bienes Fiscales y de uso Publico</t>
  </si>
  <si>
    <t>RESPONSABLES DEL PROCESO</t>
  </si>
  <si>
    <t>COMMUNICACIÓN INTERNA</t>
  </si>
  <si>
    <t>Deficiencia en las estrategias de comunicación interna implementadas en la Entidad.</t>
  </si>
  <si>
    <t>ESTRATÉGICOS</t>
  </si>
  <si>
    <t xml:space="preserve">Falta de transferencia del conocimiento entre los funcionarios de la Administración Municipal </t>
  </si>
  <si>
    <t>Deficiencias en la Planeación y control de los contratos</t>
  </si>
  <si>
    <t>PROCESOS OPERATIVOS</t>
  </si>
  <si>
    <t>Falta de documentación de los procedimientos.</t>
  </si>
  <si>
    <t>Sancion del Ente Regulador</t>
  </si>
  <si>
    <t>Presiones externas o de un superior jerárquico, para manipular informacion de la Contratacion Estatal.</t>
  </si>
  <si>
    <t>Declaratoria de emergecia sanitaria por epidemias, pandemias y/o catastrofes naturales</t>
  </si>
  <si>
    <t>Constantes cambios normativos (leyes, decretos, acuerdos)</t>
  </si>
  <si>
    <t>Incremento de precios en las cotizaciones de los oferentes en la contratación de Bienes y servicios</t>
  </si>
  <si>
    <t xml:space="preserve">
Dificultad de comunicación con las entidades del orden publico y privado</t>
  </si>
  <si>
    <t>Personal de planta insuficiente o sin las competencias  para el desarrollo de las actividades propias del proceso</t>
  </si>
  <si>
    <t>Personal sin vinculación laboral directa  manejando procesos críticos</t>
  </si>
  <si>
    <t>Resistencia al cambio</t>
  </si>
  <si>
    <t>Deficiente articulacion de la informacion entre procesos para la identificación de los predios de propiedad del Municipio</t>
  </si>
  <si>
    <t>Presiones externas o de un superior jerárquico, omisión de las políticas para el uso adecuado de los bienes.</t>
  </si>
  <si>
    <t>Presiones externas o de un superior jerárquico, para manipular informacion de los bienes Fiscales y de uso publico del Municipio.</t>
  </si>
  <si>
    <t>1.Personal de planta insuficiente o sin las competencias  para el desarrollo de las actividades propias del proceso</t>
  </si>
  <si>
    <t>1.Uso de plataforma tecnológica para el control de los inventarios</t>
  </si>
  <si>
    <t>2.Personal sin vinculación laboral directa  manejando procesos críticos</t>
  </si>
  <si>
    <t>2.Actualización del inventario fisico de los bienes muebles del Municipio.</t>
  </si>
  <si>
    <t>3.Resistencia al cambio</t>
  </si>
  <si>
    <t>4.Desconcimiento sobre la utilizacion adecuada de los elementos y bienes devolutivos y de consumo) a cargo de los funcionarios</t>
  </si>
  <si>
    <t>4.Póliza de Seguro para la totalidad de los bienes de propiedad de la Administracion  y  el Aseguramiento de los Funcionarios de planta de la Alcaldia de Ibague</t>
  </si>
  <si>
    <t>5.Falta de apropiación a los valores y principios  establecidos en el  Código de Integridad y Buen Gobierno</t>
  </si>
  <si>
    <t>5.Políticas de seguridad de la Información adoptadas</t>
  </si>
  <si>
    <t>6.Falta de Presupuesto para cumplir con el correcto funcionamiento de los procesos de la entidad y metas del plan de desarrollo</t>
  </si>
  <si>
    <t>6.Politica para el Uso Adecuado de los Bienes del Municipio. Documentada y Adoptada</t>
  </si>
  <si>
    <t>7,Inadecuado manejo de la informacion en la base de datos asociada al proceso de Identificacion de los Bienes Fiscales y de uso Publico</t>
  </si>
  <si>
    <t>7.Procedimiento de Toma Fisica Adoptado</t>
  </si>
  <si>
    <t>8.Deficiencia en las estrategias de comunicación interna implementadas en la Entidad.</t>
  </si>
  <si>
    <t>8.Manual  para el manejo y control de los bienes del Municipio. Documentado y Adoptado</t>
  </si>
  <si>
    <t xml:space="preserve">9.Falta de transferencia del conocimiento entre los funcionarios de la Administración Municipal </t>
  </si>
  <si>
    <t>10.Deficiencias en la Planeación y control de los contratos</t>
  </si>
  <si>
    <t>11.Falta de documentación de los procedimientos.</t>
  </si>
  <si>
    <t>12.Falta de Politicas y/o procedimientos para la identificacion de los bienes fiscales y de uso publico del municipio.</t>
  </si>
  <si>
    <t>13.Deficiente control en la actualizacion de los inventarios al momento de la desvinculacion o traslado de los Funcionarios</t>
  </si>
  <si>
    <t>14.Dificultad en acatar los lineamientos y directrices de Recursos Fisicos en los difentes procesos</t>
  </si>
  <si>
    <t>1.Excelente ubicación geográfica del municipio</t>
  </si>
  <si>
    <r>
      <rPr>
        <b/>
        <sz val="12"/>
        <rFont val="Arial"/>
        <family val="2"/>
      </rPr>
      <t>D5</t>
    </r>
    <r>
      <rPr>
        <sz val="12"/>
        <rFont val="Arial"/>
        <family val="2"/>
      </rPr>
      <t xml:space="preserve">, </t>
    </r>
    <r>
      <rPr>
        <b/>
        <sz val="12"/>
        <rFont val="Arial"/>
        <family val="2"/>
      </rPr>
      <t>O6</t>
    </r>
    <r>
      <rPr>
        <sz val="12"/>
        <rFont val="Arial"/>
        <family val="2"/>
      </rPr>
      <t>. Fortalecer las actividades de socialización y apropiación de los valores y principios contemplados en el código de integridad y buen gobierno</t>
    </r>
  </si>
  <si>
    <r>
      <rPr>
        <b/>
        <sz val="12"/>
        <color theme="1"/>
        <rFont val="Arial"/>
        <family val="2"/>
      </rPr>
      <t>F1,O5</t>
    </r>
    <r>
      <rPr>
        <sz val="12"/>
        <color theme="1"/>
        <rFont val="Arial"/>
        <family val="2"/>
      </rPr>
      <t>. Aplicar la política de Transparencia, acceso a la información pública y lucha contra la corrupción</t>
    </r>
  </si>
  <si>
    <t>2.Aplicación de las NIC</t>
  </si>
  <si>
    <r>
      <rPr>
        <b/>
        <sz val="12"/>
        <rFont val="Arial"/>
        <family val="2"/>
      </rPr>
      <t>D6,</t>
    </r>
    <r>
      <rPr>
        <sz val="12"/>
        <rFont val="Arial"/>
        <family val="2"/>
      </rPr>
      <t xml:space="preserve"> </t>
    </r>
    <r>
      <rPr>
        <b/>
        <sz val="12"/>
        <rFont val="Arial"/>
        <family val="2"/>
      </rPr>
      <t>O4.</t>
    </r>
    <r>
      <rPr>
        <sz val="12"/>
        <rFont val="Arial"/>
        <family val="2"/>
      </rPr>
      <t xml:space="preserve"> Aplicar la política de MIPG gestión presupuestal y eficiencia del gasto público, para la adquisición de bienes y servicios que suplan las necesidades de la Entidad y su Aseguramiento.</t>
    </r>
  </si>
  <si>
    <r>
      <rPr>
        <b/>
        <sz val="12"/>
        <color theme="1"/>
        <rFont val="Arial"/>
        <family val="2"/>
      </rPr>
      <t>F2,O2</t>
    </r>
    <r>
      <rPr>
        <sz val="12"/>
        <color theme="1"/>
        <rFont val="Arial"/>
        <family val="2"/>
      </rPr>
      <t>. Aplicar las políticas operativas de las NIC en relación con los inventarios</t>
    </r>
  </si>
  <si>
    <t>3.Herramientas de seguridad digital disponibles en el mercado</t>
  </si>
  <si>
    <r>
      <rPr>
        <b/>
        <sz val="12"/>
        <color theme="1"/>
        <rFont val="Arial"/>
        <family val="2"/>
      </rPr>
      <t xml:space="preserve">D12, O7 </t>
    </r>
    <r>
      <rPr>
        <sz val="12"/>
        <color theme="1"/>
        <rFont val="Arial"/>
        <family val="2"/>
      </rPr>
      <t>Implementar</t>
    </r>
    <r>
      <rPr>
        <b/>
        <sz val="12"/>
        <color theme="1"/>
        <rFont val="Arial"/>
        <family val="2"/>
      </rPr>
      <t xml:space="preserve"> </t>
    </r>
    <r>
      <rPr>
        <sz val="12"/>
        <color theme="1"/>
        <rFont val="Arial"/>
        <family val="2"/>
      </rPr>
      <t>el manual de administracion de bienes fiscales y de uso público,  y enviar los documentos a la Direccion de Fortalecimiento institucional para la Validacion, Aprobacion y Publicacion del mismo.</t>
    </r>
  </si>
  <si>
    <r>
      <rPr>
        <b/>
        <sz val="12"/>
        <color theme="1"/>
        <rFont val="Arial"/>
        <family val="2"/>
      </rPr>
      <t xml:space="preserve">F3,4 O4 </t>
    </r>
    <r>
      <rPr>
        <sz val="12"/>
        <color theme="1"/>
        <rFont val="Arial"/>
        <family val="2"/>
      </rPr>
      <t>. Aplicar la política de MIPG gestión presupuestal y eficiencia del gasto público, asignando los recursos necesarios para la contratacion de los Servicios de Vigilancia y Aseo (Servicios Generales)y Aseguramiento y proteccion de los funcionarios y bienes de propiedad de de la Administracion Municipal</t>
    </r>
  </si>
  <si>
    <t>4.Modelo integral de planeación y gestión -MIPG - documentado e implementado - Politicas de Seguridad de la informacion. Y Sistema de Gestion de Calidad</t>
  </si>
  <si>
    <r>
      <rPr>
        <b/>
        <sz val="12"/>
        <color theme="1"/>
        <rFont val="Arial"/>
        <family val="2"/>
      </rPr>
      <t>D13 O7.</t>
    </r>
    <r>
      <rPr>
        <sz val="12"/>
        <color theme="1"/>
        <rFont val="Arial"/>
        <family val="2"/>
      </rPr>
      <t xml:space="preserve"> Expedición de paz y salvo para el caso de desvinculacion de funcionarios, Aplicando los procesos y procedimientos establecidospor la entidad</t>
    </r>
  </si>
  <si>
    <t>5.Normatividad para implementar el Modelo integral de planeación y gestión -MIPG  Politica de Transparencia, acceso a la información pública y lucha contra la corrupción</t>
  </si>
  <si>
    <r>
      <rPr>
        <b/>
        <sz val="12"/>
        <rFont val="Arial"/>
        <family val="2"/>
      </rPr>
      <t>D12 O2</t>
    </r>
    <r>
      <rPr>
        <sz val="12"/>
        <rFont val="Arial"/>
        <family val="2"/>
      </rPr>
      <t xml:space="preserve"> Realizar mesas de trabajo articulado con la Direccion de Contabilidad. Y enviar Informes trimestrales de la Base de Datos de Bienes Fiscales y de Uso Publico, con el fin que la Direccion de Contabilidad realice la Depuracion Contable</t>
    </r>
  </si>
  <si>
    <t>6.Código de Integridad y  Valores del Servicio Público</t>
  </si>
  <si>
    <r>
      <rPr>
        <b/>
        <sz val="12"/>
        <rFont val="Arial"/>
        <family val="2"/>
      </rPr>
      <t>D4,O4</t>
    </r>
    <r>
      <rPr>
        <sz val="12"/>
        <rFont val="Arial"/>
        <family val="2"/>
      </rPr>
      <t xml:space="preserve"> Actualizar el Manual para el Manejo y control de los Bienes del Municipio incluyendo el control para la expedicion de Paz y salvo relacionado en el Mapa de Riesgos de Corrupcion</t>
    </r>
  </si>
  <si>
    <t>7.Sistema Integrado de planeación y gestión SIPG - para implementacion de los procesos y procedimientos.</t>
  </si>
  <si>
    <t>8.Normas Técnicas de Calidad</t>
  </si>
  <si>
    <t>D4 04  Socializar la Politica para el uso adecuado de los bienes (devolutivos y de consumo) Politica de obligatorio cumplimiento, se socializara a travez de los medios de comunicación de la Administración Municipal</t>
  </si>
  <si>
    <t>9.Reporte de talento humano de personal trasladado o desvinvulado</t>
  </si>
  <si>
    <t>1.Declaratoria de emergecia sanitaria por epidemias, pandemias y/o catastrofes naturales</t>
  </si>
  <si>
    <r>
      <rPr>
        <b/>
        <sz val="12"/>
        <color theme="1"/>
        <rFont val="Arial"/>
        <family val="2"/>
      </rPr>
      <t>D10 A9</t>
    </r>
    <r>
      <rPr>
        <sz val="12"/>
        <color theme="1"/>
        <rFont val="Arial"/>
        <family val="2"/>
      </rPr>
      <t xml:space="preserve"> Gestionar de manera inmediata la adición al contrato o agilizar la adjudicación del nuevo contrato</t>
    </r>
  </si>
  <si>
    <t>2.Constantes cambios normativos (leyes, decretos, acuerdos)</t>
  </si>
  <si>
    <r>
      <t>D12 A8</t>
    </r>
    <r>
      <rPr>
        <sz val="12"/>
        <rFont val="Arial"/>
        <family val="2"/>
      </rPr>
      <t xml:space="preserve"> Depurar la base de datos y reportar a contabilidad los hallazgos relacionados con predios nuevos y que no son de titularidad del municipio </t>
    </r>
  </si>
  <si>
    <r>
      <t xml:space="preserve">F5 A4 </t>
    </r>
    <r>
      <rPr>
        <sz val="12"/>
        <color theme="1"/>
        <rFont val="Arial"/>
        <family val="2"/>
      </rPr>
      <t>Realizar mesas de Trabajo con el personal del grupo de Bienes Fiscales para hacer seguimiento a la informacion reportada en la base de datos asociada al proceso de identificacion de los Predios (bienes fiscales y de uso publico del municipio)</t>
    </r>
  </si>
  <si>
    <t>3.Incremento de precios en las cotizaciones de los oferentes en la contratación</t>
  </si>
  <si>
    <r>
      <rPr>
        <b/>
        <sz val="12"/>
        <color theme="1"/>
        <rFont val="Arial"/>
        <family val="2"/>
      </rPr>
      <t>D4 A11</t>
    </r>
    <r>
      <rPr>
        <sz val="12"/>
        <color theme="1"/>
        <rFont val="Arial"/>
        <family val="2"/>
      </rPr>
      <t xml:space="preserve"> Iniciar las acciones pertinentes para la recuperación de los bienes de la administración. Y En caso de pérdida del bien denunciar a  Control Interno Disciplinario o Fiscalía según el caso  </t>
    </r>
  </si>
  <si>
    <t xml:space="preserve">4.Baja seguridad inormatica </t>
  </si>
  <si>
    <r>
      <rPr>
        <b/>
        <sz val="12"/>
        <color theme="1"/>
        <rFont val="Arial"/>
        <family val="2"/>
      </rPr>
      <t xml:space="preserve">D7 A4 </t>
    </r>
    <r>
      <rPr>
        <sz val="12"/>
        <color theme="1"/>
        <rFont val="Arial"/>
        <family val="2"/>
      </rPr>
      <t>Iniciar acciones en caso de detectar fraude en manipulacion de informacion en la base de datos asociada al proceso de Identificacion de los Predios, Se realiza la respectiva denunciando a control disciplinario o fiscalía según el caso</t>
    </r>
  </si>
  <si>
    <r>
      <rPr>
        <b/>
        <sz val="12"/>
        <color theme="1"/>
        <rFont val="Arial"/>
        <family val="2"/>
      </rPr>
      <t>F7 A11</t>
    </r>
    <r>
      <rPr>
        <sz val="12"/>
        <color theme="1"/>
        <rFont val="Arial"/>
        <family val="2"/>
      </rPr>
      <t>. Realizar proceso de toma física a las dependencias de la administración y generar las acciones de actualización de responsabilidades en inventario individual</t>
    </r>
  </si>
  <si>
    <t>5.Situaciones de Orden Publico</t>
  </si>
  <si>
    <t>6.Cambios de Gobierno</t>
  </si>
  <si>
    <t xml:space="preserve">
7.Dificultad de comunicación con las entidades del orden publico y privado</t>
  </si>
  <si>
    <t>F9 A11  Realizar actualización y socialización del manual para el manejo y control de los bienes del municipio incluyendo controles para bienes devolutivos y no devolutivos</t>
  </si>
  <si>
    <t>8.Deficiente articulacion de la informacion entre procesos para la identificación de los predios de propiedad del Municipio</t>
  </si>
  <si>
    <t>9.Demora en la adjudicación de los procesos contractuales para adelantar las actividades propias de la Direccion. (demora en los tiempo de respuesta)</t>
  </si>
  <si>
    <t xml:space="preserve">10.Baja efectividad de los flujos de informacion (demora en los tiempos de respuesta) </t>
  </si>
  <si>
    <t>11.Presiones externas o de un superior jerárquico, omisión de las políticas para el uso adecuado de los bienes.</t>
  </si>
  <si>
    <t>12,Presiones externas o de un superior jerárquico, para manipular informacion de los bienes Fiscales y de uso publico del Municipio.</t>
  </si>
  <si>
    <t>GESTION DE RECURSOS FISICOS</t>
  </si>
  <si>
    <t>GESTIONAR OPORTUNAMENTE EL FUNCIONAMIENTO DE LA ADMINISTRACION CENTRAL MEDIANTE LA ADQUISICIÓN Y MANTENIMIENTO DE BIENES Y SERVICIOS, EJECUTANDO EL 80% DEL PRESUPUESTO ASIGNADO CONTRIBUYENDO A LA GESTIÓN DE LOS PROCESOS Y AL LOGRO DE LOS OBJETIVOS INSTITUCIONALES,</t>
  </si>
  <si>
    <t>Sancion del ente regulador</t>
  </si>
  <si>
    <t>Deficiente gestion de la Programacion Contractual Para el Funcionamiento de la Administracion Central</t>
  </si>
  <si>
    <t>Deficiente planeacion de las actividades del proceso</t>
  </si>
  <si>
    <t>Posibildad de afectacion economica y reputacional por las sanciones del ente regulador debido a la deficiente gestion de la programacion contractual para el funcionamiento de le Administracion Central</t>
  </si>
  <si>
    <t>Gestión</t>
  </si>
  <si>
    <t>Director (a) Recursos Fisicos</t>
  </si>
  <si>
    <t>Plan anual de adquisiciones ejecuciones de las actividades propias del proceso.</t>
  </si>
  <si>
    <t>El Director (a) de Recursos Fisicos por medio presentacion trimestral revisa  la ejecucion presupuestal de la actividades realizadas y se plasma la ejecucion en el Plan de Accion.</t>
  </si>
  <si>
    <t>Multas y/o sanciones</t>
  </si>
  <si>
    <t>Deficiencia de la aplicación correcta al MANUAL PARA EL MANEJO Y CONTROL DE LOS BIENES DEL MUNICIPIO.</t>
  </si>
  <si>
    <t>Deficiencia en el control de los inventarios periodicos.</t>
  </si>
  <si>
    <t>FISCAL</t>
  </si>
  <si>
    <t>Ejecuciones Acitividades Propias del Proceso.</t>
  </si>
  <si>
    <t>Posible perdida, extravio, hurto,daños, robo o declaratoria irregular de bienes faltantes pertenecientes a la entidad.</t>
  </si>
  <si>
    <t>Posibildad de afectacion economica por multas y/sanciones debido a perdida, extravio, hurto, daños, robo o declaratoria irregular de bienes faltantes pertenecientes a la entidad.</t>
  </si>
  <si>
    <t>Inadecuado manejo de la informacion en la base de datos asociada al proceso de identiificacion de los Bienes Fiscales y de Uso Publico.</t>
  </si>
  <si>
    <t>Presiones externas o de un superior jerarquico, para manipular informacion de los Bienes Fiscales y de Uso Publico del Municipio de Ibague.</t>
  </si>
  <si>
    <t>Perdida o deficiencias en las identificacion de los bienes inmuebles o cedidos de propiedad del Municipio de Ibague</t>
  </si>
  <si>
    <t>Posibilidad de perdida economica por multas y/o sanciones debido a  deficiencias en las identificacion de los bienes inmuebles o cedidos de propiedad del Municipio de Ibague</t>
  </si>
  <si>
    <t>Ejecuciones Actividades Propias del Proceso.</t>
  </si>
  <si>
    <t>el Director (a)  Recursos Fisicos junto con el Almacenista, realizan programacion del cronograma para el seguimiento a las tomas fisicas, con el fin de validar si existe perdida o no perdida, extravio, hurto, daños, robo o declaratoria irregular de bienes faltantes pertenecientes a la entidad.</t>
  </si>
  <si>
    <r>
      <rPr>
        <b/>
        <sz val="12"/>
        <rFont val="Arial"/>
        <family val="2"/>
      </rPr>
      <t xml:space="preserve">F9 A12 </t>
    </r>
    <r>
      <rPr>
        <sz val="12"/>
        <rFont val="Arial"/>
        <family val="2"/>
      </rPr>
      <t xml:space="preserve"> La Director (a) Recursos Fisicos designo a un unico profesional con un perfil de Ingenierio de Sistemas, la cual verifica las solicitudes de la actualizacion de la informacion de la BDD de Predios bienes fiscales y de uso publico solicitadas por la Direccion, con el fin de dar cumplimiento a la Politica de la Seguridad de la Informacion y evitar la manipulacion indebida por los funcionarios no autorizados.</t>
    </r>
  </si>
  <si>
    <t>Realizar seguimieto aleatorios a la BDD, para identificar posibles fallos en el registro de la informacion de los Bienes fiscales y de uso publicos del Municipio de Ibague.</t>
  </si>
  <si>
    <t>INICIA CON LA PLANEACIÓN DEL PROCESO, GESTIONANDO LOS BIENES Y SERVICIOS REQUERIDOS PARA GARANTIZAR EL FUNCIONAMIENTO DE LA ADMINISTRACIÓN, DESARROLLANDO LAS ACTIVIDADES DE MANEJO Y CONTROL DEL INVENTARIO DE LOS BIENES MUEBLES DEL MUNICIPIO, IDENTIFICAR, LEGALIZAR Y TITULAR LOS BIENES FISCALES Y DE USO PUBLICO Y EL MANTENIMIENTO PREVENTIVO Y CORRECTIVO DE VEHICULOS Y BIENES DEL MUNICIPIO, CULMINANDO CON EL SEGUIMIENTO Y EVALUACIÓN DEL PROCESO.</t>
  </si>
  <si>
    <t>Almacenista General</t>
  </si>
  <si>
    <t>9. Socializacion Manual  Administracion de Bienes Fiscales y uso publico. Documentado y Adoptado</t>
  </si>
  <si>
    <r>
      <rPr>
        <b/>
        <sz val="12"/>
        <rFont val="Arial"/>
        <family val="2"/>
      </rPr>
      <t>D7,O4</t>
    </r>
    <r>
      <rPr>
        <sz val="12"/>
        <rFont val="Arial"/>
        <family val="2"/>
      </rPr>
      <t xml:space="preserve"> Socializae el Manual de Administracion de Bienes Fiscales y Uso Publico incluyendo el control para la digitalizacion de la informacion en la base de datos relacionado en el Mapa de Riesgos de Corrupcion</t>
    </r>
  </si>
  <si>
    <t>3.Vigilancia y Aseo (Servicios Generales) en todas las sedes de la Administración Municipal,  seguimiento a los contratos de arrendamientos.</t>
  </si>
  <si>
    <r>
      <rPr>
        <b/>
        <sz val="12"/>
        <color theme="1"/>
        <rFont val="Arial"/>
        <family val="2"/>
      </rPr>
      <t>A9,F3,4</t>
    </r>
    <r>
      <rPr>
        <sz val="12"/>
        <color theme="1"/>
        <rFont val="Arial"/>
        <family val="2"/>
      </rPr>
      <t>. El director (a) de recursos Fisicos  trimestrealmente revisa el presupuesto y las necesidades de la entidad para planearlas en el Plan de Accion de la Direccion, dejando como evidencia:
el Plan de Accion.</t>
    </r>
  </si>
  <si>
    <r>
      <rPr>
        <b/>
        <sz val="12"/>
        <rFont val="Arial"/>
        <family val="2"/>
      </rPr>
      <t>F2</t>
    </r>
    <r>
      <rPr>
        <sz val="12"/>
        <color theme="1"/>
        <rFont val="Arial"/>
        <family val="2"/>
      </rPr>
      <t xml:space="preserve"> </t>
    </r>
    <r>
      <rPr>
        <b/>
        <sz val="12"/>
        <rFont val="Arial"/>
        <family val="2"/>
      </rPr>
      <t xml:space="preserve">A11. </t>
    </r>
    <r>
      <rPr>
        <sz val="12"/>
        <color theme="1"/>
        <rFont val="Arial"/>
        <family val="2"/>
      </rPr>
      <t>Trimestralmente la Direccion de Recursos Fisicos  revisa el presupuesto aprobado por la vigencia haciendo  programacion de compras y contratacion el plan anual de adquisicion, dejando como evidencia el Plan de Accion.</t>
    </r>
  </si>
  <si>
    <t>El Director (a) de Recursos Fisicos junto con su equipo de trabajo - Abogados,se reune con el fin de revisar y hacer seguimiento y control al Plan de Accion presentado a (02 enero a 30 de  junio del 2024); actividades vs su ejecucion para tomar acciones en caso de desviacion.</t>
  </si>
  <si>
    <t xml:space="preserve">1. Cumpliendo con la Actividad de Control, desde la Oficina de Almacen se realizo socializacion de la Politica de Uso Adecuado de los Bienes, Esta politica fue Socializada por medio de la Circular N° 003 del 13 de enero del 2024  y se publica en la pagina de Facebook- PELHUSA y se remite por los Correos electronicos a los funcionarios publicos.                                       
2. Cumpliendo con la Actividad de Control, el dia 14  de febrero de 2024 se expidio Circular 00011  con Asunto: Ingreso Almacen para Elementos Tecnologicos (tangibles e intangibles).                                                                                                                                                                  3.Cumpliendo con la Actividad de Control, desde la Oficina de Almacen se realizo socializacion de los conceptos que generan Ingreso al Almacen General del Municipio, Esta politica fue Socializada por medio de la Circular N° 0012 del 15 de enero del 2024.                                                       4. De acuerdo a la Circular N° 0019 del 08 de abril de 2024, La Direcciom de Recursos Fisicos junto con el Almacen General, socializaron el cronograma de tomas fisicas vigencia 2024.                                                                                                                                                                 5.          Con el memorando N° 1423-2024-13372 del 08 de abril del 2024 del Almacen General comunica a la Secretaria General y a la Direccion de Atencion al Cuidadano el cronograma de las tomas fisicas a esas dependecias.                                                                                                     6.    Por medio del Acta N° 001 del 08 de abril de 2024,    el Almacen General  socializo al personal de apoyo el cronograma de las tomas fisicas y asignar dependecias y directrices y compromisos de la realizacion del trabajo.                                                                                                                      7.        El Almacen General realiza tomas fisicas a las Secretarias de Salud, Economico y General (Memorandos 13372-16621-17518 de abril 2024) anexos Soportes de las tomas fisicas.                                                                                                                                                                                                                                                                                                             </t>
  </si>
  <si>
    <t xml:space="preserve">1. Cumpliendo con la Actividad de Control, la Directora de Recursos Fisicos cita a comite de Seguimiento el dia 22 de marzo de 2024, con la finalidad de socializar el manual y el procedimiento de Bienes Fiscales y Titulacion y tener un compromiso de confidencialidad y responsabilidad del manejo y control de la infirmacion de las BDD de esta area Acta 0008 del 22/03/2024.                                                                                                                                                                       2. Dando cumplimiento al  control, la Directora de Recursos Fisicos, realiza mesa de trabajo realizando seguimiento a la actualizacion digital de los expedientes, informacion  que reposa en el Drive de las BDD, del correo inst. de Predios. Acta N° 0011 del 16/04/2024.                                                                                      3. Por medio de correo electronico institucional el dia 30 de abril de 2024, el grupo de Bienes Fiscales remiten a la Directora de Recursos Fisicos reporte del muestreo aleatorio de la revision de los expedientes que reposan en el archivo gestion, donde realizan la verificacion y corraborar la infiornacion de la BDD  de  grupo de Bienes Fiscales y Uso Publico conforme a  los expedientes fisicos.                                                                                4. Dando cumplimiento a esta actividad en los meses de mayo y junio de 2024, el profesional unoversitario hace un muestreo aleatorio a los expedientes fisicos del archivo gestion de bienes fiscales y de uso publico, confrontando esta inormacion fisica con la informacion de drive de la BDD de predios, para identificar fallas. Evidencias infomacion reportada por bienes fiscales al correo intitucional de Recursos Fisicos.                                         5.la Directora de Recursos Fisicos le hace seguimiento a la actualizacion correcta de la BDD  de bienes fiscales, realizando un plan de choque para subsanar los incovenientes de control de interno, dando alcance al Acta N° 0011 del 16/04/2024. Evidencia de seguimiento Acta N° 0027 de 21/06/2024.                                                                                                                                                                                                                      6.   Dando cumplimiento a la socializacion del manual de bienes fiscales y de uso publico y pactar confidencialidad y responsabilidad de la manejo e informacion de las BBD, se realizo una capacitacion a los contratistas que ingresaron en  el segundo trimestre al grupo de predios. Evidencia Acta N° 0026 del 20/06/2024.                                                                                                                                                                                                                                                                                     </t>
  </si>
  <si>
    <t xml:space="preserve">1.La Secretaria Administrativa y la Dirección de Recursos Físicos en el mes de Diciembre del 2023, dio respuesta a la Circular 033 (05/12/2023) Instrumentos de Planeación para la Vigencia 2023, donde se envió memorando 059441  del 18 de diciembre de 2023, allegando el Plan de Acción para la Vigencia 2024 .                                      
   2. Por ocasion del Memorando N° 1010-2024-03639 del 01 de febrero del 2024 de la Oficina de Control Interno, con lo cual, el dia 08 del mismo mes, realizo la visita a esta Direccion y evaluaron la gestion del Plan de Accion vigencia 2023 con una Puntuacion de un 100% de cumplimiento de la ejecucion (memorando N° 15/04/2024 Control Interno informe) .                                                                                                                                                                3. Dando cumplimiento, por medio del Acta 004 del 29 de febrero de 2024, la Directora de Recursos Fisicos se reunio con los Abogados contratistas que llevan a cabo los procesos de la Contratación de Bienes y Servicios de la D.R.F.Con el fin de hacer seguimiento y control a la contratación que se tiene programada y que se ha ejecutado a la fecha segun lo programado y ejecutado en el Plan de Accion del 2024.Informe presentado a 29 de febrero de 2024.                                                                                                                                                                                                          4.  Dando cumplimiento, la Directora de Recursos Fisicos, hace seguimiento y control de los bienes serviicios , segun la programacion que se realizo en el plan de accion vigencia 2024, segun Acta N° 00007 del 13 de marzo de 2024, de acuerdo a lo programado y ejecutado en el plan de accion 2024.                                                                                                                                                                                                                5. Dando cumplimiento al seguimiento y control, la Directora de Recursos Fisicos, realiza convocatoria y se reunion con los abogados contratistas para revisar los avances a los procesos contractuales, segun Acta N° 0009 del 22 de marzo de 2024, segun lo programada y ejecutado en el plan de accion 2024.                                                                                                                                                                                                                   6. Dando cumplimiento    al seguimiento y control, la Directora de Recursos Fisicos, realiza convocatoria y se reunion con los abogados contratistas para revisar los avances a los procesos contractuales, segun Acta N° 0013  del 23 de Abril de 2024, segun lo programada y ejecutado en el plan de accion 2024.                                                                                                                                                                                                               7.   Dando cumplimiento al seguimiento la Directora de Recursos Fisicos, hace control a la contratacion que se tiene planeada y programada segun lo programada en el Plan de Accion vigencia 2024 de bienes fiscales y de uso publico y titulacion, por medio del Acta N° 0028 del 25/06/2024.                                                                                                                                                                                             8.Dando cumplimiento a esta actividad, la Directora de Recursos Fisicos realiza seguimiento y control a la contratacion de bienes y servicios de acuerdo a lo presupuestado y ejecutado hasta la fecha, por medio del Acta N° 0029 del 25/06/2024 Evidencia el Plan de accion hasta esa fecha.  </t>
  </si>
  <si>
    <t>FORMATO MAPA DE 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</si>
</sst>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sz val="12"/>
      <name val="Arial"/>
      <family val="2"/>
    </font>
    <font>
      <sz val="12"/>
      <color theme="1"/>
      <name val="Arial"/>
      <family val="2"/>
    </font>
    <font>
      <b/>
      <sz val="12"/>
      <name val="Arial"/>
      <family val="2"/>
    </font>
    <font>
      <sz val="12"/>
      <color rgb="FFFF0000"/>
      <name val="Arial"/>
      <family val="2"/>
    </font>
    <font>
      <u/>
      <sz val="12"/>
      <color theme="1"/>
      <name val="Arial"/>
      <family val="2"/>
    </font>
  </fonts>
  <fills count="30">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rgb="FF0070C0"/>
        <bgColor indexed="64"/>
      </patternFill>
    </fill>
    <fill>
      <patternFill patternType="solid">
        <fgColor theme="4" tint="0.59999389629810485"/>
        <bgColor indexed="64"/>
      </patternFill>
    </fill>
    <fill>
      <patternFill patternType="solid">
        <fgColor rgb="FF99FF33"/>
        <bgColor indexed="64"/>
      </patternFill>
    </fill>
    <fill>
      <patternFill patternType="solid">
        <fgColor rgb="FF00BBFE"/>
        <bgColor indexed="64"/>
      </patternFill>
    </fill>
    <fill>
      <patternFill patternType="solid">
        <fgColor rgb="FF00E668"/>
        <bgColor indexed="64"/>
      </patternFill>
    </fill>
    <fill>
      <patternFill patternType="solid">
        <fgColor rgb="FF00B0F0"/>
        <bgColor indexed="64"/>
      </patternFill>
    </fill>
    <fill>
      <patternFill patternType="solid">
        <fgColor rgb="FFBEF870"/>
        <bgColor indexed="64"/>
      </patternFill>
    </fill>
    <fill>
      <patternFill patternType="solid">
        <fgColor theme="3" tint="0.39997558519241921"/>
        <bgColor indexed="64"/>
      </patternFill>
    </fill>
    <fill>
      <patternFill patternType="solid">
        <fgColor theme="3" tint="0.59999389629810485"/>
        <bgColor indexed="64"/>
      </patternFill>
    </fill>
  </fills>
  <borders count="111">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4659260841701"/>
      </left>
      <right style="dashed">
        <color theme="9" tint="-0.249977111117893"/>
      </right>
      <top style="dashed">
        <color theme="9" tint="-0.24994659260841701"/>
      </top>
      <bottom/>
      <diagonal/>
    </border>
    <border>
      <left style="dashed">
        <color theme="9" tint="-0.24994659260841701"/>
      </left>
      <right style="dashed">
        <color theme="9" tint="-0.249977111117893"/>
      </right>
      <top/>
      <bottom/>
      <diagonal/>
    </border>
    <border>
      <left style="dashed">
        <color theme="9" tint="-0.24994659260841701"/>
      </left>
      <right style="dashed">
        <color theme="9" tint="-0.249977111117893"/>
      </right>
      <top/>
      <bottom style="dashed">
        <color theme="9" tint="-0.24994659260841701"/>
      </bottom>
      <diagonal/>
    </border>
    <border>
      <left style="dashed">
        <color theme="9" tint="-0.249977111117893"/>
      </left>
      <right style="dashed">
        <color theme="9" tint="-0.24994659260841701"/>
      </right>
      <top style="dashed">
        <color theme="9" tint="-0.24994659260841701"/>
      </top>
      <bottom/>
      <diagonal/>
    </border>
    <border>
      <left style="dashed">
        <color theme="9" tint="-0.249977111117893"/>
      </left>
      <right style="dashed">
        <color theme="9" tint="-0.24994659260841701"/>
      </right>
      <top/>
      <bottom/>
      <diagonal/>
    </border>
    <border>
      <left style="dashed">
        <color theme="9" tint="-0.249977111117893"/>
      </left>
      <right style="dashed">
        <color theme="9" tint="-0.24994659260841701"/>
      </right>
      <top/>
      <bottom style="dashed">
        <color theme="9" tint="-0.24994659260841701"/>
      </bottom>
      <diagonal/>
    </border>
    <border>
      <left style="dashed">
        <color theme="9" tint="-0.249977111117893"/>
      </left>
      <right/>
      <top style="dashed">
        <color theme="9" tint="-0.249977111117893"/>
      </top>
      <bottom/>
      <diagonal/>
    </border>
    <border>
      <left style="dashed">
        <color theme="9" tint="-0.249977111117893"/>
      </left>
      <right/>
      <top/>
      <bottom style="dashed">
        <color theme="9" tint="-0.249977111117893"/>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70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14" fontId="27" fillId="0" borderId="2" xfId="0" applyNumberFormat="1"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8"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3" xfId="0" applyFont="1" applyBorder="1" applyAlignment="1">
      <alignment vertical="center" wrapText="1"/>
    </xf>
    <xf numFmtId="0" fontId="63" fillId="17" borderId="83" xfId="0" applyFont="1" applyFill="1" applyBorder="1" applyAlignment="1">
      <alignment vertical="center"/>
    </xf>
    <xf numFmtId="0" fontId="63" fillId="17" borderId="84" xfId="0" applyFont="1" applyFill="1" applyBorder="1" applyAlignment="1">
      <alignment horizontal="center" vertical="center"/>
    </xf>
    <xf numFmtId="0" fontId="63" fillId="17" borderId="85" xfId="0" applyFont="1" applyFill="1" applyBorder="1" applyAlignment="1">
      <alignment horizontal="center" vertical="center"/>
    </xf>
    <xf numFmtId="0" fontId="61" fillId="18" borderId="77" xfId="0" applyFont="1" applyFill="1" applyBorder="1" applyAlignment="1">
      <alignment vertical="center" wrapText="1"/>
    </xf>
    <xf numFmtId="0" fontId="61" fillId="18" borderId="78" xfId="0" applyFont="1" applyFill="1" applyBorder="1" applyAlignment="1">
      <alignment vertical="center" wrapText="1"/>
    </xf>
    <xf numFmtId="0" fontId="61" fillId="18" borderId="37" xfId="0" applyFont="1" applyFill="1" applyBorder="1" applyAlignment="1">
      <alignment vertical="center" wrapText="1"/>
    </xf>
    <xf numFmtId="0" fontId="61" fillId="3" borderId="33" xfId="0" applyFont="1" applyFill="1" applyBorder="1" applyAlignment="1">
      <alignment horizontal="left" vertical="center" wrapText="1"/>
    </xf>
    <xf numFmtId="0" fontId="61" fillId="18" borderId="33" xfId="0" applyFont="1" applyFill="1" applyBorder="1" applyAlignment="1">
      <alignment vertical="center" wrapText="1"/>
    </xf>
    <xf numFmtId="0" fontId="61" fillId="0" borderId="33" xfId="0" applyFont="1" applyBorder="1" applyAlignment="1">
      <alignment horizontal="left" vertical="center" wrapText="1"/>
    </xf>
    <xf numFmtId="0" fontId="61" fillId="0" borderId="33" xfId="0" applyFont="1" applyBorder="1" applyAlignment="1">
      <alignment horizontal="left" vertical="center"/>
    </xf>
    <xf numFmtId="0" fontId="65" fillId="0" borderId="33" xfId="0" applyFont="1" applyBorder="1" applyAlignment="1">
      <alignment horizontal="left" vertical="center" wrapText="1"/>
    </xf>
    <xf numFmtId="0" fontId="61" fillId="18" borderId="39" xfId="0" applyFont="1" applyFill="1" applyBorder="1" applyAlignment="1">
      <alignment vertical="center" wrapText="1"/>
    </xf>
    <xf numFmtId="0" fontId="61" fillId="0" borderId="40" xfId="0" applyFont="1" applyBorder="1" applyAlignment="1">
      <alignment horizontal="left" vertical="center" wrapText="1"/>
    </xf>
    <xf numFmtId="0" fontId="61" fillId="18" borderId="40" xfId="0" applyFont="1" applyFill="1" applyBorder="1" applyAlignment="1">
      <alignment vertical="center" wrapText="1"/>
    </xf>
    <xf numFmtId="0" fontId="65" fillId="0" borderId="40" xfId="0" applyFont="1" applyBorder="1" applyAlignment="1">
      <alignment horizontal="left" vertical="center" wrapText="1"/>
    </xf>
    <xf numFmtId="0" fontId="61" fillId="0" borderId="41" xfId="0" applyFont="1" applyBorder="1" applyAlignment="1">
      <alignment horizontal="left" vertical="center" wrapText="1"/>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15" xfId="0" applyFont="1" applyBorder="1" applyAlignment="1">
      <alignment horizontal="left" vertical="center" wrapText="1"/>
    </xf>
    <xf numFmtId="0" fontId="61" fillId="0" borderId="15" xfId="0" applyFont="1" applyBorder="1"/>
    <xf numFmtId="0" fontId="61" fillId="0" borderId="18" xfId="0" applyFont="1" applyBorder="1"/>
    <xf numFmtId="0" fontId="61" fillId="0" borderId="17" xfId="0" applyFont="1" applyBorder="1"/>
    <xf numFmtId="0" fontId="61" fillId="3" borderId="0" xfId="0" applyFont="1" applyFill="1" applyAlignment="1">
      <alignment horizontal="left" vertical="center" wrapText="1"/>
    </xf>
    <xf numFmtId="0" fontId="61" fillId="3" borderId="87" xfId="0" applyFont="1" applyFill="1" applyBorder="1" applyAlignment="1">
      <alignment horizontal="left" vertical="center" wrapText="1"/>
    </xf>
    <xf numFmtId="0" fontId="61" fillId="0" borderId="89" xfId="0" applyFont="1" applyBorder="1"/>
    <xf numFmtId="0" fontId="68" fillId="19" borderId="34" xfId="0" applyFont="1" applyFill="1" applyBorder="1" applyAlignment="1">
      <alignment horizontal="center" vertical="center" wrapText="1"/>
    </xf>
    <xf numFmtId="0" fontId="67" fillId="19" borderId="34" xfId="0" applyFont="1" applyFill="1" applyBorder="1" applyAlignment="1">
      <alignment horizontal="center" vertical="center" wrapText="1"/>
    </xf>
    <xf numFmtId="0" fontId="69" fillId="19" borderId="34" xfId="0" applyFont="1" applyFill="1" applyBorder="1" applyAlignment="1">
      <alignment horizontal="center" vertical="center" wrapText="1"/>
    </xf>
    <xf numFmtId="165" fontId="69" fillId="19" borderId="90" xfId="0" applyNumberFormat="1" applyFont="1" applyFill="1" applyBorder="1" applyAlignment="1">
      <alignment horizontal="center" vertical="center" wrapText="1"/>
    </xf>
    <xf numFmtId="0" fontId="70" fillId="19" borderId="91" xfId="0" applyFont="1" applyFill="1" applyBorder="1" applyAlignment="1">
      <alignment horizontal="center" vertical="center" wrapText="1"/>
    </xf>
    <xf numFmtId="0" fontId="58" fillId="0" borderId="0" xfId="0" applyFont="1" applyAlignment="1">
      <alignment horizontal="center" vertical="center" wrapText="1"/>
    </xf>
    <xf numFmtId="0" fontId="61" fillId="0" borderId="33" xfId="0" applyFont="1" applyBorder="1" applyAlignment="1">
      <alignment horizontal="center" vertical="center"/>
    </xf>
    <xf numFmtId="0" fontId="61" fillId="0" borderId="33" xfId="0" applyFont="1" applyBorder="1" applyAlignment="1" applyProtection="1">
      <alignment horizontal="center" vertical="center"/>
      <protection locked="0"/>
    </xf>
    <xf numFmtId="0" fontId="0" fillId="0" borderId="93" xfId="0" applyBorder="1" applyAlignment="1" applyProtection="1">
      <alignment horizontal="center" vertical="top"/>
      <protection locked="0"/>
    </xf>
    <xf numFmtId="0" fontId="0" fillId="0" borderId="94" xfId="0" applyBorder="1" applyAlignment="1" applyProtection="1">
      <alignment vertical="top"/>
      <protection locked="0"/>
    </xf>
    <xf numFmtId="0" fontId="0" fillId="0" borderId="94" xfId="0" applyBorder="1"/>
    <xf numFmtId="165" fontId="61" fillId="0" borderId="92" xfId="0" applyNumberFormat="1" applyFont="1" applyBorder="1" applyAlignment="1">
      <alignment horizontal="center" vertical="center"/>
    </xf>
    <xf numFmtId="0" fontId="61" fillId="0" borderId="95" xfId="0" applyFont="1" applyBorder="1" applyAlignment="1">
      <alignment horizontal="center" vertical="center"/>
    </xf>
    <xf numFmtId="0" fontId="61" fillId="0" borderId="95" xfId="0" applyFont="1" applyBorder="1" applyAlignment="1">
      <alignment horizontal="left" vertical="center" wrapText="1"/>
    </xf>
    <xf numFmtId="0" fontId="61" fillId="0" borderId="95" xfId="0" applyFont="1" applyBorder="1" applyAlignment="1" applyProtection="1">
      <alignment horizontal="center" vertical="center"/>
      <protection locked="0"/>
    </xf>
    <xf numFmtId="165" fontId="61" fillId="0" borderId="96" xfId="0" applyNumberFormat="1" applyFont="1" applyBorder="1" applyAlignment="1">
      <alignment horizontal="center" vertical="center"/>
    </xf>
    <xf numFmtId="0" fontId="0" fillId="0" borderId="97" xfId="0" applyBorder="1"/>
    <xf numFmtId="165" fontId="61" fillId="20" borderId="79" xfId="0" applyNumberFormat="1" applyFont="1" applyFill="1" applyBorder="1" applyAlignment="1">
      <alignment vertical="center"/>
    </xf>
    <xf numFmtId="165" fontId="61"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38" fillId="3" borderId="0" xfId="0" applyFont="1" applyFill="1" applyAlignment="1">
      <alignment horizontal="left"/>
    </xf>
    <xf numFmtId="0" fontId="61" fillId="0" borderId="78" xfId="0" applyFont="1" applyBorder="1" applyAlignment="1">
      <alignment horizontal="left" vertical="center" wrapText="1"/>
    </xf>
    <xf numFmtId="0" fontId="61" fillId="0" borderId="79" xfId="0" applyFont="1" applyBorder="1" applyAlignment="1">
      <alignment horizontal="left" vertical="center" wrapText="1"/>
    </xf>
    <xf numFmtId="0" fontId="61" fillId="0" borderId="38" xfId="0" applyFont="1" applyBorder="1" applyAlignment="1">
      <alignment horizontal="left" vertical="center" wrapText="1"/>
    </xf>
    <xf numFmtId="0" fontId="61" fillId="21" borderId="33" xfId="0" applyFont="1" applyFill="1" applyBorder="1" applyAlignment="1">
      <alignment horizontal="left" vertical="center" wrapText="1"/>
    </xf>
    <xf numFmtId="0" fontId="61" fillId="5" borderId="33" xfId="0" applyFont="1" applyFill="1" applyBorder="1" applyAlignment="1">
      <alignment horizontal="left" vertical="center" wrapText="1"/>
    </xf>
    <xf numFmtId="0" fontId="61" fillId="22" borderId="38" xfId="0" applyFont="1" applyFill="1" applyBorder="1" applyAlignment="1">
      <alignment horizontal="left" vertical="center" wrapText="1"/>
    </xf>
    <xf numFmtId="0" fontId="61" fillId="23" borderId="38" xfId="0" applyFont="1" applyFill="1" applyBorder="1" applyAlignment="1">
      <alignment horizontal="left" vertical="center" wrapText="1"/>
    </xf>
    <xf numFmtId="0" fontId="61" fillId="0" borderId="38" xfId="0" applyFont="1" applyBorder="1" applyAlignment="1">
      <alignment vertical="top" wrapText="1"/>
    </xf>
    <xf numFmtId="0" fontId="61" fillId="13" borderId="33" xfId="0" applyFont="1" applyFill="1" applyBorder="1" applyAlignment="1">
      <alignment horizontal="left" vertical="center" wrapText="1"/>
    </xf>
    <xf numFmtId="0" fontId="61" fillId="24" borderId="33" xfId="0" applyFont="1" applyFill="1" applyBorder="1" applyAlignment="1">
      <alignment horizontal="left" vertical="center" wrapText="1"/>
    </xf>
    <xf numFmtId="0" fontId="61" fillId="25" borderId="33" xfId="0" applyFont="1" applyFill="1" applyBorder="1" applyAlignment="1">
      <alignment horizontal="left" vertical="center" wrapText="1"/>
    </xf>
    <xf numFmtId="0" fontId="73" fillId="0" borderId="33" xfId="0" applyFont="1" applyBorder="1" applyAlignment="1" applyProtection="1">
      <alignment horizontal="left" vertical="center"/>
      <protection locked="0"/>
    </xf>
    <xf numFmtId="0" fontId="73" fillId="0" borderId="38" xfId="0" applyFont="1" applyBorder="1" applyAlignment="1" applyProtection="1">
      <alignment horizontal="left" vertical="center"/>
      <protection locked="0"/>
    </xf>
    <xf numFmtId="0" fontId="73" fillId="0" borderId="81" xfId="0" applyFont="1" applyBorder="1" applyAlignment="1" applyProtection="1">
      <alignment horizontal="left" vertical="center"/>
      <protection locked="0"/>
    </xf>
    <xf numFmtId="0" fontId="73" fillId="0" borderId="82" xfId="0" applyFont="1" applyBorder="1" applyAlignment="1" applyProtection="1">
      <alignment horizontal="left" vertical="center"/>
      <protection locked="0"/>
    </xf>
    <xf numFmtId="0" fontId="1" fillId="3" borderId="75" xfId="0" applyFont="1" applyFill="1" applyBorder="1" applyAlignment="1">
      <alignment vertical="center" wrapText="1"/>
    </xf>
    <xf numFmtId="0" fontId="1" fillId="0" borderId="2"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73" fillId="0" borderId="81" xfId="0" applyFont="1" applyFill="1" applyBorder="1" applyAlignment="1" applyProtection="1">
      <alignment vertical="center" wrapText="1"/>
      <protection locked="0"/>
    </xf>
    <xf numFmtId="0" fontId="73" fillId="0" borderId="82" xfId="0" applyFont="1" applyFill="1" applyBorder="1" applyAlignment="1" applyProtection="1">
      <alignment vertical="center" wrapText="1"/>
      <protection locked="0"/>
    </xf>
    <xf numFmtId="0" fontId="61" fillId="0" borderId="33" xfId="0" applyFont="1" applyBorder="1"/>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61" fillId="18" borderId="95" xfId="0" applyFont="1" applyFill="1" applyBorder="1" applyAlignment="1">
      <alignment horizontal="center" vertical="center" wrapText="1"/>
    </xf>
    <xf numFmtId="0" fontId="61" fillId="18" borderId="34" xfId="0" applyFont="1" applyFill="1" applyBorder="1" applyAlignment="1">
      <alignment horizontal="center" vertical="center" wrapText="1"/>
    </xf>
    <xf numFmtId="0" fontId="64" fillId="16" borderId="39" xfId="0" applyFont="1" applyFill="1" applyBorder="1" applyAlignment="1">
      <alignment horizontal="left" vertical="top" wrapText="1"/>
    </xf>
    <xf numFmtId="0" fontId="64" fillId="16" borderId="40" xfId="0" applyFont="1" applyFill="1" applyBorder="1" applyAlignment="1">
      <alignment horizontal="left" vertical="top"/>
    </xf>
    <xf numFmtId="0" fontId="64" fillId="16" borderId="41" xfId="0" applyFont="1" applyFill="1" applyBorder="1" applyAlignment="1">
      <alignment horizontal="left" vertical="top"/>
    </xf>
    <xf numFmtId="0" fontId="64" fillId="3" borderId="0" xfId="0" applyFont="1" applyFill="1" applyAlignment="1">
      <alignment horizontal="center" vertical="center" wrapText="1"/>
    </xf>
    <xf numFmtId="0" fontId="59" fillId="0" borderId="77" xfId="0" applyFont="1" applyBorder="1" applyAlignment="1">
      <alignment vertical="center" wrapText="1"/>
    </xf>
    <xf numFmtId="0" fontId="59" fillId="0" borderId="37" xfId="0" applyFont="1" applyBorder="1" applyAlignment="1">
      <alignment vertical="center" wrapText="1"/>
    </xf>
    <xf numFmtId="0" fontId="60" fillId="0" borderId="78" xfId="0" applyFont="1" applyBorder="1" applyAlignment="1">
      <alignment horizontal="center" vertical="center" wrapText="1"/>
    </xf>
    <xf numFmtId="0" fontId="60" fillId="0" borderId="33" xfId="0" applyFont="1" applyBorder="1" applyAlignment="1">
      <alignment horizontal="center" vertical="center" wrapText="1"/>
    </xf>
    <xf numFmtId="0" fontId="62" fillId="0" borderId="79" xfId="0" applyFont="1" applyBorder="1" applyAlignment="1">
      <alignment horizontal="center" vertical="center" wrapText="1"/>
    </xf>
    <xf numFmtId="0" fontId="62" fillId="0" borderId="38" xfId="0" applyFont="1" applyBorder="1" applyAlignment="1">
      <alignment horizontal="center" vertical="center" wrapText="1"/>
    </xf>
    <xf numFmtId="0" fontId="59" fillId="0" borderId="0" xfId="0" applyFont="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3" fillId="16" borderId="37" xfId="0" applyFont="1" applyFill="1" applyBorder="1" applyAlignment="1">
      <alignment horizontal="center" vertical="center" wrapText="1"/>
    </xf>
    <xf numFmtId="0" fontId="63" fillId="16" borderId="33" xfId="0" applyFont="1" applyFill="1" applyBorder="1" applyAlignment="1">
      <alignment horizontal="center" vertical="center" wrapText="1"/>
    </xf>
    <xf numFmtId="0" fontId="63" fillId="16" borderId="38" xfId="0" applyFont="1" applyFill="1" applyBorder="1" applyAlignment="1">
      <alignment horizontal="center" vertical="center" wrapText="1"/>
    </xf>
    <xf numFmtId="0" fontId="61" fillId="16" borderId="37" xfId="0" applyFont="1" applyFill="1" applyBorder="1" applyAlignment="1">
      <alignment horizontal="left" vertical="center"/>
    </xf>
    <xf numFmtId="0" fontId="61" fillId="16" borderId="33" xfId="0" applyFont="1" applyFill="1" applyBorder="1" applyAlignment="1">
      <alignment horizontal="left" vertical="center"/>
    </xf>
    <xf numFmtId="0" fontId="61" fillId="16" borderId="38" xfId="0" applyFont="1" applyFill="1" applyBorder="1" applyAlignment="1">
      <alignment horizontal="left" vertical="center"/>
    </xf>
    <xf numFmtId="0" fontId="67" fillId="20" borderId="39" xfId="0" applyFont="1" applyFill="1" applyBorder="1" applyAlignment="1">
      <alignment horizontal="right" vertical="center"/>
    </xf>
    <xf numFmtId="0" fontId="67" fillId="20" borderId="40" xfId="0" applyFont="1" applyFill="1" applyBorder="1" applyAlignment="1">
      <alignment horizontal="right" vertical="center"/>
    </xf>
    <xf numFmtId="0" fontId="0" fillId="0" borderId="19" xfId="0" applyBorder="1" applyAlignment="1">
      <alignment horizontal="center"/>
    </xf>
    <xf numFmtId="0" fontId="0" fillId="0" borderId="0" xfId="0" applyAlignment="1">
      <alignment horizontal="center"/>
    </xf>
    <xf numFmtId="0" fontId="0" fillId="0" borderId="69" xfId="0" applyBorder="1" applyAlignment="1">
      <alignment horizontal="center"/>
    </xf>
    <xf numFmtId="0" fontId="60" fillId="0" borderId="19" xfId="0" applyFont="1" applyBorder="1" applyAlignment="1">
      <alignment horizontal="center" vertical="center" wrapText="1"/>
    </xf>
    <xf numFmtId="0" fontId="60" fillId="0" borderId="86" xfId="0" applyFont="1" applyBorder="1" applyAlignment="1">
      <alignment horizontal="center" vertical="center" wrapText="1"/>
    </xf>
    <xf numFmtId="0" fontId="60" fillId="0" borderId="0" xfId="0" applyFont="1" applyAlignment="1">
      <alignment horizontal="center" vertical="center" wrapText="1"/>
    </xf>
    <xf numFmtId="0" fontId="60" fillId="0" borderId="87" xfId="0" applyFont="1" applyBorder="1" applyAlignment="1">
      <alignment horizontal="center" vertical="center" wrapText="1"/>
    </xf>
    <xf numFmtId="0" fontId="61" fillId="0" borderId="78" xfId="0" applyFont="1" applyBorder="1" applyAlignment="1">
      <alignment horizontal="left" vertical="center" wrapText="1"/>
    </xf>
    <xf numFmtId="0" fontId="61" fillId="0" borderId="79" xfId="0" applyFont="1" applyBorder="1" applyAlignment="1">
      <alignment horizontal="lef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0" fillId="0" borderId="69" xfId="0" applyFont="1" applyBorder="1" applyAlignment="1">
      <alignment horizontal="center" vertical="center" wrapText="1"/>
    </xf>
    <xf numFmtId="0" fontId="60" fillId="0" borderId="88" xfId="0" applyFont="1" applyBorder="1" applyAlignment="1">
      <alignment horizontal="center" vertical="center" wrapText="1"/>
    </xf>
    <xf numFmtId="0" fontId="0" fillId="0" borderId="88" xfId="0" applyBorder="1" applyAlignment="1">
      <alignment horizontal="center"/>
    </xf>
    <xf numFmtId="0" fontId="61" fillId="16" borderId="33" xfId="0" applyFont="1" applyFill="1" applyBorder="1" applyAlignment="1">
      <alignment vertical="center"/>
    </xf>
    <xf numFmtId="0" fontId="61" fillId="16" borderId="40" xfId="0" applyFont="1" applyFill="1" applyBorder="1" applyAlignment="1">
      <alignment horizontal="left" vertical="center" wrapText="1"/>
    </xf>
    <xf numFmtId="0" fontId="67" fillId="19" borderId="36" xfId="0" applyFont="1" applyFill="1" applyBorder="1" applyAlignment="1">
      <alignment horizontal="center" vertical="center" wrapText="1"/>
    </xf>
    <xf numFmtId="0" fontId="67" fillId="19" borderId="47" xfId="0" applyFont="1" applyFill="1" applyBorder="1" applyAlignment="1">
      <alignment horizontal="center" vertical="center" wrapText="1"/>
    </xf>
    <xf numFmtId="0" fontId="67" fillId="20" borderId="12" xfId="0" applyFont="1" applyFill="1" applyBorder="1" applyAlignment="1">
      <alignment horizontal="right" vertical="center"/>
    </xf>
    <xf numFmtId="0" fontId="67" fillId="20" borderId="19" xfId="0" applyFont="1" applyFill="1" applyBorder="1" applyAlignment="1">
      <alignment horizontal="right" vertical="center"/>
    </xf>
    <xf numFmtId="0" fontId="67" fillId="20" borderId="86" xfId="0" applyFont="1" applyFill="1" applyBorder="1" applyAlignment="1">
      <alignment horizontal="right" vertical="center"/>
    </xf>
    <xf numFmtId="0" fontId="61" fillId="0" borderId="0" xfId="0" applyFont="1" applyAlignment="1">
      <alignment horizontal="center"/>
    </xf>
    <xf numFmtId="0" fontId="38" fillId="3" borderId="0" xfId="0" applyFont="1" applyFill="1" applyAlignment="1">
      <alignment horizontal="left"/>
    </xf>
    <xf numFmtId="0" fontId="73" fillId="27" borderId="39" xfId="0" applyFont="1" applyFill="1" applyBorder="1" applyAlignment="1" applyProtection="1">
      <alignment horizontal="left" vertical="center" wrapText="1"/>
      <protection locked="0"/>
    </xf>
    <xf numFmtId="0" fontId="73" fillId="27" borderId="41" xfId="0" applyFont="1" applyFill="1" applyBorder="1" applyAlignment="1" applyProtection="1">
      <alignment horizontal="left" vertical="center" wrapText="1"/>
      <protection locked="0"/>
    </xf>
    <xf numFmtId="0" fontId="38" fillId="3" borderId="39" xfId="0" applyFont="1" applyFill="1" applyBorder="1" applyAlignment="1">
      <alignment horizontal="left"/>
    </xf>
    <xf numFmtId="0" fontId="38" fillId="3" borderId="41" xfId="0" applyFont="1" applyFill="1" applyBorder="1" applyAlignment="1">
      <alignment horizontal="left"/>
    </xf>
    <xf numFmtId="0" fontId="38" fillId="3" borderId="40" xfId="0" applyFont="1" applyFill="1" applyBorder="1" applyAlignment="1">
      <alignment horizontal="left"/>
    </xf>
    <xf numFmtId="0" fontId="73" fillId="0" borderId="37" xfId="0" applyFont="1" applyBorder="1" applyAlignment="1" applyProtection="1">
      <alignment horizontal="left" vertical="center" wrapText="1"/>
      <protection locked="0"/>
    </xf>
    <xf numFmtId="0" fontId="73" fillId="0" borderId="38" xfId="0" applyFont="1" applyBorder="1" applyAlignment="1" applyProtection="1">
      <alignment horizontal="left" vertical="center"/>
      <protection locked="0"/>
    </xf>
    <xf numFmtId="0" fontId="73" fillId="0" borderId="37" xfId="0" applyFont="1" applyBorder="1" applyAlignment="1" applyProtection="1">
      <alignment horizontal="left" vertical="center"/>
      <protection locked="0"/>
    </xf>
    <xf numFmtId="0" fontId="73" fillId="0" borderId="33" xfId="0" applyFont="1" applyBorder="1" applyAlignment="1" applyProtection="1">
      <alignment horizontal="left" vertical="center"/>
      <protection locked="0"/>
    </xf>
    <xf numFmtId="0" fontId="73" fillId="22" borderId="37" xfId="0" applyFont="1" applyFill="1" applyBorder="1" applyAlignment="1" applyProtection="1">
      <alignment horizontal="left" vertical="center" wrapText="1"/>
      <protection locked="0"/>
    </xf>
    <xf numFmtId="0" fontId="73" fillId="22" borderId="38" xfId="0" applyFont="1" applyFill="1" applyBorder="1" applyAlignment="1" applyProtection="1">
      <alignment horizontal="left" vertical="center"/>
      <protection locked="0"/>
    </xf>
    <xf numFmtId="0" fontId="73" fillId="0" borderId="37" xfId="0" applyFont="1" applyBorder="1" applyAlignment="1" applyProtection="1">
      <alignment horizontal="center" vertical="center"/>
      <protection locked="0"/>
    </xf>
    <xf numFmtId="0" fontId="73" fillId="0" borderId="38" xfId="0" applyFont="1" applyBorder="1" applyAlignment="1" applyProtection="1">
      <alignment horizontal="center" vertical="center"/>
      <protection locked="0"/>
    </xf>
    <xf numFmtId="0" fontId="73" fillId="0" borderId="33" xfId="0" applyFont="1" applyBorder="1" applyAlignment="1" applyProtection="1">
      <alignment horizontal="center" vertical="center"/>
      <protection locked="0"/>
    </xf>
    <xf numFmtId="0" fontId="73" fillId="0" borderId="33" xfId="0" applyFont="1" applyBorder="1" applyAlignment="1" applyProtection="1">
      <alignment horizontal="left" vertical="center" wrapText="1"/>
      <protection locked="0"/>
    </xf>
    <xf numFmtId="0" fontId="73" fillId="0" borderId="38" xfId="0" applyFont="1" applyBorder="1" applyAlignment="1" applyProtection="1">
      <alignment horizontal="left" vertical="center" wrapText="1"/>
      <protection locked="0"/>
    </xf>
    <xf numFmtId="0" fontId="73" fillId="28" borderId="37" xfId="0" applyFont="1" applyFill="1" applyBorder="1" applyAlignment="1" applyProtection="1">
      <alignment horizontal="left" vertical="center" wrapText="1"/>
      <protection locked="0"/>
    </xf>
    <xf numFmtId="0" fontId="73" fillId="28" borderId="38" xfId="0" applyFont="1" applyFill="1" applyBorder="1" applyAlignment="1" applyProtection="1">
      <alignment horizontal="left" vertical="center"/>
      <protection locked="0"/>
    </xf>
    <xf numFmtId="0" fontId="73" fillId="27" borderId="37" xfId="0" applyFont="1" applyFill="1" applyBorder="1" applyAlignment="1" applyProtection="1">
      <alignment horizontal="left" vertical="center" wrapText="1"/>
      <protection locked="0"/>
    </xf>
    <xf numFmtId="0" fontId="73" fillId="27" borderId="33" xfId="0" applyFont="1" applyFill="1" applyBorder="1" applyAlignment="1" applyProtection="1">
      <alignment horizontal="left" vertical="center" wrapText="1"/>
      <protection locked="0"/>
    </xf>
    <xf numFmtId="0" fontId="73" fillId="27" borderId="38" xfId="0" applyFont="1" applyFill="1" applyBorder="1" applyAlignment="1" applyProtection="1">
      <alignment horizontal="left" vertical="center" wrapText="1"/>
      <protection locked="0"/>
    </xf>
    <xf numFmtId="0" fontId="73" fillId="0" borderId="37" xfId="0" applyFont="1" applyBorder="1" applyAlignment="1" applyProtection="1">
      <alignment horizontal="left" wrapText="1"/>
      <protection locked="0"/>
    </xf>
    <xf numFmtId="0" fontId="73" fillId="0" borderId="38" xfId="0" applyFont="1" applyBorder="1" applyAlignment="1" applyProtection="1">
      <alignment horizontal="left" wrapText="1"/>
      <protection locked="0"/>
    </xf>
    <xf numFmtId="0" fontId="73" fillId="13" borderId="37" xfId="0" applyFont="1" applyFill="1" applyBorder="1" applyAlignment="1" applyProtection="1">
      <alignment horizontal="left" vertical="center" wrapText="1"/>
      <protection locked="0"/>
    </xf>
    <xf numFmtId="0" fontId="73" fillId="13" borderId="33" xfId="0" applyFont="1" applyFill="1" applyBorder="1" applyAlignment="1" applyProtection="1">
      <alignment horizontal="left" vertical="center" wrapText="1"/>
      <protection locked="0"/>
    </xf>
    <xf numFmtId="0" fontId="73" fillId="13" borderId="38" xfId="0" applyFont="1" applyFill="1" applyBorder="1" applyAlignment="1" applyProtection="1">
      <alignment horizontal="left" vertical="center" wrapText="1"/>
      <protection locked="0"/>
    </xf>
    <xf numFmtId="0" fontId="74" fillId="0" borderId="37" xfId="0" applyFont="1" applyBorder="1" applyAlignment="1">
      <alignment vertical="top" wrapText="1"/>
    </xf>
    <xf numFmtId="0" fontId="74" fillId="0" borderId="38" xfId="0" applyFont="1" applyBorder="1" applyAlignment="1">
      <alignment vertical="top" wrapText="1"/>
    </xf>
    <xf numFmtId="0" fontId="74" fillId="13" borderId="37" xfId="0" applyFont="1" applyFill="1" applyBorder="1" applyAlignment="1">
      <alignment horizontal="left" vertical="center" wrapText="1"/>
    </xf>
    <xf numFmtId="0" fontId="74" fillId="13" borderId="33" xfId="0" applyFont="1" applyFill="1" applyBorder="1" applyAlignment="1">
      <alignment horizontal="left" vertical="center" wrapText="1"/>
    </xf>
    <xf numFmtId="0" fontId="74" fillId="13" borderId="38" xfId="0" applyFont="1" applyFill="1" applyBorder="1" applyAlignment="1">
      <alignment horizontal="left" vertical="center" wrapText="1"/>
    </xf>
    <xf numFmtId="0" fontId="63" fillId="29" borderId="37" xfId="0" applyFont="1" applyFill="1" applyBorder="1" applyAlignment="1">
      <alignment horizontal="left" vertical="center" wrapText="1"/>
    </xf>
    <xf numFmtId="0" fontId="74" fillId="29" borderId="33" xfId="0" applyFont="1" applyFill="1" applyBorder="1" applyAlignment="1">
      <alignment horizontal="left" vertical="center" wrapText="1"/>
    </xf>
    <xf numFmtId="0" fontId="74" fillId="29" borderId="38" xfId="0" applyFont="1" applyFill="1" applyBorder="1" applyAlignment="1">
      <alignment horizontal="left" vertical="center" wrapText="1"/>
    </xf>
    <xf numFmtId="0" fontId="75" fillId="0" borderId="37" xfId="0" applyFont="1" applyBorder="1" applyAlignment="1" applyProtection="1">
      <alignment horizontal="left" vertical="center" wrapText="1"/>
      <protection locked="0"/>
    </xf>
    <xf numFmtId="0" fontId="74" fillId="13" borderId="37" xfId="0" applyFont="1" applyFill="1" applyBorder="1" applyAlignment="1">
      <alignment horizontal="left" vertical="top" wrapText="1"/>
    </xf>
    <xf numFmtId="0" fontId="74" fillId="13" borderId="33" xfId="0" applyFont="1" applyFill="1" applyBorder="1" applyAlignment="1">
      <alignment horizontal="left" vertical="top" wrapText="1"/>
    </xf>
    <xf numFmtId="0" fontId="74" fillId="13" borderId="38" xfId="0" applyFont="1" applyFill="1" applyBorder="1" applyAlignment="1">
      <alignment horizontal="left" vertical="top" wrapText="1"/>
    </xf>
    <xf numFmtId="0" fontId="38" fillId="3" borderId="33" xfId="0" applyFont="1" applyFill="1" applyBorder="1" applyAlignment="1" applyProtection="1">
      <alignment horizontal="left" vertical="center"/>
      <protection locked="0"/>
    </xf>
    <xf numFmtId="0" fontId="38" fillId="3" borderId="95" xfId="0" applyFont="1" applyFill="1" applyBorder="1" applyAlignment="1" applyProtection="1">
      <alignment horizontal="left" vertical="center"/>
      <protection locked="0"/>
    </xf>
    <xf numFmtId="0" fontId="73" fillId="0" borderId="77" xfId="0" applyFont="1" applyBorder="1" applyAlignment="1" applyProtection="1">
      <alignment horizontal="left" vertical="center" wrapText="1"/>
      <protection locked="0"/>
    </xf>
    <xf numFmtId="0" fontId="73" fillId="0" borderId="79" xfId="0" applyFont="1" applyBorder="1" applyAlignment="1" applyProtection="1">
      <alignment horizontal="left" vertical="center" wrapText="1"/>
      <protection locked="0"/>
    </xf>
    <xf numFmtId="0" fontId="74" fillId="0" borderId="77" xfId="0" applyFont="1" applyBorder="1" applyAlignment="1">
      <alignment vertical="center" wrapText="1"/>
    </xf>
    <xf numFmtId="0" fontId="74" fillId="0" borderId="79" xfId="0" applyFont="1" applyBorder="1" applyAlignment="1">
      <alignment vertical="center" wrapText="1"/>
    </xf>
    <xf numFmtId="0" fontId="74" fillId="13" borderId="77" xfId="0" applyFont="1" applyFill="1" applyBorder="1" applyAlignment="1">
      <alignment horizontal="left" vertical="center" wrapText="1"/>
    </xf>
    <xf numFmtId="0" fontId="77" fillId="13" borderId="78" xfId="0" applyFont="1" applyFill="1" applyBorder="1" applyAlignment="1">
      <alignment horizontal="left" vertical="center" wrapText="1"/>
    </xf>
    <xf numFmtId="0" fontId="77" fillId="13" borderId="79" xfId="0" applyFont="1" applyFill="1" applyBorder="1" applyAlignment="1">
      <alignment horizontal="left" vertical="center" wrapText="1"/>
    </xf>
    <xf numFmtId="0" fontId="72" fillId="19" borderId="33" xfId="0" applyFont="1" applyFill="1" applyBorder="1" applyAlignment="1">
      <alignment horizontal="center" vertical="center"/>
    </xf>
    <xf numFmtId="0" fontId="72" fillId="19" borderId="33" xfId="0" applyFont="1" applyFill="1" applyBorder="1" applyAlignment="1">
      <alignment horizontal="center" wrapText="1"/>
    </xf>
    <xf numFmtId="0" fontId="72" fillId="19" borderId="33" xfId="0" applyFont="1" applyFill="1" applyBorder="1" applyAlignment="1">
      <alignment horizontal="center"/>
    </xf>
    <xf numFmtId="0" fontId="72" fillId="19" borderId="92" xfId="0" applyFont="1" applyFill="1" applyBorder="1" applyAlignment="1">
      <alignment horizontal="center" vertical="top" wrapText="1"/>
    </xf>
    <xf numFmtId="0" fontId="72" fillId="19" borderId="81" xfId="0" applyFont="1" applyFill="1" applyBorder="1" applyAlignment="1">
      <alignment horizontal="center" vertical="top"/>
    </xf>
    <xf numFmtId="0" fontId="72" fillId="19" borderId="99" xfId="0" applyFont="1" applyFill="1" applyBorder="1" applyAlignment="1">
      <alignment horizontal="center" vertical="top"/>
    </xf>
    <xf numFmtId="0" fontId="73" fillId="0" borderId="81" xfId="0" applyFont="1" applyBorder="1" applyAlignment="1" applyProtection="1">
      <alignment horizontal="left" vertical="center" wrapText="1"/>
      <protection locked="0"/>
    </xf>
    <xf numFmtId="0" fontId="73" fillId="0" borderId="99" xfId="0" applyFont="1" applyBorder="1" applyAlignment="1" applyProtection="1">
      <alignment horizontal="left" vertical="center" wrapText="1"/>
      <protection locked="0"/>
    </xf>
    <xf numFmtId="0" fontId="73" fillId="0" borderId="92" xfId="0" applyFont="1" applyBorder="1" applyAlignment="1" applyProtection="1">
      <alignment horizontal="left" vertical="center"/>
      <protection locked="0"/>
    </xf>
    <xf numFmtId="0" fontId="73" fillId="0" borderId="81" xfId="0" applyFont="1" applyBorder="1" applyAlignment="1" applyProtection="1">
      <alignment horizontal="left" vertical="center"/>
      <protection locked="0"/>
    </xf>
    <xf numFmtId="0" fontId="73" fillId="0" borderId="99" xfId="0" applyFont="1" applyBorder="1" applyAlignment="1" applyProtection="1">
      <alignment horizontal="left" vertical="center"/>
      <protection locked="0"/>
    </xf>
    <xf numFmtId="0" fontId="38" fillId="0" borderId="92" xfId="0" applyFont="1" applyBorder="1" applyAlignment="1" applyProtection="1">
      <alignment horizontal="left" vertical="center" wrapText="1"/>
      <protection locked="0"/>
    </xf>
    <xf numFmtId="0" fontId="38" fillId="0" borderId="99" xfId="0" applyFont="1" applyBorder="1" applyAlignment="1" applyProtection="1">
      <alignment horizontal="left" vertical="center" wrapText="1"/>
      <protection locked="0"/>
    </xf>
    <xf numFmtId="0" fontId="38" fillId="0" borderId="92" xfId="0" applyFont="1" applyBorder="1" applyAlignment="1" applyProtection="1">
      <alignment horizontal="center" vertical="center"/>
      <protection locked="0"/>
    </xf>
    <xf numFmtId="0" fontId="38" fillId="0" borderId="81"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3" borderId="92" xfId="0" applyFont="1" applyFill="1" applyBorder="1" applyAlignment="1" applyProtection="1">
      <alignment horizontal="left" vertical="center" wrapText="1"/>
      <protection locked="0"/>
    </xf>
    <xf numFmtId="0" fontId="38" fillId="3" borderId="99" xfId="0" applyFont="1" applyFill="1" applyBorder="1" applyAlignment="1" applyProtection="1">
      <alignment horizontal="left" vertical="center" wrapText="1"/>
      <protection locked="0"/>
    </xf>
    <xf numFmtId="0" fontId="38" fillId="3" borderId="92" xfId="0" applyFont="1" applyFill="1" applyBorder="1" applyAlignment="1" applyProtection="1">
      <alignment horizontal="left" vertical="center"/>
      <protection locked="0"/>
    </xf>
    <xf numFmtId="0" fontId="38" fillId="3" borderId="99" xfId="0" applyFont="1" applyFill="1" applyBorder="1" applyAlignment="1" applyProtection="1">
      <alignment horizontal="left" vertical="center"/>
      <protection locked="0"/>
    </xf>
    <xf numFmtId="0" fontId="38" fillId="3" borderId="81" xfId="0" applyFont="1" applyFill="1" applyBorder="1" applyAlignment="1" applyProtection="1">
      <alignment horizontal="left" vertical="center"/>
      <protection locked="0"/>
    </xf>
    <xf numFmtId="0" fontId="74" fillId="0" borderId="99" xfId="0" applyFont="1" applyBorder="1" applyAlignment="1" applyProtection="1">
      <alignment horizontal="left" vertical="center" wrapText="1"/>
      <protection locked="0"/>
    </xf>
    <xf numFmtId="0" fontId="74" fillId="0" borderId="33" xfId="0" applyFont="1" applyBorder="1" applyAlignment="1" applyProtection="1">
      <alignment horizontal="left" vertical="center"/>
      <protection locked="0"/>
    </xf>
    <xf numFmtId="0" fontId="38" fillId="0" borderId="33" xfId="0" applyFont="1" applyBorder="1" applyAlignment="1" applyProtection="1">
      <alignment horizontal="left" vertical="center"/>
      <protection locked="0"/>
    </xf>
    <xf numFmtId="0" fontId="38" fillId="0" borderId="38" xfId="0" applyFont="1" applyBorder="1" applyAlignment="1" applyProtection="1">
      <alignment horizontal="left" vertical="center"/>
      <protection locked="0"/>
    </xf>
    <xf numFmtId="0" fontId="72" fillId="19" borderId="33" xfId="0" applyFont="1" applyFill="1" applyBorder="1" applyAlignment="1">
      <alignment horizontal="center" vertical="center" textRotation="255"/>
    </xf>
    <xf numFmtId="0" fontId="72" fillId="19" borderId="33" xfId="0" applyFont="1" applyFill="1" applyBorder="1" applyAlignment="1">
      <alignment horizontal="center" vertical="center" wrapText="1"/>
    </xf>
    <xf numFmtId="0" fontId="72" fillId="19" borderId="92" xfId="0" applyFont="1" applyFill="1" applyBorder="1" applyAlignment="1">
      <alignment horizontal="center" vertical="center" wrapText="1"/>
    </xf>
    <xf numFmtId="0" fontId="72" fillId="19" borderId="81" xfId="0" applyFont="1" applyFill="1" applyBorder="1" applyAlignment="1">
      <alignment horizontal="center" vertical="center"/>
    </xf>
    <xf numFmtId="0" fontId="72" fillId="19" borderId="99" xfId="0" applyFont="1" applyFill="1" applyBorder="1" applyAlignment="1">
      <alignment horizontal="center" vertical="center"/>
    </xf>
    <xf numFmtId="0" fontId="74" fillId="0" borderId="88" xfId="0" applyFont="1" applyBorder="1" applyAlignment="1" applyProtection="1">
      <alignment horizontal="left" vertical="center" wrapText="1"/>
      <protection locked="0"/>
    </xf>
    <xf numFmtId="0" fontId="74" fillId="0" borderId="34" xfId="0" applyFont="1" applyBorder="1" applyAlignment="1" applyProtection="1">
      <alignment horizontal="left" vertical="center" wrapText="1"/>
      <protection locked="0"/>
    </xf>
    <xf numFmtId="0" fontId="74" fillId="25" borderId="99" xfId="0" applyFont="1" applyFill="1" applyBorder="1" applyAlignment="1" applyProtection="1">
      <alignment horizontal="left" vertical="center" wrapText="1"/>
      <protection locked="0"/>
    </xf>
    <xf numFmtId="0" fontId="74" fillId="25" borderId="33" xfId="0" applyFont="1" applyFill="1" applyBorder="1" applyAlignment="1" applyProtection="1">
      <alignment horizontal="left" vertical="center"/>
      <protection locked="0"/>
    </xf>
    <xf numFmtId="0" fontId="74" fillId="0" borderId="33" xfId="0" applyFont="1" applyBorder="1" applyAlignment="1" applyProtection="1">
      <alignment horizontal="left" vertical="center" wrapText="1"/>
      <protection locked="0"/>
    </xf>
    <xf numFmtId="0" fontId="73" fillId="0" borderId="92" xfId="0" applyFont="1" applyBorder="1" applyAlignment="1" applyProtection="1">
      <alignment horizontal="left" vertical="center" wrapText="1"/>
      <protection locked="0"/>
    </xf>
    <xf numFmtId="0" fontId="73" fillId="0" borderId="34" xfId="0" applyFont="1" applyBorder="1" applyAlignment="1" applyProtection="1">
      <alignment horizontal="left" vertical="center" wrapText="1"/>
      <protection locked="0"/>
    </xf>
    <xf numFmtId="0" fontId="74" fillId="0" borderId="34" xfId="0" applyFont="1" applyBorder="1" applyAlignment="1">
      <alignment vertical="center" wrapText="1"/>
    </xf>
    <xf numFmtId="0" fontId="74" fillId="0" borderId="43" xfId="0" applyFont="1" applyBorder="1" applyAlignment="1">
      <alignment vertical="center" wrapText="1"/>
    </xf>
    <xf numFmtId="0" fontId="74" fillId="0" borderId="33" xfId="0" applyFont="1" applyBorder="1" applyAlignment="1">
      <alignment vertical="center" wrapText="1"/>
    </xf>
    <xf numFmtId="0" fontId="74" fillId="0" borderId="38" xfId="0" applyFont="1" applyBorder="1" applyAlignment="1">
      <alignment vertical="center" wrapText="1"/>
    </xf>
    <xf numFmtId="0" fontId="76" fillId="0" borderId="33" xfId="0" applyFont="1" applyBorder="1" applyAlignment="1" applyProtection="1">
      <alignment horizontal="left" vertical="center" wrapText="1"/>
      <protection locked="0"/>
    </xf>
    <xf numFmtId="0" fontId="73" fillId="26" borderId="92" xfId="0" applyFont="1" applyFill="1" applyBorder="1" applyAlignment="1" applyProtection="1">
      <alignment horizontal="left" vertical="center" wrapText="1"/>
      <protection locked="0"/>
    </xf>
    <xf numFmtId="0" fontId="73" fillId="26" borderId="81" xfId="0" applyFont="1" applyFill="1" applyBorder="1" applyAlignment="1" applyProtection="1">
      <alignment horizontal="left" vertical="center" wrapText="1"/>
      <protection locked="0"/>
    </xf>
    <xf numFmtId="0" fontId="73" fillId="25" borderId="92" xfId="0" applyFont="1" applyFill="1" applyBorder="1" applyAlignment="1" applyProtection="1">
      <alignment horizontal="left" vertical="center" wrapText="1"/>
      <protection locked="0"/>
    </xf>
    <xf numFmtId="0" fontId="73" fillId="25" borderId="81" xfId="0" applyFont="1" applyFill="1" applyBorder="1" applyAlignment="1" applyProtection="1">
      <alignment horizontal="left" vertical="center" wrapText="1"/>
      <protection locked="0"/>
    </xf>
    <xf numFmtId="0" fontId="73" fillId="0" borderId="92" xfId="0" applyFont="1" applyBorder="1" applyAlignment="1" applyProtection="1">
      <alignment horizontal="center" vertical="center"/>
      <protection locked="0"/>
    </xf>
    <xf numFmtId="0" fontId="73" fillId="0" borderId="81" xfId="0" applyFont="1" applyBorder="1" applyAlignment="1" applyProtection="1">
      <alignment horizontal="center" vertical="center"/>
      <protection locked="0"/>
    </xf>
    <xf numFmtId="0" fontId="73" fillId="0" borderId="99" xfId="0" applyFont="1" applyBorder="1" applyAlignment="1" applyProtection="1">
      <alignment horizontal="center" vertical="center"/>
      <protection locked="0"/>
    </xf>
    <xf numFmtId="0" fontId="74" fillId="28" borderId="92" xfId="0" applyFont="1" applyFill="1" applyBorder="1" applyAlignment="1" applyProtection="1">
      <alignment horizontal="left" vertical="top" wrapText="1"/>
      <protection locked="0"/>
    </xf>
    <xf numFmtId="0" fontId="74" fillId="28" borderId="81" xfId="0" applyFont="1" applyFill="1" applyBorder="1" applyAlignment="1" applyProtection="1">
      <alignment horizontal="left" vertical="top" wrapText="1"/>
      <protection locked="0"/>
    </xf>
    <xf numFmtId="0" fontId="74" fillId="28" borderId="99" xfId="0" applyFont="1" applyFill="1" applyBorder="1" applyAlignment="1" applyProtection="1">
      <alignment horizontal="left" vertical="top" wrapText="1"/>
      <protection locked="0"/>
    </xf>
    <xf numFmtId="0" fontId="74" fillId="27" borderId="33" xfId="0" applyFont="1" applyFill="1" applyBorder="1" applyAlignment="1" applyProtection="1">
      <alignment horizontal="left" vertical="top" wrapText="1"/>
      <protection locked="0"/>
    </xf>
    <xf numFmtId="0" fontId="73" fillId="25" borderId="99" xfId="0" applyFont="1" applyFill="1" applyBorder="1" applyAlignment="1" applyProtection="1">
      <alignment horizontal="left" vertical="center" wrapText="1"/>
      <protection locked="0"/>
    </xf>
    <xf numFmtId="0" fontId="74" fillId="28" borderId="92" xfId="0" applyFont="1" applyFill="1" applyBorder="1" applyAlignment="1" applyProtection="1">
      <alignment horizontal="left" vertical="center"/>
      <protection locked="0"/>
    </xf>
    <xf numFmtId="0" fontId="74" fillId="28" borderId="81" xfId="0" applyFont="1" applyFill="1" applyBorder="1" applyAlignment="1" applyProtection="1">
      <alignment horizontal="left" vertical="center"/>
      <protection locked="0"/>
    </xf>
    <xf numFmtId="0" fontId="74" fillId="28" borderId="99" xfId="0" applyFont="1" applyFill="1" applyBorder="1" applyAlignment="1" applyProtection="1">
      <alignment horizontal="left" vertical="center"/>
      <protection locked="0"/>
    </xf>
    <xf numFmtId="0" fontId="74" fillId="29" borderId="33" xfId="0" applyFont="1" applyFill="1" applyBorder="1" applyAlignment="1" applyProtection="1">
      <alignment horizontal="left" vertical="center" wrapText="1"/>
      <protection locked="0"/>
    </xf>
    <xf numFmtId="0" fontId="73" fillId="26" borderId="99" xfId="0" applyFont="1" applyFill="1" applyBorder="1" applyAlignment="1" applyProtection="1">
      <alignment horizontal="left" vertical="center" wrapText="1"/>
      <protection locked="0"/>
    </xf>
    <xf numFmtId="0" fontId="60" fillId="0" borderId="12" xfId="0" applyFont="1" applyBorder="1" applyAlignment="1">
      <alignment horizontal="center" vertical="center" wrapText="1"/>
    </xf>
    <xf numFmtId="0" fontId="60" fillId="0" borderId="14" xfId="0" applyFont="1" applyBorder="1" applyAlignment="1">
      <alignment horizontal="center" vertical="center" wrapText="1"/>
    </xf>
    <xf numFmtId="0" fontId="61" fillId="0" borderId="85" xfId="0" applyFont="1" applyBorder="1" applyAlignment="1">
      <alignment horizontal="center" vertical="center" wrapText="1"/>
    </xf>
    <xf numFmtId="0" fontId="61" fillId="0" borderId="98" xfId="0" applyFont="1" applyBorder="1" applyAlignment="1">
      <alignment horizontal="center" vertical="center" wrapText="1"/>
    </xf>
    <xf numFmtId="0" fontId="61" fillId="0" borderId="43" xfId="0" applyFont="1" applyBorder="1" applyAlignment="1">
      <alignment horizontal="center" vertical="center" wrapText="1"/>
    </xf>
    <xf numFmtId="0" fontId="60" fillId="0" borderId="68" xfId="0" applyFont="1" applyBorder="1" applyAlignment="1">
      <alignment horizontal="center" vertical="center" wrapText="1"/>
    </xf>
    <xf numFmtId="0" fontId="60" fillId="0" borderId="80" xfId="0" applyFont="1" applyBorder="1" applyAlignment="1">
      <alignment horizontal="center" vertical="center" wrapText="1"/>
    </xf>
    <xf numFmtId="0" fontId="60" fillId="0" borderId="81" xfId="0" applyFont="1" applyBorder="1" applyAlignment="1">
      <alignment horizontal="center" vertical="center" wrapText="1"/>
    </xf>
    <xf numFmtId="0" fontId="60" fillId="0" borderId="82" xfId="0" applyFont="1" applyBorder="1" applyAlignment="1">
      <alignment horizontal="center" vertical="center" wrapText="1"/>
    </xf>
    <xf numFmtId="0" fontId="67" fillId="20" borderId="51" xfId="0" applyFont="1" applyFill="1" applyBorder="1" applyAlignment="1">
      <alignment horizontal="left" vertical="center"/>
    </xf>
    <xf numFmtId="0" fontId="67" fillId="20" borderId="52" xfId="0" applyFont="1" applyFill="1" applyBorder="1" applyAlignment="1">
      <alignment horizontal="left" vertical="center"/>
    </xf>
    <xf numFmtId="0" fontId="67" fillId="20" borderId="53" xfId="0" applyFont="1" applyFill="1" applyBorder="1" applyAlignment="1">
      <alignment horizontal="left" vertical="center"/>
    </xf>
    <xf numFmtId="0" fontId="67" fillId="20" borderId="16" xfId="0" applyFont="1" applyFill="1" applyBorder="1" applyAlignment="1">
      <alignment horizontal="left" vertical="center"/>
    </xf>
    <xf numFmtId="0" fontId="67" fillId="20" borderId="18" xfId="0" applyFont="1" applyFill="1" applyBorder="1" applyAlignment="1">
      <alignment horizontal="left" vertical="center"/>
    </xf>
    <xf numFmtId="0" fontId="67" fillId="20" borderId="17" xfId="0" applyFont="1" applyFill="1" applyBorder="1" applyAlignment="1">
      <alignment horizontal="left" vertical="center"/>
    </xf>
    <xf numFmtId="0" fontId="71" fillId="19" borderId="33" xfId="0" applyFont="1" applyFill="1" applyBorder="1" applyAlignment="1">
      <alignment horizontal="center" vertical="center" wrapText="1"/>
    </xf>
    <xf numFmtId="0" fontId="72" fillId="19" borderId="81" xfId="0" applyFont="1" applyFill="1" applyBorder="1" applyAlignment="1">
      <alignment horizontal="center" vertical="center" wrapText="1"/>
    </xf>
    <xf numFmtId="0" fontId="72" fillId="19" borderId="99" xfId="0" applyFont="1" applyFill="1" applyBorder="1" applyAlignment="1">
      <alignment horizontal="center" vertical="center" wrapText="1"/>
    </xf>
    <xf numFmtId="0" fontId="72" fillId="19" borderId="92" xfId="0" applyFont="1" applyFill="1" applyBorder="1" applyAlignment="1">
      <alignment horizontal="center"/>
    </xf>
    <xf numFmtId="0" fontId="72" fillId="19" borderId="81" xfId="0" applyFont="1" applyFill="1" applyBorder="1" applyAlignment="1">
      <alignment horizontal="center"/>
    </xf>
    <xf numFmtId="0" fontId="72" fillId="19" borderId="99" xfId="0" applyFont="1" applyFill="1" applyBorder="1" applyAlignment="1">
      <alignment horizontal="center"/>
    </xf>
    <xf numFmtId="0" fontId="73" fillId="0" borderId="69" xfId="0" applyFont="1" applyBorder="1" applyAlignment="1" applyProtection="1">
      <alignment horizontal="left" vertical="center" wrapText="1"/>
      <protection locked="0"/>
    </xf>
    <xf numFmtId="0" fontId="73" fillId="0" borderId="88" xfId="0" applyFont="1" applyBorder="1" applyAlignment="1" applyProtection="1">
      <alignment horizontal="left" vertical="center" wrapText="1"/>
      <protection locked="0"/>
    </xf>
    <xf numFmtId="0" fontId="74" fillId="0" borderId="92" xfId="0" applyFont="1" applyBorder="1" applyAlignment="1" applyProtection="1">
      <alignment horizontal="left" vertical="top"/>
      <protection locked="0"/>
    </xf>
    <xf numFmtId="0" fontId="74" fillId="0" borderId="81" xfId="0" applyFont="1" applyBorder="1" applyAlignment="1" applyProtection="1">
      <alignment horizontal="left" vertical="top"/>
      <protection locked="0"/>
    </xf>
    <xf numFmtId="0" fontId="74" fillId="0" borderId="99" xfId="0" applyFont="1" applyBorder="1" applyAlignment="1" applyProtection="1">
      <alignment horizontal="left" vertical="top"/>
      <protection locked="0"/>
    </xf>
    <xf numFmtId="0" fontId="74" fillId="22" borderId="92" xfId="0" applyFont="1" applyFill="1" applyBorder="1" applyAlignment="1" applyProtection="1">
      <alignment horizontal="left" vertical="top" wrapText="1"/>
      <protection locked="0"/>
    </xf>
    <xf numFmtId="0" fontId="74" fillId="22" borderId="81" xfId="0" applyFont="1" applyFill="1" applyBorder="1" applyAlignment="1" applyProtection="1">
      <alignment horizontal="left" vertical="top" wrapText="1"/>
      <protection locked="0"/>
    </xf>
    <xf numFmtId="0" fontId="74" fillId="22" borderId="99" xfId="0" applyFont="1" applyFill="1" applyBorder="1" applyAlignment="1" applyProtection="1">
      <alignment horizontal="left" vertical="top" wrapText="1"/>
      <protection locked="0"/>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51" fillId="0" borderId="0" xfId="0" applyFont="1" applyAlignment="1">
      <alignment horizontal="center" vertical="center"/>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27" fillId="3" borderId="75" xfId="0" applyFont="1" applyFill="1" applyBorder="1" applyAlignment="1" applyProtection="1">
      <alignment horizontal="left" vertical="center" wrapText="1"/>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6" fillId="0" borderId="4"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2" fillId="0" borderId="100" xfId="0" applyFont="1" applyBorder="1" applyAlignment="1" applyProtection="1">
      <alignment horizontal="center" vertical="center" wrapText="1"/>
      <protection locked="0"/>
    </xf>
    <xf numFmtId="0" fontId="2" fillId="0" borderId="102" xfId="0"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50" fillId="0" borderId="100" xfId="0" applyFont="1" applyBorder="1" applyAlignment="1" applyProtection="1">
      <alignment horizontal="center" vertical="top" wrapText="1"/>
      <protection locked="0"/>
    </xf>
    <xf numFmtId="0" fontId="50" fillId="0" borderId="101" xfId="0" applyFont="1" applyBorder="1" applyAlignment="1" applyProtection="1">
      <alignment horizontal="center" vertical="top" wrapText="1"/>
      <protection locked="0"/>
    </xf>
    <xf numFmtId="0" fontId="50" fillId="0" borderId="102"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27" fillId="3" borderId="75" xfId="0" applyFont="1" applyFill="1" applyBorder="1" applyAlignment="1" applyProtection="1">
      <alignment horizontal="left" vertical="center"/>
      <protection locked="0"/>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27" fillId="0" borderId="106" xfId="0" applyFont="1" applyBorder="1" applyAlignment="1" applyProtection="1">
      <alignment horizontal="center" vertical="top" wrapText="1"/>
      <protection locked="0"/>
    </xf>
    <xf numFmtId="0" fontId="27" fillId="0" borderId="107" xfId="0" applyFont="1" applyBorder="1" applyAlignment="1" applyProtection="1">
      <alignment horizontal="center" vertical="top" wrapText="1"/>
      <protection locked="0"/>
    </xf>
    <xf numFmtId="0" fontId="27" fillId="0" borderId="108"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103" xfId="0" applyFont="1" applyBorder="1" applyAlignment="1" applyProtection="1">
      <alignment horizontal="center" vertical="top" wrapText="1"/>
      <protection locked="0"/>
    </xf>
    <xf numFmtId="0" fontId="27" fillId="0" borderId="104" xfId="0" applyFont="1" applyBorder="1" applyAlignment="1" applyProtection="1">
      <alignment horizontal="center" vertical="top" wrapText="1"/>
      <protection locked="0"/>
    </xf>
    <xf numFmtId="0" fontId="27" fillId="0" borderId="105" xfId="0" applyFont="1" applyBorder="1" applyAlignment="1" applyProtection="1">
      <alignment horizontal="center" vertical="top" wrapText="1"/>
      <protection locked="0"/>
    </xf>
    <xf numFmtId="0" fontId="1" fillId="0" borderId="109" xfId="0" applyFont="1" applyBorder="1" applyAlignment="1">
      <alignment horizontal="center" vertical="center" wrapText="1"/>
    </xf>
    <xf numFmtId="0" fontId="1" fillId="0" borderId="110" xfId="0" applyFont="1" applyBorder="1" applyAlignment="1">
      <alignment horizontal="center" vertical="center" wrapText="1"/>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4" fillId="2" borderId="28" xfId="0" applyFont="1" applyFill="1" applyBorder="1" applyAlignment="1">
      <alignment horizontal="left" vertical="center"/>
    </xf>
    <xf numFmtId="0" fontId="24" fillId="2" borderId="29" xfId="0" applyFont="1" applyFill="1" applyBorder="1" applyAlignment="1">
      <alignment horizontal="left" vertical="center"/>
    </xf>
    <xf numFmtId="0" fontId="24" fillId="2" borderId="30" xfId="0" applyFont="1" applyFill="1" applyBorder="1" applyAlignment="1">
      <alignment horizontal="left" vertical="center"/>
    </xf>
    <xf numFmtId="0" fontId="24" fillId="2" borderId="3" xfId="0" applyFont="1" applyFill="1" applyBorder="1" applyAlignment="1">
      <alignment horizontal="left" vertical="center"/>
    </xf>
    <xf numFmtId="0" fontId="24" fillId="2" borderId="31" xfId="0" applyFont="1" applyFill="1" applyBorder="1" applyAlignment="1">
      <alignment horizontal="left" vertical="center"/>
    </xf>
    <xf numFmtId="0" fontId="24" fillId="2" borderId="32" xfId="0" applyFont="1" applyFill="1" applyBorder="1" applyAlignment="1">
      <alignment horizontal="left" vertical="center"/>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1249680</xdr:colOff>
      <xdr:row>3</xdr:row>
      <xdr:rowOff>146685</xdr:rowOff>
    </xdr:to>
    <xdr:pic>
      <xdr:nvPicPr>
        <xdr:cNvPr id="2" name="1 Imagen" descr="logocapitalmusic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90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314325</xdr:colOff>
      <xdr:row>0</xdr:row>
      <xdr:rowOff>47625</xdr:rowOff>
    </xdr:from>
    <xdr:to>
      <xdr:col>0</xdr:col>
      <xdr:colOff>1628140</xdr:colOff>
      <xdr:row>3</xdr:row>
      <xdr:rowOff>50165</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47625"/>
          <a:ext cx="1313815" cy="57404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288633</xdr:rowOff>
    </xdr:from>
    <xdr:to>
      <xdr:col>0</xdr:col>
      <xdr:colOff>1</xdr:colOff>
      <xdr:row>39</xdr:row>
      <xdr:rowOff>288634</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18</xdr:col>
      <xdr:colOff>142874</xdr:colOff>
      <xdr:row>0</xdr:row>
      <xdr:rowOff>195985</xdr:rowOff>
    </xdr:from>
    <xdr:to>
      <xdr:col>18</xdr:col>
      <xdr:colOff>693419</xdr:colOff>
      <xdr:row>3</xdr:row>
      <xdr:rowOff>62774</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0153649" y="195985"/>
          <a:ext cx="550545" cy="771664"/>
        </a:xfrm>
        <a:prstGeom prst="rect">
          <a:avLst/>
        </a:prstGeom>
      </xdr:spPr>
    </xdr:pic>
    <xdr:clientData/>
  </xdr:twoCellAnchor>
  <xdr:twoCellAnchor>
    <xdr:from>
      <xdr:col>0</xdr:col>
      <xdr:colOff>0</xdr:colOff>
      <xdr:row>40</xdr:row>
      <xdr:rowOff>0</xdr:rowOff>
    </xdr:from>
    <xdr:to>
      <xdr:col>0</xdr:col>
      <xdr:colOff>2</xdr:colOff>
      <xdr:row>40</xdr:row>
      <xdr:rowOff>0</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editAs="oneCell">
    <xdr:from>
      <xdr:col>1</xdr:col>
      <xdr:colOff>57150</xdr:colOff>
      <xdr:row>0</xdr:row>
      <xdr:rowOff>104775</xdr:rowOff>
    </xdr:from>
    <xdr:to>
      <xdr:col>1</xdr:col>
      <xdr:colOff>1543050</xdr:colOff>
      <xdr:row>2</xdr:row>
      <xdr:rowOff>133350</xdr:rowOff>
    </xdr:to>
    <xdr:pic>
      <xdr:nvPicPr>
        <xdr:cNvPr id="7" name="Imagen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104775"/>
          <a:ext cx="1485900" cy="742950"/>
        </a:xfrm>
        <a:prstGeom prst="rect">
          <a:avLst/>
        </a:prstGeom>
        <a:noFill/>
      </xdr:spPr>
    </xdr:pic>
    <xdr:clientData/>
  </xdr:twoCellAnchor>
  <xdr:twoCellAnchor>
    <xdr:from>
      <xdr:col>0</xdr:col>
      <xdr:colOff>0</xdr:colOff>
      <xdr:row>25</xdr:row>
      <xdr:rowOff>288633</xdr:rowOff>
    </xdr:from>
    <xdr:to>
      <xdr:col>0</xdr:col>
      <xdr:colOff>1</xdr:colOff>
      <xdr:row>39</xdr:row>
      <xdr:rowOff>288634</xdr:rowOff>
    </xdr:to>
    <xdr:sp macro="" textlink="">
      <xdr:nvSpPr>
        <xdr:cNvPr id="2" name="CuadroTexto 1">
          <a:extLst>
            <a:ext uri="{FF2B5EF4-FFF2-40B4-BE49-F238E27FC236}">
              <a16:creationId xmlns:a16="http://schemas.microsoft.com/office/drawing/2014/main" id="{4F6535E6-0867-4E60-A4B0-650A45F18B92}"/>
            </a:ext>
          </a:extLst>
        </xdr:cNvPr>
        <xdr:cNvSpPr txBox="1"/>
      </xdr:nvSpPr>
      <xdr:spPr>
        <a:xfrm rot="16200000">
          <a:off x="-3943350" y="16643058"/>
          <a:ext cx="788670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0</xdr:col>
      <xdr:colOff>0</xdr:colOff>
      <xdr:row>40</xdr:row>
      <xdr:rowOff>0</xdr:rowOff>
    </xdr:from>
    <xdr:to>
      <xdr:col>0</xdr:col>
      <xdr:colOff>2</xdr:colOff>
      <xdr:row>40</xdr:row>
      <xdr:rowOff>0</xdr:rowOff>
    </xdr:to>
    <xdr:sp macro="" textlink="">
      <xdr:nvSpPr>
        <xdr:cNvPr id="8" name="CuadroTexto 7">
          <a:extLst>
            <a:ext uri="{FF2B5EF4-FFF2-40B4-BE49-F238E27FC236}">
              <a16:creationId xmlns:a16="http://schemas.microsoft.com/office/drawing/2014/main" id="{7CEB5146-8A2A-4ECD-906C-104D7FF48E10}"/>
            </a:ext>
          </a:extLst>
        </xdr:cNvPr>
        <xdr:cNvSpPr txBox="1"/>
      </xdr:nvSpPr>
      <xdr:spPr>
        <a:xfrm rot="16200000">
          <a:off x="1" y="2093594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xdr:from>
      <xdr:col>0</xdr:col>
      <xdr:colOff>0</xdr:colOff>
      <xdr:row>25</xdr:row>
      <xdr:rowOff>288633</xdr:rowOff>
    </xdr:from>
    <xdr:to>
      <xdr:col>0</xdr:col>
      <xdr:colOff>1</xdr:colOff>
      <xdr:row>39</xdr:row>
      <xdr:rowOff>288634</xdr:rowOff>
    </xdr:to>
    <xdr:sp macro="" textlink="">
      <xdr:nvSpPr>
        <xdr:cNvPr id="9" name="CuadroTexto 8">
          <a:extLst>
            <a:ext uri="{FF2B5EF4-FFF2-40B4-BE49-F238E27FC236}">
              <a16:creationId xmlns:a16="http://schemas.microsoft.com/office/drawing/2014/main" id="{4A06E7F9-B09F-4E37-92BF-AF53D7C197E1}"/>
            </a:ext>
          </a:extLst>
        </xdr:cNvPr>
        <xdr:cNvSpPr txBox="1"/>
      </xdr:nvSpPr>
      <xdr:spPr>
        <a:xfrm rot="16200000">
          <a:off x="-3943350" y="16643058"/>
          <a:ext cx="788670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219574</xdr:colOff>
      <xdr:row>0</xdr:row>
      <xdr:rowOff>67862</xdr:rowOff>
    </xdr:from>
    <xdr:to>
      <xdr:col>9</xdr:col>
      <xdr:colOff>743449</xdr:colOff>
      <xdr:row>3</xdr:row>
      <xdr:rowOff>176447</xdr:rowOff>
    </xdr:to>
    <xdr:pic>
      <xdr:nvPicPr>
        <xdr:cNvPr id="2" name="1 Imagen" descr="logocapitalmusic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85054" y="67862"/>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2</xdr:col>
      <xdr:colOff>914400</xdr:colOff>
      <xdr:row>4</xdr:row>
      <xdr:rowOff>19050</xdr:rowOff>
    </xdr:to>
    <xdr:pic>
      <xdr:nvPicPr>
        <xdr:cNvPr id="4" name="Imagen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0"/>
          <a:ext cx="1609725" cy="7905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20Paula/Downloads/46942-MR-20230216141848(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ECURSOSFISICOS1212/Downloads/MAPA%20DE%20RIESGOS%20CORRUPCION%20-%20ENERO%20A%20ABRIL%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1">
          <cell r="B1" t="str">
            <v xml:space="preserve">PROCESO: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8">
          <cell r="A8" t="str">
            <v>PROCESO:  GESTION DE RECURSOS FISICOS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48">
      <pivotArea type="all" dataOnly="0" outline="0" fieldPosition="0"/>
    </format>
    <format dxfId="47">
      <pivotArea field="0" type="button" dataOnly="0" labelOnly="1" outline="0" axis="axisRow" fieldPosition="0"/>
    </format>
    <format dxfId="46">
      <pivotArea field="1" type="button" dataOnly="0" labelOnly="1" outline="0" axis="axisRow" fieldPosition="1"/>
    </format>
    <format dxfId="45">
      <pivotArea dataOnly="0" labelOnly="1" outline="0" fieldPosition="0">
        <references count="1">
          <reference field="0" count="0"/>
        </references>
      </pivotArea>
    </format>
    <format dxfId="44">
      <pivotArea dataOnly="0" labelOnly="1" outline="0" fieldPosition="0">
        <references count="2">
          <reference field="0" count="1" selected="0">
            <x v="0"/>
          </reference>
          <reference field="1" count="5">
            <x v="0"/>
            <x v="6"/>
            <x v="7"/>
            <x v="8"/>
            <x v="9"/>
          </reference>
        </references>
      </pivotArea>
    </format>
    <format dxfId="43">
      <pivotArea dataOnly="0" labelOnly="1" outline="0" fieldPosition="0">
        <references count="2">
          <reference field="0" count="1" selected="0">
            <x v="1"/>
          </reference>
          <reference field="1" count="5">
            <x v="1"/>
            <x v="2"/>
            <x v="3"/>
            <x v="4"/>
            <x v="5"/>
          </reference>
        </references>
      </pivotArea>
    </format>
    <format dxfId="42">
      <pivotArea type="all" dataOnly="0" outline="0" fieldPosition="0"/>
    </format>
    <format dxfId="41">
      <pivotArea field="0" type="button" dataOnly="0" labelOnly="1" outline="0" axis="axisRow" fieldPosition="0"/>
    </format>
    <format dxfId="40">
      <pivotArea field="1" type="button" dataOnly="0" labelOnly="1" outline="0" axis="axisRow" fieldPosition="1"/>
    </format>
    <format dxfId="39">
      <pivotArea dataOnly="0" labelOnly="1" outline="0" fieldPosition="0">
        <references count="1">
          <reference field="0" count="0"/>
        </references>
      </pivotArea>
    </format>
    <format dxfId="38">
      <pivotArea dataOnly="0" labelOnly="1" outline="0" fieldPosition="0">
        <references count="2">
          <reference field="0" count="1" selected="0">
            <x v="0"/>
          </reference>
          <reference field="1" count="5">
            <x v="10"/>
            <x v="11"/>
            <x v="12"/>
            <x v="13"/>
            <x v="14"/>
          </reference>
        </references>
      </pivotArea>
    </format>
    <format dxfId="3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6" dataDxfId="35">
  <autoFilter ref="B209:C219" xr:uid="{00000000-0009-0000-0100-000001000000}"/>
  <tableColumns count="2">
    <tableColumn id="1" xr3:uid="{00000000-0010-0000-0000-000001000000}" name="Criterios" dataDxfId="34"/>
    <tableColumn id="2" xr3:uid="{00000000-0010-0000-0000-000002000000}" name="Subcriterios" dataDxfId="33"/>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9" sqref="B9:H10"/>
    </sheetView>
  </sheetViews>
  <sheetFormatPr baseColWidth="10" defaultColWidth="11.42578125" defaultRowHeight="15" x14ac:dyDescent="0.25"/>
  <cols>
    <col min="1" max="1" width="2.85546875" style="67" customWidth="1"/>
    <col min="2" max="3" width="24.7109375" style="67" customWidth="1"/>
    <col min="4" max="4" width="16" style="67" customWidth="1"/>
    <col min="5" max="5" width="24.7109375" style="67" customWidth="1"/>
    <col min="6" max="6" width="27.7109375" style="67" customWidth="1"/>
    <col min="7" max="8" width="24.7109375" style="67" customWidth="1"/>
    <col min="9" max="16384" width="11.42578125" style="67"/>
  </cols>
  <sheetData>
    <row r="1" spans="2:8" ht="15.75" thickBot="1" x14ac:dyDescent="0.3"/>
    <row r="2" spans="2:8" ht="18" x14ac:dyDescent="0.25">
      <c r="B2" s="247" t="s">
        <v>154</v>
      </c>
      <c r="C2" s="248"/>
      <c r="D2" s="248"/>
      <c r="E2" s="248"/>
      <c r="F2" s="248"/>
      <c r="G2" s="248"/>
      <c r="H2" s="249"/>
    </row>
    <row r="3" spans="2:8" x14ac:dyDescent="0.25">
      <c r="B3" s="68"/>
      <c r="C3" s="69"/>
      <c r="D3" s="69"/>
      <c r="E3" s="69"/>
      <c r="F3" s="69"/>
      <c r="G3" s="69"/>
      <c r="H3" s="70"/>
    </row>
    <row r="4" spans="2:8" ht="63" customHeight="1" x14ac:dyDescent="0.25">
      <c r="B4" s="250" t="s">
        <v>197</v>
      </c>
      <c r="C4" s="251"/>
      <c r="D4" s="251"/>
      <c r="E4" s="251"/>
      <c r="F4" s="251"/>
      <c r="G4" s="251"/>
      <c r="H4" s="252"/>
    </row>
    <row r="5" spans="2:8" ht="63" customHeight="1" x14ac:dyDescent="0.25">
      <c r="B5" s="253"/>
      <c r="C5" s="254"/>
      <c r="D5" s="254"/>
      <c r="E5" s="254"/>
      <c r="F5" s="254"/>
      <c r="G5" s="254"/>
      <c r="H5" s="255"/>
    </row>
    <row r="6" spans="2:8" ht="16.5" x14ac:dyDescent="0.25">
      <c r="B6" s="256" t="s">
        <v>152</v>
      </c>
      <c r="C6" s="257"/>
      <c r="D6" s="257"/>
      <c r="E6" s="257"/>
      <c r="F6" s="257"/>
      <c r="G6" s="257"/>
      <c r="H6" s="258"/>
    </row>
    <row r="7" spans="2:8" ht="95.25" customHeight="1" x14ac:dyDescent="0.25">
      <c r="B7" s="266" t="s">
        <v>157</v>
      </c>
      <c r="C7" s="267"/>
      <c r="D7" s="267"/>
      <c r="E7" s="267"/>
      <c r="F7" s="267"/>
      <c r="G7" s="267"/>
      <c r="H7" s="268"/>
    </row>
    <row r="8" spans="2:8" ht="16.5" x14ac:dyDescent="0.25">
      <c r="B8" s="102"/>
      <c r="C8" s="103"/>
      <c r="D8" s="103"/>
      <c r="E8" s="103"/>
      <c r="F8" s="103"/>
      <c r="G8" s="103"/>
      <c r="H8" s="104"/>
    </row>
    <row r="9" spans="2:8" ht="16.5" customHeight="1" x14ac:dyDescent="0.25">
      <c r="B9" s="259" t="s">
        <v>190</v>
      </c>
      <c r="C9" s="260"/>
      <c r="D9" s="260"/>
      <c r="E9" s="260"/>
      <c r="F9" s="260"/>
      <c r="G9" s="260"/>
      <c r="H9" s="261"/>
    </row>
    <row r="10" spans="2:8" ht="44.25" customHeight="1" x14ac:dyDescent="0.25">
      <c r="B10" s="259"/>
      <c r="C10" s="260"/>
      <c r="D10" s="260"/>
      <c r="E10" s="260"/>
      <c r="F10" s="260"/>
      <c r="G10" s="260"/>
      <c r="H10" s="261"/>
    </row>
    <row r="11" spans="2:8" ht="15.75" thickBot="1" x14ac:dyDescent="0.3">
      <c r="B11" s="91"/>
      <c r="C11" s="94"/>
      <c r="D11" s="99"/>
      <c r="E11" s="100"/>
      <c r="F11" s="100"/>
      <c r="G11" s="101"/>
      <c r="H11" s="95"/>
    </row>
    <row r="12" spans="2:8" ht="15.75" thickTop="1" x14ac:dyDescent="0.25">
      <c r="B12" s="91"/>
      <c r="C12" s="262" t="s">
        <v>153</v>
      </c>
      <c r="D12" s="263"/>
      <c r="E12" s="264" t="s">
        <v>191</v>
      </c>
      <c r="F12" s="265"/>
      <c r="G12" s="94"/>
      <c r="H12" s="95"/>
    </row>
    <row r="13" spans="2:8" ht="35.25" customHeight="1" x14ac:dyDescent="0.25">
      <c r="B13" s="91"/>
      <c r="C13" s="234" t="s">
        <v>184</v>
      </c>
      <c r="D13" s="235"/>
      <c r="E13" s="236" t="s">
        <v>189</v>
      </c>
      <c r="F13" s="237"/>
      <c r="G13" s="94"/>
      <c r="H13" s="95"/>
    </row>
    <row r="14" spans="2:8" ht="17.25" customHeight="1" x14ac:dyDescent="0.25">
      <c r="B14" s="91"/>
      <c r="C14" s="234" t="s">
        <v>185</v>
      </c>
      <c r="D14" s="235"/>
      <c r="E14" s="236" t="s">
        <v>187</v>
      </c>
      <c r="F14" s="237"/>
      <c r="G14" s="94"/>
      <c r="H14" s="95"/>
    </row>
    <row r="15" spans="2:8" ht="19.5" customHeight="1" x14ac:dyDescent="0.25">
      <c r="B15" s="91"/>
      <c r="C15" s="234" t="s">
        <v>186</v>
      </c>
      <c r="D15" s="235"/>
      <c r="E15" s="236" t="s">
        <v>188</v>
      </c>
      <c r="F15" s="237"/>
      <c r="G15" s="94"/>
      <c r="H15" s="95"/>
    </row>
    <row r="16" spans="2:8" ht="69.75" customHeight="1" x14ac:dyDescent="0.25">
      <c r="B16" s="91"/>
      <c r="C16" s="234" t="s">
        <v>155</v>
      </c>
      <c r="D16" s="235"/>
      <c r="E16" s="236" t="s">
        <v>156</v>
      </c>
      <c r="F16" s="237"/>
      <c r="G16" s="94"/>
      <c r="H16" s="95"/>
    </row>
    <row r="17" spans="2:8" ht="34.5" customHeight="1" x14ac:dyDescent="0.25">
      <c r="B17" s="91"/>
      <c r="C17" s="238" t="s">
        <v>2</v>
      </c>
      <c r="D17" s="239"/>
      <c r="E17" s="230" t="s">
        <v>198</v>
      </c>
      <c r="F17" s="231"/>
      <c r="G17" s="94"/>
      <c r="H17" s="95"/>
    </row>
    <row r="18" spans="2:8" ht="27.75" customHeight="1" x14ac:dyDescent="0.25">
      <c r="B18" s="91"/>
      <c r="C18" s="238" t="s">
        <v>3</v>
      </c>
      <c r="D18" s="239"/>
      <c r="E18" s="230" t="s">
        <v>199</v>
      </c>
      <c r="F18" s="231"/>
      <c r="G18" s="94"/>
      <c r="H18" s="95"/>
    </row>
    <row r="19" spans="2:8" ht="28.5" customHeight="1" x14ac:dyDescent="0.25">
      <c r="B19" s="91"/>
      <c r="C19" s="238" t="s">
        <v>42</v>
      </c>
      <c r="D19" s="239"/>
      <c r="E19" s="230" t="s">
        <v>200</v>
      </c>
      <c r="F19" s="231"/>
      <c r="G19" s="94"/>
      <c r="H19" s="95"/>
    </row>
    <row r="20" spans="2:8" ht="72.75" customHeight="1" x14ac:dyDescent="0.25">
      <c r="B20" s="91"/>
      <c r="C20" s="238" t="s">
        <v>1</v>
      </c>
      <c r="D20" s="239"/>
      <c r="E20" s="230" t="s">
        <v>201</v>
      </c>
      <c r="F20" s="231"/>
      <c r="G20" s="94"/>
      <c r="H20" s="95"/>
    </row>
    <row r="21" spans="2:8" ht="64.5" customHeight="1" x14ac:dyDescent="0.25">
      <c r="B21" s="91"/>
      <c r="C21" s="238" t="s">
        <v>50</v>
      </c>
      <c r="D21" s="239"/>
      <c r="E21" s="230" t="s">
        <v>159</v>
      </c>
      <c r="F21" s="231"/>
      <c r="G21" s="94"/>
      <c r="H21" s="95"/>
    </row>
    <row r="22" spans="2:8" ht="71.25" customHeight="1" x14ac:dyDescent="0.25">
      <c r="B22" s="91"/>
      <c r="C22" s="238" t="s">
        <v>158</v>
      </c>
      <c r="D22" s="239"/>
      <c r="E22" s="230" t="s">
        <v>160</v>
      </c>
      <c r="F22" s="231"/>
      <c r="G22" s="94"/>
      <c r="H22" s="95"/>
    </row>
    <row r="23" spans="2:8" ht="55.5" customHeight="1" x14ac:dyDescent="0.25">
      <c r="B23" s="91"/>
      <c r="C23" s="232" t="s">
        <v>161</v>
      </c>
      <c r="D23" s="233"/>
      <c r="E23" s="230" t="s">
        <v>162</v>
      </c>
      <c r="F23" s="231"/>
      <c r="G23" s="94"/>
      <c r="H23" s="95"/>
    </row>
    <row r="24" spans="2:8" ht="42" customHeight="1" x14ac:dyDescent="0.25">
      <c r="B24" s="91"/>
      <c r="C24" s="232" t="s">
        <v>48</v>
      </c>
      <c r="D24" s="233"/>
      <c r="E24" s="230" t="s">
        <v>163</v>
      </c>
      <c r="F24" s="231"/>
      <c r="G24" s="94"/>
      <c r="H24" s="95"/>
    </row>
    <row r="25" spans="2:8" ht="59.25" customHeight="1" x14ac:dyDescent="0.25">
      <c r="B25" s="91"/>
      <c r="C25" s="232" t="s">
        <v>151</v>
      </c>
      <c r="D25" s="233"/>
      <c r="E25" s="230" t="s">
        <v>164</v>
      </c>
      <c r="F25" s="231"/>
      <c r="G25" s="94"/>
      <c r="H25" s="95"/>
    </row>
    <row r="26" spans="2:8" ht="23.25" customHeight="1" x14ac:dyDescent="0.25">
      <c r="B26" s="91"/>
      <c r="C26" s="232" t="s">
        <v>12</v>
      </c>
      <c r="D26" s="233"/>
      <c r="E26" s="230" t="s">
        <v>165</v>
      </c>
      <c r="F26" s="231"/>
      <c r="G26" s="94"/>
      <c r="H26" s="95"/>
    </row>
    <row r="27" spans="2:8" ht="30.75" customHeight="1" x14ac:dyDescent="0.25">
      <c r="B27" s="91"/>
      <c r="C27" s="232" t="s">
        <v>169</v>
      </c>
      <c r="D27" s="233"/>
      <c r="E27" s="230" t="s">
        <v>166</v>
      </c>
      <c r="F27" s="231"/>
      <c r="G27" s="94"/>
      <c r="H27" s="95"/>
    </row>
    <row r="28" spans="2:8" ht="35.25" customHeight="1" x14ac:dyDescent="0.25">
      <c r="B28" s="91"/>
      <c r="C28" s="232" t="s">
        <v>170</v>
      </c>
      <c r="D28" s="233"/>
      <c r="E28" s="230" t="s">
        <v>167</v>
      </c>
      <c r="F28" s="231"/>
      <c r="G28" s="94"/>
      <c r="H28" s="95"/>
    </row>
    <row r="29" spans="2:8" ht="33" customHeight="1" x14ac:dyDescent="0.25">
      <c r="B29" s="91"/>
      <c r="C29" s="232" t="s">
        <v>170</v>
      </c>
      <c r="D29" s="233"/>
      <c r="E29" s="230" t="s">
        <v>167</v>
      </c>
      <c r="F29" s="231"/>
      <c r="G29" s="94"/>
      <c r="H29" s="95"/>
    </row>
    <row r="30" spans="2:8" ht="30" customHeight="1" x14ac:dyDescent="0.25">
      <c r="B30" s="91"/>
      <c r="C30" s="232" t="s">
        <v>171</v>
      </c>
      <c r="D30" s="233"/>
      <c r="E30" s="230" t="s">
        <v>168</v>
      </c>
      <c r="F30" s="231"/>
      <c r="G30" s="94"/>
      <c r="H30" s="95"/>
    </row>
    <row r="31" spans="2:8" ht="35.25" customHeight="1" x14ac:dyDescent="0.25">
      <c r="B31" s="91"/>
      <c r="C31" s="232" t="s">
        <v>172</v>
      </c>
      <c r="D31" s="233"/>
      <c r="E31" s="230" t="s">
        <v>173</v>
      </c>
      <c r="F31" s="231"/>
      <c r="G31" s="94"/>
      <c r="H31" s="95"/>
    </row>
    <row r="32" spans="2:8" ht="31.5" customHeight="1" x14ac:dyDescent="0.25">
      <c r="B32" s="91"/>
      <c r="C32" s="232" t="s">
        <v>174</v>
      </c>
      <c r="D32" s="233"/>
      <c r="E32" s="230" t="s">
        <v>175</v>
      </c>
      <c r="F32" s="231"/>
      <c r="G32" s="94"/>
      <c r="H32" s="95"/>
    </row>
    <row r="33" spans="2:8" ht="35.25" customHeight="1" x14ac:dyDescent="0.25">
      <c r="B33" s="91"/>
      <c r="C33" s="232" t="s">
        <v>176</v>
      </c>
      <c r="D33" s="233"/>
      <c r="E33" s="230" t="s">
        <v>177</v>
      </c>
      <c r="F33" s="231"/>
      <c r="G33" s="94"/>
      <c r="H33" s="95"/>
    </row>
    <row r="34" spans="2:8" ht="59.25" customHeight="1" x14ac:dyDescent="0.25">
      <c r="B34" s="91"/>
      <c r="C34" s="232" t="s">
        <v>178</v>
      </c>
      <c r="D34" s="233"/>
      <c r="E34" s="230" t="s">
        <v>179</v>
      </c>
      <c r="F34" s="231"/>
      <c r="G34" s="94"/>
      <c r="H34" s="95"/>
    </row>
    <row r="35" spans="2:8" ht="29.25" customHeight="1" x14ac:dyDescent="0.25">
      <c r="B35" s="91"/>
      <c r="C35" s="232" t="s">
        <v>29</v>
      </c>
      <c r="D35" s="233"/>
      <c r="E35" s="230" t="s">
        <v>180</v>
      </c>
      <c r="F35" s="231"/>
      <c r="G35" s="94"/>
      <c r="H35" s="95"/>
    </row>
    <row r="36" spans="2:8" ht="82.5" customHeight="1" x14ac:dyDescent="0.25">
      <c r="B36" s="91"/>
      <c r="C36" s="232" t="s">
        <v>182</v>
      </c>
      <c r="D36" s="233"/>
      <c r="E36" s="230" t="s">
        <v>181</v>
      </c>
      <c r="F36" s="231"/>
      <c r="G36" s="94"/>
      <c r="H36" s="95"/>
    </row>
    <row r="37" spans="2:8" ht="46.5" customHeight="1" x14ac:dyDescent="0.25">
      <c r="B37" s="91"/>
      <c r="C37" s="232" t="s">
        <v>39</v>
      </c>
      <c r="D37" s="233"/>
      <c r="E37" s="230" t="s">
        <v>183</v>
      </c>
      <c r="F37" s="231"/>
      <c r="G37" s="94"/>
      <c r="H37" s="95"/>
    </row>
    <row r="38" spans="2:8" ht="6.75" customHeight="1" thickBot="1" x14ac:dyDescent="0.3">
      <c r="B38" s="91"/>
      <c r="C38" s="243"/>
      <c r="D38" s="244"/>
      <c r="E38" s="245"/>
      <c r="F38" s="246"/>
      <c r="G38" s="94"/>
      <c r="H38" s="95"/>
    </row>
    <row r="39" spans="2:8" ht="15.75" thickTop="1" x14ac:dyDescent="0.25">
      <c r="B39" s="91"/>
      <c r="C39" s="92"/>
      <c r="D39" s="92"/>
      <c r="E39" s="93"/>
      <c r="F39" s="93"/>
      <c r="G39" s="94"/>
      <c r="H39" s="95"/>
    </row>
    <row r="40" spans="2:8" ht="21" customHeight="1" x14ac:dyDescent="0.25">
      <c r="B40" s="240" t="s">
        <v>192</v>
      </c>
      <c r="C40" s="241"/>
      <c r="D40" s="241"/>
      <c r="E40" s="241"/>
      <c r="F40" s="241"/>
      <c r="G40" s="241"/>
      <c r="H40" s="242"/>
    </row>
    <row r="41" spans="2:8" ht="20.25" customHeight="1" x14ac:dyDescent="0.25">
      <c r="B41" s="240" t="s">
        <v>193</v>
      </c>
      <c r="C41" s="241"/>
      <c r="D41" s="241"/>
      <c r="E41" s="241"/>
      <c r="F41" s="241"/>
      <c r="G41" s="241"/>
      <c r="H41" s="242"/>
    </row>
    <row r="42" spans="2:8" ht="20.25" customHeight="1" x14ac:dyDescent="0.25">
      <c r="B42" s="240" t="s">
        <v>194</v>
      </c>
      <c r="C42" s="241"/>
      <c r="D42" s="241"/>
      <c r="E42" s="241"/>
      <c r="F42" s="241"/>
      <c r="G42" s="241"/>
      <c r="H42" s="242"/>
    </row>
    <row r="43" spans="2:8" ht="20.25" customHeight="1" x14ac:dyDescent="0.25">
      <c r="B43" s="240" t="s">
        <v>195</v>
      </c>
      <c r="C43" s="241"/>
      <c r="D43" s="241"/>
      <c r="E43" s="241"/>
      <c r="F43" s="241"/>
      <c r="G43" s="241"/>
      <c r="H43" s="242"/>
    </row>
    <row r="44" spans="2:8" x14ac:dyDescent="0.25">
      <c r="B44" s="240" t="s">
        <v>196</v>
      </c>
      <c r="C44" s="241"/>
      <c r="D44" s="241"/>
      <c r="E44" s="241"/>
      <c r="F44" s="241"/>
      <c r="G44" s="241"/>
      <c r="H44" s="242"/>
    </row>
    <row r="45" spans="2:8" ht="15.75" thickBot="1" x14ac:dyDescent="0.3">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S72"/>
  <sheetViews>
    <sheetView tabSelected="1" topLeftCell="AB17" zoomScaleNormal="100" workbookViewId="0">
      <selection sqref="A1:AM27"/>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0.28515625" style="2" customWidth="1"/>
    <col min="6" max="8" width="35" style="1" customWidth="1"/>
    <col min="9" max="9" width="18.140625" style="5" customWidth="1"/>
    <col min="10" max="10" width="14.28515625" style="1" customWidth="1"/>
    <col min="11" max="11" width="12" style="1" customWidth="1"/>
    <col min="12" max="12" width="6.28515625" style="1" bestFit="1" customWidth="1"/>
    <col min="13" max="13" width="24.42578125" style="1" bestFit="1" customWidth="1"/>
    <col min="14" max="14" width="28.28515625" style="1" hidden="1" customWidth="1"/>
    <col min="15" max="15" width="17.5703125" style="1" customWidth="1"/>
    <col min="16" max="16" width="6.28515625" style="1" bestFit="1" customWidth="1"/>
    <col min="17" max="17" width="16" style="1" customWidth="1"/>
    <col min="18" max="18" width="5.85546875" style="1" customWidth="1"/>
    <col min="19" max="19" width="55" style="1" customWidth="1"/>
    <col min="20" max="20" width="15.140625" style="1" bestFit="1" customWidth="1"/>
    <col min="21" max="21" width="6.85546875" style="1" customWidth="1"/>
    <col min="22" max="22" width="5" style="1" customWidth="1"/>
    <col min="23" max="23" width="5.5703125" style="1" customWidth="1"/>
    <col min="24" max="24" width="7.140625" style="1" customWidth="1"/>
    <col min="25" max="25" width="6.7109375" style="1" customWidth="1"/>
    <col min="26" max="26" width="4.7109375" style="1" bestFit="1" customWidth="1"/>
    <col min="27" max="27" width="38.5703125" style="1" bestFit="1" customWidth="1"/>
    <col min="28" max="28" width="8.7109375" style="1" customWidth="1"/>
    <col min="29" max="29" width="10.42578125" style="1" customWidth="1"/>
    <col min="30" max="30" width="9.28515625" style="1" customWidth="1"/>
    <col min="31" max="31" width="9.140625" style="1" customWidth="1"/>
    <col min="32" max="32" width="8.42578125" style="1" customWidth="1"/>
    <col min="33" max="33" width="7.28515625" style="1" customWidth="1"/>
    <col min="34" max="34" width="36.7109375" style="1" customWidth="1"/>
    <col min="35" max="35" width="18.85546875" style="1" customWidth="1"/>
    <col min="36" max="36" width="16.85546875" style="1" customWidth="1"/>
    <col min="37" max="37" width="14.85546875" style="1" customWidth="1"/>
    <col min="38" max="38" width="101" style="1" customWidth="1"/>
    <col min="39" max="39" width="21" style="1" customWidth="1"/>
    <col min="40" max="16384" width="11.42578125" style="1"/>
  </cols>
  <sheetData>
    <row r="1" spans="1:71" x14ac:dyDescent="0.3">
      <c r="A1" s="694" t="s">
        <v>415</v>
      </c>
      <c r="B1" s="695"/>
      <c r="C1" s="695"/>
      <c r="D1" s="695"/>
      <c r="E1" s="695"/>
      <c r="F1" s="695"/>
      <c r="G1" s="695"/>
      <c r="H1" s="695"/>
      <c r="I1" s="695"/>
      <c r="J1" s="695"/>
      <c r="K1" s="695"/>
      <c r="L1" s="695"/>
      <c r="M1" s="695"/>
      <c r="N1" s="695"/>
      <c r="O1" s="695"/>
      <c r="P1" s="695"/>
      <c r="Q1" s="695"/>
      <c r="R1" s="695"/>
      <c r="S1" s="695"/>
      <c r="T1" s="695"/>
      <c r="U1" s="695"/>
      <c r="V1" s="695"/>
      <c r="W1" s="695"/>
      <c r="X1" s="695"/>
      <c r="Y1" s="695"/>
      <c r="Z1" s="695"/>
      <c r="AA1" s="695"/>
      <c r="AB1" s="695"/>
      <c r="AC1" s="695"/>
      <c r="AD1" s="695"/>
      <c r="AE1" s="695"/>
      <c r="AF1" s="695"/>
      <c r="AG1" s="695"/>
      <c r="AH1" s="695"/>
      <c r="AI1" s="695"/>
      <c r="AJ1" s="695"/>
      <c r="AK1" s="695"/>
      <c r="AL1" s="695"/>
      <c r="AM1" s="696"/>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x14ac:dyDescent="0.3">
      <c r="A2" s="697"/>
      <c r="B2" s="698"/>
      <c r="C2" s="698"/>
      <c r="D2" s="698"/>
      <c r="E2" s="698"/>
      <c r="F2" s="698"/>
      <c r="G2" s="698"/>
      <c r="H2" s="698"/>
      <c r="I2" s="698"/>
      <c r="J2" s="698"/>
      <c r="K2" s="698"/>
      <c r="L2" s="698"/>
      <c r="M2" s="698"/>
      <c r="N2" s="698"/>
      <c r="O2" s="698"/>
      <c r="P2" s="698"/>
      <c r="Q2" s="698"/>
      <c r="R2" s="698"/>
      <c r="S2" s="698"/>
      <c r="T2" s="698"/>
      <c r="U2" s="698"/>
      <c r="V2" s="698"/>
      <c r="W2" s="698"/>
      <c r="X2" s="698"/>
      <c r="Y2" s="698"/>
      <c r="Z2" s="698"/>
      <c r="AA2" s="698"/>
      <c r="AB2" s="698"/>
      <c r="AC2" s="698"/>
      <c r="AD2" s="698"/>
      <c r="AE2" s="698"/>
      <c r="AF2" s="698"/>
      <c r="AG2" s="698"/>
      <c r="AH2" s="698"/>
      <c r="AI2" s="698"/>
      <c r="AJ2" s="698"/>
      <c r="AK2" s="698"/>
      <c r="AL2" s="698"/>
      <c r="AM2" s="699"/>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x14ac:dyDescent="0.3">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ht="23.25" x14ac:dyDescent="0.3">
      <c r="A4" s="613" t="s">
        <v>43</v>
      </c>
      <c r="B4" s="614"/>
      <c r="C4" s="658" t="s">
        <v>379</v>
      </c>
      <c r="D4" s="658"/>
      <c r="E4" s="658"/>
      <c r="F4" s="658"/>
      <c r="G4" s="658"/>
      <c r="H4" s="658"/>
      <c r="I4" s="658"/>
      <c r="J4" s="658"/>
      <c r="K4" s="658"/>
      <c r="L4" s="658"/>
      <c r="M4" s="658"/>
      <c r="N4" s="658"/>
      <c r="O4" s="658"/>
      <c r="P4" s="658"/>
      <c r="Q4" s="658"/>
      <c r="R4" s="658"/>
      <c r="S4" s="658"/>
      <c r="T4" s="658"/>
      <c r="U4" s="658"/>
      <c r="V4" s="658"/>
      <c r="W4" s="658"/>
      <c r="X4" s="658"/>
      <c r="Y4" s="658"/>
      <c r="Z4" s="658"/>
      <c r="AA4" s="658"/>
      <c r="AB4" s="658"/>
      <c r="AC4" s="658"/>
      <c r="AD4" s="658"/>
      <c r="AE4" s="658"/>
      <c r="AF4" s="658"/>
      <c r="AG4" s="658"/>
      <c r="AH4" s="658"/>
      <c r="AI4" s="658"/>
      <c r="AJ4" s="658"/>
      <c r="AK4" s="658"/>
      <c r="AL4" s="658"/>
      <c r="AM4" s="65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71" ht="23.25" x14ac:dyDescent="0.3">
      <c r="A5" s="613" t="s">
        <v>125</v>
      </c>
      <c r="B5" s="614"/>
      <c r="C5" s="602" t="s">
        <v>380</v>
      </c>
      <c r="D5" s="602"/>
      <c r="E5" s="602"/>
      <c r="F5" s="602"/>
      <c r="G5" s="602"/>
      <c r="H5" s="602"/>
      <c r="I5" s="602"/>
      <c r="J5" s="602"/>
      <c r="K5" s="602"/>
      <c r="L5" s="602"/>
      <c r="M5" s="602"/>
      <c r="N5" s="602"/>
      <c r="O5" s="602"/>
      <c r="P5" s="602"/>
      <c r="Q5" s="602"/>
      <c r="R5" s="602"/>
      <c r="S5" s="602"/>
      <c r="T5" s="602"/>
      <c r="U5" s="602"/>
      <c r="V5" s="602"/>
      <c r="W5" s="602"/>
      <c r="X5" s="602"/>
      <c r="Y5" s="602"/>
      <c r="Z5" s="602"/>
      <c r="AA5" s="602"/>
      <c r="AB5" s="602"/>
      <c r="AC5" s="602"/>
      <c r="AD5" s="602"/>
      <c r="AE5" s="602"/>
      <c r="AF5" s="602"/>
      <c r="AG5" s="602"/>
      <c r="AH5" s="602"/>
      <c r="AI5" s="602"/>
      <c r="AJ5" s="602"/>
      <c r="AK5" s="602"/>
      <c r="AL5" s="602"/>
      <c r="AM5" s="602"/>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23.25" x14ac:dyDescent="0.3">
      <c r="A6" s="613" t="s">
        <v>44</v>
      </c>
      <c r="B6" s="614"/>
      <c r="C6" s="602" t="s">
        <v>404</v>
      </c>
      <c r="D6" s="602"/>
      <c r="E6" s="602"/>
      <c r="F6" s="602"/>
      <c r="G6" s="602"/>
      <c r="H6" s="602"/>
      <c r="I6" s="602"/>
      <c r="J6" s="602"/>
      <c r="K6" s="602"/>
      <c r="L6" s="602"/>
      <c r="M6" s="602"/>
      <c r="N6" s="602"/>
      <c r="O6" s="602"/>
      <c r="P6" s="602"/>
      <c r="Q6" s="602"/>
      <c r="R6" s="602"/>
      <c r="S6" s="602"/>
      <c r="T6" s="602"/>
      <c r="U6" s="602"/>
      <c r="V6" s="602"/>
      <c r="W6" s="602"/>
      <c r="X6" s="602"/>
      <c r="Y6" s="602"/>
      <c r="Z6" s="602"/>
      <c r="AA6" s="602"/>
      <c r="AB6" s="602"/>
      <c r="AC6" s="602"/>
      <c r="AD6" s="602"/>
      <c r="AE6" s="602"/>
      <c r="AF6" s="602"/>
      <c r="AG6" s="602"/>
      <c r="AH6" s="602"/>
      <c r="AI6" s="602"/>
      <c r="AJ6" s="602"/>
      <c r="AK6" s="602"/>
      <c r="AL6" s="602"/>
      <c r="AM6" s="602"/>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x14ac:dyDescent="0.3">
      <c r="A7" s="603" t="s">
        <v>134</v>
      </c>
      <c r="B7" s="604"/>
      <c r="C7" s="605"/>
      <c r="D7" s="605"/>
      <c r="E7" s="605"/>
      <c r="F7" s="605"/>
      <c r="G7" s="605"/>
      <c r="H7" s="605"/>
      <c r="I7" s="605"/>
      <c r="J7" s="606"/>
      <c r="K7" s="607" t="s">
        <v>135</v>
      </c>
      <c r="L7" s="605"/>
      <c r="M7" s="605"/>
      <c r="N7" s="605"/>
      <c r="O7" s="605"/>
      <c r="P7" s="605"/>
      <c r="Q7" s="606"/>
      <c r="R7" s="607" t="s">
        <v>136</v>
      </c>
      <c r="S7" s="605"/>
      <c r="T7" s="605"/>
      <c r="U7" s="605"/>
      <c r="V7" s="605"/>
      <c r="W7" s="605"/>
      <c r="X7" s="605"/>
      <c r="Y7" s="605"/>
      <c r="Z7" s="606"/>
      <c r="AA7" s="607" t="s">
        <v>137</v>
      </c>
      <c r="AB7" s="605"/>
      <c r="AC7" s="605"/>
      <c r="AD7" s="605"/>
      <c r="AE7" s="605"/>
      <c r="AF7" s="605"/>
      <c r="AG7" s="606"/>
      <c r="AH7" s="607" t="s">
        <v>34</v>
      </c>
      <c r="AI7" s="605"/>
      <c r="AJ7" s="605"/>
      <c r="AK7" s="605"/>
      <c r="AL7" s="605"/>
      <c r="AM7" s="606"/>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x14ac:dyDescent="0.3">
      <c r="A8" s="615" t="s">
        <v>0</v>
      </c>
      <c r="B8" s="659" t="s">
        <v>2</v>
      </c>
      <c r="C8" s="618" t="s">
        <v>3</v>
      </c>
      <c r="D8" s="618" t="s">
        <v>42</v>
      </c>
      <c r="E8" s="617" t="s">
        <v>202</v>
      </c>
      <c r="F8" s="619" t="s">
        <v>1</v>
      </c>
      <c r="G8" s="138"/>
      <c r="H8" s="138"/>
      <c r="I8" s="617" t="s">
        <v>50</v>
      </c>
      <c r="J8" s="618" t="s">
        <v>130</v>
      </c>
      <c r="K8" s="660" t="s">
        <v>33</v>
      </c>
      <c r="L8" s="662" t="s">
        <v>5</v>
      </c>
      <c r="M8" s="617" t="s">
        <v>86</v>
      </c>
      <c r="N8" s="617" t="s">
        <v>91</v>
      </c>
      <c r="O8" s="663" t="s">
        <v>45</v>
      </c>
      <c r="P8" s="662" t="s">
        <v>5</v>
      </c>
      <c r="Q8" s="618" t="s">
        <v>48</v>
      </c>
      <c r="R8" s="664" t="s">
        <v>11</v>
      </c>
      <c r="S8" s="612" t="s">
        <v>151</v>
      </c>
      <c r="T8" s="617" t="s">
        <v>12</v>
      </c>
      <c r="U8" s="612" t="s">
        <v>8</v>
      </c>
      <c r="V8" s="612"/>
      <c r="W8" s="612"/>
      <c r="X8" s="612"/>
      <c r="Y8" s="612"/>
      <c r="Z8" s="612"/>
      <c r="AA8" s="661" t="s">
        <v>133</v>
      </c>
      <c r="AB8" s="661" t="s">
        <v>46</v>
      </c>
      <c r="AC8" s="661" t="s">
        <v>5</v>
      </c>
      <c r="AD8" s="661" t="s">
        <v>47</v>
      </c>
      <c r="AE8" s="661" t="s">
        <v>5</v>
      </c>
      <c r="AF8" s="661" t="s">
        <v>49</v>
      </c>
      <c r="AG8" s="664" t="s">
        <v>29</v>
      </c>
      <c r="AH8" s="612" t="s">
        <v>34</v>
      </c>
      <c r="AI8" s="612" t="s">
        <v>35</v>
      </c>
      <c r="AJ8" s="612" t="s">
        <v>36</v>
      </c>
      <c r="AK8" s="612" t="s">
        <v>38</v>
      </c>
      <c r="AL8" s="612" t="s">
        <v>37</v>
      </c>
      <c r="AM8" s="612" t="s">
        <v>39</v>
      </c>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s="4" customFormat="1" ht="78.75" x14ac:dyDescent="0.25">
      <c r="A9" s="616"/>
      <c r="B9" s="659"/>
      <c r="C9" s="612"/>
      <c r="D9" s="612"/>
      <c r="E9" s="660"/>
      <c r="F9" s="620"/>
      <c r="G9" s="138" t="s">
        <v>263</v>
      </c>
      <c r="H9" s="138" t="s">
        <v>203</v>
      </c>
      <c r="I9" s="618"/>
      <c r="J9" s="612"/>
      <c r="K9" s="618"/>
      <c r="L9" s="607"/>
      <c r="M9" s="618"/>
      <c r="N9" s="618"/>
      <c r="O9" s="607"/>
      <c r="P9" s="607"/>
      <c r="Q9" s="612"/>
      <c r="R9" s="665"/>
      <c r="S9" s="612"/>
      <c r="T9" s="618"/>
      <c r="U9" s="7" t="s">
        <v>13</v>
      </c>
      <c r="V9" s="7" t="s">
        <v>17</v>
      </c>
      <c r="W9" s="7" t="s">
        <v>28</v>
      </c>
      <c r="X9" s="7" t="s">
        <v>18</v>
      </c>
      <c r="Y9" s="7" t="s">
        <v>21</v>
      </c>
      <c r="Z9" s="7" t="s">
        <v>24</v>
      </c>
      <c r="AA9" s="661"/>
      <c r="AB9" s="661"/>
      <c r="AC9" s="661"/>
      <c r="AD9" s="661"/>
      <c r="AE9" s="661"/>
      <c r="AF9" s="661"/>
      <c r="AG9" s="665"/>
      <c r="AH9" s="612"/>
      <c r="AI9" s="612"/>
      <c r="AJ9" s="612"/>
      <c r="AK9" s="612"/>
      <c r="AL9" s="612"/>
      <c r="AM9" s="612"/>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row>
    <row r="10" spans="1:71" s="3" customFormat="1" ht="126" x14ac:dyDescent="0.25">
      <c r="A10" s="630">
        <v>1</v>
      </c>
      <c r="B10" s="684" t="s">
        <v>129</v>
      </c>
      <c r="C10" s="684" t="s">
        <v>381</v>
      </c>
      <c r="D10" s="687" t="s">
        <v>382</v>
      </c>
      <c r="E10" s="222" t="s">
        <v>383</v>
      </c>
      <c r="F10" s="648" t="s">
        <v>384</v>
      </c>
      <c r="G10" s="648" t="s">
        <v>385</v>
      </c>
      <c r="H10" s="648" t="s">
        <v>387</v>
      </c>
      <c r="I10" s="678" t="s">
        <v>118</v>
      </c>
      <c r="J10" s="681">
        <v>360</v>
      </c>
      <c r="K10" s="675" t="str">
        <f>IF(J10&lt;=0,"",IF(J10&lt;=2,"Muy Baja",IF(J10&lt;=24,"Baja",IF(J10&lt;=500,"Media",IF(J10&lt;=5000,"Alta","Muy Alta")))))</f>
        <v>Media</v>
      </c>
      <c r="L10" s="669">
        <f>IF(K10="","",IF(K10="Muy Baja",0.2,IF(K10="Baja",0.4,IF(K10="Media",0.6,IF(K10="Alta",0.8,IF(K10="Muy Alta",1,))))))</f>
        <v>0.6</v>
      </c>
      <c r="M10" s="672" t="s">
        <v>144</v>
      </c>
      <c r="N10" s="669" t="str">
        <f>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675" t="str">
        <f>IF(OR(N10='Tabla Impacto'!$C$11,N10='Tabla Impacto'!$D$11),"Leve",IF(OR(N10='Tabla Impacto'!$C$12,N10='Tabla Impacto'!$D$12),"Menor",IF(OR(N10='Tabla Impacto'!$C$13,N10='Tabla Impacto'!$D$13),"Moderado",IF(OR(N10='Tabla Impacto'!$C$14,N10='Tabla Impacto'!$D$14),"Mayor",IF(OR(N10='Tabla Impacto'!$C$15,N10='Tabla Impacto'!$D$15),"Catastrófico","")))))</f>
        <v>Moderado</v>
      </c>
      <c r="P10" s="669">
        <f>IF(O10="","",IF(O10="Leve",0.2,IF(O10="Menor",0.4,IF(O10="Moderado",0.6,IF(O10="Mayor",0.8,IF(O10="Catastrófico",1,))))))</f>
        <v>0.6</v>
      </c>
      <c r="Q10" s="666"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105">
        <v>1</v>
      </c>
      <c r="S10" s="113" t="str">
        <f>+DOFA!G40</f>
        <v>A9,F3,4. El director (a) de recursos Fisicos  trimestrealmente revisa el presupuesto y las necesidades de la entidad para planearlas en el Plan de Accion de la Direccion, dejando como evidencia:
el Plan de Accion.</v>
      </c>
      <c r="T10" s="107" t="str">
        <f>IF(OR(U10="Preventivo",U10="Detectivo"),"Probabilidad",IF(U10="Correctivo","Impacto",""))</f>
        <v>Probabilidad</v>
      </c>
      <c r="U10" s="114" t="s">
        <v>14</v>
      </c>
      <c r="V10" s="114" t="s">
        <v>9</v>
      </c>
      <c r="W10" s="115" t="str">
        <f>IF(AND(U10="Preventivo",V10="Automático"),"50%",IF(AND(U10="Preventivo",V10="Manual"),"40%",IF(AND(U10="Detectivo",V10="Automático"),"40%",IF(AND(U10="Detectivo",V10="Manual"),"30%",IF(AND(U10="Correctivo",V10="Automático"),"35%",IF(AND(U10="Correctivo",V10="Manual"),"25%",""))))))</f>
        <v>40%</v>
      </c>
      <c r="X10" s="114" t="s">
        <v>19</v>
      </c>
      <c r="Y10" s="114" t="s">
        <v>22</v>
      </c>
      <c r="Z10" s="114" t="s">
        <v>114</v>
      </c>
      <c r="AA10" s="108">
        <f>IFERROR(IF(T10="Probabilidad",(L10-(+L10*W10)),IF(T10="Impacto",L10,"")),"")</f>
        <v>0.36</v>
      </c>
      <c r="AB10" s="118" t="str">
        <f>IFERROR(IF(AA10="","",IF(AA10&lt;=0.2,"Muy Baja",IF(AA10&lt;=0.4,"Baja",IF(AA10&lt;=0.6,"Media",IF(AA10&lt;=0.8,"Alta","Muy Alta"))))),"")</f>
        <v>Baja</v>
      </c>
      <c r="AC10" s="119">
        <f>+AA10</f>
        <v>0.36</v>
      </c>
      <c r="AD10" s="118" t="str">
        <f>IFERROR(IF(AE10="","",IF(AE10&lt;=0.2,"Leve",IF(AE10&lt;=0.4,"Menor",IF(AE10&lt;=0.6,"Moderado",IF(AE10&lt;=0.8,"Mayor","Catastrófico"))))),"")</f>
        <v>Moderado</v>
      </c>
      <c r="AE10" s="119">
        <f>IFERROR(IF(T10="Impacto",(P10-(+P10*W10)),IF(T10="Probabilidad",P10,"")),"")</f>
        <v>0.6</v>
      </c>
      <c r="AF10" s="120"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121" t="s">
        <v>131</v>
      </c>
      <c r="AH10" s="116" t="s">
        <v>411</v>
      </c>
      <c r="AI10" s="116" t="s">
        <v>386</v>
      </c>
      <c r="AJ10" s="117">
        <v>45293</v>
      </c>
      <c r="AK10" s="117">
        <v>45473</v>
      </c>
      <c r="AL10" s="608" t="s">
        <v>414</v>
      </c>
      <c r="AM10" s="226" t="s">
        <v>41</v>
      </c>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row>
    <row r="11" spans="1:71" ht="194.25" customHeight="1" x14ac:dyDescent="0.3">
      <c r="A11" s="631"/>
      <c r="B11" s="685"/>
      <c r="C11" s="685"/>
      <c r="D11" s="688"/>
      <c r="E11" s="222" t="str">
        <f>Contexto!D17</f>
        <v>Falta de Presupuesto para cumplir con el correcto funcionamiento de los procesos de la entidad y metas del plan de desarrollo</v>
      </c>
      <c r="F11" s="649"/>
      <c r="G11" s="649"/>
      <c r="H11" s="649"/>
      <c r="I11" s="679"/>
      <c r="J11" s="682"/>
      <c r="K11" s="676"/>
      <c r="L11" s="670"/>
      <c r="M11" s="673"/>
      <c r="N11" s="670">
        <f>IF(NOT(ISERROR(MATCH(M11,_xlfn.ANCHORARRAY(F22),0))),L24&amp;"Por favor no seleccionar los criterios de impacto",M11)</f>
        <v>0</v>
      </c>
      <c r="O11" s="676"/>
      <c r="P11" s="670"/>
      <c r="Q11" s="667"/>
      <c r="R11" s="105">
        <v>2</v>
      </c>
      <c r="S11" s="113" t="str">
        <f>+DOFA!G42</f>
        <v>F2 A11. Trimestralmente la Direccion de Recursos Fisicos  revisa el presupuesto aprobado por la vigencia haciendo  programacion de compras y contratacion el plan anual de adquisicion, dejando como evidencia el Plan de Accion.</v>
      </c>
      <c r="T11" s="107" t="str">
        <f>IF(OR(U11="Preventivo",U11="Detectivo"),"Probabilidad",IF(U11="Correctivo","Impacto",""))</f>
        <v>Probabilidad</v>
      </c>
      <c r="U11" s="114" t="s">
        <v>14</v>
      </c>
      <c r="V11" s="114" t="s">
        <v>9</v>
      </c>
      <c r="W11" s="115" t="str">
        <f t="shared" ref="W11" si="0">IF(AND(U11="Preventivo",V11="Automático"),"50%",IF(AND(U11="Preventivo",V11="Manual"),"40%",IF(AND(U11="Detectivo",V11="Automático"),"40%",IF(AND(U11="Detectivo",V11="Manual"),"30%",IF(AND(U11="Correctivo",V11="Automático"),"35%",IF(AND(U11="Correctivo",V11="Manual"),"25%",""))))))</f>
        <v>40%</v>
      </c>
      <c r="X11" s="114" t="s">
        <v>19</v>
      </c>
      <c r="Y11" s="114" t="s">
        <v>22</v>
      </c>
      <c r="Z11" s="114" t="s">
        <v>114</v>
      </c>
      <c r="AA11" s="108">
        <f>IFERROR(IF(AND(T10="Probabilidad",T11="Probabilidad"),(AC10-(+AC10*W11)),IF(AND(T10="Impacto",T11="Probabilidad"),(L10-(+L10*W11)),IF(T11="Impacto",AC10,""))),"")</f>
        <v>0.216</v>
      </c>
      <c r="AB11" s="118" t="str">
        <f t="shared" ref="AB11" si="1">IFERROR(IF(AA11="","",IF(AA11&lt;=0.2,"Muy Baja",IF(AA11&lt;=0.4,"Baja",IF(AA11&lt;=0.6,"Media",IF(AA11&lt;=0.8,"Alta","Muy Alta"))))),"")</f>
        <v>Baja</v>
      </c>
      <c r="AC11" s="119">
        <f>+AA11</f>
        <v>0.216</v>
      </c>
      <c r="AD11" s="118" t="str">
        <f t="shared" ref="AD11" si="2">IFERROR(IF(AE11="","",IF(AE11&lt;=0.2,"Leve",IF(AE11&lt;=0.4,"Menor",IF(AE11&lt;=0.6,"Moderado",IF(AE11&lt;=0.8,"Mayor","Catastrófico"))))),"")</f>
        <v>Moderado</v>
      </c>
      <c r="AE11" s="119">
        <f>IFERROR(IF(AND(T10="Impacto",T11="Impacto"),(AE10-(+AE10*W11)),IF(AND(T10="Probabilidad",T11="Impacto"),(P10-(+P10*W11)),IF(T11="Probabilidad",AE10,""))),"")</f>
        <v>0.6</v>
      </c>
      <c r="AF11" s="120" t="str">
        <f t="shared" ref="AF11" si="3">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121" t="s">
        <v>131</v>
      </c>
      <c r="AH11" s="116" t="s">
        <v>388</v>
      </c>
      <c r="AI11" s="116" t="s">
        <v>386</v>
      </c>
      <c r="AJ11" s="117">
        <v>45293</v>
      </c>
      <c r="AK11" s="117">
        <v>45473</v>
      </c>
      <c r="AL11" s="609"/>
      <c r="AM11" s="226" t="s">
        <v>41</v>
      </c>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idden="1" x14ac:dyDescent="0.3">
      <c r="A12" s="631"/>
      <c r="B12" s="685"/>
      <c r="C12" s="685"/>
      <c r="D12" s="688"/>
      <c r="E12" s="139"/>
      <c r="F12" s="649"/>
      <c r="G12" s="649"/>
      <c r="H12" s="649"/>
      <c r="I12" s="679"/>
      <c r="J12" s="682"/>
      <c r="K12" s="676"/>
      <c r="L12" s="670"/>
      <c r="M12" s="673"/>
      <c r="N12" s="670">
        <f>IF(NOT(ISERROR(MATCH(M12,_xlfn.ANCHORARRAY(F23),0))),L25&amp;"Por favor no seleccionar los criterios de impacto",M12)</f>
        <v>0</v>
      </c>
      <c r="O12" s="676"/>
      <c r="P12" s="670"/>
      <c r="Q12" s="667"/>
      <c r="R12" s="105">
        <v>3</v>
      </c>
      <c r="S12" s="112"/>
      <c r="T12" s="107" t="str">
        <f t="shared" ref="T12:T15" si="4">IF(OR(U12="Preventivo",U12="Detectivo"),"Probabilidad",IF(U12="Correctivo","Impacto",""))</f>
        <v/>
      </c>
      <c r="U12" s="114"/>
      <c r="V12" s="114"/>
      <c r="W12" s="115" t="str">
        <f t="shared" ref="W12:W15" si="5">IF(AND(U12="Preventivo",V12="Automático"),"50%",IF(AND(U12="Preventivo",V12="Manual"),"40%",IF(AND(U12="Detectivo",V12="Automático"),"40%",IF(AND(U12="Detectivo",V12="Manual"),"30%",IF(AND(U12="Correctivo",V12="Automático"),"35%",IF(AND(U12="Correctivo",V12="Manual"),"25%",""))))))</f>
        <v/>
      </c>
      <c r="X12" s="114"/>
      <c r="Y12" s="114"/>
      <c r="Z12" s="114"/>
      <c r="AA12" s="108" t="str">
        <f>IFERROR(IF(AND(T11="Probabilidad",T12="Probabilidad"),(AC11-(+AC11*W12)),IF(AND(T11="Impacto",T12="Probabilidad"),(AC10-(+AC10*W12)),IF(T12="Impacto",AC11,""))),"")</f>
        <v/>
      </c>
      <c r="AB12" s="118" t="str">
        <f t="shared" ref="AB12:AB15" si="6">IFERROR(IF(AA12="","",IF(AA12&lt;=0.2,"Muy Baja",IF(AA12&lt;=0.4,"Baja",IF(AA12&lt;=0.6,"Media",IF(AA12&lt;=0.8,"Alta","Muy Alta"))))),"")</f>
        <v/>
      </c>
      <c r="AC12" s="119" t="str">
        <f t="shared" ref="AC12:AC15" si="7">+AA12</f>
        <v/>
      </c>
      <c r="AD12" s="118" t="str">
        <f t="shared" ref="AD12:AD15" si="8">IFERROR(IF(AE12="","",IF(AE12&lt;=0.2,"Leve",IF(AE12&lt;=0.4,"Menor",IF(AE12&lt;=0.6,"Moderado",IF(AE12&lt;=0.8,"Mayor","Catastrófico"))))),"")</f>
        <v/>
      </c>
      <c r="AE12" s="119" t="str">
        <f t="shared" ref="AE12:AE15" si="9">IFERROR(IF(AND(T11="Impacto",T12="Impacto"),(AE11-(+AE11*W12)),IF(AND(T11="Probabilidad",T12="Impacto"),(AE10-(+AE10*W12)),IF(T12="Probabilidad",AE11,""))),"")</f>
        <v/>
      </c>
      <c r="AF12" s="120" t="str">
        <f t="shared" ref="AF12:AF15" si="10">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
      </c>
      <c r="AG12" s="121"/>
      <c r="AH12" s="109"/>
      <c r="AI12" s="110"/>
      <c r="AJ12" s="111"/>
      <c r="AK12" s="111"/>
      <c r="AL12" s="109"/>
      <c r="AM12" s="110"/>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idden="1" x14ac:dyDescent="0.3">
      <c r="A13" s="631"/>
      <c r="B13" s="685"/>
      <c r="C13" s="685"/>
      <c r="D13" s="688"/>
      <c r="E13" s="139"/>
      <c r="F13" s="649"/>
      <c r="G13" s="649"/>
      <c r="H13" s="649"/>
      <c r="I13" s="679"/>
      <c r="J13" s="682"/>
      <c r="K13" s="676"/>
      <c r="L13" s="670"/>
      <c r="M13" s="673"/>
      <c r="N13" s="670">
        <f>IF(NOT(ISERROR(MATCH(M13,_xlfn.ANCHORARRAY(F24),0))),L26&amp;"Por favor no seleccionar los criterios de impacto",M13)</f>
        <v>0</v>
      </c>
      <c r="O13" s="676"/>
      <c r="P13" s="670"/>
      <c r="Q13" s="667"/>
      <c r="R13" s="105">
        <v>4</v>
      </c>
      <c r="S13" s="106"/>
      <c r="T13" s="107" t="str">
        <f t="shared" si="4"/>
        <v/>
      </c>
      <c r="U13" s="114"/>
      <c r="V13" s="114"/>
      <c r="W13" s="115" t="str">
        <f t="shared" si="5"/>
        <v/>
      </c>
      <c r="X13" s="114"/>
      <c r="Y13" s="114"/>
      <c r="Z13" s="114"/>
      <c r="AA13" s="108" t="str">
        <f t="shared" ref="AA13:AA15" si="11">IFERROR(IF(AND(T12="Probabilidad",T13="Probabilidad"),(AC12-(+AC12*W13)),IF(AND(T12="Impacto",T13="Probabilidad"),(AC11-(+AC11*W13)),IF(T13="Impacto",AC12,""))),"")</f>
        <v/>
      </c>
      <c r="AB13" s="118" t="str">
        <f t="shared" si="6"/>
        <v/>
      </c>
      <c r="AC13" s="119" t="str">
        <f t="shared" si="7"/>
        <v/>
      </c>
      <c r="AD13" s="118" t="str">
        <f t="shared" si="8"/>
        <v/>
      </c>
      <c r="AE13" s="119" t="str">
        <f t="shared" si="9"/>
        <v/>
      </c>
      <c r="AF13" s="120" t="str">
        <f t="shared" si="10"/>
        <v/>
      </c>
      <c r="AG13" s="121"/>
      <c r="AH13" s="109"/>
      <c r="AI13" s="110"/>
      <c r="AJ13" s="111"/>
      <c r="AK13" s="111"/>
      <c r="AL13" s="109"/>
      <c r="AM13" s="110"/>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idden="1" x14ac:dyDescent="0.3">
      <c r="A14" s="631"/>
      <c r="B14" s="685"/>
      <c r="C14" s="685"/>
      <c r="D14" s="688"/>
      <c r="E14" s="139"/>
      <c r="F14" s="649"/>
      <c r="G14" s="649"/>
      <c r="H14" s="649"/>
      <c r="I14" s="679"/>
      <c r="J14" s="682"/>
      <c r="K14" s="676"/>
      <c r="L14" s="670"/>
      <c r="M14" s="673"/>
      <c r="N14" s="670">
        <f>IF(NOT(ISERROR(MATCH(M14,_xlfn.ANCHORARRAY(F25),0))),L27&amp;"Por favor no seleccionar los criterios de impacto",M14)</f>
        <v>0</v>
      </c>
      <c r="O14" s="676"/>
      <c r="P14" s="670"/>
      <c r="Q14" s="667"/>
      <c r="R14" s="105">
        <v>5</v>
      </c>
      <c r="S14" s="106"/>
      <c r="T14" s="107" t="str">
        <f t="shared" si="4"/>
        <v/>
      </c>
      <c r="U14" s="114"/>
      <c r="V14" s="114"/>
      <c r="W14" s="115" t="str">
        <f t="shared" si="5"/>
        <v/>
      </c>
      <c r="X14" s="114"/>
      <c r="Y14" s="114"/>
      <c r="Z14" s="114"/>
      <c r="AA14" s="108" t="str">
        <f t="shared" si="11"/>
        <v/>
      </c>
      <c r="AB14" s="118" t="str">
        <f t="shared" si="6"/>
        <v/>
      </c>
      <c r="AC14" s="119" t="str">
        <f t="shared" si="7"/>
        <v/>
      </c>
      <c r="AD14" s="118" t="str">
        <f t="shared" si="8"/>
        <v/>
      </c>
      <c r="AE14" s="119" t="str">
        <f t="shared" si="9"/>
        <v/>
      </c>
      <c r="AF14" s="120" t="str">
        <f t="shared" si="10"/>
        <v/>
      </c>
      <c r="AG14" s="121"/>
      <c r="AH14" s="109"/>
      <c r="AI14" s="110"/>
      <c r="AJ14" s="111"/>
      <c r="AK14" s="111"/>
      <c r="AL14" s="109"/>
      <c r="AM14" s="110"/>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idden="1" x14ac:dyDescent="0.3">
      <c r="A15" s="632"/>
      <c r="B15" s="686"/>
      <c r="C15" s="686"/>
      <c r="D15" s="689"/>
      <c r="E15" s="139"/>
      <c r="F15" s="650"/>
      <c r="G15" s="650"/>
      <c r="H15" s="650"/>
      <c r="I15" s="680"/>
      <c r="J15" s="683"/>
      <c r="K15" s="677"/>
      <c r="L15" s="671"/>
      <c r="M15" s="674"/>
      <c r="N15" s="671">
        <f>IF(NOT(ISERROR(MATCH(M15,_xlfn.ANCHORARRAY(F26),0))),L28&amp;"Por favor no seleccionar los criterios de impacto",M15)</f>
        <v>0</v>
      </c>
      <c r="O15" s="677"/>
      <c r="P15" s="671"/>
      <c r="Q15" s="668"/>
      <c r="R15" s="105">
        <v>6</v>
      </c>
      <c r="S15" s="106"/>
      <c r="T15" s="107" t="str">
        <f t="shared" si="4"/>
        <v/>
      </c>
      <c r="U15" s="114"/>
      <c r="V15" s="114"/>
      <c r="W15" s="115" t="str">
        <f t="shared" si="5"/>
        <v/>
      </c>
      <c r="X15" s="114"/>
      <c r="Y15" s="114"/>
      <c r="Z15" s="114"/>
      <c r="AA15" s="108" t="str">
        <f t="shared" si="11"/>
        <v/>
      </c>
      <c r="AB15" s="118" t="str">
        <f t="shared" si="6"/>
        <v/>
      </c>
      <c r="AC15" s="119" t="str">
        <f t="shared" si="7"/>
        <v/>
      </c>
      <c r="AD15" s="118" t="str">
        <f t="shared" si="8"/>
        <v/>
      </c>
      <c r="AE15" s="119" t="str">
        <f t="shared" si="9"/>
        <v/>
      </c>
      <c r="AF15" s="120" t="str">
        <f t="shared" si="10"/>
        <v/>
      </c>
      <c r="AG15" s="121"/>
      <c r="AH15" s="109"/>
      <c r="AI15" s="110"/>
      <c r="AJ15" s="111"/>
      <c r="AK15" s="111"/>
      <c r="AL15" s="109"/>
      <c r="AM15" s="110"/>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78" x14ac:dyDescent="0.3">
      <c r="A16" s="630">
        <v>2</v>
      </c>
      <c r="B16" s="633" t="s">
        <v>128</v>
      </c>
      <c r="C16" s="633" t="s">
        <v>389</v>
      </c>
      <c r="D16" s="654" t="s">
        <v>394</v>
      </c>
      <c r="E16" s="140" t="s">
        <v>390</v>
      </c>
      <c r="F16" s="657" t="s">
        <v>395</v>
      </c>
      <c r="G16" s="648" t="s">
        <v>392</v>
      </c>
      <c r="H16" s="610" t="s">
        <v>400</v>
      </c>
      <c r="I16" s="651" t="s">
        <v>118</v>
      </c>
      <c r="J16" s="639">
        <v>360</v>
      </c>
      <c r="K16" s="642" t="str">
        <f>IF(J16&lt;=0,"",IF(J16&lt;=2,"Muy Baja",IF(J16&lt;=24,"Baja",IF(J16&lt;=500,"Media",IF(J16&lt;=5000,"Alta","Muy Alta")))))</f>
        <v>Media</v>
      </c>
      <c r="L16" s="624">
        <f>IF(K16="","",IF(K16="Muy Baja",0.2,IF(K16="Baja",0.4,IF(K16="Media",0.6,IF(K16="Alta",0.8,IF(K16="Muy Alta",1,))))))</f>
        <v>0.6</v>
      </c>
      <c r="M16" s="645" t="s">
        <v>207</v>
      </c>
      <c r="N16" s="624" t="str">
        <f>IF(NOT(ISERROR(MATCH(M16,'Tabla Impacto'!$B$221:$B$223,0))),'Tabla Impacto'!$F$223&amp;"Por favor no seleccionar los criterios de impacto(Afectación Económica o presupuestal y Pérdida Reputacional)",M16)</f>
        <v xml:space="preserve">     Entre 200 y 1000 SMLMV</v>
      </c>
      <c r="O16" s="642" t="str">
        <f>IF(OR(N16='Tabla Impacto'!$C$11,N16='Tabla Impacto'!$D$11),"Leve",IF(OR(N16='Tabla Impacto'!$C$12,N16='Tabla Impacto'!$D$12),"Menor",IF(OR(N16='Tabla Impacto'!$C$13,N16='Tabla Impacto'!$D$13),"Moderado",IF(OR(N16='Tabla Impacto'!$C$14,N16='Tabla Impacto'!$D$14),"Mayor",IF(OR(N16='Tabla Impacto'!$C$15,N16='Tabla Impacto'!$D$15),"Catastrófico","")))))</f>
        <v>Menor</v>
      </c>
      <c r="P16" s="624">
        <f>IF(O16="","",IF(O16="Leve",0.2,IF(O16="Menor",0.4,IF(O16="Moderado",0.6,IF(O16="Mayor",0.8,IF(O16="Catastrófico",1,))))))</f>
        <v>0.4</v>
      </c>
      <c r="Q16" s="627"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Moderado</v>
      </c>
      <c r="R16" s="105">
        <v>1</v>
      </c>
      <c r="S16" s="113" t="str">
        <f>+DOFA!G46</f>
        <v>F9 A11  Realizar actualización y socialización del manual para el manejo y control de los bienes del municipio incluyendo controles para bienes devolutivos y no devolutivos</v>
      </c>
      <c r="T16" s="107" t="str">
        <f>IF(OR(U16="Preventivo",U16="Detectivo"),"Probabilidad",IF(U16="Correctivo","Impacto",""))</f>
        <v>Probabilidad</v>
      </c>
      <c r="U16" s="114" t="s">
        <v>14</v>
      </c>
      <c r="V16" s="114" t="s">
        <v>9</v>
      </c>
      <c r="W16" s="115" t="str">
        <f>IF(AND(U16="Preventivo",V16="Automático"),"50%",IF(AND(U16="Preventivo",V16="Manual"),"40%",IF(AND(U16="Detectivo",V16="Automático"),"40%",IF(AND(U16="Detectivo",V16="Manual"),"30%",IF(AND(U16="Correctivo",V16="Automático"),"35%",IF(AND(U16="Correctivo",V16="Manual"),"25%",""))))))</f>
        <v>40%</v>
      </c>
      <c r="X16" s="114" t="s">
        <v>19</v>
      </c>
      <c r="Y16" s="114" t="s">
        <v>22</v>
      </c>
      <c r="Z16" s="114" t="s">
        <v>114</v>
      </c>
      <c r="AA16" s="108">
        <f>IFERROR(IF(T16="Probabilidad",(L16-(+L16*W16)),IF(T16="Impacto",L16,"")),"")</f>
        <v>0.36</v>
      </c>
      <c r="AB16" s="118" t="str">
        <f>IFERROR(IF(AA16="","",IF(AA16&lt;=0.2,"Muy Baja",IF(AA16&lt;=0.4,"Baja",IF(AA16&lt;=0.6,"Media",IF(AA16&lt;=0.8,"Alta","Muy Alta"))))),"")</f>
        <v>Baja</v>
      </c>
      <c r="AC16" s="119">
        <f>+AA16</f>
        <v>0.36</v>
      </c>
      <c r="AD16" s="118" t="str">
        <f>IFERROR(IF(AE16="","",IF(AE16&lt;=0.2,"Leve",IF(AE16&lt;=0.4,"Menor",IF(AE16&lt;=0.6,"Moderado",IF(AE16&lt;=0.8,"Mayor","Catastrófico"))))),"")</f>
        <v>Menor</v>
      </c>
      <c r="AE16" s="119">
        <f>IFERROR(IF(T16="Impacto",(P16-(+P16*W16)),IF(T16="Probabilidad",P16,"")),"")</f>
        <v>0.4</v>
      </c>
      <c r="AF16" s="120" t="str">
        <f>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Moderado</v>
      </c>
      <c r="AG16" s="121" t="s">
        <v>131</v>
      </c>
      <c r="AH16" s="633" t="s">
        <v>401</v>
      </c>
      <c r="AI16" s="116" t="s">
        <v>405</v>
      </c>
      <c r="AJ16" s="117">
        <v>45293</v>
      </c>
      <c r="AK16" s="117">
        <v>45473</v>
      </c>
      <c r="AL16" s="608" t="s">
        <v>412</v>
      </c>
      <c r="AM16" s="225" t="s">
        <v>41</v>
      </c>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1" ht="126.75" customHeight="1" x14ac:dyDescent="0.3">
      <c r="A17" s="631"/>
      <c r="B17" s="634"/>
      <c r="C17" s="634"/>
      <c r="D17" s="655"/>
      <c r="E17" s="140" t="s">
        <v>391</v>
      </c>
      <c r="F17" s="657"/>
      <c r="G17" s="649"/>
      <c r="H17" s="611"/>
      <c r="I17" s="652"/>
      <c r="J17" s="640"/>
      <c r="K17" s="643"/>
      <c r="L17" s="625"/>
      <c r="M17" s="646"/>
      <c r="N17" s="625">
        <f>IF(NOT(ISERROR(MATCH(M17,_xlfn.ANCHORARRAY(F28),0))),L30&amp;"Por favor no seleccionar los criterios de impacto",M17)</f>
        <v>0</v>
      </c>
      <c r="O17" s="643"/>
      <c r="P17" s="625"/>
      <c r="Q17" s="628"/>
      <c r="R17" s="105">
        <v>2</v>
      </c>
      <c r="S17" s="113" t="str">
        <f>+DOFA!G43</f>
        <v>F7 A11. Realizar proceso de toma física a las dependencias de la administración y generar las acciones de actualización de responsabilidades en inventario individual</v>
      </c>
      <c r="T17" s="107" t="str">
        <f>IF(OR(U17="Preventivo",U17="Detectivo"),"Probabilidad",IF(U17="Correctivo","Impacto",""))</f>
        <v>Probabilidad</v>
      </c>
      <c r="U17" s="114" t="s">
        <v>14</v>
      </c>
      <c r="V17" s="114" t="s">
        <v>9</v>
      </c>
      <c r="W17" s="115" t="str">
        <f t="shared" ref="W17:W21" si="12">IF(AND(U17="Preventivo",V17="Automático"),"50%",IF(AND(U17="Preventivo",V17="Manual"),"40%",IF(AND(U17="Detectivo",V17="Automático"),"40%",IF(AND(U17="Detectivo",V17="Manual"),"30%",IF(AND(U17="Correctivo",V17="Automático"),"35%",IF(AND(U17="Correctivo",V17="Manual"),"25%",""))))))</f>
        <v>40%</v>
      </c>
      <c r="X17" s="114" t="s">
        <v>19</v>
      </c>
      <c r="Y17" s="114" t="s">
        <v>22</v>
      </c>
      <c r="Z17" s="114" t="s">
        <v>114</v>
      </c>
      <c r="AA17" s="108">
        <f>IFERROR(IF(AND(T16="Probabilidad",T17="Probabilidad"),(AC16-(+AC16*W17)),IF(AND(T16="Impacto",T17="Probabilidad"),(L16-(+L16*W17)),IF(T17="Impacto",AC16,""))),"")</f>
        <v>0.216</v>
      </c>
      <c r="AB17" s="118" t="str">
        <f t="shared" ref="AB17:AB21" si="13">IFERROR(IF(AA17="","",IF(AA17&lt;=0.2,"Muy Baja",IF(AA17&lt;=0.4,"Baja",IF(AA17&lt;=0.6,"Media",IF(AA17&lt;=0.8,"Alta","Muy Alta"))))),"")</f>
        <v>Baja</v>
      </c>
      <c r="AC17" s="119">
        <f>+AA17</f>
        <v>0.216</v>
      </c>
      <c r="AD17" s="118" t="str">
        <f t="shared" ref="AD17:AD21" si="14">IFERROR(IF(AE17="","",IF(AE17&lt;=0.2,"Leve",IF(AE17&lt;=0.4,"Menor",IF(AE17&lt;=0.6,"Moderado",IF(AE17&lt;=0.8,"Mayor","Catastrófico"))))),"")</f>
        <v>Menor</v>
      </c>
      <c r="AE17" s="119">
        <f>IFERROR(IF(AND(T16="Impacto",T17="Impacto"),(AE16-(+AE16*W17)),IF(AND(T16="Probabilidad",T17="Impacto"),(P16-(+P16*W17)),IF(T17="Probabilidad",AE16,""))),"")</f>
        <v>0.4</v>
      </c>
      <c r="AF17" s="120" t="str">
        <f t="shared" ref="AF17:AF21" si="15">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Moderado</v>
      </c>
      <c r="AG17" s="121" t="s">
        <v>131</v>
      </c>
      <c r="AH17" s="635"/>
      <c r="AI17" s="116" t="s">
        <v>405</v>
      </c>
      <c r="AJ17" s="117">
        <v>45293</v>
      </c>
      <c r="AK17" s="117">
        <v>45473</v>
      </c>
      <c r="AL17" s="609"/>
      <c r="AM17" s="225" t="s">
        <v>41</v>
      </c>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1" hidden="1" x14ac:dyDescent="0.3">
      <c r="A18" s="631"/>
      <c r="B18" s="634"/>
      <c r="C18" s="634"/>
      <c r="D18" s="655"/>
      <c r="E18" s="140"/>
      <c r="F18" s="657"/>
      <c r="G18" s="649"/>
      <c r="H18" s="141"/>
      <c r="I18" s="652"/>
      <c r="J18" s="640"/>
      <c r="K18" s="643"/>
      <c r="L18" s="625"/>
      <c r="M18" s="646"/>
      <c r="N18" s="625">
        <f>IF(NOT(ISERROR(MATCH(M18,_xlfn.ANCHORARRAY(F29),0))),L31&amp;"Por favor no seleccionar los criterios de impacto",M18)</f>
        <v>0</v>
      </c>
      <c r="O18" s="643"/>
      <c r="P18" s="625"/>
      <c r="Q18" s="628"/>
      <c r="R18" s="105">
        <v>3</v>
      </c>
      <c r="S18" s="112"/>
      <c r="T18" s="107" t="str">
        <f t="shared" ref="T18:T21" si="16">IF(OR(U18="Preventivo",U18="Detectivo"),"Probabilidad",IF(U18="Correctivo","Impacto",""))</f>
        <v/>
      </c>
      <c r="U18" s="114"/>
      <c r="V18" s="114"/>
      <c r="W18" s="115" t="str">
        <f t="shared" si="12"/>
        <v/>
      </c>
      <c r="X18" s="114"/>
      <c r="Y18" s="114"/>
      <c r="Z18" s="114"/>
      <c r="AA18" s="108" t="str">
        <f>IFERROR(IF(AND(T17="Probabilidad",T18="Probabilidad"),(AC17-(+AC17*W18)),IF(AND(T17="Impacto",T18="Probabilidad"),(AC16-(+AC16*W18)),IF(T18="Impacto",AC17,""))),"")</f>
        <v/>
      </c>
      <c r="AB18" s="118" t="str">
        <f t="shared" si="13"/>
        <v/>
      </c>
      <c r="AC18" s="119" t="str">
        <f t="shared" ref="AC18:AC21" si="17">+AA18</f>
        <v/>
      </c>
      <c r="AD18" s="118" t="str">
        <f t="shared" si="14"/>
        <v/>
      </c>
      <c r="AE18" s="119" t="str">
        <f t="shared" ref="AE18:AE21" si="18">IFERROR(IF(AND(T17="Impacto",T18="Impacto"),(AE17-(+AE17*W18)),IF(AND(T17="Probabilidad",T18="Impacto"),(AE16-(+AE16*W18)),IF(T18="Probabilidad",AE17,""))),"")</f>
        <v/>
      </c>
      <c r="AF18" s="120" t="str">
        <f t="shared" si="15"/>
        <v/>
      </c>
      <c r="AG18" s="121"/>
      <c r="AH18" s="109"/>
      <c r="AI18" s="110"/>
      <c r="AJ18" s="111"/>
      <c r="AK18" s="111"/>
      <c r="AL18" s="109"/>
      <c r="AM18" s="110"/>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1" hidden="1" x14ac:dyDescent="0.3">
      <c r="A19" s="631"/>
      <c r="B19" s="634"/>
      <c r="C19" s="634"/>
      <c r="D19" s="655"/>
      <c r="E19" s="140"/>
      <c r="F19" s="657"/>
      <c r="G19" s="649"/>
      <c r="H19" s="141"/>
      <c r="I19" s="652"/>
      <c r="J19" s="640"/>
      <c r="K19" s="643"/>
      <c r="L19" s="625"/>
      <c r="M19" s="646"/>
      <c r="N19" s="625">
        <f>IF(NOT(ISERROR(MATCH(M19,_xlfn.ANCHORARRAY(F30),0))),L32&amp;"Por favor no seleccionar los criterios de impacto",M19)</f>
        <v>0</v>
      </c>
      <c r="O19" s="643"/>
      <c r="P19" s="625"/>
      <c r="Q19" s="628"/>
      <c r="R19" s="105">
        <v>4</v>
      </c>
      <c r="S19" s="106"/>
      <c r="T19" s="107" t="str">
        <f t="shared" si="16"/>
        <v/>
      </c>
      <c r="U19" s="114"/>
      <c r="V19" s="114"/>
      <c r="W19" s="115" t="str">
        <f t="shared" si="12"/>
        <v/>
      </c>
      <c r="X19" s="114"/>
      <c r="Y19" s="114"/>
      <c r="Z19" s="114"/>
      <c r="AA19" s="108" t="str">
        <f t="shared" ref="AA19:AA21" si="19">IFERROR(IF(AND(T18="Probabilidad",T19="Probabilidad"),(AC18-(+AC18*W19)),IF(AND(T18="Impacto",T19="Probabilidad"),(AC17-(+AC17*W19)),IF(T19="Impacto",AC18,""))),"")</f>
        <v/>
      </c>
      <c r="AB19" s="118" t="str">
        <f t="shared" si="13"/>
        <v/>
      </c>
      <c r="AC19" s="119" t="str">
        <f t="shared" si="17"/>
        <v/>
      </c>
      <c r="AD19" s="118" t="str">
        <f t="shared" si="14"/>
        <v/>
      </c>
      <c r="AE19" s="119" t="str">
        <f t="shared" si="18"/>
        <v/>
      </c>
      <c r="AF19" s="120" t="str">
        <f t="shared" si="15"/>
        <v/>
      </c>
      <c r="AG19" s="121"/>
      <c r="AH19" s="109"/>
      <c r="AI19" s="110"/>
      <c r="AJ19" s="111"/>
      <c r="AK19" s="111"/>
      <c r="AL19" s="109"/>
      <c r="AM19" s="110"/>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1" hidden="1" x14ac:dyDescent="0.3">
      <c r="A20" s="631"/>
      <c r="B20" s="634"/>
      <c r="C20" s="634"/>
      <c r="D20" s="655"/>
      <c r="E20" s="140"/>
      <c r="F20" s="657"/>
      <c r="G20" s="649"/>
      <c r="H20" s="141"/>
      <c r="I20" s="652"/>
      <c r="J20" s="640"/>
      <c r="K20" s="643"/>
      <c r="L20" s="625"/>
      <c r="M20" s="646"/>
      <c r="N20" s="625">
        <f>IF(NOT(ISERROR(MATCH(M20,_xlfn.ANCHORARRAY(F31),0))),L33&amp;"Por favor no seleccionar los criterios de impacto",M20)</f>
        <v>0</v>
      </c>
      <c r="O20" s="643"/>
      <c r="P20" s="625"/>
      <c r="Q20" s="628"/>
      <c r="R20" s="105">
        <v>5</v>
      </c>
      <c r="S20" s="106"/>
      <c r="T20" s="107" t="str">
        <f t="shared" si="16"/>
        <v/>
      </c>
      <c r="U20" s="114"/>
      <c r="V20" s="114"/>
      <c r="W20" s="115" t="str">
        <f t="shared" si="12"/>
        <v/>
      </c>
      <c r="X20" s="114"/>
      <c r="Y20" s="114"/>
      <c r="Z20" s="114"/>
      <c r="AA20" s="108" t="str">
        <f t="shared" si="19"/>
        <v/>
      </c>
      <c r="AB20" s="118" t="str">
        <f t="shared" si="13"/>
        <v/>
      </c>
      <c r="AC20" s="119" t="str">
        <f t="shared" si="17"/>
        <v/>
      </c>
      <c r="AD20" s="118" t="str">
        <f t="shared" si="14"/>
        <v/>
      </c>
      <c r="AE20" s="119" t="str">
        <f t="shared" si="18"/>
        <v/>
      </c>
      <c r="AF20" s="120" t="str">
        <f t="shared" si="15"/>
        <v/>
      </c>
      <c r="AG20" s="121"/>
      <c r="AH20" s="109"/>
      <c r="AI20" s="110"/>
      <c r="AJ20" s="111"/>
      <c r="AK20" s="111"/>
      <c r="AL20" s="109"/>
      <c r="AM20" s="110"/>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1" hidden="1" x14ac:dyDescent="0.3">
      <c r="A21" s="632"/>
      <c r="B21" s="635"/>
      <c r="C21" s="635"/>
      <c r="D21" s="656"/>
      <c r="E21" s="140"/>
      <c r="F21" s="657"/>
      <c r="G21" s="650"/>
      <c r="H21" s="141"/>
      <c r="I21" s="653"/>
      <c r="J21" s="641"/>
      <c r="K21" s="644"/>
      <c r="L21" s="626"/>
      <c r="M21" s="647"/>
      <c r="N21" s="626">
        <f>IF(NOT(ISERROR(MATCH(M21,_xlfn.ANCHORARRAY(F32),0))),L34&amp;"Por favor no seleccionar los criterios de impacto",M21)</f>
        <v>0</v>
      </c>
      <c r="O21" s="644"/>
      <c r="P21" s="626"/>
      <c r="Q21" s="629"/>
      <c r="R21" s="105">
        <v>6</v>
      </c>
      <c r="S21" s="106"/>
      <c r="T21" s="107" t="str">
        <f t="shared" si="16"/>
        <v/>
      </c>
      <c r="U21" s="114"/>
      <c r="V21" s="114"/>
      <c r="W21" s="115" t="str">
        <f t="shared" si="12"/>
        <v/>
      </c>
      <c r="X21" s="114"/>
      <c r="Y21" s="114"/>
      <c r="Z21" s="114"/>
      <c r="AA21" s="108" t="str">
        <f t="shared" si="19"/>
        <v/>
      </c>
      <c r="AB21" s="118" t="str">
        <f t="shared" si="13"/>
        <v/>
      </c>
      <c r="AC21" s="119" t="str">
        <f t="shared" si="17"/>
        <v/>
      </c>
      <c r="AD21" s="118" t="str">
        <f t="shared" si="14"/>
        <v/>
      </c>
      <c r="AE21" s="119" t="str">
        <f t="shared" si="18"/>
        <v/>
      </c>
      <c r="AF21" s="120" t="str">
        <f t="shared" si="15"/>
        <v/>
      </c>
      <c r="AG21" s="121"/>
      <c r="AH21" s="109"/>
      <c r="AI21" s="110"/>
      <c r="AJ21" s="111"/>
      <c r="AK21" s="111"/>
      <c r="AL21" s="109"/>
      <c r="AM21" s="110"/>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row>
    <row r="22" spans="1:71" ht="82.5" x14ac:dyDescent="0.3">
      <c r="A22" s="630">
        <v>3</v>
      </c>
      <c r="B22" s="633" t="s">
        <v>128</v>
      </c>
      <c r="C22" s="633" t="s">
        <v>389</v>
      </c>
      <c r="D22" s="654" t="s">
        <v>398</v>
      </c>
      <c r="E22" s="140" t="s">
        <v>396</v>
      </c>
      <c r="F22" s="657" t="s">
        <v>399</v>
      </c>
      <c r="G22" s="648" t="s">
        <v>392</v>
      </c>
      <c r="H22" s="690" t="s">
        <v>393</v>
      </c>
      <c r="I22" s="651" t="s">
        <v>118</v>
      </c>
      <c r="J22" s="639">
        <v>360</v>
      </c>
      <c r="K22" s="642" t="str">
        <f t="shared" ref="K22" si="20">IF(J22&lt;=0,"",IF(J22&lt;=2,"Muy Baja",IF(J22&lt;=24,"Baja",IF(J22&lt;=500,"Media",IF(J22&lt;=5000,"Alta","Muy Alta")))))</f>
        <v>Media</v>
      </c>
      <c r="L22" s="624">
        <f t="shared" ref="L22" si="21">IF(K22="","",IF(K22="Muy Baja",0.2,IF(K22="Baja",0.4,IF(K22="Media",0.6,IF(K22="Alta",0.8,IF(K22="Muy Alta",1,))))))</f>
        <v>0.6</v>
      </c>
      <c r="M22" s="645" t="s">
        <v>207</v>
      </c>
      <c r="N22" s="624" t="str">
        <f>IF(NOT(ISERROR(MATCH(M22,'Tabla Impacto'!$B$221:$B$223,0))),'Tabla Impacto'!$F$223&amp;"Por favor no seleccionar los criterios de impacto(Afectación Económica o presupuestal y Pérdida Reputacional)",M22)</f>
        <v xml:space="preserve">     Entre 200 y 1000 SMLMV</v>
      </c>
      <c r="O22" s="642" t="str">
        <f>IF(OR(N22='Tabla Impacto'!$C$11,N22='Tabla Impacto'!$D$11),"Leve",IF(OR(N22='Tabla Impacto'!$C$12,N22='Tabla Impacto'!$D$12),"Menor",IF(OR(N22='Tabla Impacto'!$C$13,N22='Tabla Impacto'!$D$13),"Moderado",IF(OR(N22='Tabla Impacto'!$C$14,N22='Tabla Impacto'!$D$14),"Mayor",IF(OR(N22='Tabla Impacto'!$C$15,N22='Tabla Impacto'!$D$15),"Catastrófico","")))))</f>
        <v>Menor</v>
      </c>
      <c r="P22" s="624">
        <f>IF(O22="","",IF(O22="Leve",0.2,IF(O22="Menor",0.4,IF(O22="Moderado",0.6,IF(O22="Mayor",0.8,IF(O22="Catastrófico",1,))))))</f>
        <v>0.4</v>
      </c>
      <c r="Q22" s="627" t="str">
        <f t="shared" ref="Q22" si="22">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Moderado</v>
      </c>
      <c r="R22" s="105">
        <v>1</v>
      </c>
      <c r="S22" s="113" t="str">
        <f>+DOFA!G44</f>
        <v>F5 A4 Realizar mesas de Trabajo con el personal del grupo de Bienes Fiscales para hacer seguimiento a la informacion reportada en la base de datos asociada al proceso de identificacion de los Predios (bienes fiscales y de uso publico del municipio)</v>
      </c>
      <c r="T22" s="107" t="str">
        <f>IF(OR(U22="Preventivo",U22="Detectivo"),"Probabilidad",IF(U22="Correctivo","Impacto",""))</f>
        <v>Probabilidad</v>
      </c>
      <c r="U22" s="114" t="s">
        <v>14</v>
      </c>
      <c r="V22" s="114" t="s">
        <v>9</v>
      </c>
      <c r="W22" s="115" t="str">
        <f>IF(AND(U22="Preventivo",V22="Automático"),"50%",IF(AND(U22="Preventivo",V22="Manual"),"40%",IF(AND(U22="Detectivo",V22="Automático"),"40%",IF(AND(U22="Detectivo",V22="Manual"),"30%",IF(AND(U22="Correctivo",V22="Automático"),"35%",IF(AND(U22="Correctivo",V22="Manual"),"25%",""))))))</f>
        <v>40%</v>
      </c>
      <c r="X22" s="114" t="s">
        <v>19</v>
      </c>
      <c r="Y22" s="114" t="s">
        <v>22</v>
      </c>
      <c r="Z22" s="114" t="s">
        <v>114</v>
      </c>
      <c r="AA22" s="108">
        <f>IFERROR(IF(T22="Probabilidad",(L22-(+L22*W22)),IF(T22="Impacto",L22,"")),"")</f>
        <v>0.36</v>
      </c>
      <c r="AB22" s="118" t="str">
        <f>IFERROR(IF(AA22="","",IF(AA22&lt;=0.2,"Muy Baja",IF(AA22&lt;=0.4,"Baja",IF(AA22&lt;=0.6,"Media",IF(AA22&lt;=0.8,"Alta","Muy Alta"))))),"")</f>
        <v>Baja</v>
      </c>
      <c r="AC22" s="119">
        <f>+AA22</f>
        <v>0.36</v>
      </c>
      <c r="AD22" s="118" t="str">
        <f>IFERROR(IF(AE22="","",IF(AE22&lt;=0.2,"Leve",IF(AE22&lt;=0.4,"Menor",IF(AE22&lt;=0.6,"Moderado",IF(AE22&lt;=0.8,"Mayor","Catastrófico"))))),"")</f>
        <v>Menor</v>
      </c>
      <c r="AE22" s="119">
        <f>IFERROR(IF(T22="Impacto",(P22-(+P22*W22)),IF(T22="Probabilidad",P22,"")),"")</f>
        <v>0.4</v>
      </c>
      <c r="AF22" s="120" t="str">
        <f>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Moderado</v>
      </c>
      <c r="AG22" s="121" t="s">
        <v>131</v>
      </c>
      <c r="AH22" s="692" t="s">
        <v>403</v>
      </c>
      <c r="AI22" s="223" t="s">
        <v>386</v>
      </c>
      <c r="AJ22" s="117">
        <v>45293</v>
      </c>
      <c r="AK22" s="117">
        <v>45473</v>
      </c>
      <c r="AL22" s="600" t="s">
        <v>413</v>
      </c>
      <c r="AM22" s="224" t="s">
        <v>41</v>
      </c>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row>
    <row r="23" spans="1:71" ht="135.75" customHeight="1" x14ac:dyDescent="0.3">
      <c r="A23" s="631"/>
      <c r="B23" s="634"/>
      <c r="C23" s="634"/>
      <c r="D23" s="655"/>
      <c r="E23" s="140" t="s">
        <v>397</v>
      </c>
      <c r="F23" s="657"/>
      <c r="G23" s="649"/>
      <c r="H23" s="691"/>
      <c r="I23" s="652"/>
      <c r="J23" s="640"/>
      <c r="K23" s="643"/>
      <c r="L23" s="625"/>
      <c r="M23" s="646"/>
      <c r="N23" s="625">
        <f>IF(NOT(ISERROR(MATCH(M23,_xlfn.ANCHORARRAY(F34),0))),L36&amp;"Por favor no seleccionar los criterios de impacto",M23)</f>
        <v>0</v>
      </c>
      <c r="O23" s="643"/>
      <c r="P23" s="625"/>
      <c r="Q23" s="628"/>
      <c r="R23" s="105">
        <v>2</v>
      </c>
      <c r="S23" s="141" t="str">
        <f>+DOFA!G45</f>
        <v>F9 A12  La Director (a) Recursos Fisicos designo a un unico profesional con un perfil de Ingenierio de Sistemas, la cual verifica las solicitudes de la actualizacion de la informacion de la BDD de Predios bienes fiscales y de uso publico solicitadas por la Direccion, con el fin de dar cumplimiento a la Politica de la Seguridad de la Informacion y evitar la manipulacion indebida por los funcionarios no autorizados.</v>
      </c>
      <c r="T23" s="107" t="str">
        <f>IF(OR(U23="Preventivo",U23="Detectivo"),"Probabilidad",IF(U23="Correctivo","Impacto",""))</f>
        <v>Probabilidad</v>
      </c>
      <c r="U23" s="114" t="s">
        <v>14</v>
      </c>
      <c r="V23" s="114" t="s">
        <v>9</v>
      </c>
      <c r="W23" s="115" t="str">
        <f t="shared" ref="W23" si="23">IF(AND(U23="Preventivo",V23="Automático"),"50%",IF(AND(U23="Preventivo",V23="Manual"),"40%",IF(AND(U23="Detectivo",V23="Automático"),"40%",IF(AND(U23="Detectivo",V23="Manual"),"30%",IF(AND(U23="Correctivo",V23="Automático"),"35%",IF(AND(U23="Correctivo",V23="Manual"),"25%",""))))))</f>
        <v>40%</v>
      </c>
      <c r="X23" s="114" t="s">
        <v>19</v>
      </c>
      <c r="Y23" s="114" t="s">
        <v>22</v>
      </c>
      <c r="Z23" s="114" t="s">
        <v>114</v>
      </c>
      <c r="AA23" s="108">
        <f>IFERROR(IF(AND(T22="Probabilidad",T23="Probabilidad"),(AC22-(+AC22*W23)),IF(AND(T22="Impacto",T23="Probabilidad"),(L22-(+L22*W23)),IF(T23="Impacto",AC22,""))),"")</f>
        <v>0.216</v>
      </c>
      <c r="AB23" s="118" t="str">
        <f>IFERROR(IF(AA23="","",IF(AA23&lt;=0.2,"Muy Baja",IF(AA23&lt;=0.4,"Baja",IF(AA23&lt;=0.6,"Media",IF(AA23&lt;=0.8,"Alta","Muy Alta"))))),"")</f>
        <v>Baja</v>
      </c>
      <c r="AC23" s="119">
        <f>+AA23</f>
        <v>0.216</v>
      </c>
      <c r="AD23" s="118" t="str">
        <f>IFERROR(IF(AE23="","",IF(AE23&lt;=0.2,"Leve",IF(AE23&lt;=0.4,"Menor",IF(AE23&lt;=0.6,"Moderado",IF(AE23&lt;=0.8,"Mayor","Catastrófico"))))),"")</f>
        <v>Menor</v>
      </c>
      <c r="AE23" s="119">
        <f>IFERROR(IF(AND(T22="Impacto",T23="Impacto"),(AE22-(+AE22*W23)),IF(AND(T22="Probabilidad",T23="Impacto"),(P22-(+P22*W23)),IF(T23="Probabilidad",AE22,""))),"")</f>
        <v>0.4</v>
      </c>
      <c r="AF23" s="120" t="str">
        <f t="shared" ref="AF23" si="24">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Moderado</v>
      </c>
      <c r="AG23" s="121" t="s">
        <v>131</v>
      </c>
      <c r="AH23" s="693"/>
      <c r="AI23" s="223" t="s">
        <v>386</v>
      </c>
      <c r="AJ23" s="117">
        <v>45293</v>
      </c>
      <c r="AK23" s="117">
        <v>45473</v>
      </c>
      <c r="AL23" s="601"/>
      <c r="AM23" s="224" t="s">
        <v>41</v>
      </c>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row>
    <row r="24" spans="1:71" x14ac:dyDescent="0.3">
      <c r="A24" s="631"/>
      <c r="B24" s="634"/>
      <c r="C24" s="634"/>
      <c r="D24" s="655"/>
      <c r="E24" s="140"/>
      <c r="F24" s="657"/>
      <c r="G24" s="649"/>
      <c r="H24" s="141"/>
      <c r="I24" s="652"/>
      <c r="J24" s="640"/>
      <c r="K24" s="643"/>
      <c r="L24" s="625"/>
      <c r="M24" s="646"/>
      <c r="N24" s="625">
        <f>IF(NOT(ISERROR(MATCH(M24,_xlfn.ANCHORARRAY(F35),0))),L37&amp;"Por favor no seleccionar los criterios de impacto",M24)</f>
        <v>0</v>
      </c>
      <c r="O24" s="643"/>
      <c r="P24" s="625"/>
      <c r="Q24" s="628"/>
      <c r="R24" s="105">
        <v>3</v>
      </c>
      <c r="S24" s="112"/>
      <c r="T24" s="107" t="str">
        <f t="shared" ref="T24:T27" si="25">IF(OR(U24="Preventivo",U24="Detectivo"),"Probabilidad",IF(U24="Correctivo","Impacto",""))</f>
        <v/>
      </c>
      <c r="U24" s="114"/>
      <c r="V24" s="114"/>
      <c r="W24" s="115" t="str">
        <f t="shared" ref="W24:W27" si="26">IF(AND(U24="Preventivo",V24="Automático"),"50%",IF(AND(U24="Preventivo",V24="Manual"),"40%",IF(AND(U24="Detectivo",V24="Automático"),"40%",IF(AND(U24="Detectivo",V24="Manual"),"30%",IF(AND(U24="Correctivo",V24="Automático"),"35%",IF(AND(U24="Correctivo",V24="Manual"),"25%",""))))))</f>
        <v/>
      </c>
      <c r="X24" s="114"/>
      <c r="Y24" s="114"/>
      <c r="Z24" s="114"/>
      <c r="AA24" s="108" t="str">
        <f>IFERROR(IF(AND(T23="Probabilidad",T24="Probabilidad"),(AC23-(+AC23*W24)),IF(AND(T23="Impacto",T24="Probabilidad"),(AC22-(+AC22*W24)),IF(T24="Impacto",AC23,""))),"")</f>
        <v/>
      </c>
      <c r="AB24" s="118" t="str">
        <f t="shared" ref="AB24:AB27" si="27">IFERROR(IF(AA24="","",IF(AA24&lt;=0.2,"Muy Baja",IF(AA24&lt;=0.4,"Baja",IF(AA24&lt;=0.6,"Media",IF(AA24&lt;=0.8,"Alta","Muy Alta"))))),"")</f>
        <v/>
      </c>
      <c r="AC24" s="119" t="str">
        <f t="shared" ref="AC24:AC27" si="28">+AA24</f>
        <v/>
      </c>
      <c r="AD24" s="118" t="str">
        <f t="shared" ref="AD24:AD27" si="29">IFERROR(IF(AE24="","",IF(AE24&lt;=0.2,"Leve",IF(AE24&lt;=0.4,"Menor",IF(AE24&lt;=0.6,"Moderado",IF(AE24&lt;=0.8,"Mayor","Catastrófico"))))),"")</f>
        <v/>
      </c>
      <c r="AE24" s="119" t="str">
        <f t="shared" ref="AE24:AE27" si="30">IFERROR(IF(AND(T23="Impacto",T24="Impacto"),(AE23-(+AE23*W24)),IF(AND(T23="Probabilidad",T24="Impacto"),(AE22-(+AE22*W24)),IF(T24="Probabilidad",AE23,""))),"")</f>
        <v/>
      </c>
      <c r="AF24" s="120" t="str">
        <f t="shared" ref="AF24:AF27" si="31">IFERROR(IF(OR(AND(AB24="Muy Baja",AD24="Leve"),AND(AB24="Muy Baja",AD24="Menor"),AND(AB24="Baja",AD24="Leve")),"Bajo",IF(OR(AND(AB24="Muy baja",AD24="Moderado"),AND(AB24="Baja",AD24="Menor"),AND(AB24="Baja",AD24="Moderado"),AND(AB24="Media",AD24="Leve"),AND(AB24="Media",AD24="Menor"),AND(AB24="Media",AD24="Moderado"),AND(AB24="Alta",AD24="Leve"),AND(AB24="Alta",AD24="Menor")),"Moderado",IF(OR(AND(AB24="Muy Baja",AD24="Mayor"),AND(AB24="Baja",AD24="Mayor"),AND(AB24="Media",AD24="Mayor"),AND(AB24="Alta",AD24="Moderado"),AND(AB24="Alta",AD24="Mayor"),AND(AB24="Muy Alta",AD24="Leve"),AND(AB24="Muy Alta",AD24="Menor"),AND(AB24="Muy Alta",AD24="Moderado"),AND(AB24="Muy Alta",AD24="Mayor")),"Alto",IF(OR(AND(AB24="Muy Baja",AD24="Catastrófico"),AND(AB24="Baja",AD24="Catastrófico"),AND(AB24="Media",AD24="Catastrófico"),AND(AB24="Alta",AD24="Catastrófico"),AND(AB24="Muy Alta",AD24="Catastrófico")),"Extremo","")))),"")</f>
        <v/>
      </c>
      <c r="AG24" s="121"/>
      <c r="AH24" s="109"/>
      <c r="AI24" s="110"/>
      <c r="AJ24" s="111"/>
      <c r="AK24" s="111"/>
      <c r="AL24" s="109"/>
      <c r="AM24" s="110"/>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x14ac:dyDescent="0.3">
      <c r="A25" s="631"/>
      <c r="B25" s="634"/>
      <c r="C25" s="634"/>
      <c r="D25" s="655"/>
      <c r="E25" s="140"/>
      <c r="F25" s="657"/>
      <c r="G25" s="649"/>
      <c r="H25" s="141"/>
      <c r="I25" s="652"/>
      <c r="J25" s="640"/>
      <c r="K25" s="643"/>
      <c r="L25" s="625"/>
      <c r="M25" s="646"/>
      <c r="N25" s="625">
        <f>IF(NOT(ISERROR(MATCH(M25,_xlfn.ANCHORARRAY(F36),0))),L38&amp;"Por favor no seleccionar los criterios de impacto",M25)</f>
        <v>0</v>
      </c>
      <c r="O25" s="643"/>
      <c r="P25" s="625"/>
      <c r="Q25" s="628"/>
      <c r="R25" s="105">
        <v>4</v>
      </c>
      <c r="S25" s="106"/>
      <c r="T25" s="107" t="str">
        <f t="shared" si="25"/>
        <v/>
      </c>
      <c r="U25" s="114"/>
      <c r="V25" s="114"/>
      <c r="W25" s="115" t="str">
        <f t="shared" si="26"/>
        <v/>
      </c>
      <c r="X25" s="114"/>
      <c r="Y25" s="114"/>
      <c r="Z25" s="114"/>
      <c r="AA25" s="108" t="str">
        <f t="shared" ref="AA25:AA27" si="32">IFERROR(IF(AND(T24="Probabilidad",T25="Probabilidad"),(AC24-(+AC24*W25)),IF(AND(T24="Impacto",T25="Probabilidad"),(AC23-(+AC23*W25)),IF(T25="Impacto",AC24,""))),"")</f>
        <v/>
      </c>
      <c r="AB25" s="118" t="str">
        <f t="shared" si="27"/>
        <v/>
      </c>
      <c r="AC25" s="119" t="str">
        <f t="shared" si="28"/>
        <v/>
      </c>
      <c r="AD25" s="118" t="str">
        <f t="shared" si="29"/>
        <v/>
      </c>
      <c r="AE25" s="119" t="str">
        <f t="shared" si="30"/>
        <v/>
      </c>
      <c r="AF25" s="120" t="str">
        <f t="shared" si="31"/>
        <v/>
      </c>
      <c r="AG25" s="121"/>
      <c r="AH25" s="109"/>
      <c r="AI25" s="110"/>
      <c r="AJ25" s="111"/>
      <c r="AK25" s="111"/>
      <c r="AL25" s="109"/>
      <c r="AM25" s="110"/>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x14ac:dyDescent="0.3">
      <c r="A26" s="631"/>
      <c r="B26" s="634"/>
      <c r="C26" s="634"/>
      <c r="D26" s="655"/>
      <c r="E26" s="140"/>
      <c r="F26" s="657"/>
      <c r="G26" s="649"/>
      <c r="H26" s="141"/>
      <c r="I26" s="652"/>
      <c r="J26" s="640"/>
      <c r="K26" s="643"/>
      <c r="L26" s="625"/>
      <c r="M26" s="646"/>
      <c r="N26" s="625">
        <f>IF(NOT(ISERROR(MATCH(M26,_xlfn.ANCHORARRAY(F37),0))),L39&amp;"Por favor no seleccionar los criterios de impacto",M26)</f>
        <v>0</v>
      </c>
      <c r="O26" s="643"/>
      <c r="P26" s="625"/>
      <c r="Q26" s="628"/>
      <c r="R26" s="105">
        <v>5</v>
      </c>
      <c r="S26" s="106"/>
      <c r="T26" s="107" t="str">
        <f t="shared" si="25"/>
        <v/>
      </c>
      <c r="U26" s="114"/>
      <c r="V26" s="114"/>
      <c r="W26" s="115" t="str">
        <f t="shared" si="26"/>
        <v/>
      </c>
      <c r="X26" s="114"/>
      <c r="Y26" s="114"/>
      <c r="Z26" s="114"/>
      <c r="AA26" s="108" t="str">
        <f t="shared" si="32"/>
        <v/>
      </c>
      <c r="AB26" s="118" t="str">
        <f t="shared" si="27"/>
        <v/>
      </c>
      <c r="AC26" s="119" t="str">
        <f t="shared" si="28"/>
        <v/>
      </c>
      <c r="AD26" s="118" t="str">
        <f t="shared" si="29"/>
        <v/>
      </c>
      <c r="AE26" s="119" t="str">
        <f t="shared" si="30"/>
        <v/>
      </c>
      <c r="AF26" s="120" t="str">
        <f t="shared" si="31"/>
        <v/>
      </c>
      <c r="AG26" s="121"/>
      <c r="AH26" s="109"/>
      <c r="AI26" s="110"/>
      <c r="AJ26" s="111"/>
      <c r="AK26" s="111"/>
      <c r="AL26" s="109"/>
      <c r="AM26" s="110"/>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x14ac:dyDescent="0.3">
      <c r="A27" s="632"/>
      <c r="B27" s="635"/>
      <c r="C27" s="635"/>
      <c r="D27" s="656"/>
      <c r="E27" s="140"/>
      <c r="F27" s="657"/>
      <c r="G27" s="650"/>
      <c r="H27" s="141"/>
      <c r="I27" s="653"/>
      <c r="J27" s="641"/>
      <c r="K27" s="644"/>
      <c r="L27" s="626"/>
      <c r="M27" s="647"/>
      <c r="N27" s="626">
        <f>IF(NOT(ISERROR(MATCH(M27,_xlfn.ANCHORARRAY(F38),0))),L40&amp;"Por favor no seleccionar los criterios de impacto",M27)</f>
        <v>0</v>
      </c>
      <c r="O27" s="644"/>
      <c r="P27" s="626"/>
      <c r="Q27" s="629"/>
      <c r="R27" s="105">
        <v>6</v>
      </c>
      <c r="S27" s="106"/>
      <c r="T27" s="107" t="str">
        <f t="shared" si="25"/>
        <v/>
      </c>
      <c r="U27" s="114"/>
      <c r="V27" s="114"/>
      <c r="W27" s="115" t="str">
        <f t="shared" si="26"/>
        <v/>
      </c>
      <c r="X27" s="114"/>
      <c r="Y27" s="114"/>
      <c r="Z27" s="114"/>
      <c r="AA27" s="108" t="str">
        <f t="shared" si="32"/>
        <v/>
      </c>
      <c r="AB27" s="118" t="str">
        <f t="shared" si="27"/>
        <v/>
      </c>
      <c r="AC27" s="119" t="str">
        <f t="shared" si="28"/>
        <v/>
      </c>
      <c r="AD27" s="118" t="str">
        <f t="shared" si="29"/>
        <v/>
      </c>
      <c r="AE27" s="119" t="str">
        <f t="shared" si="30"/>
        <v/>
      </c>
      <c r="AF27" s="120" t="str">
        <f t="shared" si="31"/>
        <v/>
      </c>
      <c r="AG27" s="121"/>
      <c r="AH27" s="109"/>
      <c r="AI27" s="110"/>
      <c r="AJ27" s="111"/>
      <c r="AK27" s="111"/>
      <c r="AL27" s="109"/>
      <c r="AM27" s="110"/>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1:71" x14ac:dyDescent="0.3">
      <c r="A28" s="630">
        <v>4</v>
      </c>
      <c r="B28" s="633"/>
      <c r="C28" s="633"/>
      <c r="D28" s="654"/>
      <c r="E28" s="140"/>
      <c r="F28" s="657"/>
      <c r="G28" s="648"/>
      <c r="H28" s="141"/>
      <c r="I28" s="651"/>
      <c r="J28" s="639"/>
      <c r="K28" s="642" t="str">
        <f t="shared" ref="K28" si="33">IF(J28&lt;=0,"",IF(J28&lt;=2,"Muy Baja",IF(J28&lt;=24,"Baja",IF(J28&lt;=500,"Media",IF(J28&lt;=5000,"Alta","Muy Alta")))))</f>
        <v/>
      </c>
      <c r="L28" s="624" t="str">
        <f t="shared" ref="L28" si="34">IF(K28="","",IF(K28="Muy Baja",0.2,IF(K28="Baja",0.4,IF(K28="Media",0.6,IF(K28="Alta",0.8,IF(K28="Muy Alta",1,))))))</f>
        <v/>
      </c>
      <c r="M28" s="645"/>
      <c r="N28" s="624">
        <f>IF(NOT(ISERROR(MATCH(M28,'Tabla Impacto'!$B$221:$B$223,0))),'Tabla Impacto'!$F$223&amp;"Por favor no seleccionar los criterios de impacto(Afectación Económica o presupuestal y Pérdida Reputacional)",M28)</f>
        <v>0</v>
      </c>
      <c r="O28" s="642" t="str">
        <f>IF(OR(N28='Tabla Impacto'!$C$11,N28='Tabla Impacto'!$D$11),"Leve",IF(OR(N28='Tabla Impacto'!$C$12,N28='Tabla Impacto'!$D$12),"Menor",IF(OR(N28='Tabla Impacto'!$C$13,N28='Tabla Impacto'!$D$13),"Moderado",IF(OR(N28='Tabla Impacto'!$C$14,N28='Tabla Impacto'!$D$14),"Mayor",IF(OR(N28='Tabla Impacto'!$C$15,N28='Tabla Impacto'!$D$15),"Catastrófico","")))))</f>
        <v/>
      </c>
      <c r="P28" s="624" t="str">
        <f t="shared" ref="P28" si="35">IF(O28="","",IF(O28="Leve",0.2,IF(O28="Menor",0.4,IF(O28="Moderado",0.6,IF(O28="Mayor",0.8,IF(O28="Catastrófico",1,))))))</f>
        <v/>
      </c>
      <c r="Q28" s="627" t="str">
        <f t="shared" ref="Q28" si="36">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
      </c>
      <c r="R28" s="105">
        <v>1</v>
      </c>
      <c r="S28" s="106"/>
      <c r="T28" s="107" t="str">
        <f>IF(OR(U28="Preventivo",U28="Detectivo"),"Probabilidad",IF(U28="Correctivo","Impacto",""))</f>
        <v/>
      </c>
      <c r="U28" s="114"/>
      <c r="V28" s="114"/>
      <c r="W28" s="115" t="str">
        <f>IF(AND(U28="Preventivo",V28="Automático"),"50%",IF(AND(U28="Preventivo",V28="Manual"),"40%",IF(AND(U28="Detectivo",V28="Automático"),"40%",IF(AND(U28="Detectivo",V28="Manual"),"30%",IF(AND(U28="Correctivo",V28="Automático"),"35%",IF(AND(U28="Correctivo",V28="Manual"),"25%",""))))))</f>
        <v/>
      </c>
      <c r="X28" s="114"/>
      <c r="Y28" s="114"/>
      <c r="Z28" s="114"/>
      <c r="AA28" s="108" t="str">
        <f>IFERROR(IF(T28="Probabilidad",(L28-(+L28*W28)),IF(T28="Impacto",L28,"")),"")</f>
        <v/>
      </c>
      <c r="AB28" s="118" t="str">
        <f>IFERROR(IF(AA28="","",IF(AA28&lt;=0.2,"Muy Baja",IF(AA28&lt;=0.4,"Baja",IF(AA28&lt;=0.6,"Media",IF(AA28&lt;=0.8,"Alta","Muy Alta"))))),"")</f>
        <v/>
      </c>
      <c r="AC28" s="119" t="str">
        <f>+AA28</f>
        <v/>
      </c>
      <c r="AD28" s="118" t="str">
        <f>IFERROR(IF(AE28="","",IF(AE28&lt;=0.2,"Leve",IF(AE28&lt;=0.4,"Menor",IF(AE28&lt;=0.6,"Moderado",IF(AE28&lt;=0.8,"Mayor","Catastrófico"))))),"")</f>
        <v/>
      </c>
      <c r="AE28" s="119" t="str">
        <f>IFERROR(IF(T28="Impacto",(P28-(+P28*W28)),IF(T28="Probabilidad",P28,"")),"")</f>
        <v/>
      </c>
      <c r="AF28" s="120" t="str">
        <f>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
      </c>
      <c r="AG28" s="121"/>
      <c r="AH28" s="109"/>
      <c r="AI28" s="110"/>
      <c r="AJ28" s="111"/>
      <c r="AK28" s="111"/>
      <c r="AL28" s="109"/>
      <c r="AM28" s="110"/>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x14ac:dyDescent="0.3">
      <c r="A29" s="631"/>
      <c r="B29" s="634"/>
      <c r="C29" s="634"/>
      <c r="D29" s="655"/>
      <c r="E29" s="140"/>
      <c r="F29" s="657"/>
      <c r="G29" s="649"/>
      <c r="H29" s="141"/>
      <c r="I29" s="652"/>
      <c r="J29" s="640"/>
      <c r="K29" s="643"/>
      <c r="L29" s="625"/>
      <c r="M29" s="646"/>
      <c r="N29" s="625">
        <f>IF(NOT(ISERROR(MATCH(M29,_xlfn.ANCHORARRAY(F40),0))),L42&amp;"Por favor no seleccionar los criterios de impacto",M29)</f>
        <v>0</v>
      </c>
      <c r="O29" s="643"/>
      <c r="P29" s="625"/>
      <c r="Q29" s="628"/>
      <c r="R29" s="105">
        <v>2</v>
      </c>
      <c r="S29" s="106"/>
      <c r="T29" s="107" t="str">
        <f>IF(OR(U29="Preventivo",U29="Detectivo"),"Probabilidad",IF(U29="Correctivo","Impacto",""))</f>
        <v/>
      </c>
      <c r="U29" s="114"/>
      <c r="V29" s="114"/>
      <c r="W29" s="115" t="str">
        <f t="shared" ref="W29:W33" si="37">IF(AND(U29="Preventivo",V29="Automático"),"50%",IF(AND(U29="Preventivo",V29="Manual"),"40%",IF(AND(U29="Detectivo",V29="Automático"),"40%",IF(AND(U29="Detectivo",V29="Manual"),"30%",IF(AND(U29="Correctivo",V29="Automático"),"35%",IF(AND(U29="Correctivo",V29="Manual"),"25%",""))))))</f>
        <v/>
      </c>
      <c r="X29" s="114"/>
      <c r="Y29" s="114"/>
      <c r="Z29" s="114"/>
      <c r="AA29" s="108" t="str">
        <f>IFERROR(IF(AND(T28="Probabilidad",T29="Probabilidad"),(AC28-(+AC28*W29)),IF(AND(T28="Impacto",T29="Probabilidad"),(L28-(+L28*W29)),IF(T29="Impacto",AC28,""))),"")</f>
        <v/>
      </c>
      <c r="AB29" s="118" t="str">
        <f t="shared" ref="AB29:AB33" si="38">IFERROR(IF(AA29="","",IF(AA29&lt;=0.2,"Muy Baja",IF(AA29&lt;=0.4,"Baja",IF(AA29&lt;=0.6,"Media",IF(AA29&lt;=0.8,"Alta","Muy Alta"))))),"")</f>
        <v/>
      </c>
      <c r="AC29" s="119" t="str">
        <f>+AA29</f>
        <v/>
      </c>
      <c r="AD29" s="118" t="str">
        <f t="shared" ref="AD29:AD33" si="39">IFERROR(IF(AE29="","",IF(AE29&lt;=0.2,"Leve",IF(AE29&lt;=0.4,"Menor",IF(AE29&lt;=0.6,"Moderado",IF(AE29&lt;=0.8,"Mayor","Catastrófico"))))),"")</f>
        <v/>
      </c>
      <c r="AE29" s="119" t="str">
        <f>IFERROR(IF(AND(T28="Impacto",T29="Impacto"),(AE28-(+AE28*W29)),IF(AND(T28="Probabilidad",T29="Impacto"),(P28-(+P28*W29)),IF(T29="Probabilidad",AE28,""))),"")</f>
        <v/>
      </c>
      <c r="AF29" s="120" t="str">
        <f t="shared" ref="AF29:AF33" si="40">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
      </c>
      <c r="AG29" s="121"/>
      <c r="AH29" s="109"/>
      <c r="AI29" s="110"/>
      <c r="AJ29" s="111"/>
      <c r="AK29" s="111"/>
      <c r="AL29" s="109"/>
      <c r="AM29" s="110"/>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1" x14ac:dyDescent="0.3">
      <c r="A30" s="631"/>
      <c r="B30" s="634"/>
      <c r="C30" s="634"/>
      <c r="D30" s="655"/>
      <c r="E30" s="140"/>
      <c r="F30" s="657"/>
      <c r="G30" s="649"/>
      <c r="H30" s="141"/>
      <c r="I30" s="652"/>
      <c r="J30" s="640"/>
      <c r="K30" s="643"/>
      <c r="L30" s="625"/>
      <c r="M30" s="646"/>
      <c r="N30" s="625">
        <f>IF(NOT(ISERROR(MATCH(M30,_xlfn.ANCHORARRAY(F41),0))),L43&amp;"Por favor no seleccionar los criterios de impacto",M30)</f>
        <v>0</v>
      </c>
      <c r="O30" s="643"/>
      <c r="P30" s="625"/>
      <c r="Q30" s="628"/>
      <c r="R30" s="105">
        <v>3</v>
      </c>
      <c r="S30" s="112"/>
      <c r="T30" s="107" t="str">
        <f t="shared" ref="T30:T33" si="41">IF(OR(U30="Preventivo",U30="Detectivo"),"Probabilidad",IF(U30="Correctivo","Impacto",""))</f>
        <v/>
      </c>
      <c r="U30" s="114"/>
      <c r="V30" s="114"/>
      <c r="W30" s="115" t="str">
        <f t="shared" si="37"/>
        <v/>
      </c>
      <c r="X30" s="114"/>
      <c r="Y30" s="114"/>
      <c r="Z30" s="114"/>
      <c r="AA30" s="108" t="str">
        <f>IFERROR(IF(AND(T29="Probabilidad",T30="Probabilidad"),(AC29-(+AC29*W30)),IF(AND(T29="Impacto",T30="Probabilidad"),(AC28-(+AC28*W30)),IF(T30="Impacto",AC29,""))),"")</f>
        <v/>
      </c>
      <c r="AB30" s="118" t="str">
        <f t="shared" si="38"/>
        <v/>
      </c>
      <c r="AC30" s="119" t="str">
        <f t="shared" ref="AC30:AC33" si="42">+AA30</f>
        <v/>
      </c>
      <c r="AD30" s="118" t="str">
        <f t="shared" si="39"/>
        <v/>
      </c>
      <c r="AE30" s="119" t="str">
        <f t="shared" ref="AE30:AE33" si="43">IFERROR(IF(AND(T29="Impacto",T30="Impacto"),(AE29-(+AE29*W30)),IF(AND(T29="Probabilidad",T30="Impacto"),(AE28-(+AE28*W30)),IF(T30="Probabilidad",AE29,""))),"")</f>
        <v/>
      </c>
      <c r="AF30" s="120" t="str">
        <f t="shared" si="40"/>
        <v/>
      </c>
      <c r="AG30" s="121"/>
      <c r="AH30" s="109"/>
      <c r="AI30" s="110"/>
      <c r="AJ30" s="111"/>
      <c r="AK30" s="111"/>
      <c r="AL30" s="109"/>
      <c r="AM30" s="110"/>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1" x14ac:dyDescent="0.3">
      <c r="A31" s="631"/>
      <c r="B31" s="634"/>
      <c r="C31" s="634"/>
      <c r="D31" s="655"/>
      <c r="E31" s="140"/>
      <c r="F31" s="657"/>
      <c r="G31" s="649"/>
      <c r="H31" s="141"/>
      <c r="I31" s="652"/>
      <c r="J31" s="640"/>
      <c r="K31" s="643"/>
      <c r="L31" s="625"/>
      <c r="M31" s="646"/>
      <c r="N31" s="625">
        <f>IF(NOT(ISERROR(MATCH(M31,_xlfn.ANCHORARRAY(F42),0))),L44&amp;"Por favor no seleccionar los criterios de impacto",M31)</f>
        <v>0</v>
      </c>
      <c r="O31" s="643"/>
      <c r="P31" s="625"/>
      <c r="Q31" s="628"/>
      <c r="R31" s="105">
        <v>4</v>
      </c>
      <c r="S31" s="106"/>
      <c r="T31" s="107" t="str">
        <f t="shared" si="41"/>
        <v/>
      </c>
      <c r="U31" s="114"/>
      <c r="V31" s="114"/>
      <c r="W31" s="115" t="str">
        <f t="shared" si="37"/>
        <v/>
      </c>
      <c r="X31" s="114"/>
      <c r="Y31" s="114"/>
      <c r="Z31" s="114"/>
      <c r="AA31" s="108" t="str">
        <f t="shared" ref="AA31:AA33" si="44">IFERROR(IF(AND(T30="Probabilidad",T31="Probabilidad"),(AC30-(+AC30*W31)),IF(AND(T30="Impacto",T31="Probabilidad"),(AC29-(+AC29*W31)),IF(T31="Impacto",AC30,""))),"")</f>
        <v/>
      </c>
      <c r="AB31" s="118" t="str">
        <f t="shared" si="38"/>
        <v/>
      </c>
      <c r="AC31" s="119" t="str">
        <f t="shared" si="42"/>
        <v/>
      </c>
      <c r="AD31" s="118" t="str">
        <f t="shared" si="39"/>
        <v/>
      </c>
      <c r="AE31" s="119" t="str">
        <f t="shared" si="43"/>
        <v/>
      </c>
      <c r="AF31" s="120" t="str">
        <f t="shared" si="40"/>
        <v/>
      </c>
      <c r="AG31" s="121"/>
      <c r="AH31" s="109"/>
      <c r="AI31" s="110"/>
      <c r="AJ31" s="111"/>
      <c r="AK31" s="111"/>
      <c r="AL31" s="109"/>
      <c r="AM31" s="110"/>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x14ac:dyDescent="0.3">
      <c r="A32" s="631"/>
      <c r="B32" s="634"/>
      <c r="C32" s="634"/>
      <c r="D32" s="655"/>
      <c r="E32" s="140"/>
      <c r="F32" s="657"/>
      <c r="G32" s="649"/>
      <c r="H32" s="141"/>
      <c r="I32" s="652"/>
      <c r="J32" s="640"/>
      <c r="K32" s="643"/>
      <c r="L32" s="625"/>
      <c r="M32" s="646"/>
      <c r="N32" s="625">
        <f>IF(NOT(ISERROR(MATCH(M32,_xlfn.ANCHORARRAY(F43),0))),L45&amp;"Por favor no seleccionar los criterios de impacto",M32)</f>
        <v>0</v>
      </c>
      <c r="O32" s="643"/>
      <c r="P32" s="625"/>
      <c r="Q32" s="628"/>
      <c r="R32" s="105">
        <v>5</v>
      </c>
      <c r="S32" s="106"/>
      <c r="T32" s="107" t="str">
        <f t="shared" si="41"/>
        <v/>
      </c>
      <c r="U32" s="114"/>
      <c r="V32" s="114"/>
      <c r="W32" s="115" t="str">
        <f t="shared" si="37"/>
        <v/>
      </c>
      <c r="X32" s="114"/>
      <c r="Y32" s="114"/>
      <c r="Z32" s="114"/>
      <c r="AA32" s="108" t="str">
        <f t="shared" si="44"/>
        <v/>
      </c>
      <c r="AB32" s="118" t="str">
        <f t="shared" si="38"/>
        <v/>
      </c>
      <c r="AC32" s="119" t="str">
        <f t="shared" si="42"/>
        <v/>
      </c>
      <c r="AD32" s="118" t="str">
        <f t="shared" si="39"/>
        <v/>
      </c>
      <c r="AE32" s="119" t="str">
        <f t="shared" si="43"/>
        <v/>
      </c>
      <c r="AF32" s="120" t="str">
        <f t="shared" si="40"/>
        <v/>
      </c>
      <c r="AG32" s="121"/>
      <c r="AH32" s="109"/>
      <c r="AI32" s="110"/>
      <c r="AJ32" s="111"/>
      <c r="AK32" s="111"/>
      <c r="AL32" s="109"/>
      <c r="AM32" s="110"/>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row>
    <row r="33" spans="1:71" x14ac:dyDescent="0.3">
      <c r="A33" s="632"/>
      <c r="B33" s="635"/>
      <c r="C33" s="635"/>
      <c r="D33" s="656"/>
      <c r="E33" s="140"/>
      <c r="F33" s="657"/>
      <c r="G33" s="650"/>
      <c r="H33" s="141"/>
      <c r="I33" s="653"/>
      <c r="J33" s="641"/>
      <c r="K33" s="644"/>
      <c r="L33" s="626"/>
      <c r="M33" s="647"/>
      <c r="N33" s="626">
        <f>IF(NOT(ISERROR(MATCH(M33,_xlfn.ANCHORARRAY(F44),0))),L46&amp;"Por favor no seleccionar los criterios de impacto",M33)</f>
        <v>0</v>
      </c>
      <c r="O33" s="644"/>
      <c r="P33" s="626"/>
      <c r="Q33" s="629"/>
      <c r="R33" s="105">
        <v>6</v>
      </c>
      <c r="S33" s="106"/>
      <c r="T33" s="107" t="str">
        <f t="shared" si="41"/>
        <v/>
      </c>
      <c r="U33" s="114"/>
      <c r="V33" s="114"/>
      <c r="W33" s="115" t="str">
        <f t="shared" si="37"/>
        <v/>
      </c>
      <c r="X33" s="114"/>
      <c r="Y33" s="114"/>
      <c r="Z33" s="114"/>
      <c r="AA33" s="108" t="str">
        <f t="shared" si="44"/>
        <v/>
      </c>
      <c r="AB33" s="118" t="str">
        <f t="shared" si="38"/>
        <v/>
      </c>
      <c r="AC33" s="119" t="str">
        <f t="shared" si="42"/>
        <v/>
      </c>
      <c r="AD33" s="118" t="str">
        <f t="shared" si="39"/>
        <v/>
      </c>
      <c r="AE33" s="119" t="str">
        <f t="shared" si="43"/>
        <v/>
      </c>
      <c r="AF33" s="120" t="str">
        <f t="shared" si="40"/>
        <v/>
      </c>
      <c r="AG33" s="121"/>
      <c r="AH33" s="109"/>
      <c r="AI33" s="110"/>
      <c r="AJ33" s="111"/>
      <c r="AK33" s="111"/>
      <c r="AL33" s="109"/>
      <c r="AM33" s="110"/>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row>
    <row r="34" spans="1:71" x14ac:dyDescent="0.3">
      <c r="A34" s="630">
        <v>5</v>
      </c>
      <c r="B34" s="633"/>
      <c r="C34" s="633"/>
      <c r="D34" s="654"/>
      <c r="E34" s="140"/>
      <c r="F34" s="657"/>
      <c r="G34" s="648"/>
      <c r="H34" s="141"/>
      <c r="I34" s="651"/>
      <c r="J34" s="639"/>
      <c r="K34" s="642" t="str">
        <f t="shared" ref="K34" si="45">IF(J34&lt;=0,"",IF(J34&lt;=2,"Muy Baja",IF(J34&lt;=24,"Baja",IF(J34&lt;=500,"Media",IF(J34&lt;=5000,"Alta","Muy Alta")))))</f>
        <v/>
      </c>
      <c r="L34" s="624" t="str">
        <f t="shared" ref="L34" si="46">IF(K34="","",IF(K34="Muy Baja",0.2,IF(K34="Baja",0.4,IF(K34="Media",0.6,IF(K34="Alta",0.8,IF(K34="Muy Alta",1,))))))</f>
        <v/>
      </c>
      <c r="M34" s="645"/>
      <c r="N34" s="624">
        <f>IF(NOT(ISERROR(MATCH(M34,'Tabla Impacto'!$B$221:$B$223,0))),'Tabla Impacto'!$F$223&amp;"Por favor no seleccionar los criterios de impacto(Afectación Económica o presupuestal y Pérdida Reputacional)",M34)</f>
        <v>0</v>
      </c>
      <c r="O34" s="642" t="str">
        <f>IF(OR(N34='Tabla Impacto'!$C$11,N34='Tabla Impacto'!$D$11),"Leve",IF(OR(N34='Tabla Impacto'!$C$12,N34='Tabla Impacto'!$D$12),"Menor",IF(OR(N34='Tabla Impacto'!$C$13,N34='Tabla Impacto'!$D$13),"Moderado",IF(OR(N34='Tabla Impacto'!$C$14,N34='Tabla Impacto'!$D$14),"Mayor",IF(OR(N34='Tabla Impacto'!$C$15,N34='Tabla Impacto'!$D$15),"Catastrófico","")))))</f>
        <v/>
      </c>
      <c r="P34" s="624" t="str">
        <f t="shared" ref="P34" si="47">IF(O34="","",IF(O34="Leve",0.2,IF(O34="Menor",0.4,IF(O34="Moderado",0.6,IF(O34="Mayor",0.8,IF(O34="Catastrófico",1,))))))</f>
        <v/>
      </c>
      <c r="Q34" s="627" t="str">
        <f t="shared" ref="Q34" si="48">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
      </c>
      <c r="R34" s="105">
        <v>1</v>
      </c>
      <c r="S34" s="106"/>
      <c r="T34" s="107" t="str">
        <f>IF(OR(U34="Preventivo",U34="Detectivo"),"Probabilidad",IF(U34="Correctivo","Impacto",""))</f>
        <v/>
      </c>
      <c r="U34" s="114"/>
      <c r="V34" s="114"/>
      <c r="W34" s="115" t="str">
        <f>IF(AND(U34="Preventivo",V34="Automático"),"50%",IF(AND(U34="Preventivo",V34="Manual"),"40%",IF(AND(U34="Detectivo",V34="Automático"),"40%",IF(AND(U34="Detectivo",V34="Manual"),"30%",IF(AND(U34="Correctivo",V34="Automático"),"35%",IF(AND(U34="Correctivo",V34="Manual"),"25%",""))))))</f>
        <v/>
      </c>
      <c r="X34" s="114"/>
      <c r="Y34" s="114"/>
      <c r="Z34" s="114"/>
      <c r="AA34" s="108" t="str">
        <f>IFERROR(IF(T34="Probabilidad",(L34-(+L34*W34)),IF(T34="Impacto",L34,"")),"")</f>
        <v/>
      </c>
      <c r="AB34" s="118" t="str">
        <f>IFERROR(IF(AA34="","",IF(AA34&lt;=0.2,"Muy Baja",IF(AA34&lt;=0.4,"Baja",IF(AA34&lt;=0.6,"Media",IF(AA34&lt;=0.8,"Alta","Muy Alta"))))),"")</f>
        <v/>
      </c>
      <c r="AC34" s="119" t="str">
        <f>+AA34</f>
        <v/>
      </c>
      <c r="AD34" s="118" t="str">
        <f>IFERROR(IF(AE34="","",IF(AE34&lt;=0.2,"Leve",IF(AE34&lt;=0.4,"Menor",IF(AE34&lt;=0.6,"Moderado",IF(AE34&lt;=0.8,"Mayor","Catastrófico"))))),"")</f>
        <v/>
      </c>
      <c r="AE34" s="119" t="str">
        <f>IFERROR(IF(T34="Impacto",(P34-(+P34*W34)),IF(T34="Probabilidad",P34,"")),"")</f>
        <v/>
      </c>
      <c r="AF34" s="120" t="str">
        <f>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
      </c>
      <c r="AG34" s="121"/>
      <c r="AH34" s="109"/>
      <c r="AI34" s="110"/>
      <c r="AJ34" s="111"/>
      <c r="AK34" s="111"/>
      <c r="AL34" s="109"/>
      <c r="AM34" s="110"/>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row>
    <row r="35" spans="1:71" x14ac:dyDescent="0.3">
      <c r="A35" s="631"/>
      <c r="B35" s="634"/>
      <c r="C35" s="634"/>
      <c r="D35" s="655"/>
      <c r="E35" s="140"/>
      <c r="F35" s="657"/>
      <c r="G35" s="649"/>
      <c r="H35" s="141"/>
      <c r="I35" s="652"/>
      <c r="J35" s="640"/>
      <c r="K35" s="643"/>
      <c r="L35" s="625"/>
      <c r="M35" s="646"/>
      <c r="N35" s="625">
        <f>IF(NOT(ISERROR(MATCH(M35,_xlfn.ANCHORARRAY(F46),0))),L48&amp;"Por favor no seleccionar los criterios de impacto",M35)</f>
        <v>0</v>
      </c>
      <c r="O35" s="643"/>
      <c r="P35" s="625"/>
      <c r="Q35" s="628"/>
      <c r="R35" s="105">
        <v>2</v>
      </c>
      <c r="S35" s="106"/>
      <c r="T35" s="107" t="str">
        <f>IF(OR(U35="Preventivo",U35="Detectivo"),"Probabilidad",IF(U35="Correctivo","Impacto",""))</f>
        <v/>
      </c>
      <c r="U35" s="114"/>
      <c r="V35" s="114"/>
      <c r="W35" s="115" t="str">
        <f t="shared" ref="W35:W39" si="49">IF(AND(U35="Preventivo",V35="Automático"),"50%",IF(AND(U35="Preventivo",V35="Manual"),"40%",IF(AND(U35="Detectivo",V35="Automático"),"40%",IF(AND(U35="Detectivo",V35="Manual"),"30%",IF(AND(U35="Correctivo",V35="Automático"),"35%",IF(AND(U35="Correctivo",V35="Manual"),"25%",""))))))</f>
        <v/>
      </c>
      <c r="X35" s="114"/>
      <c r="Y35" s="114"/>
      <c r="Z35" s="114"/>
      <c r="AA35" s="108" t="str">
        <f>IFERROR(IF(AND(T34="Probabilidad",T35="Probabilidad"),(AC34-(+AC34*W35)),IF(AND(T34="Impacto",T35="Probabilidad"),(L34-(+L34*W35)),IF(T35="Impacto",AC34,""))),"")</f>
        <v/>
      </c>
      <c r="AB35" s="118" t="str">
        <f t="shared" ref="AB35:AB39" si="50">IFERROR(IF(AA35="","",IF(AA35&lt;=0.2,"Muy Baja",IF(AA35&lt;=0.4,"Baja",IF(AA35&lt;=0.6,"Media",IF(AA35&lt;=0.8,"Alta","Muy Alta"))))),"")</f>
        <v/>
      </c>
      <c r="AC35" s="119" t="str">
        <f>+AA35</f>
        <v/>
      </c>
      <c r="AD35" s="118" t="str">
        <f t="shared" ref="AD35:AD39" si="51">IFERROR(IF(AE35="","",IF(AE35&lt;=0.2,"Leve",IF(AE35&lt;=0.4,"Menor",IF(AE35&lt;=0.6,"Moderado",IF(AE35&lt;=0.8,"Mayor","Catastrófico"))))),"")</f>
        <v/>
      </c>
      <c r="AE35" s="119" t="str">
        <f>IFERROR(IF(AND(T34="Impacto",T35="Impacto"),(AE34-(+AE34*W35)),IF(AND(T34="Probabilidad",T35="Impacto"),(P34-(+P34*W35)),IF(T35="Probabilidad",AE34,""))),"")</f>
        <v/>
      </c>
      <c r="AF35" s="120" t="str">
        <f t="shared" ref="AF35:AF39" si="52">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
      </c>
      <c r="AG35" s="121"/>
      <c r="AH35" s="109"/>
      <c r="AI35" s="110"/>
      <c r="AJ35" s="111"/>
      <c r="AK35" s="111"/>
      <c r="AL35" s="109"/>
      <c r="AM35" s="110"/>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1" x14ac:dyDescent="0.3">
      <c r="A36" s="631"/>
      <c r="B36" s="634"/>
      <c r="C36" s="634"/>
      <c r="D36" s="655"/>
      <c r="E36" s="140"/>
      <c r="F36" s="657"/>
      <c r="G36" s="649"/>
      <c r="H36" s="141"/>
      <c r="I36" s="652"/>
      <c r="J36" s="640"/>
      <c r="K36" s="643"/>
      <c r="L36" s="625"/>
      <c r="M36" s="646"/>
      <c r="N36" s="625">
        <f>IF(NOT(ISERROR(MATCH(M36,_xlfn.ANCHORARRAY(F47),0))),L49&amp;"Por favor no seleccionar los criterios de impacto",M36)</f>
        <v>0</v>
      </c>
      <c r="O36" s="643"/>
      <c r="P36" s="625"/>
      <c r="Q36" s="628"/>
      <c r="R36" s="105">
        <v>3</v>
      </c>
      <c r="S36" s="112"/>
      <c r="T36" s="107" t="str">
        <f t="shared" ref="T36:T39" si="53">IF(OR(U36="Preventivo",U36="Detectivo"),"Probabilidad",IF(U36="Correctivo","Impacto",""))</f>
        <v/>
      </c>
      <c r="U36" s="114"/>
      <c r="V36" s="114"/>
      <c r="W36" s="115" t="str">
        <f t="shared" si="49"/>
        <v/>
      </c>
      <c r="X36" s="114"/>
      <c r="Y36" s="114"/>
      <c r="Z36" s="114"/>
      <c r="AA36" s="108" t="str">
        <f>IFERROR(IF(AND(T35="Probabilidad",T36="Probabilidad"),(AC35-(+AC35*W36)),IF(AND(T35="Impacto",T36="Probabilidad"),(AC34-(+AC34*W36)),IF(T36="Impacto",AC35,""))),"")</f>
        <v/>
      </c>
      <c r="AB36" s="118" t="str">
        <f t="shared" si="50"/>
        <v/>
      </c>
      <c r="AC36" s="119" t="str">
        <f t="shared" ref="AC36:AC39" si="54">+AA36</f>
        <v/>
      </c>
      <c r="AD36" s="118" t="str">
        <f t="shared" si="51"/>
        <v/>
      </c>
      <c r="AE36" s="119" t="str">
        <f t="shared" ref="AE36:AE39" si="55">IFERROR(IF(AND(T35="Impacto",T36="Impacto"),(AE35-(+AE35*W36)),IF(AND(T35="Probabilidad",T36="Impacto"),(AE34-(+AE34*W36)),IF(T36="Probabilidad",AE35,""))),"")</f>
        <v/>
      </c>
      <c r="AF36" s="120" t="str">
        <f t="shared" si="52"/>
        <v/>
      </c>
      <c r="AG36" s="121"/>
      <c r="AH36" s="109"/>
      <c r="AI36" s="110"/>
      <c r="AJ36" s="111"/>
      <c r="AK36" s="111"/>
      <c r="AL36" s="109"/>
      <c r="AM36" s="110"/>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1" x14ac:dyDescent="0.3">
      <c r="A37" s="631"/>
      <c r="B37" s="634"/>
      <c r="C37" s="634"/>
      <c r="D37" s="655"/>
      <c r="E37" s="140"/>
      <c r="F37" s="657"/>
      <c r="G37" s="649"/>
      <c r="H37" s="141"/>
      <c r="I37" s="652"/>
      <c r="J37" s="640"/>
      <c r="K37" s="643"/>
      <c r="L37" s="625"/>
      <c r="M37" s="646"/>
      <c r="N37" s="625">
        <f>IF(NOT(ISERROR(MATCH(M37,_xlfn.ANCHORARRAY(F48),0))),L50&amp;"Por favor no seleccionar los criterios de impacto",M37)</f>
        <v>0</v>
      </c>
      <c r="O37" s="643"/>
      <c r="P37" s="625"/>
      <c r="Q37" s="628"/>
      <c r="R37" s="105">
        <v>4</v>
      </c>
      <c r="S37" s="106"/>
      <c r="T37" s="107" t="str">
        <f t="shared" si="53"/>
        <v/>
      </c>
      <c r="U37" s="114"/>
      <c r="V37" s="114"/>
      <c r="W37" s="115" t="str">
        <f t="shared" si="49"/>
        <v/>
      </c>
      <c r="X37" s="114"/>
      <c r="Y37" s="114"/>
      <c r="Z37" s="114"/>
      <c r="AA37" s="108" t="str">
        <f t="shared" ref="AA37:AA39" si="56">IFERROR(IF(AND(T36="Probabilidad",T37="Probabilidad"),(AC36-(+AC36*W37)),IF(AND(T36="Impacto",T37="Probabilidad"),(AC35-(+AC35*W37)),IF(T37="Impacto",AC36,""))),"")</f>
        <v/>
      </c>
      <c r="AB37" s="118" t="str">
        <f t="shared" si="50"/>
        <v/>
      </c>
      <c r="AC37" s="119" t="str">
        <f t="shared" si="54"/>
        <v/>
      </c>
      <c r="AD37" s="118" t="str">
        <f t="shared" si="51"/>
        <v/>
      </c>
      <c r="AE37" s="119" t="str">
        <f t="shared" si="55"/>
        <v/>
      </c>
      <c r="AF37" s="120" t="str">
        <f t="shared" si="52"/>
        <v/>
      </c>
      <c r="AG37" s="121"/>
      <c r="AH37" s="109"/>
      <c r="AI37" s="110"/>
      <c r="AJ37" s="111"/>
      <c r="AK37" s="111"/>
      <c r="AL37" s="109"/>
      <c r="AM37" s="110"/>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row>
    <row r="38" spans="1:71" x14ac:dyDescent="0.3">
      <c r="A38" s="631"/>
      <c r="B38" s="634"/>
      <c r="C38" s="634"/>
      <c r="D38" s="655"/>
      <c r="E38" s="140"/>
      <c r="F38" s="657"/>
      <c r="G38" s="649"/>
      <c r="H38" s="141"/>
      <c r="I38" s="652"/>
      <c r="J38" s="640"/>
      <c r="K38" s="643"/>
      <c r="L38" s="625"/>
      <c r="M38" s="646"/>
      <c r="N38" s="625">
        <f>IF(NOT(ISERROR(MATCH(M38,_xlfn.ANCHORARRAY(F49),0))),L51&amp;"Por favor no seleccionar los criterios de impacto",M38)</f>
        <v>0</v>
      </c>
      <c r="O38" s="643"/>
      <c r="P38" s="625"/>
      <c r="Q38" s="628"/>
      <c r="R38" s="105">
        <v>5</v>
      </c>
      <c r="S38" s="106"/>
      <c r="T38" s="107" t="str">
        <f t="shared" si="53"/>
        <v/>
      </c>
      <c r="U38" s="114"/>
      <c r="V38" s="114"/>
      <c r="W38" s="115" t="str">
        <f t="shared" si="49"/>
        <v/>
      </c>
      <c r="X38" s="114"/>
      <c r="Y38" s="114"/>
      <c r="Z38" s="114"/>
      <c r="AA38" s="108" t="str">
        <f t="shared" si="56"/>
        <v/>
      </c>
      <c r="AB38" s="118" t="str">
        <f t="shared" si="50"/>
        <v/>
      </c>
      <c r="AC38" s="119" t="str">
        <f t="shared" si="54"/>
        <v/>
      </c>
      <c r="AD38" s="118" t="str">
        <f t="shared" si="51"/>
        <v/>
      </c>
      <c r="AE38" s="119" t="str">
        <f t="shared" si="55"/>
        <v/>
      </c>
      <c r="AF38" s="120" t="str">
        <f t="shared" si="52"/>
        <v/>
      </c>
      <c r="AG38" s="121"/>
      <c r="AH38" s="109"/>
      <c r="AI38" s="110"/>
      <c r="AJ38" s="111"/>
      <c r="AK38" s="111"/>
      <c r="AL38" s="109"/>
      <c r="AM38" s="110"/>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row>
    <row r="39" spans="1:71" x14ac:dyDescent="0.3">
      <c r="A39" s="632"/>
      <c r="B39" s="635"/>
      <c r="C39" s="635"/>
      <c r="D39" s="656"/>
      <c r="E39" s="140"/>
      <c r="F39" s="657"/>
      <c r="G39" s="650"/>
      <c r="H39" s="141"/>
      <c r="I39" s="653"/>
      <c r="J39" s="641"/>
      <c r="K39" s="644"/>
      <c r="L39" s="626"/>
      <c r="M39" s="647"/>
      <c r="N39" s="626">
        <f>IF(NOT(ISERROR(MATCH(M39,_xlfn.ANCHORARRAY(F50),0))),L52&amp;"Por favor no seleccionar los criterios de impacto",M39)</f>
        <v>0</v>
      </c>
      <c r="O39" s="644"/>
      <c r="P39" s="626"/>
      <c r="Q39" s="629"/>
      <c r="R39" s="105">
        <v>6</v>
      </c>
      <c r="S39" s="106"/>
      <c r="T39" s="107" t="str">
        <f t="shared" si="53"/>
        <v/>
      </c>
      <c r="U39" s="114"/>
      <c r="V39" s="114"/>
      <c r="W39" s="115" t="str">
        <f t="shared" si="49"/>
        <v/>
      </c>
      <c r="X39" s="114"/>
      <c r="Y39" s="114"/>
      <c r="Z39" s="114"/>
      <c r="AA39" s="108" t="str">
        <f t="shared" si="56"/>
        <v/>
      </c>
      <c r="AB39" s="118" t="str">
        <f t="shared" si="50"/>
        <v/>
      </c>
      <c r="AC39" s="119" t="str">
        <f t="shared" si="54"/>
        <v/>
      </c>
      <c r="AD39" s="118" t="str">
        <f t="shared" si="51"/>
        <v/>
      </c>
      <c r="AE39" s="119" t="str">
        <f t="shared" si="55"/>
        <v/>
      </c>
      <c r="AF39" s="120" t="str">
        <f t="shared" si="52"/>
        <v/>
      </c>
      <c r="AG39" s="121"/>
      <c r="AH39" s="109"/>
      <c r="AI39" s="110"/>
      <c r="AJ39" s="111"/>
      <c r="AK39" s="111"/>
      <c r="AL39" s="109"/>
      <c r="AM39" s="110"/>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row>
    <row r="40" spans="1:71" x14ac:dyDescent="0.3">
      <c r="A40" s="630">
        <v>6</v>
      </c>
      <c r="B40" s="633"/>
      <c r="C40" s="633"/>
      <c r="D40" s="654"/>
      <c r="E40" s="140"/>
      <c r="F40" s="657"/>
      <c r="G40" s="648"/>
      <c r="H40" s="141"/>
      <c r="I40" s="651"/>
      <c r="J40" s="639"/>
      <c r="K40" s="642" t="str">
        <f t="shared" ref="K40" si="57">IF(J40&lt;=0,"",IF(J40&lt;=2,"Muy Baja",IF(J40&lt;=24,"Baja",IF(J40&lt;=500,"Media",IF(J40&lt;=5000,"Alta","Muy Alta")))))</f>
        <v/>
      </c>
      <c r="L40" s="624" t="str">
        <f t="shared" ref="L40" si="58">IF(K40="","",IF(K40="Muy Baja",0.2,IF(K40="Baja",0.4,IF(K40="Media",0.6,IF(K40="Alta",0.8,IF(K40="Muy Alta",1,))))))</f>
        <v/>
      </c>
      <c r="M40" s="645"/>
      <c r="N40" s="624">
        <f>IF(NOT(ISERROR(MATCH(M40,'Tabla Impacto'!$B$221:$B$223,0))),'Tabla Impacto'!$F$223&amp;"Por favor no seleccionar los criterios de impacto(Afectación Económica o presupuestal y Pérdida Reputacional)",M40)</f>
        <v>0</v>
      </c>
      <c r="O40" s="642" t="str">
        <f>IF(OR(N40='Tabla Impacto'!$C$11,N40='Tabla Impacto'!$D$11),"Leve",IF(OR(N40='Tabla Impacto'!$C$12,N40='Tabla Impacto'!$D$12),"Menor",IF(OR(N40='Tabla Impacto'!$C$13,N40='Tabla Impacto'!$D$13),"Moderado",IF(OR(N40='Tabla Impacto'!$C$14,N40='Tabla Impacto'!$D$14),"Mayor",IF(OR(N40='Tabla Impacto'!$C$15,N40='Tabla Impacto'!$D$15),"Catastrófico","")))))</f>
        <v/>
      </c>
      <c r="P40" s="624" t="str">
        <f t="shared" ref="P40" si="59">IF(O40="","",IF(O40="Leve",0.2,IF(O40="Menor",0.4,IF(O40="Moderado",0.6,IF(O40="Mayor",0.8,IF(O40="Catastrófico",1,))))))</f>
        <v/>
      </c>
      <c r="Q40" s="627" t="str">
        <f t="shared" ref="Q40" si="60">IF(OR(AND(K40="Muy Baja",O40="Leve"),AND(K40="Muy Baja",O40="Menor"),AND(K40="Baja",O40="Leve")),"Bajo",IF(OR(AND(K40="Muy baja",O40="Moderado"),AND(K40="Baja",O40="Menor"),AND(K40="Baja",O40="Moderado"),AND(K40="Media",O40="Leve"),AND(K40="Media",O40="Menor"),AND(K40="Media",O40="Moderado"),AND(K40="Alta",O40="Leve"),AND(K40="Alta",O40="Menor")),"Moderado",IF(OR(AND(K40="Muy Baja",O40="Mayor"),AND(K40="Baja",O40="Mayor"),AND(K40="Media",O40="Mayor"),AND(K40="Alta",O40="Moderado"),AND(K40="Alta",O40="Mayor"),AND(K40="Muy Alta",O40="Leve"),AND(K40="Muy Alta",O40="Menor"),AND(K40="Muy Alta",O40="Moderado"),AND(K40="Muy Alta",O40="Mayor")),"Alto",IF(OR(AND(K40="Muy Baja",O40="Catastrófico"),AND(K40="Baja",O40="Catastrófico"),AND(K40="Media",O40="Catastrófico"),AND(K40="Alta",O40="Catastrófico"),AND(K40="Muy Alta",O40="Catastrófico")),"Extremo",""))))</f>
        <v/>
      </c>
      <c r="R40" s="105">
        <v>1</v>
      </c>
      <c r="S40" s="106"/>
      <c r="T40" s="107" t="str">
        <f>IF(OR(U40="Preventivo",U40="Detectivo"),"Probabilidad",IF(U40="Correctivo","Impacto",""))</f>
        <v/>
      </c>
      <c r="U40" s="114"/>
      <c r="V40" s="114"/>
      <c r="W40" s="115" t="str">
        <f>IF(AND(U40="Preventivo",V40="Automático"),"50%",IF(AND(U40="Preventivo",V40="Manual"),"40%",IF(AND(U40="Detectivo",V40="Automático"),"40%",IF(AND(U40="Detectivo",V40="Manual"),"30%",IF(AND(U40="Correctivo",V40="Automático"),"35%",IF(AND(U40="Correctivo",V40="Manual"),"25%",""))))))</f>
        <v/>
      </c>
      <c r="X40" s="114"/>
      <c r="Y40" s="114"/>
      <c r="Z40" s="114"/>
      <c r="AA40" s="108" t="str">
        <f>IFERROR(IF(T40="Probabilidad",(L40-(+L40*W40)),IF(T40="Impacto",L40,"")),"")</f>
        <v/>
      </c>
      <c r="AB40" s="118" t="str">
        <f>IFERROR(IF(AA40="","",IF(AA40&lt;=0.2,"Muy Baja",IF(AA40&lt;=0.4,"Baja",IF(AA40&lt;=0.6,"Media",IF(AA40&lt;=0.8,"Alta","Muy Alta"))))),"")</f>
        <v/>
      </c>
      <c r="AC40" s="119" t="str">
        <f>+AA40</f>
        <v/>
      </c>
      <c r="AD40" s="118" t="str">
        <f>IFERROR(IF(AE40="","",IF(AE40&lt;=0.2,"Leve",IF(AE40&lt;=0.4,"Menor",IF(AE40&lt;=0.6,"Moderado",IF(AE40&lt;=0.8,"Mayor","Catastrófico"))))),"")</f>
        <v/>
      </c>
      <c r="AE40" s="119" t="str">
        <f>IFERROR(IF(T40="Impacto",(P40-(+P40*W40)),IF(T40="Probabilidad",P40,"")),"")</f>
        <v/>
      </c>
      <c r="AF40" s="120" t="str">
        <f>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
      </c>
      <c r="AG40" s="121"/>
      <c r="AH40" s="109"/>
      <c r="AI40" s="110"/>
      <c r="AJ40" s="111"/>
      <c r="AK40" s="111"/>
      <c r="AL40" s="109"/>
      <c r="AM40" s="110"/>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row>
    <row r="41" spans="1:71" x14ac:dyDescent="0.3">
      <c r="A41" s="631"/>
      <c r="B41" s="634"/>
      <c r="C41" s="634"/>
      <c r="D41" s="655"/>
      <c r="E41" s="140"/>
      <c r="F41" s="657"/>
      <c r="G41" s="649"/>
      <c r="H41" s="141"/>
      <c r="I41" s="652"/>
      <c r="J41" s="640"/>
      <c r="K41" s="643"/>
      <c r="L41" s="625"/>
      <c r="M41" s="646"/>
      <c r="N41" s="625">
        <f>IF(NOT(ISERROR(MATCH(M41,_xlfn.ANCHORARRAY(F52),0))),L54&amp;"Por favor no seleccionar los criterios de impacto",M41)</f>
        <v>0</v>
      </c>
      <c r="O41" s="643"/>
      <c r="P41" s="625"/>
      <c r="Q41" s="628"/>
      <c r="R41" s="105">
        <v>2</v>
      </c>
      <c r="S41" s="106"/>
      <c r="T41" s="107" t="str">
        <f>IF(OR(U41="Preventivo",U41="Detectivo"),"Probabilidad",IF(U41="Correctivo","Impacto",""))</f>
        <v/>
      </c>
      <c r="U41" s="114"/>
      <c r="V41" s="114"/>
      <c r="W41" s="115" t="str">
        <f t="shared" ref="W41:W45" si="61">IF(AND(U41="Preventivo",V41="Automático"),"50%",IF(AND(U41="Preventivo",V41="Manual"),"40%",IF(AND(U41="Detectivo",V41="Automático"),"40%",IF(AND(U41="Detectivo",V41="Manual"),"30%",IF(AND(U41="Correctivo",V41="Automático"),"35%",IF(AND(U41="Correctivo",V41="Manual"),"25%",""))))))</f>
        <v/>
      </c>
      <c r="X41" s="114"/>
      <c r="Y41" s="114"/>
      <c r="Z41" s="114"/>
      <c r="AA41" s="108" t="str">
        <f>IFERROR(IF(AND(T40="Probabilidad",T41="Probabilidad"),(AC40-(+AC40*W41)),IF(AND(T40="Impacto",T41="Probabilidad"),(L40-(+L40*W41)),IF(T41="Impacto",AC40,""))),"")</f>
        <v/>
      </c>
      <c r="AB41" s="118" t="str">
        <f t="shared" ref="AB41:AB45" si="62">IFERROR(IF(AA41="","",IF(AA41&lt;=0.2,"Muy Baja",IF(AA41&lt;=0.4,"Baja",IF(AA41&lt;=0.6,"Media",IF(AA41&lt;=0.8,"Alta","Muy Alta"))))),"")</f>
        <v/>
      </c>
      <c r="AC41" s="119" t="str">
        <f>+AA41</f>
        <v/>
      </c>
      <c r="AD41" s="118" t="str">
        <f t="shared" ref="AD41:AD45" si="63">IFERROR(IF(AE41="","",IF(AE41&lt;=0.2,"Leve",IF(AE41&lt;=0.4,"Menor",IF(AE41&lt;=0.6,"Moderado",IF(AE41&lt;=0.8,"Mayor","Catastrófico"))))),"")</f>
        <v/>
      </c>
      <c r="AE41" s="119" t="str">
        <f>IFERROR(IF(AND(T40="Impacto",T41="Impacto"),(AE40-(+AE40*W41)),IF(AND(T40="Probabilidad",T41="Impacto"),(P40-(+P40*W41)),IF(T41="Probabilidad",AE40,""))),"")</f>
        <v/>
      </c>
      <c r="AF41" s="120" t="str">
        <f t="shared" ref="AF41:AF45" si="64">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
      </c>
      <c r="AG41" s="121"/>
      <c r="AH41" s="109"/>
      <c r="AI41" s="110"/>
      <c r="AJ41" s="111"/>
      <c r="AK41" s="111"/>
      <c r="AL41" s="109"/>
      <c r="AM41" s="110"/>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row>
    <row r="42" spans="1:71" x14ac:dyDescent="0.3">
      <c r="A42" s="631"/>
      <c r="B42" s="634"/>
      <c r="C42" s="634"/>
      <c r="D42" s="655"/>
      <c r="E42" s="140"/>
      <c r="F42" s="657"/>
      <c r="G42" s="649"/>
      <c r="H42" s="141"/>
      <c r="I42" s="652"/>
      <c r="J42" s="640"/>
      <c r="K42" s="643"/>
      <c r="L42" s="625"/>
      <c r="M42" s="646"/>
      <c r="N42" s="625">
        <f>IF(NOT(ISERROR(MATCH(M42,_xlfn.ANCHORARRAY(F53),0))),L55&amp;"Por favor no seleccionar los criterios de impacto",M42)</f>
        <v>0</v>
      </c>
      <c r="O42" s="643"/>
      <c r="P42" s="625"/>
      <c r="Q42" s="628"/>
      <c r="R42" s="105">
        <v>3</v>
      </c>
      <c r="S42" s="112"/>
      <c r="T42" s="107" t="str">
        <f t="shared" ref="T42:T45" si="65">IF(OR(U42="Preventivo",U42="Detectivo"),"Probabilidad",IF(U42="Correctivo","Impacto",""))</f>
        <v/>
      </c>
      <c r="U42" s="114"/>
      <c r="V42" s="114"/>
      <c r="W42" s="115" t="str">
        <f t="shared" si="61"/>
        <v/>
      </c>
      <c r="X42" s="114"/>
      <c r="Y42" s="114"/>
      <c r="Z42" s="114"/>
      <c r="AA42" s="108" t="str">
        <f>IFERROR(IF(AND(T41="Probabilidad",T42="Probabilidad"),(AC41-(+AC41*W42)),IF(AND(T41="Impacto",T42="Probabilidad"),(AC40-(+AC40*W42)),IF(T42="Impacto",AC41,""))),"")</f>
        <v/>
      </c>
      <c r="AB42" s="118" t="str">
        <f t="shared" si="62"/>
        <v/>
      </c>
      <c r="AC42" s="119" t="str">
        <f t="shared" ref="AC42:AC45" si="66">+AA42</f>
        <v/>
      </c>
      <c r="AD42" s="118" t="str">
        <f t="shared" si="63"/>
        <v/>
      </c>
      <c r="AE42" s="119" t="str">
        <f t="shared" ref="AE42:AE45" si="67">IFERROR(IF(AND(T41="Impacto",T42="Impacto"),(AE41-(+AE41*W42)),IF(AND(T41="Probabilidad",T42="Impacto"),(AE40-(+AE40*W42)),IF(T42="Probabilidad",AE41,""))),"")</f>
        <v/>
      </c>
      <c r="AF42" s="120" t="str">
        <f t="shared" si="64"/>
        <v/>
      </c>
      <c r="AG42" s="121"/>
      <c r="AH42" s="109"/>
      <c r="AI42" s="110"/>
      <c r="AJ42" s="111"/>
      <c r="AK42" s="111"/>
      <c r="AL42" s="109"/>
      <c r="AM42" s="110"/>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1" x14ac:dyDescent="0.3">
      <c r="A43" s="631"/>
      <c r="B43" s="634"/>
      <c r="C43" s="634"/>
      <c r="D43" s="655"/>
      <c r="E43" s="140"/>
      <c r="F43" s="657"/>
      <c r="G43" s="649"/>
      <c r="H43" s="141"/>
      <c r="I43" s="652"/>
      <c r="J43" s="640"/>
      <c r="K43" s="643"/>
      <c r="L43" s="625"/>
      <c r="M43" s="646"/>
      <c r="N43" s="625">
        <f>IF(NOT(ISERROR(MATCH(M43,_xlfn.ANCHORARRAY(F54),0))),L56&amp;"Por favor no seleccionar los criterios de impacto",M43)</f>
        <v>0</v>
      </c>
      <c r="O43" s="643"/>
      <c r="P43" s="625"/>
      <c r="Q43" s="628"/>
      <c r="R43" s="105">
        <v>4</v>
      </c>
      <c r="S43" s="106"/>
      <c r="T43" s="107" t="str">
        <f t="shared" si="65"/>
        <v/>
      </c>
      <c r="U43" s="114"/>
      <c r="V43" s="114"/>
      <c r="W43" s="115" t="str">
        <f t="shared" si="61"/>
        <v/>
      </c>
      <c r="X43" s="114"/>
      <c r="Y43" s="114"/>
      <c r="Z43" s="114"/>
      <c r="AA43" s="108" t="str">
        <f t="shared" ref="AA43:AA45" si="68">IFERROR(IF(AND(T42="Probabilidad",T43="Probabilidad"),(AC42-(+AC42*W43)),IF(AND(T42="Impacto",T43="Probabilidad"),(AC41-(+AC41*W43)),IF(T43="Impacto",AC42,""))),"")</f>
        <v/>
      </c>
      <c r="AB43" s="118" t="str">
        <f t="shared" si="62"/>
        <v/>
      </c>
      <c r="AC43" s="119" t="str">
        <f t="shared" si="66"/>
        <v/>
      </c>
      <c r="AD43" s="118" t="str">
        <f t="shared" si="63"/>
        <v/>
      </c>
      <c r="AE43" s="119" t="str">
        <f t="shared" si="67"/>
        <v/>
      </c>
      <c r="AF43" s="120" t="str">
        <f t="shared" si="64"/>
        <v/>
      </c>
      <c r="AG43" s="121"/>
      <c r="AH43" s="109"/>
      <c r="AI43" s="110"/>
      <c r="AJ43" s="111"/>
      <c r="AK43" s="111"/>
      <c r="AL43" s="109"/>
      <c r="AM43" s="110"/>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1" x14ac:dyDescent="0.3">
      <c r="A44" s="631"/>
      <c r="B44" s="634"/>
      <c r="C44" s="634"/>
      <c r="D44" s="655"/>
      <c r="E44" s="140"/>
      <c r="F44" s="657"/>
      <c r="G44" s="649"/>
      <c r="H44" s="141"/>
      <c r="I44" s="652"/>
      <c r="J44" s="640"/>
      <c r="K44" s="643"/>
      <c r="L44" s="625"/>
      <c r="M44" s="646"/>
      <c r="N44" s="625">
        <f>IF(NOT(ISERROR(MATCH(M44,_xlfn.ANCHORARRAY(F55),0))),L57&amp;"Por favor no seleccionar los criterios de impacto",M44)</f>
        <v>0</v>
      </c>
      <c r="O44" s="643"/>
      <c r="P44" s="625"/>
      <c r="Q44" s="628"/>
      <c r="R44" s="105">
        <v>5</v>
      </c>
      <c r="S44" s="106"/>
      <c r="T44" s="107" t="str">
        <f t="shared" si="65"/>
        <v/>
      </c>
      <c r="U44" s="114"/>
      <c r="V44" s="114"/>
      <c r="W44" s="115" t="str">
        <f t="shared" si="61"/>
        <v/>
      </c>
      <c r="X44" s="114"/>
      <c r="Y44" s="114"/>
      <c r="Z44" s="114"/>
      <c r="AA44" s="108" t="str">
        <f t="shared" si="68"/>
        <v/>
      </c>
      <c r="AB44" s="118" t="str">
        <f t="shared" si="62"/>
        <v/>
      </c>
      <c r="AC44" s="119" t="str">
        <f t="shared" si="66"/>
        <v/>
      </c>
      <c r="AD44" s="118" t="str">
        <f t="shared" si="63"/>
        <v/>
      </c>
      <c r="AE44" s="119" t="str">
        <f t="shared" si="67"/>
        <v/>
      </c>
      <c r="AF44" s="120" t="str">
        <f t="shared" si="64"/>
        <v/>
      </c>
      <c r="AG44" s="121"/>
      <c r="AH44" s="109"/>
      <c r="AI44" s="110"/>
      <c r="AJ44" s="111"/>
      <c r="AK44" s="111"/>
      <c r="AL44" s="109"/>
      <c r="AM44" s="110"/>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row>
    <row r="45" spans="1:71" x14ac:dyDescent="0.3">
      <c r="A45" s="632"/>
      <c r="B45" s="635"/>
      <c r="C45" s="635"/>
      <c r="D45" s="656"/>
      <c r="E45" s="140"/>
      <c r="F45" s="657"/>
      <c r="G45" s="650"/>
      <c r="H45" s="141"/>
      <c r="I45" s="653"/>
      <c r="J45" s="641"/>
      <c r="K45" s="644"/>
      <c r="L45" s="626"/>
      <c r="M45" s="647"/>
      <c r="N45" s="626">
        <f>IF(NOT(ISERROR(MATCH(M45,_xlfn.ANCHORARRAY(F56),0))),L58&amp;"Por favor no seleccionar los criterios de impacto",M45)</f>
        <v>0</v>
      </c>
      <c r="O45" s="644"/>
      <c r="P45" s="626"/>
      <c r="Q45" s="629"/>
      <c r="R45" s="105">
        <v>6</v>
      </c>
      <c r="S45" s="106"/>
      <c r="T45" s="107" t="str">
        <f t="shared" si="65"/>
        <v/>
      </c>
      <c r="U45" s="114"/>
      <c r="V45" s="114"/>
      <c r="W45" s="115" t="str">
        <f t="shared" si="61"/>
        <v/>
      </c>
      <c r="X45" s="114"/>
      <c r="Y45" s="114"/>
      <c r="Z45" s="114"/>
      <c r="AA45" s="108" t="str">
        <f t="shared" si="68"/>
        <v/>
      </c>
      <c r="AB45" s="118" t="str">
        <f t="shared" si="62"/>
        <v/>
      </c>
      <c r="AC45" s="119" t="str">
        <f t="shared" si="66"/>
        <v/>
      </c>
      <c r="AD45" s="118" t="str">
        <f t="shared" si="63"/>
        <v/>
      </c>
      <c r="AE45" s="119" t="str">
        <f t="shared" si="67"/>
        <v/>
      </c>
      <c r="AF45" s="120" t="str">
        <f t="shared" si="64"/>
        <v/>
      </c>
      <c r="AG45" s="121"/>
      <c r="AH45" s="109"/>
      <c r="AI45" s="110"/>
      <c r="AJ45" s="111"/>
      <c r="AK45" s="111"/>
      <c r="AL45" s="109"/>
      <c r="AM45" s="110"/>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row>
    <row r="46" spans="1:71" x14ac:dyDescent="0.3">
      <c r="A46" s="630">
        <v>7</v>
      </c>
      <c r="B46" s="633"/>
      <c r="C46" s="633"/>
      <c r="D46" s="633"/>
      <c r="E46" s="123"/>
      <c r="F46" s="637"/>
      <c r="G46" s="648"/>
      <c r="H46" s="126"/>
      <c r="I46" s="633"/>
      <c r="J46" s="639"/>
      <c r="K46" s="642" t="str">
        <f t="shared" ref="K46" si="69">IF(J46&lt;=0,"",IF(J46&lt;=2,"Muy Baja",IF(J46&lt;=24,"Baja",IF(J46&lt;=500,"Media",IF(J46&lt;=5000,"Alta","Muy Alta")))))</f>
        <v/>
      </c>
      <c r="L46" s="624" t="str">
        <f t="shared" ref="L46" si="70">IF(K46="","",IF(K46="Muy Baja",0.2,IF(K46="Baja",0.4,IF(K46="Media",0.6,IF(K46="Alta",0.8,IF(K46="Muy Alta",1,))))))</f>
        <v/>
      </c>
      <c r="M46" s="645"/>
      <c r="N46" s="624">
        <f>IF(NOT(ISERROR(MATCH(M46,'Tabla Impacto'!$B$221:$B$223,0))),'Tabla Impacto'!$F$223&amp;"Por favor no seleccionar los criterios de impacto(Afectación Económica o presupuestal y Pérdida Reputacional)",M46)</f>
        <v>0</v>
      </c>
      <c r="O46" s="642" t="str">
        <f>IF(OR(N46='Tabla Impacto'!$C$11,N46='Tabla Impacto'!$D$11),"Leve",IF(OR(N46='Tabla Impacto'!$C$12,N46='Tabla Impacto'!$D$12),"Menor",IF(OR(N46='Tabla Impacto'!$C$13,N46='Tabla Impacto'!$D$13),"Moderado",IF(OR(N46='Tabla Impacto'!$C$14,N46='Tabla Impacto'!$D$14),"Mayor",IF(OR(N46='Tabla Impacto'!$C$15,N46='Tabla Impacto'!$D$15),"Catastrófico","")))))</f>
        <v/>
      </c>
      <c r="P46" s="624" t="str">
        <f t="shared" ref="P46" si="71">IF(O46="","",IF(O46="Leve",0.2,IF(O46="Menor",0.4,IF(O46="Moderado",0.6,IF(O46="Mayor",0.8,IF(O46="Catastrófico",1,))))))</f>
        <v/>
      </c>
      <c r="Q46" s="627" t="str">
        <f t="shared" ref="Q46" si="72">IF(OR(AND(K46="Muy Baja",O46="Leve"),AND(K46="Muy Baja",O46="Menor"),AND(K46="Baja",O46="Leve")),"Bajo",IF(OR(AND(K46="Muy baja",O46="Moderado"),AND(K46="Baja",O46="Menor"),AND(K46="Baja",O46="Moderado"),AND(K46="Media",O46="Leve"),AND(K46="Media",O46="Menor"),AND(K46="Media",O46="Moderado"),AND(K46="Alta",O46="Leve"),AND(K46="Alta",O46="Menor")),"Moderado",IF(OR(AND(K46="Muy Baja",O46="Mayor"),AND(K46="Baja",O46="Mayor"),AND(K46="Media",O46="Mayor"),AND(K46="Alta",O46="Moderado"),AND(K46="Alta",O46="Mayor"),AND(K46="Muy Alta",O46="Leve"),AND(K46="Muy Alta",O46="Menor"),AND(K46="Muy Alta",O46="Moderado"),AND(K46="Muy Alta",O46="Mayor")),"Alto",IF(OR(AND(K46="Muy Baja",O46="Catastrófico"),AND(K46="Baja",O46="Catastrófico"),AND(K46="Media",O46="Catastrófico"),AND(K46="Alta",O46="Catastrófico"),AND(K46="Muy Alta",O46="Catastrófico")),"Extremo",""))))</f>
        <v/>
      </c>
      <c r="R46" s="105">
        <v>1</v>
      </c>
      <c r="S46" s="106"/>
      <c r="T46" s="107" t="str">
        <f>IF(OR(U46="Preventivo",U46="Detectivo"),"Probabilidad",IF(U46="Correctivo","Impacto",""))</f>
        <v/>
      </c>
      <c r="U46" s="114"/>
      <c r="V46" s="114"/>
      <c r="W46" s="115" t="str">
        <f>IF(AND(U46="Preventivo",V46="Automático"),"50%",IF(AND(U46="Preventivo",V46="Manual"),"40%",IF(AND(U46="Detectivo",V46="Automático"),"40%",IF(AND(U46="Detectivo",V46="Manual"),"30%",IF(AND(U46="Correctivo",V46="Automático"),"35%",IF(AND(U46="Correctivo",V46="Manual"),"25%",""))))))</f>
        <v/>
      </c>
      <c r="X46" s="114"/>
      <c r="Y46" s="114"/>
      <c r="Z46" s="114"/>
      <c r="AA46" s="108" t="str">
        <f>IFERROR(IF(T46="Probabilidad",(L46-(+L46*W46)),IF(T46="Impacto",L46,"")),"")</f>
        <v/>
      </c>
      <c r="AB46" s="118" t="str">
        <f>IFERROR(IF(AA46="","",IF(AA46&lt;=0.2,"Muy Baja",IF(AA46&lt;=0.4,"Baja",IF(AA46&lt;=0.6,"Media",IF(AA46&lt;=0.8,"Alta","Muy Alta"))))),"")</f>
        <v/>
      </c>
      <c r="AC46" s="119" t="str">
        <f>+AA46</f>
        <v/>
      </c>
      <c r="AD46" s="118" t="str">
        <f>IFERROR(IF(AE46="","",IF(AE46&lt;=0.2,"Leve",IF(AE46&lt;=0.4,"Menor",IF(AE46&lt;=0.6,"Moderado",IF(AE46&lt;=0.8,"Mayor","Catastrófico"))))),"")</f>
        <v/>
      </c>
      <c r="AE46" s="119" t="str">
        <f>IFERROR(IF(T46="Impacto",(P46-(+P46*W46)),IF(T46="Probabilidad",P46,"")),"")</f>
        <v/>
      </c>
      <c r="AF46" s="120" t="str">
        <f>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121"/>
      <c r="AH46" s="109"/>
      <c r="AI46" s="110"/>
      <c r="AJ46" s="111"/>
      <c r="AK46" s="111"/>
      <c r="AL46" s="109"/>
      <c r="AM46" s="110"/>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row>
    <row r="47" spans="1:71" x14ac:dyDescent="0.3">
      <c r="A47" s="631"/>
      <c r="B47" s="634"/>
      <c r="C47" s="634"/>
      <c r="D47" s="634"/>
      <c r="E47" s="123"/>
      <c r="F47" s="637"/>
      <c r="G47" s="649"/>
      <c r="H47" s="126"/>
      <c r="I47" s="634"/>
      <c r="J47" s="640"/>
      <c r="K47" s="643"/>
      <c r="L47" s="625"/>
      <c r="M47" s="646"/>
      <c r="N47" s="625">
        <f>IF(NOT(ISERROR(MATCH(M47,_xlfn.ANCHORARRAY(F58),0))),L60&amp;"Por favor no seleccionar los criterios de impacto",M47)</f>
        <v>0</v>
      </c>
      <c r="O47" s="643"/>
      <c r="P47" s="625"/>
      <c r="Q47" s="628"/>
      <c r="R47" s="105">
        <v>2</v>
      </c>
      <c r="S47" s="106"/>
      <c r="T47" s="107" t="str">
        <f>IF(OR(U47="Preventivo",U47="Detectivo"),"Probabilidad",IF(U47="Correctivo","Impacto",""))</f>
        <v/>
      </c>
      <c r="U47" s="114"/>
      <c r="V47" s="114"/>
      <c r="W47" s="115" t="str">
        <f t="shared" ref="W47:W51" si="73">IF(AND(U47="Preventivo",V47="Automático"),"50%",IF(AND(U47="Preventivo",V47="Manual"),"40%",IF(AND(U47="Detectivo",V47="Automático"),"40%",IF(AND(U47="Detectivo",V47="Manual"),"30%",IF(AND(U47="Correctivo",V47="Automático"),"35%",IF(AND(U47="Correctivo",V47="Manual"),"25%",""))))))</f>
        <v/>
      </c>
      <c r="X47" s="114"/>
      <c r="Y47" s="114"/>
      <c r="Z47" s="114"/>
      <c r="AA47" s="108" t="str">
        <f>IFERROR(IF(AND(T46="Probabilidad",T47="Probabilidad"),(AC46-(+AC46*W47)),IF(AND(T46="Impacto",T47="Probabilidad"),(L46-(+L46*W47)),IF(T47="Impacto",AC46,""))),"")</f>
        <v/>
      </c>
      <c r="AB47" s="118" t="str">
        <f t="shared" ref="AB47:AB51" si="74">IFERROR(IF(AA47="","",IF(AA47&lt;=0.2,"Muy Baja",IF(AA47&lt;=0.4,"Baja",IF(AA47&lt;=0.6,"Media",IF(AA47&lt;=0.8,"Alta","Muy Alta"))))),"")</f>
        <v/>
      </c>
      <c r="AC47" s="119" t="str">
        <f>+AA47</f>
        <v/>
      </c>
      <c r="AD47" s="118" t="str">
        <f t="shared" ref="AD47:AD51" si="75">IFERROR(IF(AE47="","",IF(AE47&lt;=0.2,"Leve",IF(AE47&lt;=0.4,"Menor",IF(AE47&lt;=0.6,"Moderado",IF(AE47&lt;=0.8,"Mayor","Catastrófico"))))),"")</f>
        <v/>
      </c>
      <c r="AE47" s="119" t="str">
        <f>IFERROR(IF(AND(T46="Impacto",T47="Impacto"),(AE46-(+AE46*W47)),IF(AND(T46="Probabilidad",T47="Impacto"),(P46-(+P46*W47)),IF(T47="Probabilidad",AE46,""))),"")</f>
        <v/>
      </c>
      <c r="AF47" s="120" t="str">
        <f t="shared" ref="AF47:AF51" si="76">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
      </c>
      <c r="AG47" s="121"/>
      <c r="AH47" s="109"/>
      <c r="AI47" s="110"/>
      <c r="AJ47" s="111"/>
      <c r="AK47" s="111"/>
      <c r="AL47" s="109"/>
      <c r="AM47" s="110"/>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row>
    <row r="48" spans="1:71" x14ac:dyDescent="0.3">
      <c r="A48" s="631"/>
      <c r="B48" s="634"/>
      <c r="C48" s="634"/>
      <c r="D48" s="634"/>
      <c r="E48" s="123"/>
      <c r="F48" s="637"/>
      <c r="G48" s="649"/>
      <c r="H48" s="126"/>
      <c r="I48" s="634"/>
      <c r="J48" s="640"/>
      <c r="K48" s="643"/>
      <c r="L48" s="625"/>
      <c r="M48" s="646"/>
      <c r="N48" s="625">
        <f>IF(NOT(ISERROR(MATCH(M48,_xlfn.ANCHORARRAY(F59),0))),L61&amp;"Por favor no seleccionar los criterios de impacto",M48)</f>
        <v>0</v>
      </c>
      <c r="O48" s="643"/>
      <c r="P48" s="625"/>
      <c r="Q48" s="628"/>
      <c r="R48" s="105">
        <v>3</v>
      </c>
      <c r="S48" s="112"/>
      <c r="T48" s="107" t="str">
        <f t="shared" ref="T48:T51" si="77">IF(OR(U48="Preventivo",U48="Detectivo"),"Probabilidad",IF(U48="Correctivo","Impacto",""))</f>
        <v/>
      </c>
      <c r="U48" s="114"/>
      <c r="V48" s="114"/>
      <c r="W48" s="115" t="str">
        <f t="shared" si="73"/>
        <v/>
      </c>
      <c r="X48" s="114"/>
      <c r="Y48" s="114"/>
      <c r="Z48" s="114"/>
      <c r="AA48" s="108" t="str">
        <f>IFERROR(IF(AND(T47="Probabilidad",T48="Probabilidad"),(AC47-(+AC47*W48)),IF(AND(T47="Impacto",T48="Probabilidad"),(AC46-(+AC46*W48)),IF(T48="Impacto",AC47,""))),"")</f>
        <v/>
      </c>
      <c r="AB48" s="118" t="str">
        <f t="shared" si="74"/>
        <v/>
      </c>
      <c r="AC48" s="119" t="str">
        <f t="shared" ref="AC48:AC51" si="78">+AA48</f>
        <v/>
      </c>
      <c r="AD48" s="118" t="str">
        <f t="shared" si="75"/>
        <v/>
      </c>
      <c r="AE48" s="119" t="str">
        <f t="shared" ref="AE48:AE51" si="79">IFERROR(IF(AND(T47="Impacto",T48="Impacto"),(AE47-(+AE47*W48)),IF(AND(T47="Probabilidad",T48="Impacto"),(AE46-(+AE46*W48)),IF(T48="Probabilidad",AE47,""))),"")</f>
        <v/>
      </c>
      <c r="AF48" s="120" t="str">
        <f t="shared" si="76"/>
        <v/>
      </c>
      <c r="AG48" s="121"/>
      <c r="AH48" s="109"/>
      <c r="AI48" s="110"/>
      <c r="AJ48" s="111"/>
      <c r="AK48" s="111"/>
      <c r="AL48" s="109"/>
      <c r="AM48" s="110"/>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1" x14ac:dyDescent="0.3">
      <c r="A49" s="631"/>
      <c r="B49" s="634"/>
      <c r="C49" s="634"/>
      <c r="D49" s="634"/>
      <c r="E49" s="123"/>
      <c r="F49" s="637"/>
      <c r="G49" s="649"/>
      <c r="H49" s="126"/>
      <c r="I49" s="634"/>
      <c r="J49" s="640"/>
      <c r="K49" s="643"/>
      <c r="L49" s="625"/>
      <c r="M49" s="646"/>
      <c r="N49" s="625">
        <f>IF(NOT(ISERROR(MATCH(M49,_xlfn.ANCHORARRAY(F60),0))),L62&amp;"Por favor no seleccionar los criterios de impacto",M49)</f>
        <v>0</v>
      </c>
      <c r="O49" s="643"/>
      <c r="P49" s="625"/>
      <c r="Q49" s="628"/>
      <c r="R49" s="105">
        <v>4</v>
      </c>
      <c r="S49" s="106"/>
      <c r="T49" s="107" t="str">
        <f t="shared" si="77"/>
        <v/>
      </c>
      <c r="U49" s="114"/>
      <c r="V49" s="114"/>
      <c r="W49" s="115" t="str">
        <f t="shared" si="73"/>
        <v/>
      </c>
      <c r="X49" s="114"/>
      <c r="Y49" s="114"/>
      <c r="Z49" s="114"/>
      <c r="AA49" s="108" t="str">
        <f t="shared" ref="AA49:AA51" si="80">IFERROR(IF(AND(T48="Probabilidad",T49="Probabilidad"),(AC48-(+AC48*W49)),IF(AND(T48="Impacto",T49="Probabilidad"),(AC47-(+AC47*W49)),IF(T49="Impacto",AC48,""))),"")</f>
        <v/>
      </c>
      <c r="AB49" s="118" t="str">
        <f t="shared" si="74"/>
        <v/>
      </c>
      <c r="AC49" s="119" t="str">
        <f t="shared" si="78"/>
        <v/>
      </c>
      <c r="AD49" s="118" t="str">
        <f t="shared" si="75"/>
        <v/>
      </c>
      <c r="AE49" s="119" t="str">
        <f t="shared" si="79"/>
        <v/>
      </c>
      <c r="AF49" s="120" t="str">
        <f t="shared" si="76"/>
        <v/>
      </c>
      <c r="AG49" s="121"/>
      <c r="AH49" s="109"/>
      <c r="AI49" s="110"/>
      <c r="AJ49" s="111"/>
      <c r="AK49" s="111"/>
      <c r="AL49" s="109"/>
      <c r="AM49" s="110"/>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1" x14ac:dyDescent="0.3">
      <c r="A50" s="631"/>
      <c r="B50" s="634"/>
      <c r="C50" s="634"/>
      <c r="D50" s="634"/>
      <c r="E50" s="123"/>
      <c r="F50" s="637"/>
      <c r="G50" s="649"/>
      <c r="H50" s="126"/>
      <c r="I50" s="634"/>
      <c r="J50" s="640"/>
      <c r="K50" s="643"/>
      <c r="L50" s="625"/>
      <c r="M50" s="646"/>
      <c r="N50" s="625">
        <f>IF(NOT(ISERROR(MATCH(M50,_xlfn.ANCHORARRAY(F61),0))),L63&amp;"Por favor no seleccionar los criterios de impacto",M50)</f>
        <v>0</v>
      </c>
      <c r="O50" s="643"/>
      <c r="P50" s="625"/>
      <c r="Q50" s="628"/>
      <c r="R50" s="105">
        <v>5</v>
      </c>
      <c r="S50" s="106"/>
      <c r="T50" s="107" t="str">
        <f t="shared" si="77"/>
        <v/>
      </c>
      <c r="U50" s="114"/>
      <c r="V50" s="114"/>
      <c r="W50" s="115" t="str">
        <f t="shared" si="73"/>
        <v/>
      </c>
      <c r="X50" s="114"/>
      <c r="Y50" s="114"/>
      <c r="Z50" s="114"/>
      <c r="AA50" s="108" t="str">
        <f t="shared" si="80"/>
        <v/>
      </c>
      <c r="AB50" s="118" t="str">
        <f t="shared" si="74"/>
        <v/>
      </c>
      <c r="AC50" s="119" t="str">
        <f t="shared" si="78"/>
        <v/>
      </c>
      <c r="AD50" s="118" t="str">
        <f t="shared" si="75"/>
        <v/>
      </c>
      <c r="AE50" s="119" t="str">
        <f t="shared" si="79"/>
        <v/>
      </c>
      <c r="AF50" s="120" t="str">
        <f t="shared" si="76"/>
        <v/>
      </c>
      <c r="AG50" s="121"/>
      <c r="AH50" s="109"/>
      <c r="AI50" s="110"/>
      <c r="AJ50" s="111"/>
      <c r="AK50" s="111"/>
      <c r="AL50" s="109"/>
      <c r="AM50" s="110"/>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row>
    <row r="51" spans="1:71" x14ac:dyDescent="0.3">
      <c r="A51" s="632"/>
      <c r="B51" s="635"/>
      <c r="C51" s="635"/>
      <c r="D51" s="635"/>
      <c r="E51" s="124"/>
      <c r="F51" s="638"/>
      <c r="G51" s="650"/>
      <c r="H51" s="127"/>
      <c r="I51" s="635"/>
      <c r="J51" s="641"/>
      <c r="K51" s="644"/>
      <c r="L51" s="626"/>
      <c r="M51" s="647"/>
      <c r="N51" s="626">
        <f>IF(NOT(ISERROR(MATCH(M51,_xlfn.ANCHORARRAY(F62),0))),L64&amp;"Por favor no seleccionar los criterios de impacto",M51)</f>
        <v>0</v>
      </c>
      <c r="O51" s="644"/>
      <c r="P51" s="626"/>
      <c r="Q51" s="629"/>
      <c r="R51" s="105">
        <v>6</v>
      </c>
      <c r="S51" s="106"/>
      <c r="T51" s="107" t="str">
        <f t="shared" si="77"/>
        <v/>
      </c>
      <c r="U51" s="114"/>
      <c r="V51" s="114"/>
      <c r="W51" s="115" t="str">
        <f t="shared" si="73"/>
        <v/>
      </c>
      <c r="X51" s="114"/>
      <c r="Y51" s="114"/>
      <c r="Z51" s="114"/>
      <c r="AA51" s="108" t="str">
        <f t="shared" si="80"/>
        <v/>
      </c>
      <c r="AB51" s="118" t="str">
        <f t="shared" si="74"/>
        <v/>
      </c>
      <c r="AC51" s="119" t="str">
        <f t="shared" si="78"/>
        <v/>
      </c>
      <c r="AD51" s="118" t="str">
        <f t="shared" si="75"/>
        <v/>
      </c>
      <c r="AE51" s="119" t="str">
        <f t="shared" si="79"/>
        <v/>
      </c>
      <c r="AF51" s="120" t="str">
        <f t="shared" si="76"/>
        <v/>
      </c>
      <c r="AG51" s="121"/>
      <c r="AH51" s="109"/>
      <c r="AI51" s="110"/>
      <c r="AJ51" s="111"/>
      <c r="AK51" s="111"/>
      <c r="AL51" s="109"/>
      <c r="AM51" s="110"/>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row>
    <row r="52" spans="1:71" x14ac:dyDescent="0.3">
      <c r="A52" s="630">
        <v>8</v>
      </c>
      <c r="B52" s="633"/>
      <c r="C52" s="633"/>
      <c r="D52" s="633"/>
      <c r="E52" s="122"/>
      <c r="F52" s="636"/>
      <c r="G52" s="648"/>
      <c r="H52" s="125"/>
      <c r="I52" s="633"/>
      <c r="J52" s="639"/>
      <c r="K52" s="642" t="str">
        <f t="shared" ref="K52" si="81">IF(J52&lt;=0,"",IF(J52&lt;=2,"Muy Baja",IF(J52&lt;=24,"Baja",IF(J52&lt;=500,"Media",IF(J52&lt;=5000,"Alta","Muy Alta")))))</f>
        <v/>
      </c>
      <c r="L52" s="624" t="str">
        <f t="shared" ref="L52" si="82">IF(K52="","",IF(K52="Muy Baja",0.2,IF(K52="Baja",0.4,IF(K52="Media",0.6,IF(K52="Alta",0.8,IF(K52="Muy Alta",1,))))))</f>
        <v/>
      </c>
      <c r="M52" s="645"/>
      <c r="N52" s="624">
        <f>IF(NOT(ISERROR(MATCH(M52,'Tabla Impacto'!$B$221:$B$223,0))),'Tabla Impacto'!$F$223&amp;"Por favor no seleccionar los criterios de impacto(Afectación Económica o presupuestal y Pérdida Reputacional)",M52)</f>
        <v>0</v>
      </c>
      <c r="O52" s="642" t="str">
        <f>IF(OR(N52='Tabla Impacto'!$C$11,N52='Tabla Impacto'!$D$11),"Leve",IF(OR(N52='Tabla Impacto'!$C$12,N52='Tabla Impacto'!$D$12),"Menor",IF(OR(N52='Tabla Impacto'!$C$13,N52='Tabla Impacto'!$D$13),"Moderado",IF(OR(N52='Tabla Impacto'!$C$14,N52='Tabla Impacto'!$D$14),"Mayor",IF(OR(N52='Tabla Impacto'!$C$15,N52='Tabla Impacto'!$D$15),"Catastrófico","")))))</f>
        <v/>
      </c>
      <c r="P52" s="624" t="str">
        <f t="shared" ref="P52" si="83">IF(O52="","",IF(O52="Leve",0.2,IF(O52="Menor",0.4,IF(O52="Moderado",0.6,IF(O52="Mayor",0.8,IF(O52="Catastrófico",1,))))))</f>
        <v/>
      </c>
      <c r="Q52" s="627" t="str">
        <f t="shared" ref="Q52" si="84">IF(OR(AND(K52="Muy Baja",O52="Leve"),AND(K52="Muy Baja",O52="Menor"),AND(K52="Baja",O52="Leve")),"Bajo",IF(OR(AND(K52="Muy baja",O52="Moderado"),AND(K52="Baja",O52="Menor"),AND(K52="Baja",O52="Moderado"),AND(K52="Media",O52="Leve"),AND(K52="Media",O52="Menor"),AND(K52="Media",O52="Moderado"),AND(K52="Alta",O52="Leve"),AND(K52="Alta",O52="Menor")),"Moderado",IF(OR(AND(K52="Muy Baja",O52="Mayor"),AND(K52="Baja",O52="Mayor"),AND(K52="Media",O52="Mayor"),AND(K52="Alta",O52="Moderado"),AND(K52="Alta",O52="Mayor"),AND(K52="Muy Alta",O52="Leve"),AND(K52="Muy Alta",O52="Menor"),AND(K52="Muy Alta",O52="Moderado"),AND(K52="Muy Alta",O52="Mayor")),"Alto",IF(OR(AND(K52="Muy Baja",O52="Catastrófico"),AND(K52="Baja",O52="Catastrófico"),AND(K52="Media",O52="Catastrófico"),AND(K52="Alta",O52="Catastrófico"),AND(K52="Muy Alta",O52="Catastrófico")),"Extremo",""))))</f>
        <v/>
      </c>
      <c r="R52" s="105">
        <v>1</v>
      </c>
      <c r="S52" s="106"/>
      <c r="T52" s="107" t="str">
        <f>IF(OR(U52="Preventivo",U52="Detectivo"),"Probabilidad",IF(U52="Correctivo","Impacto",""))</f>
        <v/>
      </c>
      <c r="U52" s="114"/>
      <c r="V52" s="114"/>
      <c r="W52" s="115" t="str">
        <f>IF(AND(U52="Preventivo",V52="Automático"),"50%",IF(AND(U52="Preventivo",V52="Manual"),"40%",IF(AND(U52="Detectivo",V52="Automático"),"40%",IF(AND(U52="Detectivo",V52="Manual"),"30%",IF(AND(U52="Correctivo",V52="Automático"),"35%",IF(AND(U52="Correctivo",V52="Manual"),"25%",""))))))</f>
        <v/>
      </c>
      <c r="X52" s="114"/>
      <c r="Y52" s="114"/>
      <c r="Z52" s="114"/>
      <c r="AA52" s="108" t="str">
        <f>IFERROR(IF(T52="Probabilidad",(L52-(+L52*W52)),IF(T52="Impacto",L52,"")),"")</f>
        <v/>
      </c>
      <c r="AB52" s="118" t="str">
        <f>IFERROR(IF(AA52="","",IF(AA52&lt;=0.2,"Muy Baja",IF(AA52&lt;=0.4,"Baja",IF(AA52&lt;=0.6,"Media",IF(AA52&lt;=0.8,"Alta","Muy Alta"))))),"")</f>
        <v/>
      </c>
      <c r="AC52" s="119" t="str">
        <f>+AA52</f>
        <v/>
      </c>
      <c r="AD52" s="118" t="str">
        <f>IFERROR(IF(AE52="","",IF(AE52&lt;=0.2,"Leve",IF(AE52&lt;=0.4,"Menor",IF(AE52&lt;=0.6,"Moderado",IF(AE52&lt;=0.8,"Mayor","Catastrófico"))))),"")</f>
        <v/>
      </c>
      <c r="AE52" s="119" t="str">
        <f>IFERROR(IF(T52="Impacto",(P52-(+P52*W52)),IF(T52="Probabilidad",P52,"")),"")</f>
        <v/>
      </c>
      <c r="AF52" s="120" t="str">
        <f>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
      </c>
      <c r="AG52" s="121"/>
      <c r="AH52" s="109"/>
      <c r="AI52" s="110"/>
      <c r="AJ52" s="111"/>
      <c r="AK52" s="111"/>
      <c r="AL52" s="109"/>
      <c r="AM52" s="110"/>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row>
    <row r="53" spans="1:71" x14ac:dyDescent="0.3">
      <c r="A53" s="631"/>
      <c r="B53" s="634"/>
      <c r="C53" s="634"/>
      <c r="D53" s="634"/>
      <c r="E53" s="123"/>
      <c r="F53" s="637"/>
      <c r="G53" s="649"/>
      <c r="H53" s="126"/>
      <c r="I53" s="634"/>
      <c r="J53" s="640"/>
      <c r="K53" s="643"/>
      <c r="L53" s="625"/>
      <c r="M53" s="646"/>
      <c r="N53" s="625">
        <f>IF(NOT(ISERROR(MATCH(M53,_xlfn.ANCHORARRAY(F64),0))),L66&amp;"Por favor no seleccionar los criterios de impacto",M53)</f>
        <v>0</v>
      </c>
      <c r="O53" s="643"/>
      <c r="P53" s="625"/>
      <c r="Q53" s="628"/>
      <c r="R53" s="105">
        <v>2</v>
      </c>
      <c r="S53" s="106"/>
      <c r="T53" s="107" t="str">
        <f>IF(OR(U53="Preventivo",U53="Detectivo"),"Probabilidad",IF(U53="Correctivo","Impacto",""))</f>
        <v/>
      </c>
      <c r="U53" s="114"/>
      <c r="V53" s="114"/>
      <c r="W53" s="115" t="str">
        <f t="shared" ref="W53:W57" si="85">IF(AND(U53="Preventivo",V53="Automático"),"50%",IF(AND(U53="Preventivo",V53="Manual"),"40%",IF(AND(U53="Detectivo",V53="Automático"),"40%",IF(AND(U53="Detectivo",V53="Manual"),"30%",IF(AND(U53="Correctivo",V53="Automático"),"35%",IF(AND(U53="Correctivo",V53="Manual"),"25%",""))))))</f>
        <v/>
      </c>
      <c r="X53" s="114"/>
      <c r="Y53" s="114"/>
      <c r="Z53" s="114"/>
      <c r="AA53" s="108" t="str">
        <f>IFERROR(IF(AND(T52="Probabilidad",T53="Probabilidad"),(AC52-(+AC52*W53)),IF(AND(T52="Impacto",T53="Probabilidad"),(L52-(+L52*W53)),IF(T53="Impacto",AC52,""))),"")</f>
        <v/>
      </c>
      <c r="AB53" s="118" t="str">
        <f t="shared" ref="AB53:AB57" si="86">IFERROR(IF(AA53="","",IF(AA53&lt;=0.2,"Muy Baja",IF(AA53&lt;=0.4,"Baja",IF(AA53&lt;=0.6,"Media",IF(AA53&lt;=0.8,"Alta","Muy Alta"))))),"")</f>
        <v/>
      </c>
      <c r="AC53" s="119" t="str">
        <f>+AA53</f>
        <v/>
      </c>
      <c r="AD53" s="118" t="str">
        <f t="shared" ref="AD53:AD57" si="87">IFERROR(IF(AE53="","",IF(AE53&lt;=0.2,"Leve",IF(AE53&lt;=0.4,"Menor",IF(AE53&lt;=0.6,"Moderado",IF(AE53&lt;=0.8,"Mayor","Catastrófico"))))),"")</f>
        <v/>
      </c>
      <c r="AE53" s="119" t="str">
        <f>IFERROR(IF(AND(T52="Impacto",T53="Impacto"),(AE52-(+AE52*W53)),IF(AND(T52="Probabilidad",T53="Impacto"),(P52-(+P52*W53)),IF(T53="Probabilidad",AE52,""))),"")</f>
        <v/>
      </c>
      <c r="AF53" s="120" t="str">
        <f t="shared" ref="AF53:AF57" si="88">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
      </c>
      <c r="AG53" s="121"/>
      <c r="AH53" s="109"/>
      <c r="AI53" s="110"/>
      <c r="AJ53" s="111"/>
      <c r="AK53" s="111"/>
      <c r="AL53" s="109"/>
      <c r="AM53" s="110"/>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row>
    <row r="54" spans="1:71" x14ac:dyDescent="0.3">
      <c r="A54" s="631"/>
      <c r="B54" s="634"/>
      <c r="C54" s="634"/>
      <c r="D54" s="634"/>
      <c r="E54" s="123"/>
      <c r="F54" s="637"/>
      <c r="G54" s="649"/>
      <c r="H54" s="126"/>
      <c r="I54" s="634"/>
      <c r="J54" s="640"/>
      <c r="K54" s="643"/>
      <c r="L54" s="625"/>
      <c r="M54" s="646"/>
      <c r="N54" s="625">
        <f>IF(NOT(ISERROR(MATCH(M54,_xlfn.ANCHORARRAY(F65),0))),L67&amp;"Por favor no seleccionar los criterios de impacto",M54)</f>
        <v>0</v>
      </c>
      <c r="O54" s="643"/>
      <c r="P54" s="625"/>
      <c r="Q54" s="628"/>
      <c r="R54" s="105">
        <v>3</v>
      </c>
      <c r="S54" s="112"/>
      <c r="T54" s="107" t="str">
        <f t="shared" ref="T54:T57" si="89">IF(OR(U54="Preventivo",U54="Detectivo"),"Probabilidad",IF(U54="Correctivo","Impacto",""))</f>
        <v/>
      </c>
      <c r="U54" s="114"/>
      <c r="V54" s="114"/>
      <c r="W54" s="115" t="str">
        <f t="shared" si="85"/>
        <v/>
      </c>
      <c r="X54" s="114"/>
      <c r="Y54" s="114"/>
      <c r="Z54" s="114"/>
      <c r="AA54" s="108" t="str">
        <f>IFERROR(IF(AND(T53="Probabilidad",T54="Probabilidad"),(AC53-(+AC53*W54)),IF(AND(T53="Impacto",T54="Probabilidad"),(AC52-(+AC52*W54)),IF(T54="Impacto",AC53,""))),"")</f>
        <v/>
      </c>
      <c r="AB54" s="118" t="str">
        <f t="shared" si="86"/>
        <v/>
      </c>
      <c r="AC54" s="119" t="str">
        <f t="shared" ref="AC54:AC57" si="90">+AA54</f>
        <v/>
      </c>
      <c r="AD54" s="118" t="str">
        <f t="shared" si="87"/>
        <v/>
      </c>
      <c r="AE54" s="119" t="str">
        <f t="shared" ref="AE54:AE57" si="91">IFERROR(IF(AND(T53="Impacto",T54="Impacto"),(AE53-(+AE53*W54)),IF(AND(T53="Probabilidad",T54="Impacto"),(AE52-(+AE52*W54)),IF(T54="Probabilidad",AE53,""))),"")</f>
        <v/>
      </c>
      <c r="AF54" s="120" t="str">
        <f t="shared" si="88"/>
        <v/>
      </c>
      <c r="AG54" s="121"/>
      <c r="AH54" s="109"/>
      <c r="AI54" s="110"/>
      <c r="AJ54" s="111"/>
      <c r="AK54" s="111"/>
      <c r="AL54" s="109"/>
      <c r="AM54" s="110"/>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row>
    <row r="55" spans="1:71" x14ac:dyDescent="0.3">
      <c r="A55" s="631"/>
      <c r="B55" s="634"/>
      <c r="C55" s="634"/>
      <c r="D55" s="634"/>
      <c r="E55" s="123"/>
      <c r="F55" s="637"/>
      <c r="G55" s="649"/>
      <c r="H55" s="126"/>
      <c r="I55" s="634"/>
      <c r="J55" s="640"/>
      <c r="K55" s="643"/>
      <c r="L55" s="625"/>
      <c r="M55" s="646"/>
      <c r="N55" s="625">
        <f>IF(NOT(ISERROR(MATCH(M55,_xlfn.ANCHORARRAY(F66),0))),L68&amp;"Por favor no seleccionar los criterios de impacto",M55)</f>
        <v>0</v>
      </c>
      <c r="O55" s="643"/>
      <c r="P55" s="625"/>
      <c r="Q55" s="628"/>
      <c r="R55" s="105">
        <v>4</v>
      </c>
      <c r="S55" s="106"/>
      <c r="T55" s="107" t="str">
        <f t="shared" si="89"/>
        <v/>
      </c>
      <c r="U55" s="114"/>
      <c r="V55" s="114"/>
      <c r="W55" s="115" t="str">
        <f t="shared" si="85"/>
        <v/>
      </c>
      <c r="X55" s="114"/>
      <c r="Y55" s="114"/>
      <c r="Z55" s="114"/>
      <c r="AA55" s="108" t="str">
        <f t="shared" ref="AA55:AA57" si="92">IFERROR(IF(AND(T54="Probabilidad",T55="Probabilidad"),(AC54-(+AC54*W55)),IF(AND(T54="Impacto",T55="Probabilidad"),(AC53-(+AC53*W55)),IF(T55="Impacto",AC54,""))),"")</f>
        <v/>
      </c>
      <c r="AB55" s="118" t="str">
        <f t="shared" si="86"/>
        <v/>
      </c>
      <c r="AC55" s="119" t="str">
        <f t="shared" si="90"/>
        <v/>
      </c>
      <c r="AD55" s="118" t="str">
        <f t="shared" si="87"/>
        <v/>
      </c>
      <c r="AE55" s="119" t="str">
        <f t="shared" si="91"/>
        <v/>
      </c>
      <c r="AF55" s="120" t="str">
        <f t="shared" si="88"/>
        <v/>
      </c>
      <c r="AG55" s="121"/>
      <c r="AH55" s="109"/>
      <c r="AI55" s="110"/>
      <c r="AJ55" s="111"/>
      <c r="AK55" s="111"/>
      <c r="AL55" s="109"/>
      <c r="AM55" s="110"/>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row>
    <row r="56" spans="1:71" x14ac:dyDescent="0.3">
      <c r="A56" s="631"/>
      <c r="B56" s="634"/>
      <c r="C56" s="634"/>
      <c r="D56" s="634"/>
      <c r="E56" s="123"/>
      <c r="F56" s="637"/>
      <c r="G56" s="649"/>
      <c r="H56" s="126"/>
      <c r="I56" s="634"/>
      <c r="J56" s="640"/>
      <c r="K56" s="643"/>
      <c r="L56" s="625"/>
      <c r="M56" s="646"/>
      <c r="N56" s="625">
        <f>IF(NOT(ISERROR(MATCH(M56,_xlfn.ANCHORARRAY(F67),0))),L69&amp;"Por favor no seleccionar los criterios de impacto",M56)</f>
        <v>0</v>
      </c>
      <c r="O56" s="643"/>
      <c r="P56" s="625"/>
      <c r="Q56" s="628"/>
      <c r="R56" s="105">
        <v>5</v>
      </c>
      <c r="S56" s="106"/>
      <c r="T56" s="107" t="str">
        <f t="shared" si="89"/>
        <v/>
      </c>
      <c r="U56" s="114"/>
      <c r="V56" s="114"/>
      <c r="W56" s="115" t="str">
        <f t="shared" si="85"/>
        <v/>
      </c>
      <c r="X56" s="114"/>
      <c r="Y56" s="114"/>
      <c r="Z56" s="114"/>
      <c r="AA56" s="108" t="str">
        <f t="shared" si="92"/>
        <v/>
      </c>
      <c r="AB56" s="118" t="str">
        <f t="shared" si="86"/>
        <v/>
      </c>
      <c r="AC56" s="119" t="str">
        <f t="shared" si="90"/>
        <v/>
      </c>
      <c r="AD56" s="118" t="str">
        <f t="shared" si="87"/>
        <v/>
      </c>
      <c r="AE56" s="119" t="str">
        <f t="shared" si="91"/>
        <v/>
      </c>
      <c r="AF56" s="120" t="str">
        <f t="shared" si="88"/>
        <v/>
      </c>
      <c r="AG56" s="121"/>
      <c r="AH56" s="109"/>
      <c r="AI56" s="110"/>
      <c r="AJ56" s="111"/>
      <c r="AK56" s="111"/>
      <c r="AL56" s="109"/>
      <c r="AM56" s="110"/>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row>
    <row r="57" spans="1:71" x14ac:dyDescent="0.3">
      <c r="A57" s="632"/>
      <c r="B57" s="635"/>
      <c r="C57" s="635"/>
      <c r="D57" s="635"/>
      <c r="E57" s="124"/>
      <c r="F57" s="638"/>
      <c r="G57" s="650"/>
      <c r="H57" s="127"/>
      <c r="I57" s="635"/>
      <c r="J57" s="641"/>
      <c r="K57" s="644"/>
      <c r="L57" s="626"/>
      <c r="M57" s="647"/>
      <c r="N57" s="626">
        <f>IF(NOT(ISERROR(MATCH(M57,_xlfn.ANCHORARRAY(F68),0))),L70&amp;"Por favor no seleccionar los criterios de impacto",M57)</f>
        <v>0</v>
      </c>
      <c r="O57" s="644"/>
      <c r="P57" s="626"/>
      <c r="Q57" s="629"/>
      <c r="R57" s="105">
        <v>6</v>
      </c>
      <c r="S57" s="106"/>
      <c r="T57" s="107" t="str">
        <f t="shared" si="89"/>
        <v/>
      </c>
      <c r="U57" s="114"/>
      <c r="V57" s="114"/>
      <c r="W57" s="115" t="str">
        <f t="shared" si="85"/>
        <v/>
      </c>
      <c r="X57" s="114"/>
      <c r="Y57" s="114"/>
      <c r="Z57" s="114"/>
      <c r="AA57" s="108" t="str">
        <f t="shared" si="92"/>
        <v/>
      </c>
      <c r="AB57" s="118" t="str">
        <f t="shared" si="86"/>
        <v/>
      </c>
      <c r="AC57" s="119" t="str">
        <f t="shared" si="90"/>
        <v/>
      </c>
      <c r="AD57" s="118" t="str">
        <f t="shared" si="87"/>
        <v/>
      </c>
      <c r="AE57" s="119" t="str">
        <f t="shared" si="91"/>
        <v/>
      </c>
      <c r="AF57" s="120" t="str">
        <f t="shared" si="88"/>
        <v/>
      </c>
      <c r="AG57" s="121"/>
      <c r="AH57" s="109"/>
      <c r="AI57" s="110"/>
      <c r="AJ57" s="111"/>
      <c r="AK57" s="111"/>
      <c r="AL57" s="109"/>
      <c r="AM57" s="110"/>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row>
    <row r="58" spans="1:71" x14ac:dyDescent="0.3">
      <c r="A58" s="630">
        <v>9</v>
      </c>
      <c r="B58" s="633"/>
      <c r="C58" s="633"/>
      <c r="D58" s="633"/>
      <c r="E58" s="122"/>
      <c r="F58" s="636"/>
      <c r="G58" s="648"/>
      <c r="H58" s="125"/>
      <c r="I58" s="633"/>
      <c r="J58" s="639"/>
      <c r="K58" s="642" t="str">
        <f t="shared" ref="K58" si="93">IF(J58&lt;=0,"",IF(J58&lt;=2,"Muy Baja",IF(J58&lt;=24,"Baja",IF(J58&lt;=500,"Media",IF(J58&lt;=5000,"Alta","Muy Alta")))))</f>
        <v/>
      </c>
      <c r="L58" s="624" t="str">
        <f t="shared" ref="L58" si="94">IF(K58="","",IF(K58="Muy Baja",0.2,IF(K58="Baja",0.4,IF(K58="Media",0.6,IF(K58="Alta",0.8,IF(K58="Muy Alta",1,))))))</f>
        <v/>
      </c>
      <c r="M58" s="645"/>
      <c r="N58" s="624">
        <f>IF(NOT(ISERROR(MATCH(M58,'Tabla Impacto'!$B$221:$B$223,0))),'Tabla Impacto'!$F$223&amp;"Por favor no seleccionar los criterios de impacto(Afectación Económica o presupuestal y Pérdida Reputacional)",M58)</f>
        <v>0</v>
      </c>
      <c r="O58" s="642" t="str">
        <f>IF(OR(N58='Tabla Impacto'!$C$11,N58='Tabla Impacto'!$D$11),"Leve",IF(OR(N58='Tabla Impacto'!$C$12,N58='Tabla Impacto'!$D$12),"Menor",IF(OR(N58='Tabla Impacto'!$C$13,N58='Tabla Impacto'!$D$13),"Moderado",IF(OR(N58='Tabla Impacto'!$C$14,N58='Tabla Impacto'!$D$14),"Mayor",IF(OR(N58='Tabla Impacto'!$C$15,N58='Tabla Impacto'!$D$15),"Catastrófico","")))))</f>
        <v/>
      </c>
      <c r="P58" s="624" t="str">
        <f t="shared" ref="P58" si="95">IF(O58="","",IF(O58="Leve",0.2,IF(O58="Menor",0.4,IF(O58="Moderado",0.6,IF(O58="Mayor",0.8,IF(O58="Catastrófico",1,))))))</f>
        <v/>
      </c>
      <c r="Q58" s="627" t="str">
        <f t="shared" ref="Q58" si="96">IF(OR(AND(K58="Muy Baja",O58="Leve"),AND(K58="Muy Baja",O58="Menor"),AND(K58="Baja",O58="Leve")),"Bajo",IF(OR(AND(K58="Muy baja",O58="Moderado"),AND(K58="Baja",O58="Menor"),AND(K58="Baja",O58="Moderado"),AND(K58="Media",O58="Leve"),AND(K58="Media",O58="Menor"),AND(K58="Media",O58="Moderado"),AND(K58="Alta",O58="Leve"),AND(K58="Alta",O58="Menor")),"Moderado",IF(OR(AND(K58="Muy Baja",O58="Mayor"),AND(K58="Baja",O58="Mayor"),AND(K58="Media",O58="Mayor"),AND(K58="Alta",O58="Moderado"),AND(K58="Alta",O58="Mayor"),AND(K58="Muy Alta",O58="Leve"),AND(K58="Muy Alta",O58="Menor"),AND(K58="Muy Alta",O58="Moderado"),AND(K58="Muy Alta",O58="Mayor")),"Alto",IF(OR(AND(K58="Muy Baja",O58="Catastrófico"),AND(K58="Baja",O58="Catastrófico"),AND(K58="Media",O58="Catastrófico"),AND(K58="Alta",O58="Catastrófico"),AND(K58="Muy Alta",O58="Catastrófico")),"Extremo",""))))</f>
        <v/>
      </c>
      <c r="R58" s="105">
        <v>1</v>
      </c>
      <c r="S58" s="106"/>
      <c r="T58" s="107" t="str">
        <f>IF(OR(U58="Preventivo",U58="Detectivo"),"Probabilidad",IF(U58="Correctivo","Impacto",""))</f>
        <v/>
      </c>
      <c r="U58" s="114"/>
      <c r="V58" s="114"/>
      <c r="W58" s="115" t="str">
        <f>IF(AND(U58="Preventivo",V58="Automático"),"50%",IF(AND(U58="Preventivo",V58="Manual"),"40%",IF(AND(U58="Detectivo",V58="Automático"),"40%",IF(AND(U58="Detectivo",V58="Manual"),"30%",IF(AND(U58="Correctivo",V58="Automático"),"35%",IF(AND(U58="Correctivo",V58="Manual"),"25%",""))))))</f>
        <v/>
      </c>
      <c r="X58" s="114"/>
      <c r="Y58" s="114"/>
      <c r="Z58" s="114"/>
      <c r="AA58" s="108" t="str">
        <f>IFERROR(IF(T58="Probabilidad",(L58-(+L58*W58)),IF(T58="Impacto",L58,"")),"")</f>
        <v/>
      </c>
      <c r="AB58" s="118" t="str">
        <f>IFERROR(IF(AA58="","",IF(AA58&lt;=0.2,"Muy Baja",IF(AA58&lt;=0.4,"Baja",IF(AA58&lt;=0.6,"Media",IF(AA58&lt;=0.8,"Alta","Muy Alta"))))),"")</f>
        <v/>
      </c>
      <c r="AC58" s="119" t="str">
        <f>+AA58</f>
        <v/>
      </c>
      <c r="AD58" s="118" t="str">
        <f>IFERROR(IF(AE58="","",IF(AE58&lt;=0.2,"Leve",IF(AE58&lt;=0.4,"Menor",IF(AE58&lt;=0.6,"Moderado",IF(AE58&lt;=0.8,"Mayor","Catastrófico"))))),"")</f>
        <v/>
      </c>
      <c r="AE58" s="119" t="str">
        <f>IFERROR(IF(T58="Impacto",(P58-(+P58*W58)),IF(T58="Probabilidad",P58,"")),"")</f>
        <v/>
      </c>
      <c r="AF58" s="120" t="str">
        <f>IFERROR(IF(OR(AND(AB58="Muy Baja",AD58="Leve"),AND(AB58="Muy Baja",AD58="Menor"),AND(AB58="Baja",AD58="Leve")),"Bajo",IF(OR(AND(AB58="Muy baja",AD58="Moderado"),AND(AB58="Baja",AD58="Menor"),AND(AB58="Baja",AD58="Moderado"),AND(AB58="Media",AD58="Leve"),AND(AB58="Media",AD58="Menor"),AND(AB58="Media",AD58="Moderado"),AND(AB58="Alta",AD58="Leve"),AND(AB58="Alta",AD58="Menor")),"Moderado",IF(OR(AND(AB58="Muy Baja",AD58="Mayor"),AND(AB58="Baja",AD58="Mayor"),AND(AB58="Media",AD58="Mayor"),AND(AB58="Alta",AD58="Moderado"),AND(AB58="Alta",AD58="Mayor"),AND(AB58="Muy Alta",AD58="Leve"),AND(AB58="Muy Alta",AD58="Menor"),AND(AB58="Muy Alta",AD58="Moderado"),AND(AB58="Muy Alta",AD58="Mayor")),"Alto",IF(OR(AND(AB58="Muy Baja",AD58="Catastrófico"),AND(AB58="Baja",AD58="Catastrófico"),AND(AB58="Media",AD58="Catastrófico"),AND(AB58="Alta",AD58="Catastrófico"),AND(AB58="Muy Alta",AD58="Catastrófico")),"Extremo","")))),"")</f>
        <v/>
      </c>
      <c r="AG58" s="121"/>
      <c r="AH58" s="109"/>
      <c r="AI58" s="110"/>
      <c r="AJ58" s="111"/>
      <c r="AK58" s="111"/>
      <c r="AL58" s="109"/>
      <c r="AM58" s="110"/>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row>
    <row r="59" spans="1:71" x14ac:dyDescent="0.3">
      <c r="A59" s="631"/>
      <c r="B59" s="634"/>
      <c r="C59" s="634"/>
      <c r="D59" s="634"/>
      <c r="E59" s="123"/>
      <c r="F59" s="637"/>
      <c r="G59" s="649"/>
      <c r="H59" s="126"/>
      <c r="I59" s="634"/>
      <c r="J59" s="640"/>
      <c r="K59" s="643"/>
      <c r="L59" s="625"/>
      <c r="M59" s="646"/>
      <c r="N59" s="625">
        <f>IF(NOT(ISERROR(MATCH(M59,_xlfn.ANCHORARRAY(F70),0))),L72&amp;"Por favor no seleccionar los criterios de impacto",M59)</f>
        <v>0</v>
      </c>
      <c r="O59" s="643"/>
      <c r="P59" s="625"/>
      <c r="Q59" s="628"/>
      <c r="R59" s="105">
        <v>2</v>
      </c>
      <c r="S59" s="106"/>
      <c r="T59" s="107" t="str">
        <f>IF(OR(U59="Preventivo",U59="Detectivo"),"Probabilidad",IF(U59="Correctivo","Impacto",""))</f>
        <v/>
      </c>
      <c r="U59" s="114"/>
      <c r="V59" s="114"/>
      <c r="W59" s="115" t="str">
        <f t="shared" ref="W59:W63" si="97">IF(AND(U59="Preventivo",V59="Automático"),"50%",IF(AND(U59="Preventivo",V59="Manual"),"40%",IF(AND(U59="Detectivo",V59="Automático"),"40%",IF(AND(U59="Detectivo",V59="Manual"),"30%",IF(AND(U59="Correctivo",V59="Automático"),"35%",IF(AND(U59="Correctivo",V59="Manual"),"25%",""))))))</f>
        <v/>
      </c>
      <c r="X59" s="114"/>
      <c r="Y59" s="114"/>
      <c r="Z59" s="114"/>
      <c r="AA59" s="108" t="str">
        <f>IFERROR(IF(AND(T58="Probabilidad",T59="Probabilidad"),(AC58-(+AC58*W59)),IF(AND(T58="Impacto",T59="Probabilidad"),(L58-(+L58*W59)),IF(T59="Impacto",AC58,""))),"")</f>
        <v/>
      </c>
      <c r="AB59" s="118" t="str">
        <f t="shared" ref="AB59:AB63" si="98">IFERROR(IF(AA59="","",IF(AA59&lt;=0.2,"Muy Baja",IF(AA59&lt;=0.4,"Baja",IF(AA59&lt;=0.6,"Media",IF(AA59&lt;=0.8,"Alta","Muy Alta"))))),"")</f>
        <v/>
      </c>
      <c r="AC59" s="119" t="str">
        <f>+AA59</f>
        <v/>
      </c>
      <c r="AD59" s="118" t="str">
        <f t="shared" ref="AD59:AD63" si="99">IFERROR(IF(AE59="","",IF(AE59&lt;=0.2,"Leve",IF(AE59&lt;=0.4,"Menor",IF(AE59&lt;=0.6,"Moderado",IF(AE59&lt;=0.8,"Mayor","Catastrófico"))))),"")</f>
        <v/>
      </c>
      <c r="AE59" s="119" t="str">
        <f>IFERROR(IF(AND(T58="Impacto",T59="Impacto"),(AE58-(+AE58*W59)),IF(AND(T58="Probabilidad",T59="Impacto"),(P58-(+P58*W59)),IF(T59="Probabilidad",AE58,""))),"")</f>
        <v/>
      </c>
      <c r="AF59" s="120" t="str">
        <f t="shared" ref="AF59:AF63" si="100">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
      </c>
      <c r="AG59" s="121"/>
      <c r="AH59" s="109"/>
      <c r="AI59" s="110"/>
      <c r="AJ59" s="111"/>
      <c r="AK59" s="111"/>
      <c r="AL59" s="109"/>
      <c r="AM59" s="110"/>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row>
    <row r="60" spans="1:71" x14ac:dyDescent="0.3">
      <c r="A60" s="631"/>
      <c r="B60" s="634"/>
      <c r="C60" s="634"/>
      <c r="D60" s="634"/>
      <c r="E60" s="123"/>
      <c r="F60" s="637"/>
      <c r="G60" s="649"/>
      <c r="H60" s="126"/>
      <c r="I60" s="634"/>
      <c r="J60" s="640"/>
      <c r="K60" s="643"/>
      <c r="L60" s="625"/>
      <c r="M60" s="646"/>
      <c r="N60" s="625">
        <f>IF(NOT(ISERROR(MATCH(M60,_xlfn.ANCHORARRAY(F71),0))),L73&amp;"Por favor no seleccionar los criterios de impacto",M60)</f>
        <v>0</v>
      </c>
      <c r="O60" s="643"/>
      <c r="P60" s="625"/>
      <c r="Q60" s="628"/>
      <c r="R60" s="105">
        <v>3</v>
      </c>
      <c r="S60" s="112"/>
      <c r="T60" s="107" t="str">
        <f t="shared" ref="T60:T63" si="101">IF(OR(U60="Preventivo",U60="Detectivo"),"Probabilidad",IF(U60="Correctivo","Impacto",""))</f>
        <v/>
      </c>
      <c r="U60" s="114"/>
      <c r="V60" s="114"/>
      <c r="W60" s="115" t="str">
        <f t="shared" si="97"/>
        <v/>
      </c>
      <c r="X60" s="114"/>
      <c r="Y60" s="114"/>
      <c r="Z60" s="114"/>
      <c r="AA60" s="108" t="str">
        <f>IFERROR(IF(AND(T59="Probabilidad",T60="Probabilidad"),(AC59-(+AC59*W60)),IF(AND(T59="Impacto",T60="Probabilidad"),(AC58-(+AC58*W60)),IF(T60="Impacto",AC59,""))),"")</f>
        <v/>
      </c>
      <c r="AB60" s="118" t="str">
        <f t="shared" si="98"/>
        <v/>
      </c>
      <c r="AC60" s="119" t="str">
        <f t="shared" ref="AC60:AC63" si="102">+AA60</f>
        <v/>
      </c>
      <c r="AD60" s="118" t="str">
        <f t="shared" si="99"/>
        <v/>
      </c>
      <c r="AE60" s="119" t="str">
        <f t="shared" ref="AE60:AE63" si="103">IFERROR(IF(AND(T59="Impacto",T60="Impacto"),(AE59-(+AE59*W60)),IF(AND(T59="Probabilidad",T60="Impacto"),(AE58-(+AE58*W60)),IF(T60="Probabilidad",AE59,""))),"")</f>
        <v/>
      </c>
      <c r="AF60" s="120" t="str">
        <f t="shared" si="100"/>
        <v/>
      </c>
      <c r="AG60" s="121"/>
      <c r="AH60" s="109"/>
      <c r="AI60" s="110"/>
      <c r="AJ60" s="111"/>
      <c r="AK60" s="111"/>
      <c r="AL60" s="109"/>
      <c r="AM60" s="110"/>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row>
    <row r="61" spans="1:71" x14ac:dyDescent="0.3">
      <c r="A61" s="631"/>
      <c r="B61" s="634"/>
      <c r="C61" s="634"/>
      <c r="D61" s="634"/>
      <c r="E61" s="123"/>
      <c r="F61" s="637"/>
      <c r="G61" s="649"/>
      <c r="H61" s="126"/>
      <c r="I61" s="634"/>
      <c r="J61" s="640"/>
      <c r="K61" s="643"/>
      <c r="L61" s="625"/>
      <c r="M61" s="646"/>
      <c r="N61" s="625">
        <f>IF(NOT(ISERROR(MATCH(M61,_xlfn.ANCHORARRAY(F72),0))),L74&amp;"Por favor no seleccionar los criterios de impacto",M61)</f>
        <v>0</v>
      </c>
      <c r="O61" s="643"/>
      <c r="P61" s="625"/>
      <c r="Q61" s="628"/>
      <c r="R61" s="105">
        <v>4</v>
      </c>
      <c r="S61" s="106"/>
      <c r="T61" s="107" t="str">
        <f t="shared" si="101"/>
        <v/>
      </c>
      <c r="U61" s="114"/>
      <c r="V61" s="114"/>
      <c r="W61" s="115" t="str">
        <f t="shared" si="97"/>
        <v/>
      </c>
      <c r="X61" s="114"/>
      <c r="Y61" s="114"/>
      <c r="Z61" s="114"/>
      <c r="AA61" s="108" t="str">
        <f t="shared" ref="AA61:AA63" si="104">IFERROR(IF(AND(T60="Probabilidad",T61="Probabilidad"),(AC60-(+AC60*W61)),IF(AND(T60="Impacto",T61="Probabilidad"),(AC59-(+AC59*W61)),IF(T61="Impacto",AC60,""))),"")</f>
        <v/>
      </c>
      <c r="AB61" s="118" t="str">
        <f t="shared" si="98"/>
        <v/>
      </c>
      <c r="AC61" s="119" t="str">
        <f t="shared" si="102"/>
        <v/>
      </c>
      <c r="AD61" s="118" t="str">
        <f t="shared" si="99"/>
        <v/>
      </c>
      <c r="AE61" s="119" t="str">
        <f t="shared" si="103"/>
        <v/>
      </c>
      <c r="AF61" s="120" t="str">
        <f t="shared" si="100"/>
        <v/>
      </c>
      <c r="AG61" s="121"/>
      <c r="AH61" s="109"/>
      <c r="AI61" s="110"/>
      <c r="AJ61" s="111"/>
      <c r="AK61" s="111"/>
      <c r="AL61" s="109"/>
      <c r="AM61" s="110"/>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row r="62" spans="1:71" x14ac:dyDescent="0.3">
      <c r="A62" s="631"/>
      <c r="B62" s="634"/>
      <c r="C62" s="634"/>
      <c r="D62" s="634"/>
      <c r="E62" s="123"/>
      <c r="F62" s="637"/>
      <c r="G62" s="649"/>
      <c r="H62" s="126"/>
      <c r="I62" s="634"/>
      <c r="J62" s="640"/>
      <c r="K62" s="643"/>
      <c r="L62" s="625"/>
      <c r="M62" s="646"/>
      <c r="N62" s="625">
        <f>IF(NOT(ISERROR(MATCH(M62,_xlfn.ANCHORARRAY(F73),0))),L75&amp;"Por favor no seleccionar los criterios de impacto",M62)</f>
        <v>0</v>
      </c>
      <c r="O62" s="643"/>
      <c r="P62" s="625"/>
      <c r="Q62" s="628"/>
      <c r="R62" s="105">
        <v>5</v>
      </c>
      <c r="S62" s="106"/>
      <c r="T62" s="107" t="str">
        <f t="shared" si="101"/>
        <v/>
      </c>
      <c r="U62" s="114"/>
      <c r="V62" s="114"/>
      <c r="W62" s="115" t="str">
        <f t="shared" si="97"/>
        <v/>
      </c>
      <c r="X62" s="114"/>
      <c r="Y62" s="114"/>
      <c r="Z62" s="114"/>
      <c r="AA62" s="108" t="str">
        <f t="shared" si="104"/>
        <v/>
      </c>
      <c r="AB62" s="118" t="str">
        <f t="shared" si="98"/>
        <v/>
      </c>
      <c r="AC62" s="119" t="str">
        <f t="shared" si="102"/>
        <v/>
      </c>
      <c r="AD62" s="118" t="str">
        <f t="shared" si="99"/>
        <v/>
      </c>
      <c r="AE62" s="119" t="str">
        <f t="shared" si="103"/>
        <v/>
      </c>
      <c r="AF62" s="120" t="str">
        <f t="shared" si="100"/>
        <v/>
      </c>
      <c r="AG62" s="121"/>
      <c r="AH62" s="109"/>
      <c r="AI62" s="110"/>
      <c r="AJ62" s="111"/>
      <c r="AK62" s="111"/>
      <c r="AL62" s="109"/>
      <c r="AM62" s="110"/>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row>
    <row r="63" spans="1:71" x14ac:dyDescent="0.3">
      <c r="A63" s="632"/>
      <c r="B63" s="635"/>
      <c r="C63" s="635"/>
      <c r="D63" s="635"/>
      <c r="E63" s="124"/>
      <c r="F63" s="638"/>
      <c r="G63" s="650"/>
      <c r="H63" s="127"/>
      <c r="I63" s="635"/>
      <c r="J63" s="641"/>
      <c r="K63" s="644"/>
      <c r="L63" s="626"/>
      <c r="M63" s="647"/>
      <c r="N63" s="626">
        <f>IF(NOT(ISERROR(MATCH(M63,_xlfn.ANCHORARRAY(F74),0))),L76&amp;"Por favor no seleccionar los criterios de impacto",M63)</f>
        <v>0</v>
      </c>
      <c r="O63" s="644"/>
      <c r="P63" s="626"/>
      <c r="Q63" s="629"/>
      <c r="R63" s="105">
        <v>6</v>
      </c>
      <c r="S63" s="106"/>
      <c r="T63" s="107" t="str">
        <f t="shared" si="101"/>
        <v/>
      </c>
      <c r="U63" s="114"/>
      <c r="V63" s="114"/>
      <c r="W63" s="115" t="str">
        <f t="shared" si="97"/>
        <v/>
      </c>
      <c r="X63" s="114"/>
      <c r="Y63" s="114"/>
      <c r="Z63" s="114"/>
      <c r="AA63" s="108" t="str">
        <f t="shared" si="104"/>
        <v/>
      </c>
      <c r="AB63" s="118" t="str">
        <f t="shared" si="98"/>
        <v/>
      </c>
      <c r="AC63" s="119" t="str">
        <f t="shared" si="102"/>
        <v/>
      </c>
      <c r="AD63" s="118" t="str">
        <f t="shared" si="99"/>
        <v/>
      </c>
      <c r="AE63" s="119" t="str">
        <f t="shared" si="103"/>
        <v/>
      </c>
      <c r="AF63" s="120" t="str">
        <f t="shared" si="100"/>
        <v/>
      </c>
      <c r="AG63" s="121"/>
      <c r="AH63" s="109"/>
      <c r="AI63" s="110"/>
      <c r="AJ63" s="111"/>
      <c r="AK63" s="111"/>
      <c r="AL63" s="109"/>
      <c r="AM63" s="110"/>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row>
    <row r="64" spans="1:71" x14ac:dyDescent="0.3">
      <c r="A64" s="630">
        <v>10</v>
      </c>
      <c r="B64" s="633"/>
      <c r="C64" s="633"/>
      <c r="D64" s="633"/>
      <c r="E64" s="122"/>
      <c r="F64" s="636"/>
      <c r="G64" s="648"/>
      <c r="H64" s="125"/>
      <c r="I64" s="633"/>
      <c r="J64" s="639"/>
      <c r="K64" s="642" t="str">
        <f t="shared" ref="K64" si="105">IF(J64&lt;=0,"",IF(J64&lt;=2,"Muy Baja",IF(J64&lt;=24,"Baja",IF(J64&lt;=500,"Media",IF(J64&lt;=5000,"Alta","Muy Alta")))))</f>
        <v/>
      </c>
      <c r="L64" s="624" t="str">
        <f t="shared" ref="L64" si="106">IF(K64="","",IF(K64="Muy Baja",0.2,IF(K64="Baja",0.4,IF(K64="Media",0.6,IF(K64="Alta",0.8,IF(K64="Muy Alta",1,))))))</f>
        <v/>
      </c>
      <c r="M64" s="645"/>
      <c r="N64" s="624">
        <f>IF(NOT(ISERROR(MATCH(M64,'Tabla Impacto'!$B$221:$B$223,0))),'Tabla Impacto'!$F$223&amp;"Por favor no seleccionar los criterios de impacto(Afectación Económica o presupuestal y Pérdida Reputacional)",M64)</f>
        <v>0</v>
      </c>
      <c r="O64" s="642" t="str">
        <f>IF(OR(N64='Tabla Impacto'!$C$11,N64='Tabla Impacto'!$D$11),"Leve",IF(OR(N64='Tabla Impacto'!$C$12,N64='Tabla Impacto'!$D$12),"Menor",IF(OR(N64='Tabla Impacto'!$C$13,N64='Tabla Impacto'!$D$13),"Moderado",IF(OR(N64='Tabla Impacto'!$C$14,N64='Tabla Impacto'!$D$14),"Mayor",IF(OR(N64='Tabla Impacto'!$C$15,N64='Tabla Impacto'!$D$15),"Catastrófico","")))))</f>
        <v/>
      </c>
      <c r="P64" s="624" t="str">
        <f t="shared" ref="P64" si="107">IF(O64="","",IF(O64="Leve",0.2,IF(O64="Menor",0.4,IF(O64="Moderado",0.6,IF(O64="Mayor",0.8,IF(O64="Catastrófico",1,))))))</f>
        <v/>
      </c>
      <c r="Q64" s="627" t="str">
        <f t="shared" ref="Q64" si="108">IF(OR(AND(K64="Muy Baja",O64="Leve"),AND(K64="Muy Baja",O64="Menor"),AND(K64="Baja",O64="Leve")),"Bajo",IF(OR(AND(K64="Muy baja",O64="Moderado"),AND(K64="Baja",O64="Menor"),AND(K64="Baja",O64="Moderado"),AND(K64="Media",O64="Leve"),AND(K64="Media",O64="Menor"),AND(K64="Media",O64="Moderado"),AND(K64="Alta",O64="Leve"),AND(K64="Alta",O64="Menor")),"Moderado",IF(OR(AND(K64="Muy Baja",O64="Mayor"),AND(K64="Baja",O64="Mayor"),AND(K64="Media",O64="Mayor"),AND(K64="Alta",O64="Moderado"),AND(K64="Alta",O64="Mayor"),AND(K64="Muy Alta",O64="Leve"),AND(K64="Muy Alta",O64="Menor"),AND(K64="Muy Alta",O64="Moderado"),AND(K64="Muy Alta",O64="Mayor")),"Alto",IF(OR(AND(K64="Muy Baja",O64="Catastrófico"),AND(K64="Baja",O64="Catastrófico"),AND(K64="Media",O64="Catastrófico"),AND(K64="Alta",O64="Catastrófico"),AND(K64="Muy Alta",O64="Catastrófico")),"Extremo",""))))</f>
        <v/>
      </c>
      <c r="R64" s="105">
        <v>1</v>
      </c>
      <c r="S64" s="106"/>
      <c r="T64" s="107" t="str">
        <f>IF(OR(U64="Preventivo",U64="Detectivo"),"Probabilidad",IF(U64="Correctivo","Impacto",""))</f>
        <v/>
      </c>
      <c r="U64" s="114"/>
      <c r="V64" s="114"/>
      <c r="W64" s="115" t="str">
        <f>IF(AND(U64="Preventivo",V64="Automático"),"50%",IF(AND(U64="Preventivo",V64="Manual"),"40%",IF(AND(U64="Detectivo",V64="Automático"),"40%",IF(AND(U64="Detectivo",V64="Manual"),"30%",IF(AND(U64="Correctivo",V64="Automático"),"35%",IF(AND(U64="Correctivo",V64="Manual"),"25%",""))))))</f>
        <v/>
      </c>
      <c r="X64" s="114"/>
      <c r="Y64" s="114"/>
      <c r="Z64" s="114"/>
      <c r="AA64" s="108" t="str">
        <f>IFERROR(IF(T64="Probabilidad",(L64-(+L64*W64)),IF(T64="Impacto",L64,"")),"")</f>
        <v/>
      </c>
      <c r="AB64" s="118" t="str">
        <f>IFERROR(IF(AA64="","",IF(AA64&lt;=0.2,"Muy Baja",IF(AA64&lt;=0.4,"Baja",IF(AA64&lt;=0.6,"Media",IF(AA64&lt;=0.8,"Alta","Muy Alta"))))),"")</f>
        <v/>
      </c>
      <c r="AC64" s="119" t="str">
        <f>+AA64</f>
        <v/>
      </c>
      <c r="AD64" s="118" t="str">
        <f>IFERROR(IF(AE64="","",IF(AE64&lt;=0.2,"Leve",IF(AE64&lt;=0.4,"Menor",IF(AE64&lt;=0.6,"Moderado",IF(AE64&lt;=0.8,"Mayor","Catastrófico"))))),"")</f>
        <v/>
      </c>
      <c r="AE64" s="119" t="str">
        <f>IFERROR(IF(T64="Impacto",(P64-(+P64*W64)),IF(T64="Probabilidad",P64,"")),"")</f>
        <v/>
      </c>
      <c r="AF64" s="120" t="str">
        <f>IFERROR(IF(OR(AND(AB64="Muy Baja",AD64="Leve"),AND(AB64="Muy Baja",AD64="Menor"),AND(AB64="Baja",AD64="Leve")),"Bajo",IF(OR(AND(AB64="Muy baja",AD64="Moderado"),AND(AB64="Baja",AD64="Menor"),AND(AB64="Baja",AD64="Moderado"),AND(AB64="Media",AD64="Leve"),AND(AB64="Media",AD64="Menor"),AND(AB64="Media",AD64="Moderado"),AND(AB64="Alta",AD64="Leve"),AND(AB64="Alta",AD64="Menor")),"Moderado",IF(OR(AND(AB64="Muy Baja",AD64="Mayor"),AND(AB64="Baja",AD64="Mayor"),AND(AB64="Media",AD64="Mayor"),AND(AB64="Alta",AD64="Moderado"),AND(AB64="Alta",AD64="Mayor"),AND(AB64="Muy Alta",AD64="Leve"),AND(AB64="Muy Alta",AD64="Menor"),AND(AB64="Muy Alta",AD64="Moderado"),AND(AB64="Muy Alta",AD64="Mayor")),"Alto",IF(OR(AND(AB64="Muy Baja",AD64="Catastrófico"),AND(AB64="Baja",AD64="Catastrófico"),AND(AB64="Media",AD64="Catastrófico"),AND(AB64="Alta",AD64="Catastrófico"),AND(AB64="Muy Alta",AD64="Catastrófico")),"Extremo","")))),"")</f>
        <v/>
      </c>
      <c r="AG64" s="121"/>
      <c r="AH64" s="109"/>
      <c r="AI64" s="110"/>
      <c r="AJ64" s="111"/>
      <c r="AK64" s="111"/>
      <c r="AL64" s="109"/>
      <c r="AM64" s="110"/>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row>
    <row r="65" spans="1:39" x14ac:dyDescent="0.3">
      <c r="A65" s="631"/>
      <c r="B65" s="634"/>
      <c r="C65" s="634"/>
      <c r="D65" s="634"/>
      <c r="E65" s="123"/>
      <c r="F65" s="637"/>
      <c r="G65" s="649"/>
      <c r="H65" s="126"/>
      <c r="I65" s="634"/>
      <c r="J65" s="640"/>
      <c r="K65" s="643"/>
      <c r="L65" s="625"/>
      <c r="M65" s="646"/>
      <c r="N65" s="625">
        <f>IF(NOT(ISERROR(MATCH(M65,_xlfn.ANCHORARRAY(F76),0))),L78&amp;"Por favor no seleccionar los criterios de impacto",M65)</f>
        <v>0</v>
      </c>
      <c r="O65" s="643"/>
      <c r="P65" s="625"/>
      <c r="Q65" s="628"/>
      <c r="R65" s="105">
        <v>2</v>
      </c>
      <c r="S65" s="106"/>
      <c r="T65" s="107" t="str">
        <f>IF(OR(U65="Preventivo",U65="Detectivo"),"Probabilidad",IF(U65="Correctivo","Impacto",""))</f>
        <v/>
      </c>
      <c r="U65" s="114"/>
      <c r="V65" s="114"/>
      <c r="W65" s="115" t="str">
        <f t="shared" ref="W65:W69" si="109">IF(AND(U65="Preventivo",V65="Automático"),"50%",IF(AND(U65="Preventivo",V65="Manual"),"40%",IF(AND(U65="Detectivo",V65="Automático"),"40%",IF(AND(U65="Detectivo",V65="Manual"),"30%",IF(AND(U65="Correctivo",V65="Automático"),"35%",IF(AND(U65="Correctivo",V65="Manual"),"25%",""))))))</f>
        <v/>
      </c>
      <c r="X65" s="114"/>
      <c r="Y65" s="114"/>
      <c r="Z65" s="114"/>
      <c r="AA65" s="108" t="str">
        <f>IFERROR(IF(AND(T64="Probabilidad",T65="Probabilidad"),(AC64-(+AC64*W65)),IF(AND(T64="Impacto",T65="Probabilidad"),(L64-(+L64*W65)),IF(T65="Impacto",AC64,""))),"")</f>
        <v/>
      </c>
      <c r="AB65" s="118" t="str">
        <f t="shared" ref="AB65:AB69" si="110">IFERROR(IF(AA65="","",IF(AA65&lt;=0.2,"Muy Baja",IF(AA65&lt;=0.4,"Baja",IF(AA65&lt;=0.6,"Media",IF(AA65&lt;=0.8,"Alta","Muy Alta"))))),"")</f>
        <v/>
      </c>
      <c r="AC65" s="119" t="str">
        <f>+AA65</f>
        <v/>
      </c>
      <c r="AD65" s="118" t="str">
        <f t="shared" ref="AD65:AD69" si="111">IFERROR(IF(AE65="","",IF(AE65&lt;=0.2,"Leve",IF(AE65&lt;=0.4,"Menor",IF(AE65&lt;=0.6,"Moderado",IF(AE65&lt;=0.8,"Mayor","Catastrófico"))))),"")</f>
        <v/>
      </c>
      <c r="AE65" s="119" t="str">
        <f>IFERROR(IF(AND(T64="Impacto",T65="Impacto"),(AE64-(+AE64*W65)),IF(AND(T64="Probabilidad",T65="Impacto"),(P64-(+P64*W65)),IF(T65="Probabilidad",AE64,""))),"")</f>
        <v/>
      </c>
      <c r="AF65" s="120" t="str">
        <f t="shared" ref="AF65:AF69" si="112">IFERROR(IF(OR(AND(AB65="Muy Baja",AD65="Leve"),AND(AB65="Muy Baja",AD65="Menor"),AND(AB65="Baja",AD65="Leve")),"Bajo",IF(OR(AND(AB65="Muy baja",AD65="Moderado"),AND(AB65="Baja",AD65="Menor"),AND(AB65="Baja",AD65="Moderado"),AND(AB65="Media",AD65="Leve"),AND(AB65="Media",AD65="Menor"),AND(AB65="Media",AD65="Moderado"),AND(AB65="Alta",AD65="Leve"),AND(AB65="Alta",AD65="Menor")),"Moderado",IF(OR(AND(AB65="Muy Baja",AD65="Mayor"),AND(AB65="Baja",AD65="Mayor"),AND(AB65="Media",AD65="Mayor"),AND(AB65="Alta",AD65="Moderado"),AND(AB65="Alta",AD65="Mayor"),AND(AB65="Muy Alta",AD65="Leve"),AND(AB65="Muy Alta",AD65="Menor"),AND(AB65="Muy Alta",AD65="Moderado"),AND(AB65="Muy Alta",AD65="Mayor")),"Alto",IF(OR(AND(AB65="Muy Baja",AD65="Catastrófico"),AND(AB65="Baja",AD65="Catastrófico"),AND(AB65="Media",AD65="Catastrófico"),AND(AB65="Alta",AD65="Catastrófico"),AND(AB65="Muy Alta",AD65="Catastrófico")),"Extremo","")))),"")</f>
        <v/>
      </c>
      <c r="AG65" s="121"/>
      <c r="AH65" s="109"/>
      <c r="AI65" s="110"/>
      <c r="AJ65" s="111"/>
      <c r="AK65" s="111"/>
      <c r="AL65" s="109"/>
      <c r="AM65" s="110"/>
    </row>
    <row r="66" spans="1:39" x14ac:dyDescent="0.3">
      <c r="A66" s="631"/>
      <c r="B66" s="634"/>
      <c r="C66" s="634"/>
      <c r="D66" s="634"/>
      <c r="E66" s="123"/>
      <c r="F66" s="637"/>
      <c r="G66" s="649"/>
      <c r="H66" s="126"/>
      <c r="I66" s="634"/>
      <c r="J66" s="640"/>
      <c r="K66" s="643"/>
      <c r="L66" s="625"/>
      <c r="M66" s="646"/>
      <c r="N66" s="625">
        <f>IF(NOT(ISERROR(MATCH(M66,_xlfn.ANCHORARRAY(F77),0))),L79&amp;"Por favor no seleccionar los criterios de impacto",M66)</f>
        <v>0</v>
      </c>
      <c r="O66" s="643"/>
      <c r="P66" s="625"/>
      <c r="Q66" s="628"/>
      <c r="R66" s="105">
        <v>3</v>
      </c>
      <c r="S66" s="112"/>
      <c r="T66" s="107" t="str">
        <f t="shared" ref="T66:T69" si="113">IF(OR(U66="Preventivo",U66="Detectivo"),"Probabilidad",IF(U66="Correctivo","Impacto",""))</f>
        <v/>
      </c>
      <c r="U66" s="114"/>
      <c r="V66" s="114"/>
      <c r="W66" s="115" t="str">
        <f t="shared" si="109"/>
        <v/>
      </c>
      <c r="X66" s="114"/>
      <c r="Y66" s="114"/>
      <c r="Z66" s="114"/>
      <c r="AA66" s="108" t="str">
        <f>IFERROR(IF(AND(T65="Probabilidad",T66="Probabilidad"),(AC65-(+AC65*W66)),IF(AND(T65="Impacto",T66="Probabilidad"),(AC64-(+AC64*W66)),IF(T66="Impacto",AC65,""))),"")</f>
        <v/>
      </c>
      <c r="AB66" s="118" t="str">
        <f t="shared" si="110"/>
        <v/>
      </c>
      <c r="AC66" s="119" t="str">
        <f t="shared" ref="AC66:AC69" si="114">+AA66</f>
        <v/>
      </c>
      <c r="AD66" s="118" t="str">
        <f t="shared" si="111"/>
        <v/>
      </c>
      <c r="AE66" s="119" t="str">
        <f t="shared" ref="AE66:AE69" si="115">IFERROR(IF(AND(T65="Impacto",T66="Impacto"),(AE65-(+AE65*W66)),IF(AND(T65="Probabilidad",T66="Impacto"),(AE64-(+AE64*W66)),IF(T66="Probabilidad",AE65,""))),"")</f>
        <v/>
      </c>
      <c r="AF66" s="120" t="str">
        <f t="shared" si="112"/>
        <v/>
      </c>
      <c r="AG66" s="121"/>
      <c r="AH66" s="109"/>
      <c r="AI66" s="110"/>
      <c r="AJ66" s="111"/>
      <c r="AK66" s="111"/>
      <c r="AL66" s="109"/>
      <c r="AM66" s="110"/>
    </row>
    <row r="67" spans="1:39" x14ac:dyDescent="0.3">
      <c r="A67" s="631"/>
      <c r="B67" s="634"/>
      <c r="C67" s="634"/>
      <c r="D67" s="634"/>
      <c r="E67" s="123"/>
      <c r="F67" s="637"/>
      <c r="G67" s="649"/>
      <c r="H67" s="126"/>
      <c r="I67" s="634"/>
      <c r="J67" s="640"/>
      <c r="K67" s="643"/>
      <c r="L67" s="625"/>
      <c r="M67" s="646"/>
      <c r="N67" s="625">
        <f>IF(NOT(ISERROR(MATCH(M67,_xlfn.ANCHORARRAY(F78),0))),L80&amp;"Por favor no seleccionar los criterios de impacto",M67)</f>
        <v>0</v>
      </c>
      <c r="O67" s="643"/>
      <c r="P67" s="625"/>
      <c r="Q67" s="628"/>
      <c r="R67" s="105">
        <v>4</v>
      </c>
      <c r="S67" s="106"/>
      <c r="T67" s="107" t="str">
        <f t="shared" si="113"/>
        <v/>
      </c>
      <c r="U67" s="114"/>
      <c r="V67" s="114"/>
      <c r="W67" s="115" t="str">
        <f t="shared" si="109"/>
        <v/>
      </c>
      <c r="X67" s="114"/>
      <c r="Y67" s="114"/>
      <c r="Z67" s="114"/>
      <c r="AA67" s="108" t="str">
        <f t="shared" ref="AA67:AA69" si="116">IFERROR(IF(AND(T66="Probabilidad",T67="Probabilidad"),(AC66-(+AC66*W67)),IF(AND(T66="Impacto",T67="Probabilidad"),(AC65-(+AC65*W67)),IF(T67="Impacto",AC66,""))),"")</f>
        <v/>
      </c>
      <c r="AB67" s="118" t="str">
        <f t="shared" si="110"/>
        <v/>
      </c>
      <c r="AC67" s="119" t="str">
        <f t="shared" si="114"/>
        <v/>
      </c>
      <c r="AD67" s="118" t="str">
        <f t="shared" si="111"/>
        <v/>
      </c>
      <c r="AE67" s="119" t="str">
        <f t="shared" si="115"/>
        <v/>
      </c>
      <c r="AF67" s="120" t="str">
        <f t="shared" si="112"/>
        <v/>
      </c>
      <c r="AG67" s="121"/>
      <c r="AH67" s="109"/>
      <c r="AI67" s="110"/>
      <c r="AJ67" s="111"/>
      <c r="AK67" s="111"/>
      <c r="AL67" s="109"/>
      <c r="AM67" s="110"/>
    </row>
    <row r="68" spans="1:39" x14ac:dyDescent="0.3">
      <c r="A68" s="631"/>
      <c r="B68" s="634"/>
      <c r="C68" s="634"/>
      <c r="D68" s="634"/>
      <c r="E68" s="123"/>
      <c r="F68" s="637"/>
      <c r="G68" s="649"/>
      <c r="H68" s="126"/>
      <c r="I68" s="634"/>
      <c r="J68" s="640"/>
      <c r="K68" s="643"/>
      <c r="L68" s="625"/>
      <c r="M68" s="646"/>
      <c r="N68" s="625">
        <f>IF(NOT(ISERROR(MATCH(M68,_xlfn.ANCHORARRAY(F79),0))),L81&amp;"Por favor no seleccionar los criterios de impacto",M68)</f>
        <v>0</v>
      </c>
      <c r="O68" s="643"/>
      <c r="P68" s="625"/>
      <c r="Q68" s="628"/>
      <c r="R68" s="105">
        <v>5</v>
      </c>
      <c r="S68" s="106"/>
      <c r="T68" s="107" t="str">
        <f t="shared" si="113"/>
        <v/>
      </c>
      <c r="U68" s="114"/>
      <c r="V68" s="114"/>
      <c r="W68" s="115" t="str">
        <f t="shared" si="109"/>
        <v/>
      </c>
      <c r="X68" s="114"/>
      <c r="Y68" s="114"/>
      <c r="Z68" s="114"/>
      <c r="AA68" s="108" t="str">
        <f t="shared" si="116"/>
        <v/>
      </c>
      <c r="AB68" s="118" t="str">
        <f t="shared" si="110"/>
        <v/>
      </c>
      <c r="AC68" s="119" t="str">
        <f t="shared" si="114"/>
        <v/>
      </c>
      <c r="AD68" s="118" t="str">
        <f t="shared" si="111"/>
        <v/>
      </c>
      <c r="AE68" s="119" t="str">
        <f t="shared" si="115"/>
        <v/>
      </c>
      <c r="AF68" s="120" t="str">
        <f t="shared" si="112"/>
        <v/>
      </c>
      <c r="AG68" s="121"/>
      <c r="AH68" s="109"/>
      <c r="AI68" s="110"/>
      <c r="AJ68" s="111"/>
      <c r="AK68" s="111"/>
      <c r="AL68" s="109"/>
      <c r="AM68" s="110"/>
    </row>
    <row r="69" spans="1:39" x14ac:dyDescent="0.3">
      <c r="A69" s="632"/>
      <c r="B69" s="635"/>
      <c r="C69" s="635"/>
      <c r="D69" s="635"/>
      <c r="E69" s="124"/>
      <c r="F69" s="638"/>
      <c r="G69" s="650"/>
      <c r="H69" s="127"/>
      <c r="I69" s="635"/>
      <c r="J69" s="641"/>
      <c r="K69" s="644"/>
      <c r="L69" s="626"/>
      <c r="M69" s="647"/>
      <c r="N69" s="626">
        <f>IF(NOT(ISERROR(MATCH(M69,_xlfn.ANCHORARRAY(F80),0))),L82&amp;"Por favor no seleccionar los criterios de impacto",M69)</f>
        <v>0</v>
      </c>
      <c r="O69" s="644"/>
      <c r="P69" s="626"/>
      <c r="Q69" s="629"/>
      <c r="R69" s="105">
        <v>6</v>
      </c>
      <c r="S69" s="106"/>
      <c r="T69" s="107" t="str">
        <f t="shared" si="113"/>
        <v/>
      </c>
      <c r="U69" s="114"/>
      <c r="V69" s="114"/>
      <c r="W69" s="115" t="str">
        <f t="shared" si="109"/>
        <v/>
      </c>
      <c r="X69" s="114"/>
      <c r="Y69" s="114"/>
      <c r="Z69" s="114"/>
      <c r="AA69" s="108" t="str">
        <f t="shared" si="116"/>
        <v/>
      </c>
      <c r="AB69" s="118" t="str">
        <f t="shared" si="110"/>
        <v/>
      </c>
      <c r="AC69" s="119" t="str">
        <f t="shared" si="114"/>
        <v/>
      </c>
      <c r="AD69" s="118" t="str">
        <f t="shared" si="111"/>
        <v/>
      </c>
      <c r="AE69" s="119" t="str">
        <f t="shared" si="115"/>
        <v/>
      </c>
      <c r="AF69" s="120" t="str">
        <f t="shared" si="112"/>
        <v/>
      </c>
      <c r="AG69" s="121"/>
      <c r="AH69" s="109"/>
      <c r="AI69" s="110"/>
      <c r="AJ69" s="111"/>
      <c r="AK69" s="111"/>
      <c r="AL69" s="109"/>
      <c r="AM69" s="110"/>
    </row>
    <row r="70" spans="1:39" x14ac:dyDescent="0.3">
      <c r="A70" s="6"/>
      <c r="B70" s="621" t="s">
        <v>126</v>
      </c>
      <c r="C70" s="622"/>
      <c r="D70" s="622"/>
      <c r="E70" s="622"/>
      <c r="F70" s="622"/>
      <c r="G70" s="622"/>
      <c r="H70" s="622"/>
      <c r="I70" s="622"/>
      <c r="J70" s="622"/>
      <c r="K70" s="622"/>
      <c r="L70" s="622"/>
      <c r="M70" s="622"/>
      <c r="N70" s="622"/>
      <c r="O70" s="622"/>
      <c r="P70" s="622"/>
      <c r="Q70" s="622"/>
      <c r="R70" s="622"/>
      <c r="S70" s="622"/>
      <c r="T70" s="622"/>
      <c r="U70" s="622"/>
      <c r="V70" s="622"/>
      <c r="W70" s="622"/>
      <c r="X70" s="622"/>
      <c r="Y70" s="622"/>
      <c r="Z70" s="622"/>
      <c r="AA70" s="622"/>
      <c r="AB70" s="622"/>
      <c r="AC70" s="622"/>
      <c r="AD70" s="622"/>
      <c r="AE70" s="622"/>
      <c r="AF70" s="622"/>
      <c r="AG70" s="622"/>
      <c r="AH70" s="622"/>
      <c r="AI70" s="622"/>
      <c r="AJ70" s="622"/>
      <c r="AK70" s="622"/>
      <c r="AL70" s="622"/>
      <c r="AM70" s="623"/>
    </row>
    <row r="72" spans="1:39" x14ac:dyDescent="0.3">
      <c r="A72" s="1"/>
      <c r="B72" s="24" t="s">
        <v>138</v>
      </c>
      <c r="C72" s="1"/>
      <c r="D72" s="1"/>
      <c r="E72" s="1"/>
      <c r="I72" s="1"/>
    </row>
  </sheetData>
  <dataConsolidate/>
  <mergeCells count="203">
    <mergeCell ref="AH16:AH17"/>
    <mergeCell ref="H22:H23"/>
    <mergeCell ref="AH22:AH23"/>
    <mergeCell ref="G16:G21"/>
    <mergeCell ref="G22:G27"/>
    <mergeCell ref="G28:G33"/>
    <mergeCell ref="G34:G39"/>
    <mergeCell ref="G40:G45"/>
    <mergeCell ref="G46:G51"/>
    <mergeCell ref="L22:L27"/>
    <mergeCell ref="M22:M27"/>
    <mergeCell ref="N22:N27"/>
    <mergeCell ref="O22:O27"/>
    <mergeCell ref="P22:P27"/>
    <mergeCell ref="Q22:Q27"/>
    <mergeCell ref="Q28:Q33"/>
    <mergeCell ref="P34:P39"/>
    <mergeCell ref="Q34:Q39"/>
    <mergeCell ref="P40:P45"/>
    <mergeCell ref="Q40:Q45"/>
    <mergeCell ref="M46:M51"/>
    <mergeCell ref="N46:N51"/>
    <mergeCell ref="O46:O51"/>
    <mergeCell ref="M40:M45"/>
    <mergeCell ref="G64:G69"/>
    <mergeCell ref="I10:I15"/>
    <mergeCell ref="J10:J15"/>
    <mergeCell ref="K10:K15"/>
    <mergeCell ref="A10:A15"/>
    <mergeCell ref="B10:B15"/>
    <mergeCell ref="C10:C15"/>
    <mergeCell ref="D10:D15"/>
    <mergeCell ref="F10:F15"/>
    <mergeCell ref="A22:A27"/>
    <mergeCell ref="B22:B27"/>
    <mergeCell ref="C22:C27"/>
    <mergeCell ref="D22:D27"/>
    <mergeCell ref="F22:F27"/>
    <mergeCell ref="I22:I27"/>
    <mergeCell ref="J22:J27"/>
    <mergeCell ref="K22:K27"/>
    <mergeCell ref="A16:A21"/>
    <mergeCell ref="A28:A33"/>
    <mergeCell ref="B28:B33"/>
    <mergeCell ref="C28:C33"/>
    <mergeCell ref="D28:D33"/>
    <mergeCell ref="B16:B21"/>
    <mergeCell ref="C16:C21"/>
    <mergeCell ref="Q10:Q15"/>
    <mergeCell ref="L10:L15"/>
    <mergeCell ref="M10:M15"/>
    <mergeCell ref="N10:N15"/>
    <mergeCell ref="O10:O15"/>
    <mergeCell ref="P10:P15"/>
    <mergeCell ref="H10:H15"/>
    <mergeCell ref="G10:G15"/>
    <mergeCell ref="D16:D21"/>
    <mergeCell ref="F16:F21"/>
    <mergeCell ref="N16:N21"/>
    <mergeCell ref="O16:O21"/>
    <mergeCell ref="P16:P21"/>
    <mergeCell ref="Q16:Q21"/>
    <mergeCell ref="I16:I21"/>
    <mergeCell ref="J16:J21"/>
    <mergeCell ref="K16:K21"/>
    <mergeCell ref="L16:L21"/>
    <mergeCell ref="M16:M21"/>
    <mergeCell ref="C4:AM4"/>
    <mergeCell ref="C5:AM5"/>
    <mergeCell ref="B8:B9"/>
    <mergeCell ref="Q8:Q9"/>
    <mergeCell ref="M8:M9"/>
    <mergeCell ref="N8:N9"/>
    <mergeCell ref="T8:T9"/>
    <mergeCell ref="U8:Z8"/>
    <mergeCell ref="E8:E9"/>
    <mergeCell ref="AC8:AC9"/>
    <mergeCell ref="J8:J9"/>
    <mergeCell ref="K8:K9"/>
    <mergeCell ref="L8:L9"/>
    <mergeCell ref="O8:O9"/>
    <mergeCell ref="P8:P9"/>
    <mergeCell ref="C8:C9"/>
    <mergeCell ref="AG8:AG9"/>
    <mergeCell ref="R8:R9"/>
    <mergeCell ref="AF8:AF9"/>
    <mergeCell ref="AE8:AE9"/>
    <mergeCell ref="AA8:AA9"/>
    <mergeCell ref="S8:S9"/>
    <mergeCell ref="AD8:AD9"/>
    <mergeCell ref="AB8:AB9"/>
    <mergeCell ref="F28:F33"/>
    <mergeCell ref="I28:I33"/>
    <mergeCell ref="J28:J33"/>
    <mergeCell ref="K28:K33"/>
    <mergeCell ref="L28:L33"/>
    <mergeCell ref="M28:M33"/>
    <mergeCell ref="N28:N33"/>
    <mergeCell ref="O28:O33"/>
    <mergeCell ref="P28:P33"/>
    <mergeCell ref="A34:A39"/>
    <mergeCell ref="B34:B39"/>
    <mergeCell ref="C34:C39"/>
    <mergeCell ref="A40:A45"/>
    <mergeCell ref="B40:B45"/>
    <mergeCell ref="C40:C45"/>
    <mergeCell ref="D40:D45"/>
    <mergeCell ref="F40:F45"/>
    <mergeCell ref="I40:I45"/>
    <mergeCell ref="D34:D39"/>
    <mergeCell ref="F34:F39"/>
    <mergeCell ref="N40:N45"/>
    <mergeCell ref="O40:O45"/>
    <mergeCell ref="I34:I39"/>
    <mergeCell ref="J34:J39"/>
    <mergeCell ref="K34:K39"/>
    <mergeCell ref="L34:L39"/>
    <mergeCell ref="M34:M39"/>
    <mergeCell ref="J40:J45"/>
    <mergeCell ref="K40:K45"/>
    <mergeCell ref="L40:L45"/>
    <mergeCell ref="N34:N39"/>
    <mergeCell ref="O34:O39"/>
    <mergeCell ref="A52:A57"/>
    <mergeCell ref="B52:B57"/>
    <mergeCell ref="C52:C57"/>
    <mergeCell ref="D52:D57"/>
    <mergeCell ref="F52:F57"/>
    <mergeCell ref="A46:A51"/>
    <mergeCell ref="B46:B51"/>
    <mergeCell ref="C46:C51"/>
    <mergeCell ref="D46:D51"/>
    <mergeCell ref="F46:F51"/>
    <mergeCell ref="F58:F63"/>
    <mergeCell ref="I58:I63"/>
    <mergeCell ref="J58:J63"/>
    <mergeCell ref="K58:K63"/>
    <mergeCell ref="L58:L63"/>
    <mergeCell ref="P46:P51"/>
    <mergeCell ref="Q46:Q51"/>
    <mergeCell ref="I52:I57"/>
    <mergeCell ref="J52:J57"/>
    <mergeCell ref="K52:K57"/>
    <mergeCell ref="L52:L57"/>
    <mergeCell ref="M52:M57"/>
    <mergeCell ref="I46:I51"/>
    <mergeCell ref="J46:J51"/>
    <mergeCell ref="K46:K51"/>
    <mergeCell ref="L46:L51"/>
    <mergeCell ref="N52:N57"/>
    <mergeCell ref="O52:O57"/>
    <mergeCell ref="P52:P57"/>
    <mergeCell ref="Q52:Q57"/>
    <mergeCell ref="G52:G57"/>
    <mergeCell ref="G58:G63"/>
    <mergeCell ref="B70:AM70"/>
    <mergeCell ref="P58:P63"/>
    <mergeCell ref="Q58:Q63"/>
    <mergeCell ref="A64:A69"/>
    <mergeCell ref="B64:B69"/>
    <mergeCell ref="C64:C69"/>
    <mergeCell ref="D64:D69"/>
    <mergeCell ref="F64:F69"/>
    <mergeCell ref="I64:I69"/>
    <mergeCell ref="J64:J69"/>
    <mergeCell ref="K64:K69"/>
    <mergeCell ref="L64:L69"/>
    <mergeCell ref="M64:M69"/>
    <mergeCell ref="N64:N69"/>
    <mergeCell ref="O64:O69"/>
    <mergeCell ref="P64:P69"/>
    <mergeCell ref="Q64:Q69"/>
    <mergeCell ref="M58:M63"/>
    <mergeCell ref="N58:N63"/>
    <mergeCell ref="O58:O63"/>
    <mergeCell ref="A58:A63"/>
    <mergeCell ref="B58:B63"/>
    <mergeCell ref="C58:C63"/>
    <mergeCell ref="D58:D63"/>
    <mergeCell ref="AL22:AL23"/>
    <mergeCell ref="C6:AM6"/>
    <mergeCell ref="A1:AM2"/>
    <mergeCell ref="A7:J7"/>
    <mergeCell ref="K7:Q7"/>
    <mergeCell ref="R7:Z7"/>
    <mergeCell ref="AA7:AG7"/>
    <mergeCell ref="AH7:AM7"/>
    <mergeCell ref="AL10:AL11"/>
    <mergeCell ref="H16:H17"/>
    <mergeCell ref="AL16:AL17"/>
    <mergeCell ref="AH8:AH9"/>
    <mergeCell ref="AM8:AM9"/>
    <mergeCell ref="AL8:AL9"/>
    <mergeCell ref="AK8:AK9"/>
    <mergeCell ref="AJ8:AJ9"/>
    <mergeCell ref="AI8:AI9"/>
    <mergeCell ref="A4:B4"/>
    <mergeCell ref="A5:B5"/>
    <mergeCell ref="A6:B6"/>
    <mergeCell ref="A8:A9"/>
    <mergeCell ref="I8:I9"/>
    <mergeCell ref="F8:F9"/>
    <mergeCell ref="D8:D9"/>
  </mergeCells>
  <conditionalFormatting sqref="K10 K16 K22 K28 K34 K40 K46 K52 K58 K64">
    <cfRule type="cellIs" dxfId="32" priority="641" operator="equal">
      <formula>"Muy Alta"</formula>
    </cfRule>
    <cfRule type="cellIs" dxfId="31" priority="642" operator="equal">
      <formula>"Alta"</formula>
    </cfRule>
    <cfRule type="cellIs" dxfId="30" priority="643" operator="equal">
      <formula>"Media"</formula>
    </cfRule>
    <cfRule type="cellIs" dxfId="29" priority="644" operator="equal">
      <formula>"Baja"</formula>
    </cfRule>
    <cfRule type="cellIs" dxfId="28" priority="645" operator="equal">
      <formula>"Muy Baja"</formula>
    </cfRule>
  </conditionalFormatting>
  <conditionalFormatting sqref="N10:N69">
    <cfRule type="containsText" dxfId="27" priority="323" operator="containsText" text="❌">
      <formula>NOT(ISERROR(SEARCH("❌",N10)))</formula>
    </cfRule>
  </conditionalFormatting>
  <conditionalFormatting sqref="O10 O16 O22 O28 O34 O40 O46 O52 O58 O64">
    <cfRule type="cellIs" dxfId="26" priority="636" operator="equal">
      <formula>"Catastrófico"</formula>
    </cfRule>
    <cfRule type="cellIs" dxfId="25" priority="637" operator="equal">
      <formula>"Mayor"</formula>
    </cfRule>
    <cfRule type="cellIs" dxfId="24" priority="638" operator="equal">
      <formula>"Moderado"</formula>
    </cfRule>
    <cfRule type="cellIs" dxfId="23" priority="639" operator="equal">
      <formula>"Menor"</formula>
    </cfRule>
    <cfRule type="cellIs" dxfId="22" priority="640" operator="equal">
      <formula>"Leve"</formula>
    </cfRule>
  </conditionalFormatting>
  <conditionalFormatting sqref="Q10">
    <cfRule type="cellIs" dxfId="21" priority="632" operator="equal">
      <formula>"Extremo"</formula>
    </cfRule>
    <cfRule type="cellIs" dxfId="20" priority="633" operator="equal">
      <formula>"Alto"</formula>
    </cfRule>
    <cfRule type="cellIs" dxfId="19" priority="634" operator="equal">
      <formula>"Moderado"</formula>
    </cfRule>
    <cfRule type="cellIs" dxfId="18" priority="635" operator="equal">
      <formula>"Bajo"</formula>
    </cfRule>
  </conditionalFormatting>
  <conditionalFormatting sqref="Q16 Q22 Q28 Q34 Q40 Q46 Q52 Q58 Q64">
    <cfRule type="cellIs" dxfId="17" priority="562" operator="equal">
      <formula>"Extremo"</formula>
    </cfRule>
    <cfRule type="cellIs" dxfId="16" priority="563" operator="equal">
      <formula>"Alto"</formula>
    </cfRule>
    <cfRule type="cellIs" dxfId="15" priority="564" operator="equal">
      <formula>"Moderado"</formula>
    </cfRule>
    <cfRule type="cellIs" dxfId="14" priority="565" operator="equal">
      <formula>"Bajo"</formula>
    </cfRule>
  </conditionalFormatting>
  <conditionalFormatting sqref="AB10:AB69">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D10:AD69">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F10:AF69">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dataValidations count="1">
    <dataValidation type="list" allowBlank="1" showInputMessage="1" showErrorMessage="1" sqref="G10:G69" xr:uid="{00000000-0002-0000-0400-000000000000}">
      <formula1>"Gestión, FISCAL,"</formula1>
    </dataValidation>
  </dataValidations>
  <pageMargins left="0.70866141732283472" right="0.70866141732283472" top="0.74803149606299213" bottom="0.74803149606299213" header="0.31496062992125984" footer="0.31496062992125984"/>
  <pageSetup paperSize="281" scale="41" orientation="landscape" r:id="rId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1000000}">
          <x14:formula1>
            <xm:f>'Tabla Valoración controles'!$D$4:$D$6</xm:f>
          </x14:formula1>
          <xm:sqref>U10:U69</xm:sqref>
        </x14:dataValidation>
        <x14:dataValidation type="list" allowBlank="1" showInputMessage="1" showErrorMessage="1" xr:uid="{00000000-0002-0000-0400-000002000000}">
          <x14:formula1>
            <xm:f>'Tabla Valoración controles'!$D$7:$D$8</xm:f>
          </x14:formula1>
          <xm:sqref>V10:V69</xm:sqref>
        </x14:dataValidation>
        <x14:dataValidation type="list" allowBlank="1" showInputMessage="1" showErrorMessage="1" xr:uid="{00000000-0002-0000-0400-000003000000}">
          <x14:formula1>
            <xm:f>'Tabla Valoración controles'!$D$9:$D$10</xm:f>
          </x14:formula1>
          <xm:sqref>X10:X69</xm:sqref>
        </x14:dataValidation>
        <x14:dataValidation type="list" allowBlank="1" showInputMessage="1" showErrorMessage="1" xr:uid="{00000000-0002-0000-0400-000004000000}">
          <x14:formula1>
            <xm:f>'Tabla Valoración controles'!$D$11:$D$12</xm:f>
          </x14:formula1>
          <xm:sqref>Y10:Y69</xm:sqref>
        </x14:dataValidation>
        <x14:dataValidation type="list" allowBlank="1" showInputMessage="1" showErrorMessage="1" xr:uid="{00000000-0002-0000-0400-000005000000}">
          <x14:formula1>
            <xm:f>'Opciones Tratamiento'!$B$9:$B$10</xm:f>
          </x14:formula1>
          <xm:sqref>AM22:AM23 AM13:AM14 AM16:AM17 AM19:AM20 AM67:AM68 AM25:AM26 AM28:AM29 AM31:AM32 AM34:AM35 AM37:AM38 AM40:AM41 AM43:AM44 AM46:AM47 AM49:AM50 AM52:AM53 AM55:AM56 AM58:AM59 AM61:AM62 AM64:AM65 AM10:AM11</xm:sqref>
        </x14:dataValidation>
        <x14:dataValidation type="list" allowBlank="1" showInputMessage="1" showErrorMessage="1" xr:uid="{00000000-0002-0000-0400-000006000000}">
          <x14:formula1>
            <xm:f>'Tabla Valoración controles'!$D$13:$D$14</xm:f>
          </x14:formula1>
          <xm:sqref>Z10:Z69</xm:sqref>
        </x14:dataValidation>
        <x14:dataValidation type="list" allowBlank="1" showInputMessage="1" showErrorMessage="1" xr:uid="{00000000-0002-0000-0400-000007000000}">
          <x14:formula1>
            <xm:f>'Opciones Tratamiento'!$B$13:$B$19</xm:f>
          </x14:formula1>
          <xm:sqref>I10:I69</xm:sqref>
        </x14:dataValidation>
        <x14:dataValidation type="list" allowBlank="1" showInputMessage="1" showErrorMessage="1" xr:uid="{00000000-0002-0000-0400-000008000000}">
          <x14:formula1>
            <xm:f>'Opciones Tratamiento'!$E$2:$E$4</xm:f>
          </x14:formula1>
          <xm:sqref>B10:B69</xm:sqref>
        </x14:dataValidation>
        <x14:dataValidation type="list" allowBlank="1" showInputMessage="1" showErrorMessage="1" xr:uid="{00000000-0002-0000-0400-000009000000}">
          <x14:formula1>
            <xm:f>'Opciones Tratamiento'!$B$2:$B$5</xm:f>
          </x14:formula1>
          <xm:sqref>AG54:AG58 AG60:AG64 AG48:AG52 AG66:AG69 AG36:AG40 AG42:AG46 AG10:AG34</xm:sqref>
        </x14:dataValidation>
        <x14:dataValidation type="list" allowBlank="1" showInputMessage="1" showErrorMessage="1" xr:uid="{00000000-0002-0000-0400-00000A000000}">
          <x14:formula1>
            <xm:f>'Tabla Impacto'!$F$210:$F$221</xm:f>
          </x14:formula1>
          <xm:sqref>M10:M69</xm:sqref>
        </x14:dataValidation>
        <x14:dataValidation type="custom" allowBlank="1" showInputMessage="1" showErrorMessage="1" error="Recuerde que las acciones se generan bajo la medida de mitigar el riesgo" xr:uid="{00000000-0002-0000-0400-00000B000000}">
          <x14:formula1>
            <xm:f>IF(OR(AG10='Opciones Tratamiento'!$B$2,AG10='Opciones Tratamiento'!$B$3,AG10='Opciones Tratamiento'!$B$4),ISBLANK(AG10),ISTEXT(AG10))</xm:f>
          </x14:formula1>
          <xm:sqref>AH10:AH16 AH18:AH22 AH24:AH69</xm:sqref>
        </x14:dataValidation>
        <x14:dataValidation type="custom" allowBlank="1" showInputMessage="1" showErrorMessage="1" error="Recuerde que las acciones se generan bajo la medida de mitigar el riesgo" xr:uid="{00000000-0002-0000-0400-00000C000000}">
          <x14:formula1>
            <xm:f>IF(OR(AG10='Opciones Tratamiento'!$B$2,AG10='Opciones Tratamiento'!$B$3,AG10='Opciones Tratamiento'!$B$4),ISBLANK(AG10),ISTEXT(AG10))</xm:f>
          </x14:formula1>
          <xm:sqref>AI10:AI69</xm:sqref>
        </x14:dataValidation>
        <x14:dataValidation type="custom" allowBlank="1" showInputMessage="1" showErrorMessage="1" error="Recuerde que las acciones se generan bajo la medida de mitigar el riesgo" xr:uid="{00000000-0002-0000-0400-00000D000000}">
          <x14:formula1>
            <xm:f>IF(OR(AG10='Opciones Tratamiento'!$B$2,AG10='Opciones Tratamiento'!$B$3,AG10='Opciones Tratamiento'!$B$4),ISBLANK(AG10),ISTEXT(AG10))</xm:f>
          </x14:formula1>
          <xm:sqref>AJ10:AJ69</xm:sqref>
        </x14:dataValidation>
        <x14:dataValidation type="custom" allowBlank="1" showInputMessage="1" showErrorMessage="1" error="Recuerde que las acciones se generan bajo la medida de mitigar el riesgo" xr:uid="{00000000-0002-0000-0400-00000E000000}">
          <x14:formula1>
            <xm:f>IF(OR(AG10='Opciones Tratamiento'!$B$2,AG10='Opciones Tratamiento'!$B$3,AG10='Opciones Tratamiento'!$B$4),ISBLANK(AG10),ISTEXT(AG10))</xm:f>
          </x14:formula1>
          <xm:sqref>AK10:AK69</xm:sqref>
        </x14:dataValidation>
        <x14:dataValidation type="custom" allowBlank="1" showInputMessage="1" showErrorMessage="1" error="Recuerde que las acciones se generan bajo la medida de mitigar el riesgo" xr:uid="{00000000-0002-0000-0400-00000F000000}">
          <x14:formula1>
            <xm:f>IF(OR(AG10='Opciones Tratamiento'!$B$2,AG10='Opciones Tratamiento'!$B$3,AG10='Opciones Tratamiento'!$B$4),ISBLANK(AG10),ISTEXT(AG10))</xm:f>
          </x14:formula1>
          <xm:sqref>AL10 AL12:AL16 AL18:AL22 AL24:AL69</xm:sqref>
        </x14:dataValidation>
        <x14:dataValidation type="list" allowBlank="1" showInputMessage="1" showErrorMessage="1" xr:uid="{00000000-0002-0000-0400-000010000000}">
          <x14:formula1>
            <xm:f>'C:\Users\HOME\Downloads\[Formato Matriz de Riesgos 2021 (1).xlsx]Opciones Tratamiento'!#REF!</xm:f>
          </x14:formula1>
          <xm:sqref>AG47 AG53 AG59 AG65 AG35 AG41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workbookViewId="0"/>
  </sheetViews>
  <sheetFormatPr baseColWidth="10" defaultRowHeight="15" x14ac:dyDescent="0.25"/>
  <sheetData>
    <row r="2" spans="2:5" x14ac:dyDescent="0.25">
      <c r="B2" t="s">
        <v>31</v>
      </c>
      <c r="E2" t="s">
        <v>128</v>
      </c>
    </row>
    <row r="3" spans="2:5" x14ac:dyDescent="0.25">
      <c r="B3" t="s">
        <v>32</v>
      </c>
      <c r="E3" t="s">
        <v>127</v>
      </c>
    </row>
    <row r="4" spans="2:5" x14ac:dyDescent="0.25">
      <c r="B4" t="s">
        <v>132</v>
      </c>
      <c r="E4" t="s">
        <v>129</v>
      </c>
    </row>
    <row r="5" spans="2:5" x14ac:dyDescent="0.25">
      <c r="B5" t="s">
        <v>131</v>
      </c>
    </row>
    <row r="8" spans="2:5" x14ac:dyDescent="0.25">
      <c r="B8" t="s">
        <v>85</v>
      </c>
    </row>
    <row r="9" spans="2:5" x14ac:dyDescent="0.25">
      <c r="B9" t="s">
        <v>40</v>
      </c>
    </row>
    <row r="10" spans="2:5" x14ac:dyDescent="0.25">
      <c r="B10" t="s">
        <v>41</v>
      </c>
    </row>
    <row r="13" spans="2:5" x14ac:dyDescent="0.25">
      <c r="B13" t="s">
        <v>124</v>
      </c>
    </row>
    <row r="14" spans="2:5" x14ac:dyDescent="0.25">
      <c r="B14" t="s">
        <v>118</v>
      </c>
    </row>
    <row r="15" spans="2:5" x14ac:dyDescent="0.25">
      <c r="B15" t="s">
        <v>121</v>
      </c>
    </row>
    <row r="16" spans="2:5" x14ac:dyDescent="0.25">
      <c r="B16" t="s">
        <v>119</v>
      </c>
    </row>
    <row r="17" spans="2:2" x14ac:dyDescent="0.25">
      <c r="B17" t="s">
        <v>120</v>
      </c>
    </row>
    <row r="18" spans="2:2" x14ac:dyDescent="0.25">
      <c r="B18" t="s">
        <v>122</v>
      </c>
    </row>
    <row r="19" spans="2:2" x14ac:dyDescent="0.25">
      <c r="B19" t="s">
        <v>123</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workbookViewId="0"/>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topLeftCell="A10" workbookViewId="0">
      <selection activeCell="D16" sqref="D16"/>
    </sheetView>
  </sheetViews>
  <sheetFormatPr baseColWidth="10" defaultColWidth="11.42578125" defaultRowHeight="14.25" x14ac:dyDescent="0.2"/>
  <cols>
    <col min="1" max="1" width="29.42578125" style="151" customWidth="1"/>
    <col min="2" max="2" width="29.140625" style="151" customWidth="1"/>
    <col min="3" max="3" width="30.28515625" style="151" customWidth="1"/>
    <col min="4" max="4" width="31.85546875" style="151" customWidth="1"/>
    <col min="5" max="5" width="32.5703125" style="151" customWidth="1"/>
    <col min="6" max="6" width="32" style="151" customWidth="1"/>
    <col min="7" max="16384" width="11.42578125" style="151"/>
  </cols>
  <sheetData>
    <row r="1" spans="1:10" ht="15" customHeight="1" x14ac:dyDescent="0.2">
      <c r="A1" s="275"/>
      <c r="B1" s="277" t="s">
        <v>264</v>
      </c>
      <c r="C1" s="277"/>
      <c r="D1" s="277"/>
      <c r="E1" s="149" t="s">
        <v>265</v>
      </c>
      <c r="F1" s="279"/>
      <c r="G1" s="150"/>
      <c r="J1" s="281"/>
    </row>
    <row r="2" spans="1:10" ht="15" customHeight="1" x14ac:dyDescent="0.2">
      <c r="A2" s="276"/>
      <c r="B2" s="278"/>
      <c r="C2" s="278"/>
      <c r="D2" s="278"/>
      <c r="E2" s="153" t="s">
        <v>266</v>
      </c>
      <c r="F2" s="280"/>
      <c r="G2" s="150"/>
      <c r="J2" s="281"/>
    </row>
    <row r="3" spans="1:10" ht="15" customHeight="1" x14ac:dyDescent="0.2">
      <c r="A3" s="276"/>
      <c r="B3" s="278" t="s">
        <v>214</v>
      </c>
      <c r="C3" s="278"/>
      <c r="D3" s="278"/>
      <c r="E3" s="153" t="s">
        <v>267</v>
      </c>
      <c r="F3" s="280"/>
      <c r="G3" s="150"/>
      <c r="J3" s="281"/>
    </row>
    <row r="4" spans="1:10" ht="15.75" customHeight="1" x14ac:dyDescent="0.2">
      <c r="A4" s="276"/>
      <c r="B4" s="278"/>
      <c r="C4" s="278"/>
      <c r="D4" s="278"/>
      <c r="E4" s="153" t="s">
        <v>268</v>
      </c>
      <c r="F4" s="280"/>
      <c r="G4" s="150"/>
      <c r="J4" s="281"/>
    </row>
    <row r="5" spans="1:10" ht="15.75" customHeight="1" x14ac:dyDescent="0.2">
      <c r="A5" s="282"/>
      <c r="B5" s="283"/>
      <c r="C5" s="283"/>
      <c r="D5" s="283"/>
      <c r="E5" s="283"/>
      <c r="F5" s="284"/>
      <c r="G5" s="150"/>
      <c r="J5" s="152"/>
    </row>
    <row r="6" spans="1:10" ht="15" customHeight="1" x14ac:dyDescent="0.2">
      <c r="A6" s="285" t="s">
        <v>215</v>
      </c>
      <c r="B6" s="286"/>
      <c r="C6" s="286"/>
      <c r="D6" s="286"/>
      <c r="E6" s="286"/>
      <c r="F6" s="287"/>
    </row>
    <row r="7" spans="1:10" ht="15.75" customHeight="1" x14ac:dyDescent="0.2">
      <c r="A7" s="285"/>
      <c r="B7" s="286"/>
      <c r="C7" s="286"/>
      <c r="D7" s="286"/>
      <c r="E7" s="286"/>
      <c r="F7" s="287"/>
    </row>
    <row r="8" spans="1:10" ht="27" customHeight="1" x14ac:dyDescent="0.2">
      <c r="A8" s="288" t="s">
        <v>270</v>
      </c>
      <c r="B8" s="289"/>
      <c r="C8" s="289"/>
      <c r="D8" s="289"/>
      <c r="E8" s="289"/>
      <c r="F8" s="290"/>
    </row>
    <row r="9" spans="1:10" ht="77.25" customHeight="1" thickBot="1" x14ac:dyDescent="0.25">
      <c r="A9" s="271" t="s">
        <v>271</v>
      </c>
      <c r="B9" s="272"/>
      <c r="C9" s="272"/>
      <c r="D9" s="272"/>
      <c r="E9" s="272"/>
      <c r="F9" s="273"/>
    </row>
    <row r="10" spans="1:10" ht="18.75" customHeight="1" thickBot="1" x14ac:dyDescent="0.25">
      <c r="A10" s="274"/>
      <c r="B10" s="274"/>
      <c r="C10" s="274"/>
      <c r="D10" s="274"/>
      <c r="E10" s="274"/>
      <c r="F10" s="274"/>
    </row>
    <row r="11" spans="1:10" ht="22.5" customHeight="1" thickBot="1" x14ac:dyDescent="0.25">
      <c r="A11" s="154" t="s">
        <v>216</v>
      </c>
      <c r="B11" s="155" t="s">
        <v>217</v>
      </c>
      <c r="C11" s="155" t="s">
        <v>218</v>
      </c>
      <c r="D11" s="155" t="s">
        <v>217</v>
      </c>
      <c r="E11" s="155" t="s">
        <v>219</v>
      </c>
      <c r="F11" s="156" t="s">
        <v>217</v>
      </c>
    </row>
    <row r="12" spans="1:10" ht="75" customHeight="1" x14ac:dyDescent="0.2">
      <c r="A12" s="157" t="s">
        <v>223</v>
      </c>
      <c r="B12" s="207" t="s">
        <v>272</v>
      </c>
      <c r="C12" s="158" t="s">
        <v>273</v>
      </c>
      <c r="D12" s="207" t="s">
        <v>274</v>
      </c>
      <c r="E12" s="158" t="s">
        <v>275</v>
      </c>
      <c r="F12" s="208" t="s">
        <v>276</v>
      </c>
    </row>
    <row r="13" spans="1:10" ht="85.5" customHeight="1" x14ac:dyDescent="0.2">
      <c r="A13" s="159" t="s">
        <v>277</v>
      </c>
      <c r="B13" s="160" t="s">
        <v>278</v>
      </c>
      <c r="C13" s="161" t="s">
        <v>273</v>
      </c>
      <c r="D13" s="215" t="s">
        <v>308</v>
      </c>
      <c r="E13" s="161" t="s">
        <v>279</v>
      </c>
      <c r="F13" s="209" t="s">
        <v>280</v>
      </c>
    </row>
    <row r="14" spans="1:10" ht="82.5" customHeight="1" x14ac:dyDescent="0.2">
      <c r="A14" s="159" t="s">
        <v>220</v>
      </c>
      <c r="B14" s="160" t="s">
        <v>281</v>
      </c>
      <c r="C14" s="161" t="s">
        <v>273</v>
      </c>
      <c r="D14" s="162" t="s">
        <v>282</v>
      </c>
      <c r="E14" s="161" t="s">
        <v>283</v>
      </c>
      <c r="F14" s="209" t="s">
        <v>284</v>
      </c>
    </row>
    <row r="15" spans="1:10" ht="73.5" customHeight="1" x14ac:dyDescent="0.2">
      <c r="A15" s="159" t="s">
        <v>221</v>
      </c>
      <c r="B15" s="163" t="s">
        <v>285</v>
      </c>
      <c r="C15" s="161" t="s">
        <v>286</v>
      </c>
      <c r="D15" s="215"/>
      <c r="E15" s="161" t="s">
        <v>288</v>
      </c>
      <c r="F15" s="209" t="s">
        <v>289</v>
      </c>
    </row>
    <row r="16" spans="1:10" ht="84" customHeight="1" x14ac:dyDescent="0.2">
      <c r="A16" s="159" t="s">
        <v>222</v>
      </c>
      <c r="B16" s="162" t="s">
        <v>290</v>
      </c>
      <c r="C16" s="161" t="s">
        <v>273</v>
      </c>
      <c r="D16" s="210" t="s">
        <v>291</v>
      </c>
      <c r="E16" s="161" t="s">
        <v>292</v>
      </c>
      <c r="F16" s="209" t="s">
        <v>293</v>
      </c>
    </row>
    <row r="17" spans="1:6" ht="69.75" customHeight="1" x14ac:dyDescent="0.2">
      <c r="A17" s="159" t="s">
        <v>294</v>
      </c>
      <c r="B17" s="162" t="s">
        <v>295</v>
      </c>
      <c r="C17" s="161" t="s">
        <v>273</v>
      </c>
      <c r="D17" s="215" t="s">
        <v>287</v>
      </c>
      <c r="E17" s="161" t="s">
        <v>292</v>
      </c>
      <c r="F17" s="209" t="s">
        <v>296</v>
      </c>
    </row>
    <row r="18" spans="1:6" ht="66.75" customHeight="1" x14ac:dyDescent="0.2">
      <c r="A18" s="159" t="s">
        <v>224</v>
      </c>
      <c r="B18" s="162" t="s">
        <v>297</v>
      </c>
      <c r="C18" s="161" t="s">
        <v>298</v>
      </c>
      <c r="D18" s="211" t="s">
        <v>299</v>
      </c>
      <c r="E18" s="269" t="s">
        <v>300</v>
      </c>
      <c r="F18" s="212" t="s">
        <v>318</v>
      </c>
    </row>
    <row r="19" spans="1:6" ht="73.5" customHeight="1" x14ac:dyDescent="0.2">
      <c r="A19" s="159"/>
      <c r="B19" s="162"/>
      <c r="C19" s="161" t="s">
        <v>301</v>
      </c>
      <c r="D19" s="162" t="s">
        <v>302</v>
      </c>
      <c r="E19" s="270"/>
      <c r="F19" s="213" t="s">
        <v>309</v>
      </c>
    </row>
    <row r="20" spans="1:6" ht="65.25" customHeight="1" x14ac:dyDescent="0.2">
      <c r="A20" s="159"/>
      <c r="B20" s="162"/>
      <c r="C20" s="161" t="s">
        <v>303</v>
      </c>
      <c r="D20" s="162" t="s">
        <v>304</v>
      </c>
      <c r="E20" s="161"/>
      <c r="F20" s="209"/>
    </row>
    <row r="21" spans="1:6" ht="66.75" customHeight="1" x14ac:dyDescent="0.2">
      <c r="A21" s="159"/>
      <c r="B21" s="162"/>
      <c r="C21" s="161" t="s">
        <v>303</v>
      </c>
      <c r="D21" s="164" t="s">
        <v>305</v>
      </c>
      <c r="E21" s="161"/>
      <c r="F21" s="209"/>
    </row>
    <row r="22" spans="1:6" ht="69" customHeight="1" x14ac:dyDescent="0.2">
      <c r="A22" s="159"/>
      <c r="B22" s="162"/>
      <c r="C22" s="161" t="s">
        <v>306</v>
      </c>
      <c r="D22" s="214" t="s">
        <v>307</v>
      </c>
      <c r="E22" s="161"/>
      <c r="F22" s="209"/>
    </row>
    <row r="23" spans="1:6" ht="61.5" customHeight="1" x14ac:dyDescent="0.2">
      <c r="A23" s="159"/>
      <c r="B23" s="162"/>
      <c r="C23" s="161"/>
      <c r="D23" s="164"/>
      <c r="E23" s="161"/>
      <c r="F23" s="209"/>
    </row>
    <row r="24" spans="1:6" ht="57.75" customHeight="1" x14ac:dyDescent="0.2">
      <c r="A24" s="159"/>
      <c r="B24" s="162"/>
      <c r="C24" s="161"/>
      <c r="D24" s="164"/>
      <c r="E24" s="161"/>
      <c r="F24" s="209"/>
    </row>
    <row r="25" spans="1:6" ht="62.25" customHeight="1" x14ac:dyDescent="0.2">
      <c r="A25" s="159"/>
      <c r="B25" s="162"/>
      <c r="C25" s="161"/>
      <c r="D25" s="164"/>
      <c r="E25" s="161"/>
      <c r="F25" s="209"/>
    </row>
    <row r="26" spans="1:6" ht="56.25" customHeight="1" thickBot="1" x14ac:dyDescent="0.25">
      <c r="A26" s="165"/>
      <c r="B26" s="166"/>
      <c r="C26" s="167"/>
      <c r="D26" s="168"/>
      <c r="E26" s="167"/>
      <c r="F26" s="169"/>
    </row>
    <row r="27" spans="1:6" ht="65.25" customHeight="1" x14ac:dyDescent="0.2">
      <c r="A27" s="170"/>
      <c r="B27" s="171"/>
      <c r="C27" s="170"/>
      <c r="D27" s="172"/>
      <c r="E27" s="170"/>
      <c r="F27" s="172"/>
    </row>
    <row r="28" spans="1:6" ht="62.25" customHeight="1" x14ac:dyDescent="0.2">
      <c r="A28" s="170"/>
      <c r="B28" s="171"/>
      <c r="C28" s="170"/>
      <c r="D28" s="172"/>
      <c r="E28" s="170"/>
      <c r="F28" s="172"/>
    </row>
    <row r="29" spans="1:6" ht="63" customHeight="1" x14ac:dyDescent="0.2">
      <c r="A29" s="170"/>
      <c r="B29" s="171"/>
      <c r="C29" s="170"/>
      <c r="D29" s="172"/>
      <c r="E29" s="170"/>
      <c r="F29" s="171"/>
    </row>
    <row r="30" spans="1:6" ht="51.75" customHeight="1" x14ac:dyDescent="0.2">
      <c r="A30" s="170"/>
      <c r="B30" s="171"/>
      <c r="C30" s="170"/>
      <c r="D30" s="172"/>
      <c r="E30" s="170"/>
      <c r="F30" s="171"/>
    </row>
    <row r="31" spans="1:6" ht="52.5" customHeight="1" x14ac:dyDescent="0.2">
      <c r="A31" s="170"/>
      <c r="B31" s="172"/>
      <c r="C31" s="170"/>
      <c r="D31" s="172"/>
      <c r="E31" s="170"/>
      <c r="F31" s="172"/>
    </row>
    <row r="32" spans="1:6" ht="63.75" customHeight="1" x14ac:dyDescent="0.2">
      <c r="A32" s="170"/>
      <c r="B32" s="172"/>
      <c r="C32" s="170"/>
      <c r="D32" s="172"/>
      <c r="E32" s="170"/>
      <c r="F32" s="172"/>
    </row>
    <row r="33" spans="1:6" ht="66" customHeight="1" x14ac:dyDescent="0.2">
      <c r="A33" s="170"/>
      <c r="B33" s="173"/>
      <c r="C33" s="170"/>
      <c r="D33" s="174"/>
      <c r="E33" s="170"/>
      <c r="F33" s="173"/>
    </row>
    <row r="34" spans="1:6" ht="55.5" customHeight="1" x14ac:dyDescent="0.2">
      <c r="A34" s="170"/>
      <c r="B34" s="173"/>
      <c r="C34" s="170"/>
      <c r="D34" s="174"/>
      <c r="E34" s="170"/>
      <c r="F34" s="175"/>
    </row>
    <row r="35" spans="1:6" ht="51.75" customHeight="1" x14ac:dyDescent="0.2">
      <c r="A35" s="170"/>
      <c r="B35" s="175"/>
      <c r="C35" s="170"/>
      <c r="D35" s="176"/>
      <c r="E35" s="170"/>
      <c r="F35" s="175"/>
    </row>
    <row r="36" spans="1:6" ht="55.5" customHeight="1" x14ac:dyDescent="0.2">
      <c r="A36" s="170"/>
      <c r="B36" s="175"/>
      <c r="C36" s="170"/>
      <c r="D36" s="175"/>
      <c r="E36" s="170"/>
      <c r="F36" s="175"/>
    </row>
    <row r="37" spans="1:6" ht="55.5" customHeight="1" x14ac:dyDescent="0.2">
      <c r="A37" s="170"/>
      <c r="B37" s="175"/>
      <c r="C37" s="170"/>
      <c r="D37" s="175"/>
      <c r="E37" s="170"/>
      <c r="F37" s="175"/>
    </row>
    <row r="38" spans="1:6" ht="54.75" customHeight="1" x14ac:dyDescent="0.2">
      <c r="A38" s="170"/>
      <c r="B38" s="175"/>
      <c r="C38" s="170"/>
      <c r="D38" s="175"/>
      <c r="E38" s="170"/>
      <c r="F38" s="175"/>
    </row>
    <row r="39" spans="1:6" ht="56.25" customHeight="1" x14ac:dyDescent="0.2">
      <c r="A39" s="170"/>
      <c r="B39" s="175"/>
      <c r="C39" s="170"/>
      <c r="D39" s="175"/>
      <c r="E39" s="170"/>
      <c r="F39" s="175"/>
    </row>
    <row r="40" spans="1:6" ht="54.75" customHeight="1" x14ac:dyDescent="0.2">
      <c r="A40" s="170"/>
      <c r="B40" s="173"/>
      <c r="C40" s="170"/>
      <c r="D40" s="174"/>
      <c r="E40" s="170"/>
      <c r="F40" s="173"/>
    </row>
    <row r="41" spans="1:6" ht="55.5" customHeight="1" x14ac:dyDescent="0.2">
      <c r="A41" s="170"/>
      <c r="B41" s="173"/>
      <c r="C41" s="170"/>
      <c r="D41" s="174"/>
      <c r="E41" s="170"/>
      <c r="F41" s="175"/>
    </row>
    <row r="42" spans="1:6" ht="54.75" customHeight="1" x14ac:dyDescent="0.2">
      <c r="A42" s="170"/>
      <c r="B42" s="175"/>
      <c r="C42" s="170"/>
      <c r="D42" s="176"/>
      <c r="E42" s="170"/>
      <c r="F42" s="175"/>
    </row>
    <row r="43" spans="1:6" ht="55.5" customHeight="1" x14ac:dyDescent="0.2">
      <c r="A43" s="170"/>
      <c r="B43" s="175"/>
      <c r="C43" s="170"/>
      <c r="D43" s="175"/>
      <c r="E43" s="170"/>
      <c r="F43" s="175"/>
    </row>
    <row r="44" spans="1:6" ht="56.25" customHeight="1" x14ac:dyDescent="0.2">
      <c r="A44" s="170"/>
      <c r="B44" s="175"/>
      <c r="C44" s="170"/>
      <c r="D44" s="175"/>
      <c r="E44" s="170"/>
      <c r="F44" s="175"/>
    </row>
    <row r="45" spans="1:6" ht="59.25" customHeight="1" x14ac:dyDescent="0.2">
      <c r="A45" s="170"/>
      <c r="B45" s="175"/>
      <c r="C45" s="170"/>
      <c r="D45" s="175"/>
      <c r="E45" s="170"/>
      <c r="F45" s="175"/>
    </row>
    <row r="46" spans="1:6" ht="55.5" customHeight="1" x14ac:dyDescent="0.2">
      <c r="A46" s="170"/>
      <c r="B46" s="175"/>
      <c r="C46" s="170"/>
      <c r="D46" s="175"/>
      <c r="E46" s="170"/>
      <c r="F46" s="175"/>
    </row>
    <row r="47" spans="1:6" ht="55.5" customHeight="1" x14ac:dyDescent="0.2">
      <c r="A47" s="170"/>
      <c r="B47" s="173"/>
      <c r="C47" s="170"/>
      <c r="D47" s="174"/>
      <c r="E47" s="170"/>
      <c r="F47" s="173"/>
    </row>
    <row r="48" spans="1:6" ht="56.25" customHeight="1" x14ac:dyDescent="0.2">
      <c r="A48" s="170"/>
      <c r="B48" s="173"/>
      <c r="C48" s="170"/>
      <c r="D48" s="174"/>
      <c r="E48" s="170"/>
      <c r="F48" s="175"/>
    </row>
    <row r="49" spans="1:6" ht="54" customHeight="1" x14ac:dyDescent="0.2">
      <c r="A49" s="170"/>
      <c r="B49" s="175"/>
      <c r="C49" s="170"/>
      <c r="D49" s="176"/>
      <c r="E49" s="170"/>
      <c r="F49" s="175"/>
    </row>
    <row r="50" spans="1:6" ht="56.25" customHeight="1" x14ac:dyDescent="0.2">
      <c r="A50" s="170"/>
      <c r="B50" s="175"/>
      <c r="C50" s="170"/>
      <c r="D50" s="175"/>
      <c r="E50" s="170"/>
      <c r="F50" s="175"/>
    </row>
    <row r="51" spans="1:6" ht="59.25" customHeight="1" x14ac:dyDescent="0.2">
      <c r="A51" s="170"/>
      <c r="B51" s="175"/>
      <c r="C51" s="170"/>
      <c r="D51" s="175"/>
      <c r="E51" s="170"/>
      <c r="F51" s="175"/>
    </row>
    <row r="52" spans="1:6" ht="54.75" customHeight="1" x14ac:dyDescent="0.2">
      <c r="A52" s="170"/>
      <c r="B52" s="175"/>
      <c r="C52" s="170"/>
      <c r="D52" s="175"/>
      <c r="E52" s="170"/>
      <c r="F52" s="175"/>
    </row>
    <row r="53" spans="1:6" ht="55.5" customHeight="1" x14ac:dyDescent="0.2">
      <c r="A53" s="170"/>
      <c r="B53" s="175"/>
      <c r="C53" s="170"/>
      <c r="D53" s="175"/>
      <c r="E53" s="170"/>
      <c r="F53" s="175"/>
    </row>
  </sheetData>
  <mergeCells count="11">
    <mergeCell ref="J1:J4"/>
    <mergeCell ref="B3:D4"/>
    <mergeCell ref="A5:F5"/>
    <mergeCell ref="A6:F7"/>
    <mergeCell ref="A8:F8"/>
    <mergeCell ref="E18:E19"/>
    <mergeCell ref="A9:F9"/>
    <mergeCell ref="A10:F10"/>
    <mergeCell ref="A1:A4"/>
    <mergeCell ref="B1:D2"/>
    <mergeCell ref="F1:F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2"/>
  <sheetViews>
    <sheetView topLeftCell="A28" workbookViewId="0">
      <selection activeCell="B24" sqref="B24"/>
    </sheetView>
  </sheetViews>
  <sheetFormatPr baseColWidth="10" defaultColWidth="11.42578125" defaultRowHeight="15" x14ac:dyDescent="0.25"/>
  <cols>
    <col min="1" max="1" width="5.140625" style="203" customWidth="1"/>
    <col min="2" max="2" width="40.42578125" style="204" customWidth="1"/>
    <col min="3" max="17" width="6.42578125" style="204" customWidth="1"/>
    <col min="18" max="18" width="8.140625" style="204" customWidth="1"/>
    <col min="19" max="19" width="13" style="205" customWidth="1"/>
    <col min="20" max="20" width="19.7109375" customWidth="1"/>
    <col min="21" max="23" width="11.42578125" hidden="1" customWidth="1"/>
  </cols>
  <sheetData>
    <row r="1" spans="1:24" ht="30.75" customHeight="1" x14ac:dyDescent="0.25">
      <c r="A1" s="293"/>
      <c r="B1" s="296" t="str">
        <f>[1]CONTEXTO!B1</f>
        <v xml:space="preserve">PROCESO: </v>
      </c>
      <c r="C1" s="296"/>
      <c r="D1" s="296"/>
      <c r="E1" s="296"/>
      <c r="F1" s="296"/>
      <c r="G1" s="296"/>
      <c r="H1" s="296"/>
      <c r="I1" s="296"/>
      <c r="J1" s="296"/>
      <c r="K1" s="296"/>
      <c r="L1" s="296"/>
      <c r="M1" s="296"/>
      <c r="N1" s="296"/>
      <c r="O1" s="296"/>
      <c r="P1" s="296"/>
      <c r="Q1" s="296"/>
      <c r="R1" s="296"/>
      <c r="S1" s="297"/>
      <c r="T1" s="300" t="s">
        <v>265</v>
      </c>
      <c r="U1" s="300"/>
      <c r="V1" s="300"/>
      <c r="W1" s="301"/>
    </row>
    <row r="2" spans="1:24" ht="25.5" customHeight="1" x14ac:dyDescent="0.25">
      <c r="A2" s="294"/>
      <c r="B2" s="298"/>
      <c r="C2" s="298"/>
      <c r="D2" s="298"/>
      <c r="E2" s="298"/>
      <c r="F2" s="298"/>
      <c r="G2" s="298"/>
      <c r="H2" s="298"/>
      <c r="I2" s="298"/>
      <c r="J2" s="298"/>
      <c r="K2" s="298"/>
      <c r="L2" s="298"/>
      <c r="M2" s="298"/>
      <c r="N2" s="298"/>
      <c r="O2" s="298"/>
      <c r="P2" s="298"/>
      <c r="Q2" s="298"/>
      <c r="R2" s="298"/>
      <c r="S2" s="299"/>
      <c r="T2" s="302" t="s">
        <v>266</v>
      </c>
      <c r="U2" s="302"/>
      <c r="V2" s="302"/>
      <c r="W2" s="303"/>
    </row>
    <row r="3" spans="1:24" ht="15" customHeight="1" x14ac:dyDescent="0.25">
      <c r="A3" s="294"/>
      <c r="B3" s="298" t="s">
        <v>228</v>
      </c>
      <c r="C3" s="298"/>
      <c r="D3" s="298"/>
      <c r="E3" s="298"/>
      <c r="F3" s="298"/>
      <c r="G3" s="298"/>
      <c r="H3" s="298"/>
      <c r="I3" s="298"/>
      <c r="J3" s="298"/>
      <c r="K3" s="298"/>
      <c r="L3" s="298"/>
      <c r="M3" s="298"/>
      <c r="N3" s="298"/>
      <c r="O3" s="298"/>
      <c r="P3" s="298"/>
      <c r="Q3" s="298"/>
      <c r="R3" s="298"/>
      <c r="S3" s="299"/>
      <c r="T3" s="302" t="s">
        <v>269</v>
      </c>
      <c r="U3" s="302"/>
      <c r="V3" s="302"/>
      <c r="W3" s="303"/>
    </row>
    <row r="4" spans="1:24" ht="15.75" customHeight="1" x14ac:dyDescent="0.25">
      <c r="A4" s="295"/>
      <c r="B4" s="304"/>
      <c r="C4" s="304"/>
      <c r="D4" s="304"/>
      <c r="E4" s="304"/>
      <c r="F4" s="304"/>
      <c r="G4" s="304"/>
      <c r="H4" s="304"/>
      <c r="I4" s="304"/>
      <c r="J4" s="304"/>
      <c r="K4" s="304"/>
      <c r="L4" s="304"/>
      <c r="M4" s="304"/>
      <c r="N4" s="304"/>
      <c r="O4" s="304"/>
      <c r="P4" s="304"/>
      <c r="Q4" s="304"/>
      <c r="R4" s="304"/>
      <c r="S4" s="305"/>
      <c r="T4" s="302" t="s">
        <v>268</v>
      </c>
      <c r="U4" s="302"/>
      <c r="V4" s="302"/>
      <c r="W4" s="303"/>
    </row>
    <row r="5" spans="1:24" ht="15.75" customHeight="1" x14ac:dyDescent="0.25">
      <c r="A5" s="295"/>
      <c r="B5" s="295"/>
      <c r="C5" s="295"/>
      <c r="D5" s="295"/>
      <c r="E5" s="295"/>
      <c r="F5" s="295"/>
      <c r="G5" s="295"/>
      <c r="H5" s="295"/>
      <c r="I5" s="295"/>
      <c r="J5" s="295"/>
      <c r="K5" s="295"/>
      <c r="L5" s="295"/>
      <c r="M5" s="295"/>
      <c r="N5" s="295"/>
      <c r="O5" s="295"/>
      <c r="P5" s="295"/>
      <c r="Q5" s="295"/>
      <c r="R5" s="295"/>
      <c r="S5" s="295"/>
      <c r="T5" s="306"/>
      <c r="U5" s="171"/>
      <c r="V5" s="171"/>
      <c r="W5" s="177"/>
    </row>
    <row r="6" spans="1:24" s="151" customFormat="1" ht="27" customHeight="1" x14ac:dyDescent="0.2">
      <c r="A6" s="307" t="str">
        <f>+Contexto!A8</f>
        <v>PROCESO:  GESTION DE RECURSOS FISICOS</v>
      </c>
      <c r="B6" s="307"/>
      <c r="C6" s="307"/>
      <c r="D6" s="307"/>
      <c r="E6" s="307"/>
      <c r="F6" s="307"/>
      <c r="G6" s="307"/>
      <c r="H6" s="307"/>
      <c r="I6" s="307"/>
      <c r="J6" s="307"/>
      <c r="K6" s="307"/>
      <c r="L6" s="307"/>
      <c r="M6" s="307"/>
      <c r="N6" s="307"/>
      <c r="O6" s="307"/>
      <c r="P6" s="307"/>
      <c r="Q6" s="307"/>
      <c r="R6" s="307"/>
      <c r="S6" s="307"/>
      <c r="T6" s="307"/>
      <c r="W6" s="178"/>
    </row>
    <row r="7" spans="1:24" s="151" customFormat="1" ht="81" customHeight="1" thickBot="1" x14ac:dyDescent="0.25">
      <c r="A7" s="308" t="str">
        <f>+Contexto!A9</f>
        <v xml:space="preserve">OBJETIVO: GESTIONAR OPORTUNAMENTE EL FUNCIONAMIENTO DE LA ADMINISTRACION CENTRAL MEDIANTE LA ADQUISICIÓN Y MANTENIMIENTO DE BIENES Y SERVICIOS, EJECUTANDO EL 80% DEL PRESUPUESTO ASIGNADO CONTRIBUYENDO A LA GESTIÓN DE LOS PROCESOS Y AL LOGRO DE LOS OBJETIVOS INSTITUCIONALES.
</v>
      </c>
      <c r="B7" s="308"/>
      <c r="C7" s="308"/>
      <c r="D7" s="308"/>
      <c r="E7" s="308"/>
      <c r="F7" s="308"/>
      <c r="G7" s="308"/>
      <c r="H7" s="308"/>
      <c r="I7" s="308"/>
      <c r="J7" s="308"/>
      <c r="K7" s="308"/>
      <c r="L7" s="308"/>
      <c r="M7" s="308"/>
      <c r="N7" s="308"/>
      <c r="O7" s="308"/>
      <c r="P7" s="308"/>
      <c r="Q7" s="308"/>
      <c r="R7" s="308"/>
      <c r="S7" s="308"/>
      <c r="T7" s="308"/>
      <c r="U7" s="179"/>
      <c r="V7" s="179"/>
      <c r="W7" s="180"/>
    </row>
    <row r="8" spans="1:24" s="151" customFormat="1" ht="26.25" customHeight="1" thickBot="1" x14ac:dyDescent="0.25">
      <c r="A8" s="181"/>
      <c r="B8" s="181"/>
      <c r="C8" s="181"/>
      <c r="D8" s="181"/>
      <c r="E8" s="181"/>
      <c r="F8" s="181"/>
      <c r="G8" s="181"/>
      <c r="H8" s="181"/>
      <c r="I8" s="181"/>
      <c r="J8" s="181"/>
      <c r="K8" s="181"/>
      <c r="L8" s="181"/>
      <c r="M8" s="181"/>
      <c r="N8" s="181"/>
      <c r="O8" s="181"/>
      <c r="P8" s="181"/>
      <c r="Q8" s="181"/>
      <c r="R8" s="181"/>
      <c r="S8" s="181"/>
      <c r="T8" s="182"/>
      <c r="X8" s="183"/>
    </row>
    <row r="9" spans="1:24" s="151" customFormat="1" ht="39.75" customHeight="1" thickBot="1" x14ac:dyDescent="0.25">
      <c r="A9" s="309"/>
      <c r="B9" s="309"/>
      <c r="C9" s="309" t="b">
        <v>0</v>
      </c>
      <c r="D9" s="309"/>
      <c r="E9" s="309"/>
      <c r="F9" s="309"/>
      <c r="G9" s="309"/>
      <c r="H9" s="309"/>
      <c r="I9" s="309"/>
      <c r="J9" s="309"/>
      <c r="K9" s="309"/>
      <c r="L9" s="309"/>
      <c r="M9" s="309"/>
      <c r="N9" s="309"/>
      <c r="O9" s="309"/>
      <c r="P9" s="309"/>
      <c r="Q9" s="309"/>
      <c r="R9" s="309"/>
      <c r="S9" s="309"/>
      <c r="T9" s="310"/>
    </row>
    <row r="10" spans="1:24" s="189" customFormat="1" ht="32.25" customHeight="1" thickBot="1" x14ac:dyDescent="0.3">
      <c r="A10" s="184" t="s">
        <v>229</v>
      </c>
      <c r="B10" s="185" t="s">
        <v>230</v>
      </c>
      <c r="C10" s="185" t="s">
        <v>231</v>
      </c>
      <c r="D10" s="185" t="s">
        <v>232</v>
      </c>
      <c r="E10" s="185" t="s">
        <v>233</v>
      </c>
      <c r="F10" s="185" t="s">
        <v>234</v>
      </c>
      <c r="G10" s="185" t="s">
        <v>235</v>
      </c>
      <c r="H10" s="185" t="s">
        <v>236</v>
      </c>
      <c r="I10" s="185" t="s">
        <v>237</v>
      </c>
      <c r="J10" s="185" t="s">
        <v>238</v>
      </c>
      <c r="K10" s="185" t="s">
        <v>239</v>
      </c>
      <c r="L10" s="185" t="s">
        <v>240</v>
      </c>
      <c r="M10" s="185" t="s">
        <v>241</v>
      </c>
      <c r="N10" s="185" t="s">
        <v>242</v>
      </c>
      <c r="O10" s="185" t="s">
        <v>243</v>
      </c>
      <c r="P10" s="185" t="s">
        <v>244</v>
      </c>
      <c r="Q10" s="185" t="s">
        <v>245</v>
      </c>
      <c r="R10" s="186" t="s">
        <v>246</v>
      </c>
      <c r="S10" s="187" t="s">
        <v>247</v>
      </c>
      <c r="T10" s="188" t="s">
        <v>248</v>
      </c>
    </row>
    <row r="11" spans="1:24" ht="39.75" customHeight="1" x14ac:dyDescent="0.25">
      <c r="A11" s="190">
        <v>1</v>
      </c>
      <c r="B11" s="207" t="s">
        <v>310</v>
      </c>
      <c r="C11" s="191">
        <v>5</v>
      </c>
      <c r="D11" s="191">
        <v>4</v>
      </c>
      <c r="E11" s="191">
        <v>4</v>
      </c>
      <c r="F11" s="191">
        <v>5</v>
      </c>
      <c r="G11" s="191"/>
      <c r="H11" s="191"/>
      <c r="I11" s="191"/>
      <c r="J11" s="191"/>
      <c r="K11" s="191"/>
      <c r="L11" s="191"/>
      <c r="M11" s="191"/>
      <c r="N11" s="191"/>
      <c r="O11" s="191"/>
      <c r="P11" s="191"/>
      <c r="Q11" s="191"/>
      <c r="R11" s="190">
        <f>C11+D11+E11+F11</f>
        <v>18</v>
      </c>
      <c r="S11" s="195">
        <f>IF(ISERROR(AVERAGE(C11:Q11)),0,AVERAGE(C11:Q11))</f>
        <v>4.5</v>
      </c>
      <c r="T11" s="192"/>
    </row>
    <row r="12" spans="1:24" ht="45.75" customHeight="1" x14ac:dyDescent="0.25">
      <c r="A12" s="190">
        <v>2</v>
      </c>
      <c r="B12" s="162" t="s">
        <v>311</v>
      </c>
      <c r="C12" s="191">
        <v>4</v>
      </c>
      <c r="D12" s="191">
        <v>4</v>
      </c>
      <c r="E12" s="191">
        <v>5</v>
      </c>
      <c r="F12" s="191">
        <v>4</v>
      </c>
      <c r="G12" s="191"/>
      <c r="H12" s="191"/>
      <c r="I12" s="191"/>
      <c r="J12" s="191"/>
      <c r="K12" s="191"/>
      <c r="L12" s="191"/>
      <c r="M12" s="191"/>
      <c r="N12" s="191"/>
      <c r="O12" s="191"/>
      <c r="P12" s="191"/>
      <c r="Q12" s="191"/>
      <c r="R12" s="190">
        <f t="shared" ref="R12:R34" si="0">C12+D12+E12+F12</f>
        <v>17</v>
      </c>
      <c r="S12" s="195">
        <f>IF(ISERROR(AVERAGE(C12:Q12)),0,AVERAGE(C12:Q12))</f>
        <v>4.25</v>
      </c>
      <c r="T12" s="193"/>
    </row>
    <row r="13" spans="1:24" ht="65.25" customHeight="1" x14ac:dyDescent="0.25">
      <c r="A13" s="190">
        <v>3</v>
      </c>
      <c r="B13" s="162" t="s">
        <v>312</v>
      </c>
      <c r="C13" s="191">
        <v>5</v>
      </c>
      <c r="D13" s="191">
        <v>4</v>
      </c>
      <c r="E13" s="191">
        <v>4</v>
      </c>
      <c r="F13" s="191">
        <v>4</v>
      </c>
      <c r="G13" s="191"/>
      <c r="H13" s="191"/>
      <c r="I13" s="191"/>
      <c r="J13" s="191"/>
      <c r="K13" s="191"/>
      <c r="L13" s="191"/>
      <c r="M13" s="191"/>
      <c r="N13" s="191"/>
      <c r="O13" s="191"/>
      <c r="P13" s="191"/>
      <c r="Q13" s="191"/>
      <c r="R13" s="190">
        <f t="shared" si="0"/>
        <v>17</v>
      </c>
      <c r="S13" s="195">
        <f t="shared" ref="S13:S39" si="1">IF(ISERROR(AVERAGE(C13:Q13)),0,AVERAGE(C13:Q13))</f>
        <v>4.25</v>
      </c>
      <c r="T13" s="194"/>
    </row>
    <row r="14" spans="1:24" ht="39.75" customHeight="1" x14ac:dyDescent="0.25">
      <c r="A14" s="190">
        <v>4</v>
      </c>
      <c r="B14" s="162" t="s">
        <v>290</v>
      </c>
      <c r="C14" s="191">
        <v>4</v>
      </c>
      <c r="D14" s="191">
        <v>5</v>
      </c>
      <c r="E14" s="191">
        <v>4</v>
      </c>
      <c r="F14" s="191">
        <v>5</v>
      </c>
      <c r="G14" s="191"/>
      <c r="H14" s="191"/>
      <c r="I14" s="191"/>
      <c r="J14" s="191"/>
      <c r="K14" s="191"/>
      <c r="L14" s="191"/>
      <c r="M14" s="191"/>
      <c r="N14" s="191"/>
      <c r="O14" s="191"/>
      <c r="P14" s="191"/>
      <c r="Q14" s="191"/>
      <c r="R14" s="190">
        <f t="shared" si="0"/>
        <v>18</v>
      </c>
      <c r="S14" s="195">
        <f t="shared" si="1"/>
        <v>4.5</v>
      </c>
      <c r="T14" s="194"/>
    </row>
    <row r="15" spans="1:24" ht="39.75" customHeight="1" x14ac:dyDescent="0.25">
      <c r="A15" s="190">
        <v>5</v>
      </c>
      <c r="B15" s="163" t="s">
        <v>281</v>
      </c>
      <c r="C15" s="191">
        <v>3</v>
      </c>
      <c r="D15" s="191">
        <v>4</v>
      </c>
      <c r="E15" s="191">
        <v>3</v>
      </c>
      <c r="F15" s="191">
        <v>3</v>
      </c>
      <c r="G15" s="191"/>
      <c r="H15" s="191"/>
      <c r="I15" s="191"/>
      <c r="J15" s="191"/>
      <c r="K15" s="191"/>
      <c r="L15" s="191"/>
      <c r="M15" s="191"/>
      <c r="N15" s="191"/>
      <c r="O15" s="191"/>
      <c r="P15" s="191"/>
      <c r="Q15" s="191"/>
      <c r="R15" s="190">
        <f t="shared" si="0"/>
        <v>13</v>
      </c>
      <c r="S15" s="195">
        <f t="shared" si="1"/>
        <v>3.25</v>
      </c>
      <c r="T15" s="194"/>
    </row>
    <row r="16" spans="1:24" ht="39.75" customHeight="1" x14ac:dyDescent="0.25">
      <c r="A16" s="190">
        <v>6</v>
      </c>
      <c r="B16" s="163" t="s">
        <v>285</v>
      </c>
      <c r="C16" s="191">
        <v>4</v>
      </c>
      <c r="D16" s="191">
        <v>4</v>
      </c>
      <c r="E16" s="191">
        <v>4</v>
      </c>
      <c r="F16" s="191">
        <v>3</v>
      </c>
      <c r="G16" s="191"/>
      <c r="H16" s="191"/>
      <c r="I16" s="191"/>
      <c r="J16" s="191"/>
      <c r="K16" s="191"/>
      <c r="L16" s="191"/>
      <c r="M16" s="191"/>
      <c r="N16" s="191"/>
      <c r="O16" s="191"/>
      <c r="P16" s="191"/>
      <c r="Q16" s="191"/>
      <c r="R16" s="190">
        <f t="shared" si="0"/>
        <v>15</v>
      </c>
      <c r="S16" s="195">
        <f t="shared" si="1"/>
        <v>3.75</v>
      </c>
      <c r="T16" s="194"/>
    </row>
    <row r="17" spans="1:20" ht="51" customHeight="1" thickBot="1" x14ac:dyDescent="0.3">
      <c r="A17" s="190">
        <v>7</v>
      </c>
      <c r="B17" s="162" t="s">
        <v>313</v>
      </c>
      <c r="C17" s="191">
        <v>4</v>
      </c>
      <c r="D17" s="191">
        <v>4</v>
      </c>
      <c r="E17" s="191">
        <v>5</v>
      </c>
      <c r="F17" s="191">
        <v>4</v>
      </c>
      <c r="G17" s="191"/>
      <c r="H17" s="191"/>
      <c r="I17" s="191"/>
      <c r="J17" s="191"/>
      <c r="K17" s="191"/>
      <c r="L17" s="191"/>
      <c r="M17" s="191"/>
      <c r="N17" s="191"/>
      <c r="O17" s="191"/>
      <c r="P17" s="191"/>
      <c r="Q17" s="191"/>
      <c r="R17" s="190">
        <f t="shared" si="0"/>
        <v>17</v>
      </c>
      <c r="S17" s="195">
        <f t="shared" si="1"/>
        <v>4.25</v>
      </c>
      <c r="T17" s="194"/>
    </row>
    <row r="18" spans="1:20" ht="46.5" customHeight="1" x14ac:dyDescent="0.25">
      <c r="A18" s="190">
        <v>8</v>
      </c>
      <c r="B18" s="207" t="s">
        <v>314</v>
      </c>
      <c r="C18" s="191">
        <v>5</v>
      </c>
      <c r="D18" s="191">
        <v>4</v>
      </c>
      <c r="E18" s="191">
        <v>4</v>
      </c>
      <c r="F18" s="191">
        <v>5</v>
      </c>
      <c r="G18" s="191"/>
      <c r="H18" s="191"/>
      <c r="I18" s="191"/>
      <c r="J18" s="191"/>
      <c r="K18" s="191"/>
      <c r="L18" s="191"/>
      <c r="M18" s="191"/>
      <c r="N18" s="191"/>
      <c r="O18" s="191"/>
      <c r="P18" s="191"/>
      <c r="Q18" s="191"/>
      <c r="R18" s="190">
        <f t="shared" si="0"/>
        <v>18</v>
      </c>
      <c r="S18" s="195">
        <f t="shared" si="1"/>
        <v>4.5</v>
      </c>
      <c r="T18" s="194"/>
    </row>
    <row r="19" spans="1:20" ht="47.25" customHeight="1" x14ac:dyDescent="0.25">
      <c r="A19" s="190">
        <v>9</v>
      </c>
      <c r="B19" s="162" t="s">
        <v>315</v>
      </c>
      <c r="C19" s="191">
        <v>4</v>
      </c>
      <c r="D19" s="191">
        <v>4</v>
      </c>
      <c r="E19" s="191">
        <v>5</v>
      </c>
      <c r="F19" s="191">
        <v>4</v>
      </c>
      <c r="G19" s="191"/>
      <c r="H19" s="191"/>
      <c r="I19" s="191"/>
      <c r="J19" s="191"/>
      <c r="K19" s="191"/>
      <c r="L19" s="191"/>
      <c r="M19" s="191"/>
      <c r="N19" s="191"/>
      <c r="O19" s="191"/>
      <c r="P19" s="191"/>
      <c r="Q19" s="191"/>
      <c r="R19" s="190">
        <f t="shared" si="0"/>
        <v>17</v>
      </c>
      <c r="S19" s="195">
        <f t="shared" si="1"/>
        <v>4.25</v>
      </c>
      <c r="T19" s="194"/>
    </row>
    <row r="20" spans="1:20" ht="39.75" customHeight="1" x14ac:dyDescent="0.25">
      <c r="A20" s="190">
        <v>10</v>
      </c>
      <c r="B20" s="162" t="s">
        <v>316</v>
      </c>
      <c r="C20" s="191">
        <v>4</v>
      </c>
      <c r="D20" s="191">
        <v>5</v>
      </c>
      <c r="E20" s="191">
        <v>4</v>
      </c>
      <c r="F20" s="191">
        <v>4</v>
      </c>
      <c r="G20" s="191"/>
      <c r="H20" s="191"/>
      <c r="I20" s="191"/>
      <c r="J20" s="191"/>
      <c r="K20" s="191"/>
      <c r="L20" s="191"/>
      <c r="M20" s="191"/>
      <c r="N20" s="191"/>
      <c r="O20" s="191"/>
      <c r="P20" s="191"/>
      <c r="Q20" s="191"/>
      <c r="R20" s="190">
        <f t="shared" si="0"/>
        <v>17</v>
      </c>
      <c r="S20" s="195">
        <f t="shared" si="1"/>
        <v>4.25</v>
      </c>
      <c r="T20" s="194"/>
    </row>
    <row r="21" spans="1:20" ht="39.75" customHeight="1" x14ac:dyDescent="0.25">
      <c r="A21" s="190">
        <v>11</v>
      </c>
      <c r="B21" s="216" t="s">
        <v>291</v>
      </c>
      <c r="C21" s="191">
        <v>5</v>
      </c>
      <c r="D21" s="191">
        <v>5</v>
      </c>
      <c r="E21" s="191">
        <v>4</v>
      </c>
      <c r="F21" s="191">
        <v>5</v>
      </c>
      <c r="G21" s="191"/>
      <c r="H21" s="191"/>
      <c r="I21" s="191"/>
      <c r="J21" s="191"/>
      <c r="K21" s="191"/>
      <c r="L21" s="191"/>
      <c r="M21" s="191"/>
      <c r="N21" s="191"/>
      <c r="O21" s="191"/>
      <c r="P21" s="191"/>
      <c r="Q21" s="191"/>
      <c r="R21" s="190">
        <f t="shared" si="0"/>
        <v>19</v>
      </c>
      <c r="S21" s="195">
        <f t="shared" si="1"/>
        <v>4.75</v>
      </c>
      <c r="T21" s="194"/>
    </row>
    <row r="22" spans="1:20" ht="45.75" customHeight="1" x14ac:dyDescent="0.25">
      <c r="A22" s="190">
        <v>12</v>
      </c>
      <c r="B22" s="162" t="s">
        <v>282</v>
      </c>
      <c r="C22" s="191">
        <v>4</v>
      </c>
      <c r="D22" s="191">
        <v>4</v>
      </c>
      <c r="E22" s="191">
        <v>4</v>
      </c>
      <c r="F22" s="191">
        <v>5</v>
      </c>
      <c r="G22" s="191"/>
      <c r="H22" s="191"/>
      <c r="I22" s="191"/>
      <c r="J22" s="191"/>
      <c r="K22" s="191"/>
      <c r="L22" s="191"/>
      <c r="M22" s="191"/>
      <c r="N22" s="191"/>
      <c r="O22" s="191"/>
      <c r="P22" s="191"/>
      <c r="Q22" s="191"/>
      <c r="R22" s="190">
        <f t="shared" si="0"/>
        <v>17</v>
      </c>
      <c r="S22" s="195">
        <f t="shared" si="1"/>
        <v>4.25</v>
      </c>
      <c r="T22" s="194"/>
    </row>
    <row r="23" spans="1:20" ht="49.5" customHeight="1" x14ac:dyDescent="0.25">
      <c r="A23" s="190">
        <v>13</v>
      </c>
      <c r="B23" s="162" t="s">
        <v>287</v>
      </c>
      <c r="C23" s="191">
        <v>5</v>
      </c>
      <c r="D23" s="191">
        <v>4</v>
      </c>
      <c r="E23" s="191">
        <v>4</v>
      </c>
      <c r="F23" s="191">
        <v>5</v>
      </c>
      <c r="G23" s="191"/>
      <c r="H23" s="191"/>
      <c r="I23" s="191"/>
      <c r="J23" s="191"/>
      <c r="K23" s="191"/>
      <c r="L23" s="191"/>
      <c r="M23" s="191"/>
      <c r="N23" s="191"/>
      <c r="O23" s="191"/>
      <c r="P23" s="191"/>
      <c r="Q23" s="191"/>
      <c r="R23" s="190">
        <f t="shared" si="0"/>
        <v>18</v>
      </c>
      <c r="S23" s="195">
        <f t="shared" si="1"/>
        <v>4.5</v>
      </c>
      <c r="T23" s="194"/>
    </row>
    <row r="24" spans="1:20" ht="39.75" customHeight="1" x14ac:dyDescent="0.25">
      <c r="A24" s="190">
        <v>14</v>
      </c>
      <c r="B24" s="217" t="s">
        <v>299</v>
      </c>
      <c r="C24" s="191">
        <v>5</v>
      </c>
      <c r="D24" s="191">
        <v>5</v>
      </c>
      <c r="E24" s="191">
        <v>5</v>
      </c>
      <c r="F24" s="191">
        <v>4</v>
      </c>
      <c r="G24" s="191"/>
      <c r="H24" s="191"/>
      <c r="I24" s="191"/>
      <c r="J24" s="191"/>
      <c r="K24" s="191"/>
      <c r="L24" s="191"/>
      <c r="M24" s="191"/>
      <c r="N24" s="191"/>
      <c r="O24" s="191"/>
      <c r="P24" s="191"/>
      <c r="Q24" s="191"/>
      <c r="R24" s="190">
        <f t="shared" si="0"/>
        <v>19</v>
      </c>
      <c r="S24" s="195">
        <f t="shared" si="1"/>
        <v>4.75</v>
      </c>
      <c r="T24" s="194"/>
    </row>
    <row r="25" spans="1:20" ht="39.75" customHeight="1" x14ac:dyDescent="0.25">
      <c r="A25" s="190">
        <v>15</v>
      </c>
      <c r="B25" s="162" t="s">
        <v>302</v>
      </c>
      <c r="C25" s="191">
        <v>3</v>
      </c>
      <c r="D25" s="191">
        <v>4</v>
      </c>
      <c r="E25" s="191">
        <v>3</v>
      </c>
      <c r="F25" s="191">
        <v>3</v>
      </c>
      <c r="G25" s="191"/>
      <c r="H25" s="191"/>
      <c r="I25" s="191"/>
      <c r="J25" s="191"/>
      <c r="K25" s="191"/>
      <c r="L25" s="191"/>
      <c r="M25" s="191"/>
      <c r="N25" s="191"/>
      <c r="O25" s="191"/>
      <c r="P25" s="191"/>
      <c r="Q25" s="191"/>
      <c r="R25" s="190">
        <f t="shared" si="0"/>
        <v>13</v>
      </c>
      <c r="S25" s="195">
        <f t="shared" si="1"/>
        <v>3.25</v>
      </c>
      <c r="T25" s="194"/>
    </row>
    <row r="26" spans="1:20" ht="48.75" customHeight="1" x14ac:dyDescent="0.25">
      <c r="A26" s="190">
        <v>16</v>
      </c>
      <c r="B26" s="162" t="s">
        <v>304</v>
      </c>
      <c r="C26" s="191">
        <v>5</v>
      </c>
      <c r="D26" s="191">
        <v>4</v>
      </c>
      <c r="E26" s="191">
        <v>4</v>
      </c>
      <c r="F26" s="191">
        <v>4</v>
      </c>
      <c r="G26" s="191"/>
      <c r="H26" s="191"/>
      <c r="I26" s="191"/>
      <c r="J26" s="191"/>
      <c r="K26" s="191"/>
      <c r="L26" s="191"/>
      <c r="M26" s="191"/>
      <c r="N26" s="191"/>
      <c r="O26" s="191"/>
      <c r="P26" s="191"/>
      <c r="Q26" s="191"/>
      <c r="R26" s="190">
        <f t="shared" si="0"/>
        <v>17</v>
      </c>
      <c r="S26" s="195">
        <f t="shared" si="1"/>
        <v>4.25</v>
      </c>
      <c r="T26" s="194"/>
    </row>
    <row r="27" spans="1:20" ht="39.75" customHeight="1" x14ac:dyDescent="0.25">
      <c r="A27" s="190">
        <v>17</v>
      </c>
      <c r="B27" s="164" t="s">
        <v>305</v>
      </c>
      <c r="C27" s="191">
        <v>4</v>
      </c>
      <c r="D27" s="191">
        <v>4</v>
      </c>
      <c r="E27" s="191">
        <v>4</v>
      </c>
      <c r="F27" s="191">
        <v>4</v>
      </c>
      <c r="G27" s="191"/>
      <c r="H27" s="191"/>
      <c r="I27" s="191"/>
      <c r="J27" s="191"/>
      <c r="K27" s="191"/>
      <c r="L27" s="191"/>
      <c r="M27" s="191"/>
      <c r="N27" s="191"/>
      <c r="O27" s="191"/>
      <c r="P27" s="191"/>
      <c r="Q27" s="191"/>
      <c r="R27" s="190">
        <f t="shared" si="0"/>
        <v>16</v>
      </c>
      <c r="S27" s="195">
        <f t="shared" si="1"/>
        <v>4</v>
      </c>
      <c r="T27" s="194"/>
    </row>
    <row r="28" spans="1:20" ht="39.75" customHeight="1" thickBot="1" x14ac:dyDescent="0.3">
      <c r="A28" s="190">
        <v>18</v>
      </c>
      <c r="B28" s="214" t="s">
        <v>307</v>
      </c>
      <c r="C28" s="191">
        <v>5</v>
      </c>
      <c r="D28" s="191">
        <v>4</v>
      </c>
      <c r="E28" s="191">
        <v>4</v>
      </c>
      <c r="F28" s="191">
        <v>5</v>
      </c>
      <c r="G28" s="191"/>
      <c r="H28" s="191"/>
      <c r="I28" s="191"/>
      <c r="J28" s="191"/>
      <c r="K28" s="191"/>
      <c r="L28" s="191"/>
      <c r="M28" s="191"/>
      <c r="N28" s="191"/>
      <c r="O28" s="191"/>
      <c r="P28" s="191"/>
      <c r="Q28" s="191"/>
      <c r="R28" s="190">
        <f t="shared" si="0"/>
        <v>18</v>
      </c>
      <c r="S28" s="195">
        <f t="shared" si="1"/>
        <v>4.5</v>
      </c>
      <c r="T28" s="194"/>
    </row>
    <row r="29" spans="1:20" ht="48" customHeight="1" thickBot="1" x14ac:dyDescent="0.3">
      <c r="A29" s="190">
        <v>19</v>
      </c>
      <c r="B29" s="208" t="s">
        <v>317</v>
      </c>
      <c r="C29" s="191">
        <v>4</v>
      </c>
      <c r="D29" s="191">
        <v>5</v>
      </c>
      <c r="E29" s="191">
        <v>4</v>
      </c>
      <c r="F29" s="191">
        <v>5</v>
      </c>
      <c r="G29" s="191"/>
      <c r="H29" s="191"/>
      <c r="I29" s="191"/>
      <c r="J29" s="191"/>
      <c r="K29" s="191"/>
      <c r="L29" s="191"/>
      <c r="M29" s="191"/>
      <c r="N29" s="191"/>
      <c r="O29" s="191"/>
      <c r="P29" s="191"/>
      <c r="Q29" s="191"/>
      <c r="R29" s="190">
        <f t="shared" si="0"/>
        <v>18</v>
      </c>
      <c r="S29" s="195">
        <f t="shared" si="1"/>
        <v>4.5</v>
      </c>
      <c r="T29" s="194"/>
    </row>
    <row r="30" spans="1:20" ht="39.75" customHeight="1" x14ac:dyDescent="0.25">
      <c r="A30" s="190">
        <v>20</v>
      </c>
      <c r="B30" s="208" t="s">
        <v>280</v>
      </c>
      <c r="C30" s="191">
        <v>5</v>
      </c>
      <c r="D30" s="191">
        <v>4</v>
      </c>
      <c r="E30" s="191">
        <v>4</v>
      </c>
      <c r="F30" s="191">
        <v>4</v>
      </c>
      <c r="G30" s="191"/>
      <c r="H30" s="191"/>
      <c r="I30" s="191"/>
      <c r="J30" s="191"/>
      <c r="K30" s="191"/>
      <c r="L30" s="191"/>
      <c r="M30" s="191"/>
      <c r="N30" s="191"/>
      <c r="O30" s="191"/>
      <c r="P30" s="191"/>
      <c r="Q30" s="191"/>
      <c r="R30" s="190">
        <f t="shared" si="0"/>
        <v>17</v>
      </c>
      <c r="S30" s="195">
        <f t="shared" si="1"/>
        <v>4.25</v>
      </c>
      <c r="T30" s="194"/>
    </row>
    <row r="31" spans="1:20" ht="49.5" customHeight="1" x14ac:dyDescent="0.25">
      <c r="A31" s="190">
        <v>21</v>
      </c>
      <c r="B31" s="209" t="s">
        <v>296</v>
      </c>
      <c r="C31" s="191">
        <v>4</v>
      </c>
      <c r="D31" s="191">
        <v>4</v>
      </c>
      <c r="E31" s="191">
        <v>4</v>
      </c>
      <c r="F31" s="191">
        <v>5</v>
      </c>
      <c r="G31" s="191"/>
      <c r="H31" s="191"/>
      <c r="I31" s="191"/>
      <c r="J31" s="191"/>
      <c r="K31" s="191"/>
      <c r="L31" s="191"/>
      <c r="M31" s="191"/>
      <c r="N31" s="191"/>
      <c r="O31" s="191"/>
      <c r="P31" s="191"/>
      <c r="Q31" s="191"/>
      <c r="R31" s="190">
        <f t="shared" si="0"/>
        <v>17</v>
      </c>
      <c r="S31" s="195">
        <f t="shared" si="1"/>
        <v>4.25</v>
      </c>
      <c r="T31" s="194"/>
    </row>
    <row r="32" spans="1:20" ht="42" customHeight="1" x14ac:dyDescent="0.25">
      <c r="A32" s="190">
        <v>22</v>
      </c>
      <c r="B32" s="209" t="s">
        <v>293</v>
      </c>
      <c r="C32" s="191">
        <v>4</v>
      </c>
      <c r="D32" s="191">
        <v>4</v>
      </c>
      <c r="E32" s="191">
        <v>4</v>
      </c>
      <c r="F32" s="191">
        <v>4</v>
      </c>
      <c r="G32" s="191"/>
      <c r="H32" s="191"/>
      <c r="I32" s="191"/>
      <c r="J32" s="191"/>
      <c r="K32" s="191"/>
      <c r="L32" s="191"/>
      <c r="M32" s="191"/>
      <c r="N32" s="191"/>
      <c r="O32" s="191"/>
      <c r="P32" s="191"/>
      <c r="Q32" s="191"/>
      <c r="R32" s="190">
        <f t="shared" si="0"/>
        <v>16</v>
      </c>
      <c r="S32" s="195">
        <f t="shared" si="1"/>
        <v>4</v>
      </c>
      <c r="T32" s="194"/>
    </row>
    <row r="33" spans="1:20" ht="48" customHeight="1" x14ac:dyDescent="0.25">
      <c r="A33" s="190">
        <v>23</v>
      </c>
      <c r="B33" s="209" t="s">
        <v>284</v>
      </c>
      <c r="C33" s="191">
        <v>4</v>
      </c>
      <c r="D33" s="191">
        <v>4</v>
      </c>
      <c r="E33" s="191">
        <v>4</v>
      </c>
      <c r="F33" s="191">
        <v>4</v>
      </c>
      <c r="G33" s="191"/>
      <c r="H33" s="191"/>
      <c r="I33" s="191"/>
      <c r="J33" s="191"/>
      <c r="K33" s="191"/>
      <c r="L33" s="191"/>
      <c r="M33" s="191"/>
      <c r="N33" s="191"/>
      <c r="O33" s="191"/>
      <c r="P33" s="191"/>
      <c r="Q33" s="191"/>
      <c r="R33" s="190">
        <f t="shared" si="0"/>
        <v>16</v>
      </c>
      <c r="S33" s="195">
        <f t="shared" si="1"/>
        <v>4</v>
      </c>
      <c r="T33" s="194"/>
    </row>
    <row r="34" spans="1:20" ht="46.5" customHeight="1" x14ac:dyDescent="0.25">
      <c r="A34" s="190">
        <v>24</v>
      </c>
      <c r="B34" s="209" t="s">
        <v>289</v>
      </c>
      <c r="C34" s="191">
        <v>4</v>
      </c>
      <c r="D34" s="191">
        <v>4</v>
      </c>
      <c r="E34" s="191">
        <v>4</v>
      </c>
      <c r="F34" s="191">
        <v>4</v>
      </c>
      <c r="G34" s="191"/>
      <c r="H34" s="191"/>
      <c r="I34" s="191"/>
      <c r="J34" s="191"/>
      <c r="K34" s="191"/>
      <c r="L34" s="191"/>
      <c r="M34" s="191"/>
      <c r="N34" s="191"/>
      <c r="O34" s="191"/>
      <c r="P34" s="191"/>
      <c r="Q34" s="191"/>
      <c r="R34" s="190">
        <f t="shared" si="0"/>
        <v>16</v>
      </c>
      <c r="S34" s="195">
        <f t="shared" si="1"/>
        <v>4</v>
      </c>
      <c r="T34" s="194"/>
    </row>
    <row r="35" spans="1:20" ht="44.25" customHeight="1" x14ac:dyDescent="0.25">
      <c r="A35" s="190">
        <v>25</v>
      </c>
      <c r="B35" s="212" t="s">
        <v>318</v>
      </c>
      <c r="C35" s="191">
        <v>4</v>
      </c>
      <c r="D35" s="191">
        <v>5</v>
      </c>
      <c r="E35" s="191">
        <v>5</v>
      </c>
      <c r="F35" s="191">
        <v>5</v>
      </c>
      <c r="G35" s="191"/>
      <c r="H35" s="191"/>
      <c r="I35" s="191"/>
      <c r="J35" s="191"/>
      <c r="K35" s="191"/>
      <c r="L35" s="191"/>
      <c r="M35" s="191"/>
      <c r="N35" s="191"/>
      <c r="O35" s="191"/>
      <c r="P35" s="191"/>
      <c r="Q35" s="191"/>
      <c r="R35" s="190">
        <f t="shared" ref="R35:R39" si="2">SUM(C35:Q35)</f>
        <v>19</v>
      </c>
      <c r="S35" s="195">
        <f t="shared" si="1"/>
        <v>4.75</v>
      </c>
      <c r="T35" s="194"/>
    </row>
    <row r="36" spans="1:20" ht="42.75" customHeight="1" x14ac:dyDescent="0.25">
      <c r="A36" s="190">
        <v>26</v>
      </c>
      <c r="B36" s="213" t="s">
        <v>319</v>
      </c>
      <c r="C36" s="191">
        <v>4</v>
      </c>
      <c r="D36" s="191">
        <v>5</v>
      </c>
      <c r="E36" s="191">
        <v>5</v>
      </c>
      <c r="F36" s="191">
        <v>5</v>
      </c>
      <c r="G36" s="191"/>
      <c r="H36" s="191"/>
      <c r="I36" s="191"/>
      <c r="J36" s="191"/>
      <c r="K36" s="191"/>
      <c r="L36" s="191"/>
      <c r="M36" s="191"/>
      <c r="N36" s="191"/>
      <c r="O36" s="191"/>
      <c r="P36" s="191"/>
      <c r="Q36" s="191"/>
      <c r="R36" s="190">
        <f t="shared" si="2"/>
        <v>19</v>
      </c>
      <c r="S36" s="195">
        <f>IF(ISERROR(AVERAGE(C36:Q36)),0,AVERAGE(C36:Q36))</f>
        <v>4.75</v>
      </c>
      <c r="T36" s="194"/>
    </row>
    <row r="37" spans="1:20" ht="42" customHeight="1" x14ac:dyDescent="0.25">
      <c r="A37" s="190">
        <v>27</v>
      </c>
      <c r="B37" s="162"/>
      <c r="C37" s="191"/>
      <c r="D37" s="191"/>
      <c r="E37" s="191"/>
      <c r="F37" s="191"/>
      <c r="G37" s="191"/>
      <c r="H37" s="191"/>
      <c r="I37" s="191"/>
      <c r="J37" s="191"/>
      <c r="K37" s="191"/>
      <c r="L37" s="191"/>
      <c r="M37" s="191"/>
      <c r="N37" s="191"/>
      <c r="O37" s="191"/>
      <c r="P37" s="191"/>
      <c r="Q37" s="191"/>
      <c r="R37" s="190">
        <f t="shared" si="2"/>
        <v>0</v>
      </c>
      <c r="S37" s="195">
        <f t="shared" si="1"/>
        <v>0</v>
      </c>
      <c r="T37" s="194"/>
    </row>
    <row r="38" spans="1:20" ht="42.75" customHeight="1" x14ac:dyDescent="0.25">
      <c r="A38" s="190">
        <v>28</v>
      </c>
      <c r="B38" s="162"/>
      <c r="C38" s="191"/>
      <c r="D38" s="191"/>
      <c r="E38" s="191"/>
      <c r="F38" s="191"/>
      <c r="G38" s="191"/>
      <c r="H38" s="191"/>
      <c r="I38" s="191"/>
      <c r="J38" s="191"/>
      <c r="K38" s="191"/>
      <c r="L38" s="191"/>
      <c r="M38" s="191"/>
      <c r="N38" s="191"/>
      <c r="O38" s="191"/>
      <c r="P38" s="191"/>
      <c r="Q38" s="191"/>
      <c r="R38" s="190">
        <f t="shared" si="2"/>
        <v>0</v>
      </c>
      <c r="S38" s="195">
        <f t="shared" si="1"/>
        <v>0</v>
      </c>
      <c r="T38" s="194"/>
    </row>
    <row r="39" spans="1:20" ht="47.25" customHeight="1" x14ac:dyDescent="0.25">
      <c r="A39" s="190">
        <v>29</v>
      </c>
      <c r="B39" s="162"/>
      <c r="C39" s="191"/>
      <c r="D39" s="191"/>
      <c r="E39" s="191"/>
      <c r="F39" s="191"/>
      <c r="G39" s="191"/>
      <c r="H39" s="191"/>
      <c r="I39" s="191"/>
      <c r="J39" s="191"/>
      <c r="K39" s="191"/>
      <c r="L39" s="191"/>
      <c r="M39" s="191"/>
      <c r="N39" s="191"/>
      <c r="O39" s="191"/>
      <c r="P39" s="191"/>
      <c r="Q39" s="191"/>
      <c r="R39" s="190">
        <f t="shared" si="2"/>
        <v>0</v>
      </c>
      <c r="S39" s="195">
        <f t="shared" si="1"/>
        <v>0</v>
      </c>
      <c r="T39" s="194"/>
    </row>
    <row r="40" spans="1:20" ht="50.25" customHeight="1" thickBot="1" x14ac:dyDescent="0.3">
      <c r="A40" s="196">
        <v>30</v>
      </c>
      <c r="B40" s="197"/>
      <c r="C40" s="198"/>
      <c r="D40" s="198"/>
      <c r="E40" s="198"/>
      <c r="F40" s="198"/>
      <c r="G40" s="198"/>
      <c r="H40" s="198"/>
      <c r="I40" s="198"/>
      <c r="J40" s="198"/>
      <c r="K40" s="198"/>
      <c r="L40" s="198"/>
      <c r="M40" s="198"/>
      <c r="N40" s="198"/>
      <c r="O40" s="198"/>
      <c r="P40" s="198"/>
      <c r="Q40" s="198"/>
      <c r="R40" s="196">
        <f>SUM(C40:Q40)</f>
        <v>0</v>
      </c>
      <c r="S40" s="199">
        <f>IF(ISERROR(AVERAGE(C40:Q40)),0,AVERAGE(C40:Q40))</f>
        <v>0</v>
      </c>
      <c r="T40" s="200"/>
    </row>
    <row r="41" spans="1:20" ht="24" customHeight="1" x14ac:dyDescent="0.25">
      <c r="A41" s="311" t="s">
        <v>249</v>
      </c>
      <c r="B41" s="312"/>
      <c r="C41" s="312"/>
      <c r="D41" s="312"/>
      <c r="E41" s="312"/>
      <c r="F41" s="312"/>
      <c r="G41" s="312"/>
      <c r="H41" s="312"/>
      <c r="I41" s="312"/>
      <c r="J41" s="312"/>
      <c r="K41" s="312"/>
      <c r="L41" s="312"/>
      <c r="M41" s="312"/>
      <c r="N41" s="312"/>
      <c r="O41" s="312"/>
      <c r="P41" s="312"/>
      <c r="Q41" s="312"/>
      <c r="R41" s="313"/>
      <c r="S41" s="201">
        <f>SUM(S11:S40)</f>
        <v>110.5</v>
      </c>
    </row>
    <row r="42" spans="1:20" ht="28.5" customHeight="1" thickBot="1" x14ac:dyDescent="0.3">
      <c r="A42" s="291" t="s">
        <v>247</v>
      </c>
      <c r="B42" s="292"/>
      <c r="C42" s="292"/>
      <c r="D42" s="292"/>
      <c r="E42" s="292"/>
      <c r="F42" s="292"/>
      <c r="G42" s="292"/>
      <c r="H42" s="292"/>
      <c r="I42" s="292"/>
      <c r="J42" s="292"/>
      <c r="K42" s="292"/>
      <c r="L42" s="292"/>
      <c r="M42" s="292"/>
      <c r="N42" s="292"/>
      <c r="O42" s="292"/>
      <c r="P42" s="292"/>
      <c r="Q42" s="292"/>
      <c r="R42" s="292"/>
      <c r="S42" s="202">
        <f>S41/A40</f>
        <v>3.6833333333333331</v>
      </c>
    </row>
  </sheetData>
  <mergeCells count="13">
    <mergeCell ref="A42:R42"/>
    <mergeCell ref="A1:A4"/>
    <mergeCell ref="B1:S2"/>
    <mergeCell ref="T1:W1"/>
    <mergeCell ref="T2:W2"/>
    <mergeCell ref="B3:S4"/>
    <mergeCell ref="T3:W3"/>
    <mergeCell ref="T4:W4"/>
    <mergeCell ref="A5:T5"/>
    <mergeCell ref="A6:T6"/>
    <mergeCell ref="A7:T7"/>
    <mergeCell ref="A9:T9"/>
    <mergeCell ref="A41:R41"/>
  </mergeCells>
  <conditionalFormatting sqref="Z14">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1">
    <dataValidation type="whole" showErrorMessage="1" error="DATO INVÁLIDO_x000a_Tenga en cuenta que la escala de calificación va de 1 a 5" sqref="C11:Q40" xr:uid="{8FF56515-01CE-4AFB-8B3D-024D2239BA78}">
      <formula1>1</formula1>
      <formula2>5</formula2>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2"/>
  <sheetViews>
    <sheetView topLeftCell="D38" zoomScale="80" zoomScaleNormal="80" workbookViewId="0">
      <selection activeCell="G46" sqref="G46:J46"/>
    </sheetView>
  </sheetViews>
  <sheetFormatPr baseColWidth="10" defaultColWidth="11.42578125" defaultRowHeight="14.25" x14ac:dyDescent="0.2"/>
  <cols>
    <col min="1" max="2" width="6.5703125" style="151" customWidth="1"/>
    <col min="3" max="3" width="32.7109375" style="151" customWidth="1"/>
    <col min="4" max="4" width="27.5703125" style="151" customWidth="1"/>
    <col min="5" max="5" width="38" style="151" customWidth="1"/>
    <col min="6" max="6" width="30.28515625" style="151" customWidth="1"/>
    <col min="7" max="7" width="18.28515625" style="151" customWidth="1"/>
    <col min="8" max="8" width="15.5703125" style="151" customWidth="1"/>
    <col min="9" max="9" width="19.28515625" style="151" customWidth="1"/>
    <col min="10" max="10" width="19.5703125" style="151" customWidth="1"/>
    <col min="11" max="16384" width="11.42578125" style="151"/>
  </cols>
  <sheetData>
    <row r="1" spans="1:14" ht="15" customHeight="1" x14ac:dyDescent="0.2">
      <c r="A1" s="422" t="str">
        <f>[1]CONTEXTO!B1</f>
        <v xml:space="preserve">PROCESO: </v>
      </c>
      <c r="B1" s="296"/>
      <c r="C1" s="296"/>
      <c r="D1" s="296"/>
      <c r="E1" s="296"/>
      <c r="F1" s="296"/>
      <c r="G1" s="297"/>
      <c r="H1" s="300" t="s">
        <v>262</v>
      </c>
      <c r="I1" s="300"/>
      <c r="J1" s="424"/>
      <c r="K1" s="150"/>
      <c r="N1" s="281"/>
    </row>
    <row r="2" spans="1:14" ht="15" customHeight="1" x14ac:dyDescent="0.2">
      <c r="A2" s="423"/>
      <c r="B2" s="298"/>
      <c r="C2" s="298"/>
      <c r="D2" s="298"/>
      <c r="E2" s="298"/>
      <c r="F2" s="298"/>
      <c r="G2" s="299"/>
      <c r="H2" s="302" t="s">
        <v>225</v>
      </c>
      <c r="I2" s="302"/>
      <c r="J2" s="425"/>
      <c r="K2" s="150"/>
      <c r="N2" s="281"/>
    </row>
    <row r="3" spans="1:14" ht="15" customHeight="1" x14ac:dyDescent="0.2">
      <c r="A3" s="423" t="s">
        <v>250</v>
      </c>
      <c r="B3" s="298"/>
      <c r="C3" s="298"/>
      <c r="D3" s="298"/>
      <c r="E3" s="298"/>
      <c r="F3" s="298"/>
      <c r="G3" s="299"/>
      <c r="H3" s="302" t="s">
        <v>226</v>
      </c>
      <c r="I3" s="302"/>
      <c r="J3" s="425"/>
      <c r="K3" s="150"/>
      <c r="N3" s="281"/>
    </row>
    <row r="4" spans="1:14" ht="15.75" customHeight="1" x14ac:dyDescent="0.2">
      <c r="A4" s="427"/>
      <c r="B4" s="304"/>
      <c r="C4" s="304"/>
      <c r="D4" s="304"/>
      <c r="E4" s="304"/>
      <c r="F4" s="304"/>
      <c r="G4" s="305"/>
      <c r="H4" s="302" t="s">
        <v>227</v>
      </c>
      <c r="I4" s="302"/>
      <c r="J4" s="426"/>
      <c r="K4" s="150"/>
      <c r="N4" s="281"/>
    </row>
    <row r="5" spans="1:14" ht="15.75" customHeight="1" x14ac:dyDescent="0.2">
      <c r="A5" s="428"/>
      <c r="B5" s="429"/>
      <c r="C5" s="429"/>
      <c r="D5" s="429"/>
      <c r="E5" s="429"/>
      <c r="F5" s="429"/>
      <c r="G5" s="429"/>
      <c r="H5" s="429"/>
      <c r="I5" s="429"/>
      <c r="J5" s="430"/>
      <c r="K5" s="150"/>
      <c r="N5" s="152"/>
    </row>
    <row r="6" spans="1:14" ht="15" customHeight="1" x14ac:dyDescent="0.2">
      <c r="A6" s="431" t="str">
        <f>[2]CONTEXTO!A8</f>
        <v>PROCESO:  GESTION DE RECURSOS FISICOS</v>
      </c>
      <c r="B6" s="432"/>
      <c r="C6" s="432"/>
      <c r="D6" s="432"/>
      <c r="E6" s="432"/>
      <c r="F6" s="432"/>
      <c r="G6" s="432"/>
      <c r="H6" s="432"/>
      <c r="I6" s="432"/>
      <c r="J6" s="433"/>
    </row>
    <row r="7" spans="1:14" ht="32.25" customHeight="1" thickBot="1" x14ac:dyDescent="0.25">
      <c r="A7" s="434"/>
      <c r="B7" s="435"/>
      <c r="C7" s="435"/>
      <c r="D7" s="435"/>
      <c r="E7" s="435"/>
      <c r="F7" s="435"/>
      <c r="G7" s="435"/>
      <c r="H7" s="435"/>
      <c r="I7" s="435"/>
      <c r="J7" s="436"/>
    </row>
    <row r="8" spans="1:14" ht="23.25" customHeight="1" x14ac:dyDescent="0.2">
      <c r="A8" s="437" t="s">
        <v>251</v>
      </c>
      <c r="B8" s="437"/>
      <c r="C8" s="437"/>
      <c r="D8" s="437"/>
      <c r="E8" s="390" t="s">
        <v>218</v>
      </c>
      <c r="F8" s="438"/>
      <c r="G8" s="438"/>
      <c r="H8" s="438"/>
      <c r="I8" s="438"/>
      <c r="J8" s="439"/>
    </row>
    <row r="9" spans="1:14" ht="23.25" customHeight="1" x14ac:dyDescent="0.2">
      <c r="A9" s="437"/>
      <c r="B9" s="437"/>
      <c r="C9" s="437"/>
      <c r="D9" s="437"/>
      <c r="E9" s="389" t="s">
        <v>252</v>
      </c>
      <c r="F9" s="389"/>
      <c r="G9" s="389" t="s">
        <v>253</v>
      </c>
      <c r="H9" s="389"/>
      <c r="I9" s="389"/>
      <c r="J9" s="389"/>
    </row>
    <row r="10" spans="1:14" ht="23.25" customHeight="1" x14ac:dyDescent="0.25">
      <c r="A10" s="437"/>
      <c r="B10" s="437"/>
      <c r="C10" s="437"/>
      <c r="D10" s="437"/>
      <c r="E10" s="363" t="s">
        <v>254</v>
      </c>
      <c r="F10" s="363"/>
      <c r="G10" s="440" t="s">
        <v>255</v>
      </c>
      <c r="H10" s="441"/>
      <c r="I10" s="441"/>
      <c r="J10" s="442"/>
    </row>
    <row r="11" spans="1:14" ht="43.5" customHeight="1" x14ac:dyDescent="0.2">
      <c r="A11" s="437"/>
      <c r="B11" s="437"/>
      <c r="C11" s="437"/>
      <c r="D11" s="437"/>
      <c r="E11" s="443" t="s">
        <v>320</v>
      </c>
      <c r="F11" s="444"/>
      <c r="G11" s="394" t="s">
        <v>321</v>
      </c>
      <c r="H11" s="394"/>
      <c r="I11" s="394"/>
      <c r="J11" s="394"/>
    </row>
    <row r="12" spans="1:14" ht="43.5" customHeight="1" x14ac:dyDescent="0.2">
      <c r="A12" s="437"/>
      <c r="B12" s="437"/>
      <c r="C12" s="437"/>
      <c r="D12" s="437"/>
      <c r="E12" s="369" t="s">
        <v>322</v>
      </c>
      <c r="F12" s="370"/>
      <c r="G12" s="397" t="s">
        <v>323</v>
      </c>
      <c r="H12" s="397"/>
      <c r="I12" s="397"/>
      <c r="J12" s="397"/>
    </row>
    <row r="13" spans="1:14" ht="43.5" customHeight="1" x14ac:dyDescent="0.2">
      <c r="A13" s="437"/>
      <c r="B13" s="437"/>
      <c r="C13" s="437"/>
      <c r="D13" s="437"/>
      <c r="E13" s="369" t="s">
        <v>324</v>
      </c>
      <c r="F13" s="370"/>
      <c r="G13" s="420" t="s">
        <v>408</v>
      </c>
      <c r="H13" s="420"/>
      <c r="I13" s="420"/>
      <c r="J13" s="420"/>
    </row>
    <row r="14" spans="1:14" ht="43.5" customHeight="1" x14ac:dyDescent="0.2">
      <c r="A14" s="437"/>
      <c r="B14" s="437"/>
      <c r="C14" s="437"/>
      <c r="D14" s="437"/>
      <c r="E14" s="406" t="s">
        <v>325</v>
      </c>
      <c r="F14" s="421"/>
      <c r="G14" s="420" t="s">
        <v>326</v>
      </c>
      <c r="H14" s="420"/>
      <c r="I14" s="420"/>
      <c r="J14" s="420"/>
    </row>
    <row r="15" spans="1:14" ht="49.5" customHeight="1" x14ac:dyDescent="0.2">
      <c r="A15" s="437"/>
      <c r="B15" s="437"/>
      <c r="C15" s="437"/>
      <c r="D15" s="437"/>
      <c r="E15" s="369" t="s">
        <v>327</v>
      </c>
      <c r="F15" s="370"/>
      <c r="G15" s="445" t="s">
        <v>328</v>
      </c>
      <c r="H15" s="446"/>
      <c r="I15" s="446"/>
      <c r="J15" s="447"/>
    </row>
    <row r="16" spans="1:14" ht="49.5" customHeight="1" x14ac:dyDescent="0.2">
      <c r="A16" s="437"/>
      <c r="B16" s="437"/>
      <c r="C16" s="437"/>
      <c r="D16" s="437"/>
      <c r="E16" s="369" t="s">
        <v>329</v>
      </c>
      <c r="F16" s="370"/>
      <c r="G16" s="448" t="s">
        <v>330</v>
      </c>
      <c r="H16" s="449"/>
      <c r="I16" s="449"/>
      <c r="J16" s="450"/>
    </row>
    <row r="17" spans="1:10" ht="54.75" customHeight="1" x14ac:dyDescent="0.2">
      <c r="A17" s="437"/>
      <c r="B17" s="437"/>
      <c r="C17" s="437"/>
      <c r="D17" s="437"/>
      <c r="E17" s="408" t="s">
        <v>331</v>
      </c>
      <c r="F17" s="416"/>
      <c r="G17" s="417" t="s">
        <v>332</v>
      </c>
      <c r="H17" s="418"/>
      <c r="I17" s="418"/>
      <c r="J17" s="419"/>
    </row>
    <row r="18" spans="1:10" ht="48.75" customHeight="1" x14ac:dyDescent="0.2">
      <c r="A18" s="437"/>
      <c r="B18" s="437"/>
      <c r="C18" s="437"/>
      <c r="D18" s="437"/>
      <c r="E18" s="369" t="s">
        <v>333</v>
      </c>
      <c r="F18" s="370"/>
      <c r="G18" s="412" t="s">
        <v>334</v>
      </c>
      <c r="H18" s="413"/>
      <c r="I18" s="413"/>
      <c r="J18" s="414"/>
    </row>
    <row r="19" spans="1:10" ht="54.75" customHeight="1" x14ac:dyDescent="0.2">
      <c r="A19" s="437"/>
      <c r="B19" s="437"/>
      <c r="C19" s="437"/>
      <c r="D19" s="437"/>
      <c r="E19" s="369" t="s">
        <v>335</v>
      </c>
      <c r="F19" s="370"/>
      <c r="G19" s="415" t="s">
        <v>406</v>
      </c>
      <c r="H19" s="415"/>
      <c r="I19" s="415"/>
      <c r="J19" s="415"/>
    </row>
    <row r="20" spans="1:10" ht="59.25" customHeight="1" x14ac:dyDescent="0.2">
      <c r="A20" s="437"/>
      <c r="B20" s="437"/>
      <c r="C20" s="437"/>
      <c r="D20" s="437"/>
      <c r="E20" s="369" t="s">
        <v>336</v>
      </c>
      <c r="F20" s="370"/>
      <c r="G20" s="371"/>
      <c r="H20" s="372"/>
      <c r="I20" s="372"/>
      <c r="J20" s="373"/>
    </row>
    <row r="21" spans="1:10" ht="49.5" customHeight="1" x14ac:dyDescent="0.2">
      <c r="A21" s="437"/>
      <c r="B21" s="437"/>
      <c r="C21" s="437"/>
      <c r="D21" s="437"/>
      <c r="E21" s="369" t="s">
        <v>337</v>
      </c>
      <c r="F21" s="370"/>
      <c r="G21" s="324"/>
      <c r="H21" s="324"/>
      <c r="I21" s="324"/>
      <c r="J21" s="324"/>
    </row>
    <row r="22" spans="1:10" ht="49.5" customHeight="1" x14ac:dyDescent="0.2">
      <c r="A22" s="437"/>
      <c r="B22" s="437"/>
      <c r="C22" s="437"/>
      <c r="D22" s="437"/>
      <c r="E22" s="369" t="s">
        <v>338</v>
      </c>
      <c r="F22" s="370"/>
      <c r="G22" s="409"/>
      <c r="H22" s="410"/>
      <c r="I22" s="410"/>
      <c r="J22" s="411"/>
    </row>
    <row r="23" spans="1:10" ht="49.5" customHeight="1" x14ac:dyDescent="0.2">
      <c r="A23" s="437"/>
      <c r="B23" s="437"/>
      <c r="C23" s="437"/>
      <c r="D23" s="437"/>
      <c r="E23" s="369" t="s">
        <v>339</v>
      </c>
      <c r="F23" s="370"/>
      <c r="G23" s="371"/>
      <c r="H23" s="372"/>
      <c r="I23" s="372"/>
      <c r="J23" s="373"/>
    </row>
    <row r="24" spans="1:10" ht="49.5" customHeight="1" x14ac:dyDescent="0.2">
      <c r="A24" s="437"/>
      <c r="B24" s="437"/>
      <c r="C24" s="437"/>
      <c r="D24" s="437"/>
      <c r="E24" s="369" t="s">
        <v>340</v>
      </c>
      <c r="F24" s="370"/>
      <c r="G24" s="371"/>
      <c r="H24" s="372"/>
      <c r="I24" s="372"/>
      <c r="J24" s="373"/>
    </row>
    <row r="25" spans="1:10" ht="49.5" customHeight="1" x14ac:dyDescent="0.2">
      <c r="A25" s="437"/>
      <c r="B25" s="437"/>
      <c r="C25" s="437"/>
      <c r="D25" s="437"/>
      <c r="E25" s="374"/>
      <c r="F25" s="375"/>
      <c r="G25" s="376"/>
      <c r="H25" s="377"/>
      <c r="I25" s="377"/>
      <c r="J25" s="378"/>
    </row>
    <row r="26" spans="1:10" ht="51.75" customHeight="1" x14ac:dyDescent="0.2">
      <c r="A26" s="388" t="s">
        <v>216</v>
      </c>
      <c r="B26" s="388" t="s">
        <v>253</v>
      </c>
      <c r="C26" s="363" t="s">
        <v>256</v>
      </c>
      <c r="D26" s="363"/>
      <c r="E26" s="389" t="s">
        <v>257</v>
      </c>
      <c r="F26" s="363"/>
      <c r="G26" s="390" t="s">
        <v>258</v>
      </c>
      <c r="H26" s="391"/>
      <c r="I26" s="391"/>
      <c r="J26" s="392"/>
    </row>
    <row r="27" spans="1:10" ht="48.75" customHeight="1" x14ac:dyDescent="0.2">
      <c r="A27" s="388"/>
      <c r="B27" s="388"/>
      <c r="C27" s="393" t="s">
        <v>341</v>
      </c>
      <c r="D27" s="394"/>
      <c r="E27" s="399" t="s">
        <v>342</v>
      </c>
      <c r="F27" s="399"/>
      <c r="G27" s="400" t="s">
        <v>343</v>
      </c>
      <c r="H27" s="400"/>
      <c r="I27" s="400"/>
      <c r="J27" s="401"/>
    </row>
    <row r="28" spans="1:10" ht="51" customHeight="1" x14ac:dyDescent="0.2">
      <c r="A28" s="388"/>
      <c r="B28" s="388"/>
      <c r="C28" s="384" t="s">
        <v>344</v>
      </c>
      <c r="D28" s="385"/>
      <c r="E28" s="330" t="s">
        <v>345</v>
      </c>
      <c r="F28" s="330"/>
      <c r="G28" s="402" t="s">
        <v>346</v>
      </c>
      <c r="H28" s="402"/>
      <c r="I28" s="402"/>
      <c r="J28" s="403"/>
    </row>
    <row r="29" spans="1:10" ht="54.75" customHeight="1" x14ac:dyDescent="0.2">
      <c r="A29" s="388"/>
      <c r="B29" s="388"/>
      <c r="C29" s="384" t="s">
        <v>347</v>
      </c>
      <c r="D29" s="385"/>
      <c r="E29" s="397" t="s">
        <v>348</v>
      </c>
      <c r="F29" s="404"/>
      <c r="G29" s="402" t="s">
        <v>349</v>
      </c>
      <c r="H29" s="402"/>
      <c r="I29" s="402"/>
      <c r="J29" s="403"/>
    </row>
    <row r="30" spans="1:10" ht="49.5" customHeight="1" x14ac:dyDescent="0.2">
      <c r="A30" s="388"/>
      <c r="B30" s="388"/>
      <c r="C30" s="395" t="s">
        <v>350</v>
      </c>
      <c r="D30" s="396"/>
      <c r="E30" s="397" t="s">
        <v>351</v>
      </c>
      <c r="F30" s="397"/>
      <c r="G30" s="229"/>
      <c r="H30" s="229"/>
      <c r="I30" s="229"/>
      <c r="J30" s="229"/>
    </row>
    <row r="31" spans="1:10" ht="51" customHeight="1" x14ac:dyDescent="0.2">
      <c r="A31" s="388"/>
      <c r="B31" s="388"/>
      <c r="C31" s="384" t="s">
        <v>352</v>
      </c>
      <c r="D31" s="385"/>
      <c r="E31" s="398" t="s">
        <v>353</v>
      </c>
      <c r="F31" s="370"/>
      <c r="G31" s="229"/>
      <c r="H31" s="229"/>
      <c r="I31" s="229"/>
      <c r="J31" s="229"/>
    </row>
    <row r="32" spans="1:10" ht="52.5" customHeight="1" x14ac:dyDescent="0.2">
      <c r="A32" s="388"/>
      <c r="B32" s="388"/>
      <c r="C32" s="384" t="s">
        <v>354</v>
      </c>
      <c r="D32" s="385"/>
      <c r="E32" s="405" t="s">
        <v>355</v>
      </c>
      <c r="F32" s="406"/>
      <c r="G32" s="227"/>
      <c r="H32" s="228"/>
      <c r="I32" s="218"/>
      <c r="J32" s="219"/>
    </row>
    <row r="33" spans="1:10" ht="69.75" customHeight="1" x14ac:dyDescent="0.2">
      <c r="A33" s="388"/>
      <c r="B33" s="388"/>
      <c r="C33" s="384" t="s">
        <v>356</v>
      </c>
      <c r="D33" s="385"/>
      <c r="E33" s="407" t="s">
        <v>407</v>
      </c>
      <c r="F33" s="408"/>
      <c r="G33" s="227"/>
      <c r="H33" s="228"/>
      <c r="I33" s="220"/>
      <c r="J33" s="221"/>
    </row>
    <row r="34" spans="1:10" ht="66" customHeight="1" x14ac:dyDescent="0.2">
      <c r="A34" s="388"/>
      <c r="B34" s="388"/>
      <c r="C34" s="384" t="s">
        <v>357</v>
      </c>
      <c r="D34" s="385"/>
      <c r="E34" s="330" t="s">
        <v>358</v>
      </c>
      <c r="F34" s="330"/>
      <c r="G34" s="324"/>
      <c r="H34" s="324"/>
      <c r="I34" s="324"/>
      <c r="J34" s="322"/>
    </row>
    <row r="35" spans="1:10" ht="51" customHeight="1" x14ac:dyDescent="0.2">
      <c r="A35" s="388"/>
      <c r="B35" s="388"/>
      <c r="C35" s="384" t="s">
        <v>359</v>
      </c>
      <c r="D35" s="385"/>
      <c r="E35" s="386"/>
      <c r="F35" s="386"/>
      <c r="G35" s="386"/>
      <c r="H35" s="386"/>
      <c r="I35" s="386"/>
      <c r="J35" s="387"/>
    </row>
    <row r="36" spans="1:10" ht="51" customHeight="1" x14ac:dyDescent="0.2">
      <c r="A36" s="388"/>
      <c r="B36" s="388"/>
      <c r="C36" s="379"/>
      <c r="D36" s="380"/>
      <c r="E36" s="381"/>
      <c r="F36" s="382"/>
      <c r="G36" s="381"/>
      <c r="H36" s="383"/>
      <c r="I36" s="383"/>
      <c r="J36" s="382"/>
    </row>
    <row r="37" spans="1:10" ht="45.75" customHeight="1" x14ac:dyDescent="0.2">
      <c r="A37" s="388"/>
      <c r="B37" s="388"/>
      <c r="C37" s="379"/>
      <c r="D37" s="380"/>
      <c r="E37" s="381"/>
      <c r="F37" s="382"/>
      <c r="G37" s="381"/>
      <c r="H37" s="383"/>
      <c r="I37" s="383"/>
      <c r="J37" s="382"/>
    </row>
    <row r="38" spans="1:10" ht="41.25" customHeight="1" x14ac:dyDescent="0.2">
      <c r="A38" s="388"/>
      <c r="B38" s="388"/>
      <c r="C38" s="354"/>
      <c r="D38" s="354"/>
      <c r="E38" s="355"/>
      <c r="F38" s="355"/>
      <c r="G38" s="355"/>
      <c r="H38" s="355"/>
      <c r="I38" s="355"/>
      <c r="J38" s="355"/>
    </row>
    <row r="39" spans="1:10" ht="66" customHeight="1" thickBot="1" x14ac:dyDescent="0.3">
      <c r="A39" s="388"/>
      <c r="B39" s="388" t="s">
        <v>252</v>
      </c>
      <c r="C39" s="363" t="s">
        <v>259</v>
      </c>
      <c r="D39" s="363"/>
      <c r="E39" s="364" t="s">
        <v>260</v>
      </c>
      <c r="F39" s="365"/>
      <c r="G39" s="366" t="s">
        <v>261</v>
      </c>
      <c r="H39" s="367"/>
      <c r="I39" s="367"/>
      <c r="J39" s="368"/>
    </row>
    <row r="40" spans="1:10" ht="59.25" customHeight="1" x14ac:dyDescent="0.2">
      <c r="A40" s="388"/>
      <c r="B40" s="388"/>
      <c r="C40" s="356" t="s">
        <v>360</v>
      </c>
      <c r="D40" s="357"/>
      <c r="E40" s="358" t="s">
        <v>361</v>
      </c>
      <c r="F40" s="359"/>
      <c r="G40" s="360" t="s">
        <v>409</v>
      </c>
      <c r="H40" s="361"/>
      <c r="I40" s="361"/>
      <c r="J40" s="362"/>
    </row>
    <row r="41" spans="1:10" ht="66" customHeight="1" x14ac:dyDescent="0.2">
      <c r="A41" s="388"/>
      <c r="B41" s="388"/>
      <c r="C41" s="321" t="s">
        <v>362</v>
      </c>
      <c r="D41" s="331"/>
      <c r="E41" s="350" t="s">
        <v>363</v>
      </c>
      <c r="F41" s="331"/>
      <c r="G41" s="347" t="s">
        <v>364</v>
      </c>
      <c r="H41" s="348"/>
      <c r="I41" s="348"/>
      <c r="J41" s="349"/>
    </row>
    <row r="42" spans="1:10" ht="68.25" customHeight="1" x14ac:dyDescent="0.2">
      <c r="A42" s="388"/>
      <c r="B42" s="388"/>
      <c r="C42" s="321" t="s">
        <v>365</v>
      </c>
      <c r="D42" s="331"/>
      <c r="E42" s="342" t="s">
        <v>366</v>
      </c>
      <c r="F42" s="343"/>
      <c r="G42" s="351" t="s">
        <v>410</v>
      </c>
      <c r="H42" s="352"/>
      <c r="I42" s="352"/>
      <c r="J42" s="353"/>
    </row>
    <row r="43" spans="1:10" ht="48" customHeight="1" x14ac:dyDescent="0.2">
      <c r="A43" s="388"/>
      <c r="B43" s="388"/>
      <c r="C43" s="321" t="s">
        <v>367</v>
      </c>
      <c r="D43" s="322"/>
      <c r="E43" s="342" t="s">
        <v>368</v>
      </c>
      <c r="F43" s="343"/>
      <c r="G43" s="344" t="s">
        <v>369</v>
      </c>
      <c r="H43" s="345"/>
      <c r="I43" s="345"/>
      <c r="J43" s="346"/>
    </row>
    <row r="44" spans="1:10" ht="72.75" customHeight="1" x14ac:dyDescent="0.2">
      <c r="A44" s="388"/>
      <c r="B44" s="388"/>
      <c r="C44" s="323" t="s">
        <v>370</v>
      </c>
      <c r="D44" s="322"/>
      <c r="E44" s="323"/>
      <c r="F44" s="322"/>
      <c r="G44" s="347" t="s">
        <v>364</v>
      </c>
      <c r="H44" s="348"/>
      <c r="I44" s="348"/>
      <c r="J44" s="349"/>
    </row>
    <row r="45" spans="1:10" ht="45.75" customHeight="1" x14ac:dyDescent="0.2">
      <c r="A45" s="388"/>
      <c r="B45" s="388"/>
      <c r="C45" s="323" t="s">
        <v>371</v>
      </c>
      <c r="D45" s="322"/>
      <c r="E45" s="323"/>
      <c r="F45" s="322"/>
      <c r="G45" s="334" t="s">
        <v>402</v>
      </c>
      <c r="H45" s="335"/>
      <c r="I45" s="335"/>
      <c r="J45" s="336"/>
    </row>
    <row r="46" spans="1:10" ht="45" customHeight="1" x14ac:dyDescent="0.2">
      <c r="A46" s="388"/>
      <c r="B46" s="388"/>
      <c r="C46" s="337" t="s">
        <v>372</v>
      </c>
      <c r="D46" s="338"/>
      <c r="E46" s="323"/>
      <c r="F46" s="322"/>
      <c r="G46" s="339" t="s">
        <v>373</v>
      </c>
      <c r="H46" s="340"/>
      <c r="I46" s="340"/>
      <c r="J46" s="341"/>
    </row>
    <row r="47" spans="1:10" ht="50.25" customHeight="1" x14ac:dyDescent="0.2">
      <c r="A47" s="388"/>
      <c r="B47" s="388"/>
      <c r="C47" s="321" t="s">
        <v>374</v>
      </c>
      <c r="D47" s="322"/>
      <c r="E47" s="323"/>
      <c r="F47" s="322"/>
      <c r="G47" s="321"/>
      <c r="H47" s="330"/>
      <c r="I47" s="330"/>
      <c r="J47" s="331"/>
    </row>
    <row r="48" spans="1:10" ht="52.5" customHeight="1" x14ac:dyDescent="0.2">
      <c r="A48" s="388"/>
      <c r="B48" s="388"/>
      <c r="C48" s="332" t="s">
        <v>375</v>
      </c>
      <c r="D48" s="333"/>
      <c r="E48" s="327"/>
      <c r="F48" s="328"/>
      <c r="G48" s="327"/>
      <c r="H48" s="329"/>
      <c r="I48" s="329"/>
      <c r="J48" s="328"/>
    </row>
    <row r="49" spans="1:10" ht="48" customHeight="1" x14ac:dyDescent="0.2">
      <c r="A49" s="388"/>
      <c r="B49" s="388"/>
      <c r="C49" s="321" t="s">
        <v>376</v>
      </c>
      <c r="D49" s="322"/>
      <c r="E49" s="323"/>
      <c r="F49" s="322"/>
      <c r="G49" s="323"/>
      <c r="H49" s="324"/>
      <c r="I49" s="324"/>
      <c r="J49" s="322"/>
    </row>
    <row r="50" spans="1:10" ht="46.5" customHeight="1" x14ac:dyDescent="0.2">
      <c r="A50" s="388"/>
      <c r="B50" s="388"/>
      <c r="C50" s="325" t="s">
        <v>377</v>
      </c>
      <c r="D50" s="326"/>
      <c r="E50" s="327"/>
      <c r="F50" s="328"/>
      <c r="G50" s="327"/>
      <c r="H50" s="329"/>
      <c r="I50" s="329"/>
      <c r="J50" s="328"/>
    </row>
    <row r="51" spans="1:10" ht="48" customHeight="1" thickBot="1" x14ac:dyDescent="0.25">
      <c r="A51" s="388"/>
      <c r="B51" s="388"/>
      <c r="C51" s="316" t="s">
        <v>378</v>
      </c>
      <c r="D51" s="317"/>
      <c r="E51" s="318"/>
      <c r="F51" s="319"/>
      <c r="G51" s="318"/>
      <c r="H51" s="320"/>
      <c r="I51" s="320"/>
      <c r="J51" s="319"/>
    </row>
    <row r="52" spans="1:10" ht="53.25" customHeight="1" x14ac:dyDescent="0.2">
      <c r="C52" s="206"/>
      <c r="D52" s="206"/>
      <c r="E52" s="315"/>
      <c r="F52" s="315"/>
      <c r="G52" s="315"/>
      <c r="H52" s="315"/>
      <c r="I52" s="315"/>
      <c r="J52" s="315"/>
    </row>
    <row r="53" spans="1:10" ht="43.5" customHeight="1" x14ac:dyDescent="0.2">
      <c r="C53" s="206"/>
      <c r="D53" s="206"/>
      <c r="E53" s="315"/>
      <c r="F53" s="315"/>
      <c r="G53" s="315"/>
      <c r="H53" s="315"/>
      <c r="I53" s="315"/>
      <c r="J53" s="315"/>
    </row>
    <row r="54" spans="1:10" ht="48.75" customHeight="1" x14ac:dyDescent="0.2">
      <c r="E54" s="314"/>
      <c r="F54" s="314"/>
      <c r="G54" s="314"/>
      <c r="H54" s="314"/>
      <c r="I54" s="314"/>
      <c r="J54" s="314"/>
    </row>
    <row r="55" spans="1:10" x14ac:dyDescent="0.2">
      <c r="E55" s="314"/>
      <c r="F55" s="314"/>
      <c r="G55" s="314"/>
      <c r="H55" s="314"/>
      <c r="I55" s="314"/>
      <c r="J55" s="314"/>
    </row>
    <row r="56" spans="1:10" x14ac:dyDescent="0.2">
      <c r="E56" s="314"/>
      <c r="F56" s="314"/>
      <c r="G56" s="314"/>
      <c r="H56" s="314"/>
      <c r="I56" s="314"/>
      <c r="J56" s="314"/>
    </row>
    <row r="57" spans="1:10" x14ac:dyDescent="0.2">
      <c r="E57" s="314"/>
      <c r="F57" s="314"/>
      <c r="G57" s="314"/>
      <c r="H57" s="314"/>
      <c r="I57" s="314"/>
      <c r="J57" s="314"/>
    </row>
    <row r="58" spans="1:10" x14ac:dyDescent="0.2">
      <c r="E58" s="314"/>
      <c r="F58" s="314"/>
      <c r="G58" s="314"/>
      <c r="H58" s="314"/>
      <c r="I58" s="314"/>
      <c r="J58" s="314"/>
    </row>
    <row r="59" spans="1:10" x14ac:dyDescent="0.2">
      <c r="E59" s="314"/>
      <c r="F59" s="314"/>
      <c r="G59" s="314"/>
      <c r="H59" s="314"/>
      <c r="I59" s="314"/>
      <c r="J59" s="314"/>
    </row>
    <row r="60" spans="1:10" x14ac:dyDescent="0.2">
      <c r="E60" s="314"/>
      <c r="F60" s="314"/>
      <c r="G60" s="314"/>
      <c r="H60" s="314"/>
      <c r="I60" s="314"/>
      <c r="J60" s="314"/>
    </row>
    <row r="61" spans="1:10" x14ac:dyDescent="0.2">
      <c r="E61" s="314"/>
      <c r="F61" s="314"/>
      <c r="G61" s="314"/>
      <c r="H61" s="314"/>
      <c r="I61" s="314"/>
      <c r="J61" s="314"/>
    </row>
    <row r="62" spans="1:10" x14ac:dyDescent="0.2">
      <c r="E62" s="314"/>
      <c r="F62" s="314"/>
      <c r="G62" s="314"/>
      <c r="H62" s="314"/>
      <c r="I62" s="314"/>
      <c r="J62" s="314"/>
    </row>
    <row r="63" spans="1:10" x14ac:dyDescent="0.2">
      <c r="E63" s="314"/>
      <c r="F63" s="314"/>
      <c r="G63" s="314"/>
      <c r="H63" s="314"/>
      <c r="I63" s="314"/>
      <c r="J63" s="314"/>
    </row>
    <row r="64" spans="1:10" x14ac:dyDescent="0.2">
      <c r="E64" s="314"/>
      <c r="F64" s="314"/>
      <c r="G64" s="314"/>
      <c r="H64" s="314"/>
      <c r="I64" s="314"/>
      <c r="J64" s="314"/>
    </row>
    <row r="65" spans="5:10" x14ac:dyDescent="0.2">
      <c r="E65" s="314"/>
      <c r="F65" s="314"/>
      <c r="G65" s="314"/>
      <c r="H65" s="314"/>
      <c r="I65" s="314"/>
      <c r="J65" s="314"/>
    </row>
    <row r="66" spans="5:10" x14ac:dyDescent="0.2">
      <c r="E66" s="314"/>
      <c r="F66" s="314"/>
      <c r="G66" s="314"/>
      <c r="H66" s="314"/>
      <c r="I66" s="314"/>
      <c r="J66" s="314"/>
    </row>
    <row r="67" spans="5:10" x14ac:dyDescent="0.2">
      <c r="E67" s="314"/>
      <c r="F67" s="314"/>
      <c r="G67" s="314"/>
      <c r="H67" s="314"/>
      <c r="I67" s="314"/>
      <c r="J67" s="314"/>
    </row>
    <row r="68" spans="5:10" x14ac:dyDescent="0.2">
      <c r="E68" s="314"/>
      <c r="F68" s="314"/>
      <c r="G68" s="314"/>
      <c r="H68" s="314"/>
      <c r="I68" s="314"/>
      <c r="J68" s="314"/>
    </row>
    <row r="69" spans="5:10" x14ac:dyDescent="0.2">
      <c r="E69" s="314"/>
      <c r="F69" s="314"/>
      <c r="G69" s="314"/>
      <c r="H69" s="314"/>
      <c r="I69" s="314"/>
      <c r="J69" s="314"/>
    </row>
    <row r="70" spans="5:10" x14ac:dyDescent="0.2">
      <c r="E70" s="314"/>
      <c r="F70" s="314"/>
      <c r="G70" s="314"/>
      <c r="H70" s="314"/>
      <c r="I70" s="314"/>
      <c r="J70" s="314"/>
    </row>
    <row r="71" spans="5:10" x14ac:dyDescent="0.2">
      <c r="E71" s="314"/>
      <c r="F71" s="314"/>
      <c r="G71" s="314"/>
      <c r="H71" s="314"/>
      <c r="I71" s="314"/>
      <c r="J71" s="314"/>
    </row>
    <row r="72" spans="5:10" x14ac:dyDescent="0.2">
      <c r="E72" s="314"/>
      <c r="F72" s="314"/>
      <c r="G72" s="314"/>
      <c r="H72" s="314"/>
      <c r="I72" s="314"/>
      <c r="J72" s="314"/>
    </row>
    <row r="73" spans="5:10" x14ac:dyDescent="0.2">
      <c r="E73" s="314"/>
      <c r="F73" s="314"/>
      <c r="G73" s="314"/>
      <c r="H73" s="314"/>
      <c r="I73" s="314"/>
      <c r="J73" s="314"/>
    </row>
    <row r="74" spans="5:10" x14ac:dyDescent="0.2">
      <c r="E74" s="314"/>
      <c r="F74" s="314"/>
      <c r="G74" s="314"/>
      <c r="H74" s="314"/>
      <c r="I74" s="314"/>
      <c r="J74" s="314"/>
    </row>
    <row r="75" spans="5:10" x14ac:dyDescent="0.2">
      <c r="E75" s="314"/>
      <c r="F75" s="314"/>
      <c r="G75" s="314"/>
      <c r="H75" s="314"/>
      <c r="I75" s="314"/>
      <c r="J75" s="314"/>
    </row>
    <row r="76" spans="5:10" x14ac:dyDescent="0.2">
      <c r="E76" s="314"/>
      <c r="F76" s="314"/>
      <c r="G76" s="314"/>
      <c r="H76" s="314"/>
      <c r="I76" s="314"/>
      <c r="J76" s="314"/>
    </row>
    <row r="77" spans="5:10" x14ac:dyDescent="0.2">
      <c r="E77" s="314"/>
      <c r="F77" s="314"/>
      <c r="G77" s="314"/>
      <c r="H77" s="314"/>
      <c r="I77" s="314"/>
      <c r="J77" s="314"/>
    </row>
    <row r="78" spans="5:10" x14ac:dyDescent="0.2">
      <c r="E78" s="314"/>
      <c r="F78" s="314"/>
      <c r="G78" s="314"/>
      <c r="H78" s="314"/>
      <c r="I78" s="314"/>
      <c r="J78" s="314"/>
    </row>
    <row r="79" spans="5:10" x14ac:dyDescent="0.2">
      <c r="E79" s="314"/>
      <c r="F79" s="314"/>
      <c r="G79" s="314"/>
      <c r="H79" s="314"/>
      <c r="I79" s="314"/>
      <c r="J79" s="314"/>
    </row>
    <row r="80" spans="5:10" x14ac:dyDescent="0.2">
      <c r="E80" s="314"/>
      <c r="F80" s="314"/>
      <c r="G80" s="314"/>
      <c r="H80" s="314"/>
      <c r="I80" s="314"/>
      <c r="J80" s="314"/>
    </row>
    <row r="81" spans="5:10" x14ac:dyDescent="0.2">
      <c r="E81" s="314"/>
      <c r="F81" s="314"/>
      <c r="G81" s="314"/>
      <c r="H81" s="314"/>
      <c r="I81" s="314"/>
      <c r="J81" s="314"/>
    </row>
    <row r="82" spans="5:10" x14ac:dyDescent="0.2">
      <c r="E82" s="314"/>
      <c r="F82" s="314"/>
      <c r="G82" s="314"/>
      <c r="H82" s="314"/>
      <c r="I82" s="314"/>
      <c r="J82" s="314"/>
    </row>
    <row r="83" spans="5:10" x14ac:dyDescent="0.2">
      <c r="E83" s="314"/>
      <c r="F83" s="314"/>
      <c r="G83" s="314"/>
      <c r="H83" s="314"/>
      <c r="I83" s="314"/>
      <c r="J83" s="314"/>
    </row>
    <row r="84" spans="5:10" x14ac:dyDescent="0.2">
      <c r="E84" s="314"/>
      <c r="F84" s="314"/>
      <c r="G84" s="314"/>
      <c r="H84" s="314"/>
      <c r="I84" s="314"/>
      <c r="J84" s="314"/>
    </row>
    <row r="85" spans="5:10" x14ac:dyDescent="0.2">
      <c r="E85" s="314"/>
      <c r="F85" s="314"/>
      <c r="G85" s="314"/>
      <c r="H85" s="314"/>
      <c r="I85" s="314"/>
      <c r="J85" s="314"/>
    </row>
    <row r="86" spans="5:10" x14ac:dyDescent="0.2">
      <c r="E86" s="314"/>
      <c r="F86" s="314"/>
      <c r="G86" s="314"/>
      <c r="H86" s="314"/>
      <c r="I86" s="314"/>
      <c r="J86" s="314"/>
    </row>
    <row r="87" spans="5:10" x14ac:dyDescent="0.2">
      <c r="E87" s="314"/>
      <c r="F87" s="314"/>
      <c r="G87" s="314"/>
      <c r="H87" s="314"/>
      <c r="I87" s="314"/>
      <c r="J87" s="314"/>
    </row>
    <row r="88" spans="5:10" x14ac:dyDescent="0.2">
      <c r="E88" s="314"/>
      <c r="F88" s="314"/>
      <c r="G88" s="314"/>
      <c r="H88" s="314"/>
      <c r="I88" s="314"/>
      <c r="J88" s="314"/>
    </row>
    <row r="89" spans="5:10" x14ac:dyDescent="0.2">
      <c r="E89" s="314"/>
      <c r="F89" s="314"/>
      <c r="G89" s="314"/>
      <c r="H89" s="314"/>
      <c r="I89" s="314"/>
      <c r="J89" s="314"/>
    </row>
    <row r="90" spans="5:10" x14ac:dyDescent="0.2">
      <c r="E90" s="314"/>
      <c r="F90" s="314"/>
      <c r="G90" s="314"/>
      <c r="H90" s="314"/>
      <c r="I90" s="314"/>
      <c r="J90" s="314"/>
    </row>
    <row r="91" spans="5:10" x14ac:dyDescent="0.2">
      <c r="E91" s="314"/>
      <c r="F91" s="314"/>
      <c r="G91" s="314"/>
      <c r="H91" s="314"/>
      <c r="I91" s="314"/>
      <c r="J91" s="314"/>
    </row>
    <row r="92" spans="5:10" x14ac:dyDescent="0.2">
      <c r="E92" s="314"/>
      <c r="F92" s="314"/>
      <c r="G92" s="314"/>
      <c r="H92" s="314"/>
      <c r="I92" s="314"/>
      <c r="J92" s="314"/>
    </row>
    <row r="93" spans="5:10" x14ac:dyDescent="0.2">
      <c r="E93" s="314"/>
      <c r="F93" s="314"/>
      <c r="G93" s="314"/>
      <c r="H93" s="314"/>
      <c r="I93" s="314"/>
      <c r="J93" s="314"/>
    </row>
    <row r="94" spans="5:10" x14ac:dyDescent="0.2">
      <c r="E94" s="314"/>
      <c r="F94" s="314"/>
      <c r="G94" s="314"/>
      <c r="H94" s="314"/>
      <c r="I94" s="314"/>
      <c r="J94" s="314"/>
    </row>
    <row r="95" spans="5:10" x14ac:dyDescent="0.2">
      <c r="E95" s="314"/>
      <c r="F95" s="314"/>
      <c r="G95" s="314"/>
      <c r="H95" s="314"/>
      <c r="I95" s="314"/>
      <c r="J95" s="314"/>
    </row>
    <row r="96" spans="5:10" x14ac:dyDescent="0.2">
      <c r="E96" s="314"/>
      <c r="F96" s="314"/>
      <c r="G96" s="314"/>
      <c r="H96" s="314"/>
      <c r="I96" s="314"/>
      <c r="J96" s="314"/>
    </row>
    <row r="97" spans="5:10" x14ac:dyDescent="0.2">
      <c r="E97" s="314"/>
      <c r="F97" s="314"/>
      <c r="G97" s="314"/>
      <c r="H97" s="314"/>
      <c r="I97" s="314"/>
      <c r="J97" s="314"/>
    </row>
    <row r="98" spans="5:10" x14ac:dyDescent="0.2">
      <c r="E98" s="314"/>
      <c r="F98" s="314"/>
      <c r="G98" s="314"/>
      <c r="H98" s="314"/>
      <c r="I98" s="314"/>
      <c r="J98" s="314"/>
    </row>
    <row r="99" spans="5:10" x14ac:dyDescent="0.2">
      <c r="E99" s="314"/>
      <c r="F99" s="314"/>
      <c r="G99" s="314"/>
      <c r="H99" s="314"/>
      <c r="I99" s="314"/>
      <c r="J99" s="314"/>
    </row>
    <row r="100" spans="5:10" x14ac:dyDescent="0.2">
      <c r="E100" s="314"/>
      <c r="F100" s="314"/>
      <c r="G100" s="314"/>
      <c r="H100" s="314"/>
      <c r="I100" s="314"/>
      <c r="J100" s="314"/>
    </row>
    <row r="101" spans="5:10" x14ac:dyDescent="0.2">
      <c r="E101" s="314"/>
      <c r="F101" s="314"/>
      <c r="G101" s="314"/>
      <c r="H101" s="314"/>
      <c r="I101" s="314"/>
      <c r="J101" s="314"/>
    </row>
    <row r="102" spans="5:10" x14ac:dyDescent="0.2">
      <c r="E102" s="314"/>
      <c r="F102" s="314"/>
      <c r="G102" s="314"/>
      <c r="H102" s="314"/>
      <c r="I102" s="314"/>
      <c r="J102" s="314"/>
    </row>
    <row r="103" spans="5:10" x14ac:dyDescent="0.2">
      <c r="E103" s="314"/>
      <c r="F103" s="314"/>
      <c r="G103" s="314"/>
      <c r="H103" s="314"/>
      <c r="I103" s="314"/>
      <c r="J103" s="314"/>
    </row>
    <row r="104" spans="5:10" x14ac:dyDescent="0.2">
      <c r="E104" s="314"/>
      <c r="F104" s="314"/>
      <c r="G104" s="314"/>
      <c r="H104" s="314"/>
      <c r="I104" s="314"/>
      <c r="J104" s="314"/>
    </row>
    <row r="105" spans="5:10" x14ac:dyDescent="0.2">
      <c r="E105" s="314"/>
      <c r="F105" s="314"/>
      <c r="G105" s="314"/>
      <c r="H105" s="314"/>
      <c r="I105" s="314"/>
      <c r="J105" s="314"/>
    </row>
    <row r="106" spans="5:10" x14ac:dyDescent="0.2">
      <c r="E106" s="314"/>
      <c r="F106" s="314"/>
      <c r="G106" s="314"/>
      <c r="H106" s="314"/>
      <c r="I106" s="314"/>
      <c r="J106" s="314"/>
    </row>
    <row r="107" spans="5:10" x14ac:dyDescent="0.2">
      <c r="E107" s="314"/>
      <c r="F107" s="314"/>
      <c r="G107" s="314"/>
      <c r="H107" s="314"/>
      <c r="I107" s="314"/>
      <c r="J107" s="314"/>
    </row>
    <row r="108" spans="5:10" x14ac:dyDescent="0.2">
      <c r="E108" s="314"/>
      <c r="F108" s="314"/>
      <c r="G108" s="314"/>
      <c r="H108" s="314"/>
      <c r="I108" s="314"/>
      <c r="J108" s="314"/>
    </row>
    <row r="109" spans="5:10" x14ac:dyDescent="0.2">
      <c r="E109" s="314"/>
      <c r="F109" s="314"/>
      <c r="G109" s="314"/>
      <c r="H109" s="314"/>
      <c r="I109" s="314"/>
      <c r="J109" s="314"/>
    </row>
    <row r="110" spans="5:10" x14ac:dyDescent="0.2">
      <c r="E110" s="314"/>
      <c r="F110" s="314"/>
      <c r="G110" s="314"/>
      <c r="H110" s="314"/>
      <c r="I110" s="314"/>
      <c r="J110" s="314"/>
    </row>
    <row r="111" spans="5:10" x14ac:dyDescent="0.2">
      <c r="E111" s="314"/>
      <c r="F111" s="314"/>
      <c r="G111" s="314"/>
      <c r="H111" s="314"/>
      <c r="I111" s="314"/>
      <c r="J111" s="314"/>
    </row>
    <row r="112" spans="5:10" x14ac:dyDescent="0.2">
      <c r="E112" s="314"/>
      <c r="F112" s="314"/>
      <c r="G112" s="314"/>
      <c r="H112" s="314"/>
      <c r="I112" s="314"/>
      <c r="J112" s="314"/>
    </row>
    <row r="113" spans="5:10" x14ac:dyDescent="0.2">
      <c r="E113" s="314"/>
      <c r="F113" s="314"/>
      <c r="G113" s="314"/>
      <c r="H113" s="314"/>
      <c r="I113" s="314"/>
      <c r="J113" s="314"/>
    </row>
    <row r="114" spans="5:10" x14ac:dyDescent="0.2">
      <c r="E114" s="314"/>
      <c r="F114" s="314"/>
      <c r="G114" s="314"/>
      <c r="H114" s="314"/>
      <c r="I114" s="314"/>
      <c r="J114" s="314"/>
    </row>
    <row r="115" spans="5:10" x14ac:dyDescent="0.2">
      <c r="E115" s="314"/>
      <c r="F115" s="314"/>
      <c r="G115" s="314"/>
      <c r="H115" s="314"/>
      <c r="I115" s="314"/>
      <c r="J115" s="314"/>
    </row>
    <row r="116" spans="5:10" x14ac:dyDescent="0.2">
      <c r="E116" s="314"/>
      <c r="F116" s="314"/>
      <c r="G116" s="314"/>
      <c r="H116" s="314"/>
      <c r="I116" s="314"/>
      <c r="J116" s="314"/>
    </row>
    <row r="117" spans="5:10" x14ac:dyDescent="0.2">
      <c r="E117" s="314"/>
      <c r="F117" s="314"/>
      <c r="G117" s="314"/>
      <c r="H117" s="314"/>
      <c r="I117" s="314"/>
      <c r="J117" s="314"/>
    </row>
    <row r="118" spans="5:10" x14ac:dyDescent="0.2">
      <c r="E118" s="314"/>
      <c r="F118" s="314"/>
      <c r="G118" s="314"/>
      <c r="H118" s="314"/>
      <c r="I118" s="314"/>
      <c r="J118" s="314"/>
    </row>
    <row r="119" spans="5:10" x14ac:dyDescent="0.2">
      <c r="E119" s="314"/>
      <c r="F119" s="314"/>
      <c r="G119" s="314"/>
      <c r="H119" s="314"/>
      <c r="I119" s="314"/>
      <c r="J119" s="314"/>
    </row>
    <row r="120" spans="5:10" x14ac:dyDescent="0.2">
      <c r="E120" s="314"/>
      <c r="F120" s="314"/>
      <c r="G120" s="314"/>
      <c r="H120" s="314"/>
      <c r="I120" s="314"/>
      <c r="J120" s="314"/>
    </row>
    <row r="121" spans="5:10" x14ac:dyDescent="0.2">
      <c r="E121" s="314"/>
      <c r="F121" s="314"/>
      <c r="G121" s="314"/>
      <c r="H121" s="314"/>
      <c r="I121" s="314"/>
      <c r="J121" s="314"/>
    </row>
    <row r="122" spans="5:10" x14ac:dyDescent="0.2">
      <c r="E122" s="314"/>
      <c r="F122" s="314"/>
      <c r="G122" s="314"/>
      <c r="H122" s="314"/>
      <c r="I122" s="314"/>
      <c r="J122" s="314"/>
    </row>
    <row r="123" spans="5:10" x14ac:dyDescent="0.2">
      <c r="E123" s="314"/>
      <c r="F123" s="314"/>
      <c r="G123" s="314"/>
      <c r="H123" s="314"/>
      <c r="I123" s="314"/>
      <c r="J123" s="314"/>
    </row>
    <row r="124" spans="5:10" x14ac:dyDescent="0.2">
      <c r="E124" s="314"/>
      <c r="F124" s="314"/>
      <c r="G124" s="314"/>
      <c r="H124" s="314"/>
      <c r="I124" s="314"/>
      <c r="J124" s="314"/>
    </row>
    <row r="125" spans="5:10" x14ac:dyDescent="0.2">
      <c r="E125" s="314"/>
      <c r="F125" s="314"/>
      <c r="G125" s="314"/>
      <c r="H125" s="314"/>
      <c r="I125" s="314"/>
      <c r="J125" s="314"/>
    </row>
    <row r="126" spans="5:10" x14ac:dyDescent="0.2">
      <c r="E126" s="314"/>
      <c r="F126" s="314"/>
      <c r="G126" s="314"/>
      <c r="H126" s="314"/>
      <c r="I126" s="314"/>
      <c r="J126" s="314"/>
    </row>
    <row r="127" spans="5:10" x14ac:dyDescent="0.2">
      <c r="E127" s="314"/>
      <c r="F127" s="314"/>
      <c r="G127" s="314"/>
      <c r="H127" s="314"/>
      <c r="I127" s="314"/>
      <c r="J127" s="314"/>
    </row>
    <row r="128" spans="5:10" x14ac:dyDescent="0.2">
      <c r="E128" s="314"/>
      <c r="F128" s="314"/>
      <c r="G128" s="314"/>
      <c r="H128" s="314"/>
      <c r="I128" s="314"/>
      <c r="J128" s="314"/>
    </row>
    <row r="129" spans="5:10" x14ac:dyDescent="0.2">
      <c r="E129" s="314"/>
      <c r="F129" s="314"/>
      <c r="G129" s="314"/>
      <c r="H129" s="314"/>
      <c r="I129" s="314"/>
      <c r="J129" s="314"/>
    </row>
    <row r="130" spans="5:10" x14ac:dyDescent="0.2">
      <c r="E130" s="314"/>
      <c r="F130" s="314"/>
      <c r="G130" s="314"/>
      <c r="H130" s="314"/>
      <c r="I130" s="314"/>
      <c r="J130" s="314"/>
    </row>
    <row r="131" spans="5:10" x14ac:dyDescent="0.2">
      <c r="E131" s="314"/>
      <c r="F131" s="314"/>
      <c r="G131" s="314"/>
      <c r="H131" s="314"/>
      <c r="I131" s="314"/>
      <c r="J131" s="314"/>
    </row>
    <row r="132" spans="5:10" x14ac:dyDescent="0.2">
      <c r="E132" s="314"/>
      <c r="F132" s="314"/>
      <c r="G132" s="314"/>
      <c r="H132" s="314"/>
      <c r="I132" s="314"/>
      <c r="J132" s="314"/>
    </row>
  </sheetData>
  <mergeCells count="285">
    <mergeCell ref="A26:A51"/>
    <mergeCell ref="B39:B51"/>
    <mergeCell ref="A1:G2"/>
    <mergeCell ref="H1:I1"/>
    <mergeCell ref="J1:J4"/>
    <mergeCell ref="N1:N4"/>
    <mergeCell ref="H2:I2"/>
    <mergeCell ref="A3:G4"/>
    <mergeCell ref="H3:I3"/>
    <mergeCell ref="H4:I4"/>
    <mergeCell ref="A5:J5"/>
    <mergeCell ref="A6:J7"/>
    <mergeCell ref="A8:D25"/>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E13:F13"/>
    <mergeCell ref="G13:J13"/>
    <mergeCell ref="E14:F14"/>
    <mergeCell ref="G14:J14"/>
    <mergeCell ref="E21:F21"/>
    <mergeCell ref="G21:J21"/>
    <mergeCell ref="E22:F22"/>
    <mergeCell ref="G22:J22"/>
    <mergeCell ref="E23:F23"/>
    <mergeCell ref="G23:J23"/>
    <mergeCell ref="E18:F18"/>
    <mergeCell ref="G18:J18"/>
    <mergeCell ref="E19:F19"/>
    <mergeCell ref="G19:J19"/>
    <mergeCell ref="E20:F20"/>
    <mergeCell ref="G20:J20"/>
    <mergeCell ref="B26:B38"/>
    <mergeCell ref="C26:D26"/>
    <mergeCell ref="E26:F26"/>
    <mergeCell ref="G26:J26"/>
    <mergeCell ref="C27:D27"/>
    <mergeCell ref="C30:D30"/>
    <mergeCell ref="E30:F30"/>
    <mergeCell ref="C31:D31"/>
    <mergeCell ref="E31:F31"/>
    <mergeCell ref="E27:F27"/>
    <mergeCell ref="G27:J27"/>
    <mergeCell ref="C28:D28"/>
    <mergeCell ref="E28:F28"/>
    <mergeCell ref="G28:J28"/>
    <mergeCell ref="C29:D29"/>
    <mergeCell ref="E29:F29"/>
    <mergeCell ref="G29:J29"/>
    <mergeCell ref="C34:D34"/>
    <mergeCell ref="E34:F34"/>
    <mergeCell ref="G34:J34"/>
    <mergeCell ref="C32:D32"/>
    <mergeCell ref="E32:F32"/>
    <mergeCell ref="C33:D33"/>
    <mergeCell ref="E33:F33"/>
    <mergeCell ref="E24:F24"/>
    <mergeCell ref="G24:J24"/>
    <mergeCell ref="E25:F25"/>
    <mergeCell ref="G25:J25"/>
    <mergeCell ref="C36:D36"/>
    <mergeCell ref="E36:F36"/>
    <mergeCell ref="G36:J36"/>
    <mergeCell ref="C37:D37"/>
    <mergeCell ref="E37:F37"/>
    <mergeCell ref="G37:J37"/>
    <mergeCell ref="C35:D35"/>
    <mergeCell ref="E35:F35"/>
    <mergeCell ref="G35:J35"/>
    <mergeCell ref="C41:D41"/>
    <mergeCell ref="E41:F41"/>
    <mergeCell ref="G41:J41"/>
    <mergeCell ref="C42:D42"/>
    <mergeCell ref="E42:F42"/>
    <mergeCell ref="G42:J42"/>
    <mergeCell ref="C38:D38"/>
    <mergeCell ref="E38:F38"/>
    <mergeCell ref="G38:J38"/>
    <mergeCell ref="C40:D40"/>
    <mergeCell ref="E40:F40"/>
    <mergeCell ref="G40:J40"/>
    <mergeCell ref="C39:D39"/>
    <mergeCell ref="E39:F39"/>
    <mergeCell ref="G39:J39"/>
    <mergeCell ref="C45:D45"/>
    <mergeCell ref="E45:F45"/>
    <mergeCell ref="G45:J45"/>
    <mergeCell ref="C46:D46"/>
    <mergeCell ref="E46:F46"/>
    <mergeCell ref="G46:J46"/>
    <mergeCell ref="C43:D43"/>
    <mergeCell ref="E43:F43"/>
    <mergeCell ref="G43:J43"/>
    <mergeCell ref="C44:D44"/>
    <mergeCell ref="E44:F44"/>
    <mergeCell ref="G44:J44"/>
    <mergeCell ref="C49:D49"/>
    <mergeCell ref="E49:F49"/>
    <mergeCell ref="G49:J49"/>
    <mergeCell ref="C50:D50"/>
    <mergeCell ref="E50:F50"/>
    <mergeCell ref="G50:J50"/>
    <mergeCell ref="C47:D47"/>
    <mergeCell ref="E47:F47"/>
    <mergeCell ref="G47:J47"/>
    <mergeCell ref="C48:D48"/>
    <mergeCell ref="E48:F48"/>
    <mergeCell ref="G48:J48"/>
    <mergeCell ref="E53:F53"/>
    <mergeCell ref="G53:J53"/>
    <mergeCell ref="E54:F54"/>
    <mergeCell ref="G54:J54"/>
    <mergeCell ref="C51:D51"/>
    <mergeCell ref="E51:F51"/>
    <mergeCell ref="G51:J51"/>
    <mergeCell ref="E52:F52"/>
    <mergeCell ref="G52:J52"/>
    <mergeCell ref="E58:F58"/>
    <mergeCell ref="G58:J58"/>
    <mergeCell ref="E59:F59"/>
    <mergeCell ref="G59:J59"/>
    <mergeCell ref="E60:F60"/>
    <mergeCell ref="G60:J60"/>
    <mergeCell ref="E55:F55"/>
    <mergeCell ref="G55:J55"/>
    <mergeCell ref="E56:F56"/>
    <mergeCell ref="G56:J56"/>
    <mergeCell ref="E57:F57"/>
    <mergeCell ref="G57:J57"/>
    <mergeCell ref="E64:F64"/>
    <mergeCell ref="G64:J64"/>
    <mergeCell ref="E65:F65"/>
    <mergeCell ref="G65:J65"/>
    <mergeCell ref="E66:F66"/>
    <mergeCell ref="G66:J66"/>
    <mergeCell ref="E61:F61"/>
    <mergeCell ref="G61:J61"/>
    <mergeCell ref="E62:F62"/>
    <mergeCell ref="G62:J62"/>
    <mergeCell ref="E63:F63"/>
    <mergeCell ref="G63:J63"/>
    <mergeCell ref="E70:F70"/>
    <mergeCell ref="G70:J70"/>
    <mergeCell ref="E71:F71"/>
    <mergeCell ref="G71:J71"/>
    <mergeCell ref="E72:F72"/>
    <mergeCell ref="G72:J72"/>
    <mergeCell ref="E67:F67"/>
    <mergeCell ref="G67:J67"/>
    <mergeCell ref="E68:F68"/>
    <mergeCell ref="G68:J68"/>
    <mergeCell ref="E69:F69"/>
    <mergeCell ref="G69:J69"/>
    <mergeCell ref="E76:F76"/>
    <mergeCell ref="G76:J76"/>
    <mergeCell ref="E77:F77"/>
    <mergeCell ref="G77:J77"/>
    <mergeCell ref="E78:F78"/>
    <mergeCell ref="G78:J78"/>
    <mergeCell ref="E73:F73"/>
    <mergeCell ref="G73:J73"/>
    <mergeCell ref="E74:F74"/>
    <mergeCell ref="G74:J74"/>
    <mergeCell ref="E75:F75"/>
    <mergeCell ref="G75:J75"/>
    <mergeCell ref="E82:F82"/>
    <mergeCell ref="G82:J82"/>
    <mergeCell ref="E83:F83"/>
    <mergeCell ref="G83:J83"/>
    <mergeCell ref="E84:F84"/>
    <mergeCell ref="G84:J84"/>
    <mergeCell ref="E79:F79"/>
    <mergeCell ref="G79:J79"/>
    <mergeCell ref="E80:F80"/>
    <mergeCell ref="G80:J80"/>
    <mergeCell ref="E81:F81"/>
    <mergeCell ref="G81:J81"/>
    <mergeCell ref="E88:F88"/>
    <mergeCell ref="G88:J88"/>
    <mergeCell ref="E89:F89"/>
    <mergeCell ref="G89:J89"/>
    <mergeCell ref="E90:F90"/>
    <mergeCell ref="G90:J90"/>
    <mergeCell ref="E85:F85"/>
    <mergeCell ref="G85:J85"/>
    <mergeCell ref="E86:F86"/>
    <mergeCell ref="G86:J86"/>
    <mergeCell ref="E87:F87"/>
    <mergeCell ref="G87:J87"/>
    <mergeCell ref="E94:F94"/>
    <mergeCell ref="G94:J94"/>
    <mergeCell ref="E95:F95"/>
    <mergeCell ref="G95:J95"/>
    <mergeCell ref="E96:F96"/>
    <mergeCell ref="G96:J96"/>
    <mergeCell ref="E91:F91"/>
    <mergeCell ref="G91:J91"/>
    <mergeCell ref="E92:F92"/>
    <mergeCell ref="G92:J92"/>
    <mergeCell ref="E93:F93"/>
    <mergeCell ref="G93:J93"/>
    <mergeCell ref="E100:F100"/>
    <mergeCell ref="G100:J100"/>
    <mergeCell ref="E101:F101"/>
    <mergeCell ref="G101:J101"/>
    <mergeCell ref="E102:F102"/>
    <mergeCell ref="G102:J102"/>
    <mergeCell ref="E97:F97"/>
    <mergeCell ref="G97:J97"/>
    <mergeCell ref="E98:F98"/>
    <mergeCell ref="G98:J98"/>
    <mergeCell ref="E99:F99"/>
    <mergeCell ref="G99:J99"/>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12:F112"/>
    <mergeCell ref="G112:J112"/>
    <mergeCell ref="E113:F113"/>
    <mergeCell ref="G113:J113"/>
    <mergeCell ref="E114:F114"/>
    <mergeCell ref="G114:J114"/>
    <mergeCell ref="E109:F109"/>
    <mergeCell ref="G109:J109"/>
    <mergeCell ref="E110:F110"/>
    <mergeCell ref="G110:J110"/>
    <mergeCell ref="E111:F111"/>
    <mergeCell ref="G111:J111"/>
    <mergeCell ref="E118:F118"/>
    <mergeCell ref="G118:J118"/>
    <mergeCell ref="E119:F119"/>
    <mergeCell ref="G119:J119"/>
    <mergeCell ref="E120:F120"/>
    <mergeCell ref="G120:J120"/>
    <mergeCell ref="E115:F115"/>
    <mergeCell ref="G115:J115"/>
    <mergeCell ref="E116:F116"/>
    <mergeCell ref="G116:J116"/>
    <mergeCell ref="E117:F117"/>
    <mergeCell ref="G117:J117"/>
    <mergeCell ref="E124:F124"/>
    <mergeCell ref="G124:J124"/>
    <mergeCell ref="E125:F125"/>
    <mergeCell ref="G125:J125"/>
    <mergeCell ref="E126:F126"/>
    <mergeCell ref="G126:J126"/>
    <mergeCell ref="E121:F121"/>
    <mergeCell ref="G121:J121"/>
    <mergeCell ref="E122:F122"/>
    <mergeCell ref="G122:J122"/>
    <mergeCell ref="E123:F123"/>
    <mergeCell ref="G123:J123"/>
    <mergeCell ref="E130:F130"/>
    <mergeCell ref="G130:J130"/>
    <mergeCell ref="E131:F131"/>
    <mergeCell ref="G131:J131"/>
    <mergeCell ref="E132:F132"/>
    <mergeCell ref="G132:J132"/>
    <mergeCell ref="E127:F127"/>
    <mergeCell ref="G127:J127"/>
    <mergeCell ref="E128:F128"/>
    <mergeCell ref="G128:J128"/>
    <mergeCell ref="E129:F129"/>
    <mergeCell ref="G129:J12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topLeftCell="A7" zoomScale="70" zoomScaleNormal="70" workbookViewId="0">
      <selection activeCell="R42" sqref="R42:S43"/>
    </sheetView>
  </sheetViews>
  <sheetFormatPr baseColWidth="10" defaultRowHeight="15" x14ac:dyDescent="0.25"/>
  <cols>
    <col min="2" max="39" width="5.7109375" customWidth="1"/>
    <col min="41" max="46" width="5.7109375" customWidth="1"/>
  </cols>
  <sheetData>
    <row r="1" spans="1:99"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25">
      <c r="A2" s="67"/>
      <c r="B2" s="536" t="s">
        <v>149</v>
      </c>
      <c r="C2" s="536"/>
      <c r="D2" s="536"/>
      <c r="E2" s="536"/>
      <c r="F2" s="536"/>
      <c r="G2" s="536"/>
      <c r="H2" s="536"/>
      <c r="I2" s="536"/>
      <c r="J2" s="504" t="s">
        <v>2</v>
      </c>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c r="AK2" s="504"/>
      <c r="AL2" s="504"/>
      <c r="AM2" s="504"/>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25">
      <c r="A3" s="67"/>
      <c r="B3" s="536"/>
      <c r="C3" s="536"/>
      <c r="D3" s="536"/>
      <c r="E3" s="536"/>
      <c r="F3" s="536"/>
      <c r="G3" s="536"/>
      <c r="H3" s="536"/>
      <c r="I3" s="536"/>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25">
      <c r="A4" s="67"/>
      <c r="B4" s="536"/>
      <c r="C4" s="536"/>
      <c r="D4" s="536"/>
      <c r="E4" s="536"/>
      <c r="F4" s="536"/>
      <c r="G4" s="536"/>
      <c r="H4" s="536"/>
      <c r="I4" s="536"/>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4"/>
      <c r="AI4" s="504"/>
      <c r="AJ4" s="504"/>
      <c r="AK4" s="504"/>
      <c r="AL4" s="504"/>
      <c r="AM4" s="504"/>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25">
      <c r="A6" s="67"/>
      <c r="B6" s="451" t="s">
        <v>4</v>
      </c>
      <c r="C6" s="451"/>
      <c r="D6" s="452"/>
      <c r="E6" s="489" t="s">
        <v>111</v>
      </c>
      <c r="F6" s="490"/>
      <c r="G6" s="490"/>
      <c r="H6" s="490"/>
      <c r="I6" s="491"/>
      <c r="J6" s="500" t="str">
        <f>IF(AND('Mapa final'!$K$10="Muy Alta",'Mapa final'!$O$10="Leve"),CONCATENATE("R",'Mapa final'!$A$10),"")</f>
        <v/>
      </c>
      <c r="K6" s="501"/>
      <c r="L6" s="501" t="str">
        <f>IF(AND('Mapa final'!$K$16="Muy Alta",'Mapa final'!$O$16="Leve"),CONCATENATE("R",'Mapa final'!$A$16),"")</f>
        <v/>
      </c>
      <c r="M6" s="501"/>
      <c r="N6" s="501" t="str">
        <f>IF(AND('Mapa final'!$K$22="Muy Alta",'Mapa final'!$O$22="Leve"),CONCATENATE("R",'Mapa final'!$A$22),"")</f>
        <v/>
      </c>
      <c r="O6" s="503"/>
      <c r="P6" s="500" t="str">
        <f>IF(AND('Mapa final'!$K$10="Muy Alta",'Mapa final'!$O$10="Menor"),CONCATENATE("R",'Mapa final'!$A$10),"")</f>
        <v/>
      </c>
      <c r="Q6" s="501"/>
      <c r="R6" s="501" t="str">
        <f>IF(AND('Mapa final'!$K$16="Muy Alta",'Mapa final'!$O$16="Menor"),CONCATENATE("R",'Mapa final'!$A$16),"")</f>
        <v/>
      </c>
      <c r="S6" s="501"/>
      <c r="T6" s="501" t="str">
        <f>IF(AND('Mapa final'!$K$22="Muy Alta",'Mapa final'!$O$22="Menor"),CONCATENATE("R",'Mapa final'!$A$22),"")</f>
        <v/>
      </c>
      <c r="U6" s="503"/>
      <c r="V6" s="500" t="str">
        <f>IF(AND('Mapa final'!$K$10="Muy Alta",'Mapa final'!$O$10="Moderado"),CONCATENATE("R",'Mapa final'!$A$10),"")</f>
        <v/>
      </c>
      <c r="W6" s="501"/>
      <c r="X6" s="501" t="str">
        <f>IF(AND('Mapa final'!$K$16="Muy Alta",'Mapa final'!$O$16="Moderado"),CONCATENATE("R",'Mapa final'!$A$16),"")</f>
        <v/>
      </c>
      <c r="Y6" s="501"/>
      <c r="Z6" s="501" t="str">
        <f>IF(AND('Mapa final'!$K$22="Muy Alta",'Mapa final'!$O$22="Moderado"),CONCATENATE("R",'Mapa final'!$A$22),"")</f>
        <v/>
      </c>
      <c r="AA6" s="503"/>
      <c r="AB6" s="500" t="str">
        <f>IF(AND('Mapa final'!$K$10="Muy Alta",'Mapa final'!$O$10="Mayor"),CONCATENATE("R",'Mapa final'!$A$10),"")</f>
        <v/>
      </c>
      <c r="AC6" s="501"/>
      <c r="AD6" s="501" t="str">
        <f>IF(AND('Mapa final'!$K$16="Muy Alta",'Mapa final'!$O$16="Mayor"),CONCATENATE("R",'Mapa final'!$A$16),"")</f>
        <v/>
      </c>
      <c r="AE6" s="501"/>
      <c r="AF6" s="501" t="str">
        <f>IF(AND('Mapa final'!$K$22="Muy Alta",'Mapa final'!$O$22="Mayor"),CONCATENATE("R",'Mapa final'!$A$22),"")</f>
        <v/>
      </c>
      <c r="AG6" s="503"/>
      <c r="AH6" s="515" t="str">
        <f>IF(AND('Mapa final'!$K$10="Muy Alta",'Mapa final'!$O$10="Catastrófico"),CONCATENATE("R",'Mapa final'!$A$10),"")</f>
        <v/>
      </c>
      <c r="AI6" s="516"/>
      <c r="AJ6" s="516" t="str">
        <f>IF(AND('Mapa final'!$K$16="Muy Alta",'Mapa final'!$O$16="Catastrófico"),CONCATENATE("R",'Mapa final'!$A$16),"")</f>
        <v/>
      </c>
      <c r="AK6" s="516"/>
      <c r="AL6" s="516" t="str">
        <f>IF(AND('Mapa final'!$K$22="Muy Alta",'Mapa final'!$O$22="Catastrófico"),CONCATENATE("R",'Mapa final'!$A$22),"")</f>
        <v/>
      </c>
      <c r="AM6" s="517"/>
      <c r="AO6" s="453" t="s">
        <v>78</v>
      </c>
      <c r="AP6" s="454"/>
      <c r="AQ6" s="454"/>
      <c r="AR6" s="454"/>
      <c r="AS6" s="454"/>
      <c r="AT6" s="455"/>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25">
      <c r="A7" s="67"/>
      <c r="B7" s="451"/>
      <c r="C7" s="451"/>
      <c r="D7" s="452"/>
      <c r="E7" s="492"/>
      <c r="F7" s="493"/>
      <c r="G7" s="493"/>
      <c r="H7" s="493"/>
      <c r="I7" s="494"/>
      <c r="J7" s="502"/>
      <c r="K7" s="498"/>
      <c r="L7" s="498"/>
      <c r="M7" s="498"/>
      <c r="N7" s="498"/>
      <c r="O7" s="499"/>
      <c r="P7" s="502"/>
      <c r="Q7" s="498"/>
      <c r="R7" s="498"/>
      <c r="S7" s="498"/>
      <c r="T7" s="498"/>
      <c r="U7" s="499"/>
      <c r="V7" s="502"/>
      <c r="W7" s="498"/>
      <c r="X7" s="498"/>
      <c r="Y7" s="498"/>
      <c r="Z7" s="498"/>
      <c r="AA7" s="499"/>
      <c r="AB7" s="502"/>
      <c r="AC7" s="498"/>
      <c r="AD7" s="498"/>
      <c r="AE7" s="498"/>
      <c r="AF7" s="498"/>
      <c r="AG7" s="499"/>
      <c r="AH7" s="509"/>
      <c r="AI7" s="510"/>
      <c r="AJ7" s="510"/>
      <c r="AK7" s="510"/>
      <c r="AL7" s="510"/>
      <c r="AM7" s="511"/>
      <c r="AN7" s="67"/>
      <c r="AO7" s="456"/>
      <c r="AP7" s="457"/>
      <c r="AQ7" s="457"/>
      <c r="AR7" s="457"/>
      <c r="AS7" s="457"/>
      <c r="AT7" s="458"/>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25">
      <c r="A8" s="67"/>
      <c r="B8" s="451"/>
      <c r="C8" s="451"/>
      <c r="D8" s="452"/>
      <c r="E8" s="492"/>
      <c r="F8" s="493"/>
      <c r="G8" s="493"/>
      <c r="H8" s="493"/>
      <c r="I8" s="494"/>
      <c r="J8" s="502" t="str">
        <f>IF(AND('Mapa final'!$K$28="Muy Alta",'Mapa final'!$O$28="Leve"),CONCATENATE("R",'Mapa final'!$A$28),"")</f>
        <v/>
      </c>
      <c r="K8" s="498"/>
      <c r="L8" s="498" t="str">
        <f>IF(AND('Mapa final'!$K$34="Muy Alta",'Mapa final'!$O$34="Leve"),CONCATENATE("R",'Mapa final'!$A$34),"")</f>
        <v/>
      </c>
      <c r="M8" s="498"/>
      <c r="N8" s="498" t="str">
        <f>IF(AND('Mapa final'!$K$40="Muy Alta",'Mapa final'!$O$40="Leve"),CONCATENATE("R",'Mapa final'!$A$40),"")</f>
        <v/>
      </c>
      <c r="O8" s="499"/>
      <c r="P8" s="502" t="str">
        <f>IF(AND('Mapa final'!$K$28="Muy Alta",'Mapa final'!$O$28="Menor"),CONCATENATE("R",'Mapa final'!$A$28),"")</f>
        <v/>
      </c>
      <c r="Q8" s="498"/>
      <c r="R8" s="498" t="str">
        <f>IF(AND('Mapa final'!$K$34="Muy Alta",'Mapa final'!$O$34="Menor"),CONCATENATE("R",'Mapa final'!$A$34),"")</f>
        <v/>
      </c>
      <c r="S8" s="498"/>
      <c r="T8" s="498" t="str">
        <f>IF(AND('Mapa final'!$K$40="Muy Alta",'Mapa final'!$O$40="Menor"),CONCATENATE("R",'Mapa final'!$A$40),"")</f>
        <v/>
      </c>
      <c r="U8" s="499"/>
      <c r="V8" s="502" t="str">
        <f>IF(AND('Mapa final'!$K$28="Muy Alta",'Mapa final'!$O$28="Moderado"),CONCATENATE("R",'Mapa final'!$A$28),"")</f>
        <v/>
      </c>
      <c r="W8" s="498"/>
      <c r="X8" s="498" t="str">
        <f>IF(AND('Mapa final'!$K$34="Muy Alta",'Mapa final'!$O$34="Moderado"),CONCATENATE("R",'Mapa final'!$A$34),"")</f>
        <v/>
      </c>
      <c r="Y8" s="498"/>
      <c r="Z8" s="498" t="str">
        <f>IF(AND('Mapa final'!$K$40="Muy Alta",'Mapa final'!$O$40="Moderado"),CONCATENATE("R",'Mapa final'!$A$40),"")</f>
        <v/>
      </c>
      <c r="AA8" s="499"/>
      <c r="AB8" s="502" t="str">
        <f>IF(AND('Mapa final'!$K$28="Muy Alta",'Mapa final'!$O$28="Mayor"),CONCATENATE("R",'Mapa final'!$A$28),"")</f>
        <v/>
      </c>
      <c r="AC8" s="498"/>
      <c r="AD8" s="498" t="str">
        <f>IF(AND('Mapa final'!$K$34="Muy Alta",'Mapa final'!$O$34="Mayor"),CONCATENATE("R",'Mapa final'!$A$34),"")</f>
        <v/>
      </c>
      <c r="AE8" s="498"/>
      <c r="AF8" s="498" t="str">
        <f>IF(AND('Mapa final'!$K$40="Muy Alta",'Mapa final'!$O$40="Mayor"),CONCATENATE("R",'Mapa final'!$A$40),"")</f>
        <v/>
      </c>
      <c r="AG8" s="499"/>
      <c r="AH8" s="509" t="str">
        <f>IF(AND('Mapa final'!$K$28="Muy Alta",'Mapa final'!$O$28="Catastrófico"),CONCATENATE("R",'Mapa final'!$A$28),"")</f>
        <v/>
      </c>
      <c r="AI8" s="510"/>
      <c r="AJ8" s="510" t="str">
        <f>IF(AND('Mapa final'!$K$34="Muy Alta",'Mapa final'!$O$34="Catastrófico"),CONCATENATE("R",'Mapa final'!$A$34),"")</f>
        <v/>
      </c>
      <c r="AK8" s="510"/>
      <c r="AL8" s="510" t="str">
        <f>IF(AND('Mapa final'!$K$40="Muy Alta",'Mapa final'!$O$40="Catastrófico"),CONCATENATE("R",'Mapa final'!$A$40),"")</f>
        <v/>
      </c>
      <c r="AM8" s="511"/>
      <c r="AN8" s="67"/>
      <c r="AO8" s="456"/>
      <c r="AP8" s="457"/>
      <c r="AQ8" s="457"/>
      <c r="AR8" s="457"/>
      <c r="AS8" s="457"/>
      <c r="AT8" s="458"/>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25">
      <c r="A9" s="67"/>
      <c r="B9" s="451"/>
      <c r="C9" s="451"/>
      <c r="D9" s="452"/>
      <c r="E9" s="492"/>
      <c r="F9" s="493"/>
      <c r="G9" s="493"/>
      <c r="H9" s="493"/>
      <c r="I9" s="494"/>
      <c r="J9" s="502"/>
      <c r="K9" s="498"/>
      <c r="L9" s="498"/>
      <c r="M9" s="498"/>
      <c r="N9" s="498"/>
      <c r="O9" s="499"/>
      <c r="P9" s="502"/>
      <c r="Q9" s="498"/>
      <c r="R9" s="498"/>
      <c r="S9" s="498"/>
      <c r="T9" s="498"/>
      <c r="U9" s="499"/>
      <c r="V9" s="502"/>
      <c r="W9" s="498"/>
      <c r="X9" s="498"/>
      <c r="Y9" s="498"/>
      <c r="Z9" s="498"/>
      <c r="AA9" s="499"/>
      <c r="AB9" s="502"/>
      <c r="AC9" s="498"/>
      <c r="AD9" s="498"/>
      <c r="AE9" s="498"/>
      <c r="AF9" s="498"/>
      <c r="AG9" s="499"/>
      <c r="AH9" s="509"/>
      <c r="AI9" s="510"/>
      <c r="AJ9" s="510"/>
      <c r="AK9" s="510"/>
      <c r="AL9" s="510"/>
      <c r="AM9" s="511"/>
      <c r="AN9" s="67"/>
      <c r="AO9" s="456"/>
      <c r="AP9" s="457"/>
      <c r="AQ9" s="457"/>
      <c r="AR9" s="457"/>
      <c r="AS9" s="457"/>
      <c r="AT9" s="458"/>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25">
      <c r="A10" s="67"/>
      <c r="B10" s="451"/>
      <c r="C10" s="451"/>
      <c r="D10" s="452"/>
      <c r="E10" s="492"/>
      <c r="F10" s="493"/>
      <c r="G10" s="493"/>
      <c r="H10" s="493"/>
      <c r="I10" s="494"/>
      <c r="J10" s="502" t="str">
        <f>IF(AND('Mapa final'!$K$46="Muy Alta",'Mapa final'!$O$46="Leve"),CONCATENATE("R",'Mapa final'!$A$46),"")</f>
        <v/>
      </c>
      <c r="K10" s="498"/>
      <c r="L10" s="498" t="str">
        <f>IF(AND('Mapa final'!$K$52="Muy Alta",'Mapa final'!$O$52="Leve"),CONCATENATE("R",'Mapa final'!$A$52),"")</f>
        <v/>
      </c>
      <c r="M10" s="498"/>
      <c r="N10" s="498" t="str">
        <f>IF(AND('Mapa final'!$K$58="Muy Alta",'Mapa final'!$O$58="Leve"),CONCATENATE("R",'Mapa final'!$A$58),"")</f>
        <v/>
      </c>
      <c r="O10" s="499"/>
      <c r="P10" s="502" t="str">
        <f>IF(AND('Mapa final'!$K$46="Muy Alta",'Mapa final'!$O$46="Menor"),CONCATENATE("R",'Mapa final'!$A$46),"")</f>
        <v/>
      </c>
      <c r="Q10" s="498"/>
      <c r="R10" s="498" t="str">
        <f>IF(AND('Mapa final'!$K$52="Muy Alta",'Mapa final'!$O$52="Menor"),CONCATENATE("R",'Mapa final'!$A$52),"")</f>
        <v/>
      </c>
      <c r="S10" s="498"/>
      <c r="T10" s="498" t="str">
        <f>IF(AND('Mapa final'!$K$58="Muy Alta",'Mapa final'!$O$58="Menor"),CONCATENATE("R",'Mapa final'!$A$58),"")</f>
        <v/>
      </c>
      <c r="U10" s="499"/>
      <c r="V10" s="502" t="str">
        <f>IF(AND('Mapa final'!$K$46="Muy Alta",'Mapa final'!$O$46="Moderado"),CONCATENATE("R",'Mapa final'!$A$46),"")</f>
        <v/>
      </c>
      <c r="W10" s="498"/>
      <c r="X10" s="498" t="str">
        <f>IF(AND('Mapa final'!$K$52="Muy Alta",'Mapa final'!$O$52="Moderado"),CONCATENATE("R",'Mapa final'!$A$52),"")</f>
        <v/>
      </c>
      <c r="Y10" s="498"/>
      <c r="Z10" s="498" t="str">
        <f>IF(AND('Mapa final'!$K$58="Muy Alta",'Mapa final'!$O$58="Moderado"),CONCATENATE("R",'Mapa final'!$A$58),"")</f>
        <v/>
      </c>
      <c r="AA10" s="499"/>
      <c r="AB10" s="502" t="str">
        <f>IF(AND('Mapa final'!$K$46="Muy Alta",'Mapa final'!$O$46="Mayor"),CONCATENATE("R",'Mapa final'!$A$46),"")</f>
        <v/>
      </c>
      <c r="AC10" s="498"/>
      <c r="AD10" s="498" t="str">
        <f>IF(AND('Mapa final'!$K$52="Muy Alta",'Mapa final'!$O$52="Mayor"),CONCATENATE("R",'Mapa final'!$A$52),"")</f>
        <v/>
      </c>
      <c r="AE10" s="498"/>
      <c r="AF10" s="498" t="str">
        <f>IF(AND('Mapa final'!$K$58="Muy Alta",'Mapa final'!$O$58="Mayor"),CONCATENATE("R",'Mapa final'!$A$58),"")</f>
        <v/>
      </c>
      <c r="AG10" s="499"/>
      <c r="AH10" s="509" t="str">
        <f>IF(AND('Mapa final'!$K$46="Muy Alta",'Mapa final'!$O$46="Catastrófico"),CONCATENATE("R",'Mapa final'!$A$46),"")</f>
        <v/>
      </c>
      <c r="AI10" s="510"/>
      <c r="AJ10" s="510" t="str">
        <f>IF(AND('Mapa final'!$K$52="Muy Alta",'Mapa final'!$O$52="Catastrófico"),CONCATENATE("R",'Mapa final'!$A$52),"")</f>
        <v/>
      </c>
      <c r="AK10" s="510"/>
      <c r="AL10" s="510" t="str">
        <f>IF(AND('Mapa final'!$K$58="Muy Alta",'Mapa final'!$O$58="Catastrófico"),CONCATENATE("R",'Mapa final'!$A$58),"")</f>
        <v/>
      </c>
      <c r="AM10" s="511"/>
      <c r="AN10" s="67"/>
      <c r="AO10" s="456"/>
      <c r="AP10" s="457"/>
      <c r="AQ10" s="457"/>
      <c r="AR10" s="457"/>
      <c r="AS10" s="457"/>
      <c r="AT10" s="458"/>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25">
      <c r="A11" s="67"/>
      <c r="B11" s="451"/>
      <c r="C11" s="451"/>
      <c r="D11" s="452"/>
      <c r="E11" s="492"/>
      <c r="F11" s="493"/>
      <c r="G11" s="493"/>
      <c r="H11" s="493"/>
      <c r="I11" s="494"/>
      <c r="J11" s="502"/>
      <c r="K11" s="498"/>
      <c r="L11" s="498"/>
      <c r="M11" s="498"/>
      <c r="N11" s="498"/>
      <c r="O11" s="499"/>
      <c r="P11" s="502"/>
      <c r="Q11" s="498"/>
      <c r="R11" s="498"/>
      <c r="S11" s="498"/>
      <c r="T11" s="498"/>
      <c r="U11" s="499"/>
      <c r="V11" s="502"/>
      <c r="W11" s="498"/>
      <c r="X11" s="498"/>
      <c r="Y11" s="498"/>
      <c r="Z11" s="498"/>
      <c r="AA11" s="499"/>
      <c r="AB11" s="502"/>
      <c r="AC11" s="498"/>
      <c r="AD11" s="498"/>
      <c r="AE11" s="498"/>
      <c r="AF11" s="498"/>
      <c r="AG11" s="499"/>
      <c r="AH11" s="509"/>
      <c r="AI11" s="510"/>
      <c r="AJ11" s="510"/>
      <c r="AK11" s="510"/>
      <c r="AL11" s="510"/>
      <c r="AM11" s="511"/>
      <c r="AN11" s="67"/>
      <c r="AO11" s="456"/>
      <c r="AP11" s="457"/>
      <c r="AQ11" s="457"/>
      <c r="AR11" s="457"/>
      <c r="AS11" s="457"/>
      <c r="AT11" s="458"/>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25">
      <c r="A12" s="67"/>
      <c r="B12" s="451"/>
      <c r="C12" s="451"/>
      <c r="D12" s="452"/>
      <c r="E12" s="492"/>
      <c r="F12" s="493"/>
      <c r="G12" s="493"/>
      <c r="H12" s="493"/>
      <c r="I12" s="494"/>
      <c r="J12" s="502" t="str">
        <f>IF(AND('Mapa final'!$K$64="Muy Alta",'Mapa final'!$O$64="Leve"),CONCATENATE("R",'Mapa final'!$A$64),"")</f>
        <v/>
      </c>
      <c r="K12" s="498"/>
      <c r="L12" s="498" t="str">
        <f>IF(AND('Mapa final'!$K$70="Muy Alta",'Mapa final'!$O$70="Leve"),CONCATENATE("R",'Mapa final'!$A$70),"")</f>
        <v/>
      </c>
      <c r="M12" s="498"/>
      <c r="N12" s="498" t="str">
        <f>IF(AND('Mapa final'!$K$76="Muy Alta",'Mapa final'!$O$76="Leve"),CONCATENATE("R",'Mapa final'!$A$76),"")</f>
        <v/>
      </c>
      <c r="O12" s="499"/>
      <c r="P12" s="502" t="str">
        <f>IF(AND('Mapa final'!$K$64="Muy Alta",'Mapa final'!$O$64="Menor"),CONCATENATE("R",'Mapa final'!$A$64),"")</f>
        <v/>
      </c>
      <c r="Q12" s="498"/>
      <c r="R12" s="498" t="str">
        <f>IF(AND('Mapa final'!$K$70="Muy Alta",'Mapa final'!$O$70="Menor"),CONCATENATE("R",'Mapa final'!$A$70),"")</f>
        <v/>
      </c>
      <c r="S12" s="498"/>
      <c r="T12" s="498" t="str">
        <f>IF(AND('Mapa final'!$K$76="Muy Alta",'Mapa final'!$O$76="Menor"),CONCATENATE("R",'Mapa final'!$A$76),"")</f>
        <v/>
      </c>
      <c r="U12" s="499"/>
      <c r="V12" s="502" t="str">
        <f>IF(AND('Mapa final'!$K$64="Muy Alta",'Mapa final'!$O$64="Moderado"),CONCATENATE("R",'Mapa final'!$A$64),"")</f>
        <v/>
      </c>
      <c r="W12" s="498"/>
      <c r="X12" s="498" t="str">
        <f>IF(AND('Mapa final'!$K$70="Muy Alta",'Mapa final'!$O$70="Moderado"),CONCATENATE("R",'Mapa final'!$A$70),"")</f>
        <v/>
      </c>
      <c r="Y12" s="498"/>
      <c r="Z12" s="498" t="str">
        <f>IF(AND('Mapa final'!$K$76="Muy Alta",'Mapa final'!$O$76="Moderado"),CONCATENATE("R",'Mapa final'!$A$76),"")</f>
        <v/>
      </c>
      <c r="AA12" s="499"/>
      <c r="AB12" s="502" t="str">
        <f>IF(AND('Mapa final'!$K$64="Muy Alta",'Mapa final'!$O$64="Mayor"),CONCATENATE("R",'Mapa final'!$A$64),"")</f>
        <v/>
      </c>
      <c r="AC12" s="498"/>
      <c r="AD12" s="498" t="str">
        <f>IF(AND('Mapa final'!$K$70="Muy Alta",'Mapa final'!$O$70="Mayor"),CONCATENATE("R",'Mapa final'!$A$70),"")</f>
        <v/>
      </c>
      <c r="AE12" s="498"/>
      <c r="AF12" s="498" t="str">
        <f>IF(AND('Mapa final'!$K$76="Muy Alta",'Mapa final'!$O$76="Mayor"),CONCATENATE("R",'Mapa final'!$A$76),"")</f>
        <v/>
      </c>
      <c r="AG12" s="499"/>
      <c r="AH12" s="509" t="str">
        <f>IF(AND('Mapa final'!$K$64="Muy Alta",'Mapa final'!$O$64="Catastrófico"),CONCATENATE("R",'Mapa final'!$A$64),"")</f>
        <v/>
      </c>
      <c r="AI12" s="510"/>
      <c r="AJ12" s="510" t="str">
        <f>IF(AND('Mapa final'!$K$70="Muy Alta",'Mapa final'!$O$70="Catastrófico"),CONCATENATE("R",'Mapa final'!$A$70),"")</f>
        <v/>
      </c>
      <c r="AK12" s="510"/>
      <c r="AL12" s="510" t="str">
        <f>IF(AND('Mapa final'!$K$76="Muy Alta",'Mapa final'!$O$76="Catastrófico"),CONCATENATE("R",'Mapa final'!$A$76),"")</f>
        <v/>
      </c>
      <c r="AM12" s="511"/>
      <c r="AN12" s="67"/>
      <c r="AO12" s="456"/>
      <c r="AP12" s="457"/>
      <c r="AQ12" s="457"/>
      <c r="AR12" s="457"/>
      <c r="AS12" s="457"/>
      <c r="AT12" s="458"/>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
      <c r="A13" s="67"/>
      <c r="B13" s="451"/>
      <c r="C13" s="451"/>
      <c r="D13" s="452"/>
      <c r="E13" s="495"/>
      <c r="F13" s="496"/>
      <c r="G13" s="496"/>
      <c r="H13" s="496"/>
      <c r="I13" s="497"/>
      <c r="J13" s="502"/>
      <c r="K13" s="498"/>
      <c r="L13" s="498"/>
      <c r="M13" s="498"/>
      <c r="N13" s="498"/>
      <c r="O13" s="499"/>
      <c r="P13" s="502"/>
      <c r="Q13" s="498"/>
      <c r="R13" s="498"/>
      <c r="S13" s="498"/>
      <c r="T13" s="498"/>
      <c r="U13" s="499"/>
      <c r="V13" s="502"/>
      <c r="W13" s="498"/>
      <c r="X13" s="498"/>
      <c r="Y13" s="498"/>
      <c r="Z13" s="498"/>
      <c r="AA13" s="499"/>
      <c r="AB13" s="502"/>
      <c r="AC13" s="498"/>
      <c r="AD13" s="498"/>
      <c r="AE13" s="498"/>
      <c r="AF13" s="498"/>
      <c r="AG13" s="499"/>
      <c r="AH13" s="512"/>
      <c r="AI13" s="513"/>
      <c r="AJ13" s="513"/>
      <c r="AK13" s="513"/>
      <c r="AL13" s="513"/>
      <c r="AM13" s="514"/>
      <c r="AN13" s="67"/>
      <c r="AO13" s="459"/>
      <c r="AP13" s="460"/>
      <c r="AQ13" s="460"/>
      <c r="AR13" s="460"/>
      <c r="AS13" s="460"/>
      <c r="AT13" s="461"/>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25">
      <c r="A14" s="67"/>
      <c r="B14" s="451"/>
      <c r="C14" s="451"/>
      <c r="D14" s="452"/>
      <c r="E14" s="489" t="s">
        <v>110</v>
      </c>
      <c r="F14" s="490"/>
      <c r="G14" s="490"/>
      <c r="H14" s="490"/>
      <c r="I14" s="490"/>
      <c r="J14" s="524" t="str">
        <f>IF(AND('Mapa final'!$K$10="Alta",'Mapa final'!$O$10="Leve"),CONCATENATE("R",'Mapa final'!$A$10),"")</f>
        <v/>
      </c>
      <c r="K14" s="525"/>
      <c r="L14" s="525" t="str">
        <f>IF(AND('Mapa final'!$K$16="Alta",'Mapa final'!$O$16="Leve"),CONCATENATE("R",'Mapa final'!$A$16),"")</f>
        <v/>
      </c>
      <c r="M14" s="525"/>
      <c r="N14" s="525" t="str">
        <f>IF(AND('Mapa final'!$K$22="Alta",'Mapa final'!$O$22="Leve"),CONCATENATE("R",'Mapa final'!$A$22),"")</f>
        <v/>
      </c>
      <c r="O14" s="526"/>
      <c r="P14" s="524" t="str">
        <f>IF(AND('Mapa final'!$K$10="Alta",'Mapa final'!$O$10="Menor"),CONCATENATE("R",'Mapa final'!$A$10),"")</f>
        <v/>
      </c>
      <c r="Q14" s="525"/>
      <c r="R14" s="525" t="str">
        <f>IF(AND('Mapa final'!$K$16="Alta",'Mapa final'!$O$16="Menor"),CONCATENATE("R",'Mapa final'!$A$16),"")</f>
        <v/>
      </c>
      <c r="S14" s="525"/>
      <c r="T14" s="525" t="str">
        <f>IF(AND('Mapa final'!$K$22="Alta",'Mapa final'!$O$22="Menor"),CONCATENATE("R",'Mapa final'!$A$22),"")</f>
        <v/>
      </c>
      <c r="U14" s="526"/>
      <c r="V14" s="500" t="str">
        <f>IF(AND('Mapa final'!$K$10="Alta",'Mapa final'!$O$10="Moderado"),CONCATENATE("R",'Mapa final'!$A$10),"")</f>
        <v/>
      </c>
      <c r="W14" s="501"/>
      <c r="X14" s="501" t="str">
        <f>IF(AND('Mapa final'!$K$16="Alta",'Mapa final'!$O$16="Moderado"),CONCATENATE("R",'Mapa final'!$A$16),"")</f>
        <v/>
      </c>
      <c r="Y14" s="501"/>
      <c r="Z14" s="501" t="str">
        <f>IF(AND('Mapa final'!$K$22="Alta",'Mapa final'!$O$22="Moderado"),CONCATENATE("R",'Mapa final'!$A$22),"")</f>
        <v/>
      </c>
      <c r="AA14" s="503"/>
      <c r="AB14" s="500" t="str">
        <f>IF(AND('Mapa final'!$K$10="Alta",'Mapa final'!$O$10="Mayor"),CONCATENATE("R",'Mapa final'!$A$10),"")</f>
        <v/>
      </c>
      <c r="AC14" s="501"/>
      <c r="AD14" s="501" t="str">
        <f>IF(AND('Mapa final'!$K$16="Alta",'Mapa final'!$O$16="Mayor"),CONCATENATE("R",'Mapa final'!$A$16),"")</f>
        <v/>
      </c>
      <c r="AE14" s="501"/>
      <c r="AF14" s="501" t="str">
        <f>IF(AND('Mapa final'!$K$22="Alta",'Mapa final'!$O$22="Mayor"),CONCATENATE("R",'Mapa final'!$A$22),"")</f>
        <v/>
      </c>
      <c r="AG14" s="503"/>
      <c r="AH14" s="515" t="str">
        <f>IF(AND('Mapa final'!$K$10="Alta",'Mapa final'!$O$10="Catastrófico"),CONCATENATE("R",'Mapa final'!$A$10),"")</f>
        <v/>
      </c>
      <c r="AI14" s="516"/>
      <c r="AJ14" s="516" t="str">
        <f>IF(AND('Mapa final'!$K$16="Alta",'Mapa final'!$O$16="Catastrófico"),CONCATENATE("R",'Mapa final'!$A$16),"")</f>
        <v/>
      </c>
      <c r="AK14" s="516"/>
      <c r="AL14" s="516" t="str">
        <f>IF(AND('Mapa final'!$K$22="Alta",'Mapa final'!$O$22="Catastrófico"),CONCATENATE("R",'Mapa final'!$A$22),"")</f>
        <v/>
      </c>
      <c r="AM14" s="517"/>
      <c r="AN14" s="67"/>
      <c r="AO14" s="462" t="s">
        <v>79</v>
      </c>
      <c r="AP14" s="463"/>
      <c r="AQ14" s="463"/>
      <c r="AR14" s="463"/>
      <c r="AS14" s="463"/>
      <c r="AT14" s="464"/>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25">
      <c r="A15" s="67"/>
      <c r="B15" s="451"/>
      <c r="C15" s="451"/>
      <c r="D15" s="452"/>
      <c r="E15" s="492"/>
      <c r="F15" s="493"/>
      <c r="G15" s="493"/>
      <c r="H15" s="493"/>
      <c r="I15" s="493"/>
      <c r="J15" s="518"/>
      <c r="K15" s="519"/>
      <c r="L15" s="519"/>
      <c r="M15" s="519"/>
      <c r="N15" s="519"/>
      <c r="O15" s="520"/>
      <c r="P15" s="518"/>
      <c r="Q15" s="519"/>
      <c r="R15" s="519"/>
      <c r="S15" s="519"/>
      <c r="T15" s="519"/>
      <c r="U15" s="520"/>
      <c r="V15" s="502"/>
      <c r="W15" s="498"/>
      <c r="X15" s="498"/>
      <c r="Y15" s="498"/>
      <c r="Z15" s="498"/>
      <c r="AA15" s="499"/>
      <c r="AB15" s="502"/>
      <c r="AC15" s="498"/>
      <c r="AD15" s="498"/>
      <c r="AE15" s="498"/>
      <c r="AF15" s="498"/>
      <c r="AG15" s="499"/>
      <c r="AH15" s="509"/>
      <c r="AI15" s="510"/>
      <c r="AJ15" s="510"/>
      <c r="AK15" s="510"/>
      <c r="AL15" s="510"/>
      <c r="AM15" s="511"/>
      <c r="AN15" s="67"/>
      <c r="AO15" s="465"/>
      <c r="AP15" s="466"/>
      <c r="AQ15" s="466"/>
      <c r="AR15" s="466"/>
      <c r="AS15" s="466"/>
      <c r="AT15" s="4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25">
      <c r="A16" s="67"/>
      <c r="B16" s="451"/>
      <c r="C16" s="451"/>
      <c r="D16" s="452"/>
      <c r="E16" s="492"/>
      <c r="F16" s="493"/>
      <c r="G16" s="493"/>
      <c r="H16" s="493"/>
      <c r="I16" s="493"/>
      <c r="J16" s="518" t="str">
        <f>IF(AND('Mapa final'!$K$28="Alta",'Mapa final'!$O$28="Leve"),CONCATENATE("R",'Mapa final'!$A$28),"")</f>
        <v/>
      </c>
      <c r="K16" s="519"/>
      <c r="L16" s="519" t="str">
        <f>IF(AND('Mapa final'!$K$34="Alta",'Mapa final'!$O$34="Leve"),CONCATENATE("R",'Mapa final'!$A$34),"")</f>
        <v/>
      </c>
      <c r="M16" s="519"/>
      <c r="N16" s="519" t="str">
        <f>IF(AND('Mapa final'!$K$40="Alta",'Mapa final'!$O$40="Leve"),CONCATENATE("R",'Mapa final'!$A$40),"")</f>
        <v/>
      </c>
      <c r="O16" s="520"/>
      <c r="P16" s="518" t="str">
        <f>IF(AND('Mapa final'!$K$28="Alta",'Mapa final'!$O$28="Menor"),CONCATENATE("R",'Mapa final'!$A$28),"")</f>
        <v/>
      </c>
      <c r="Q16" s="519"/>
      <c r="R16" s="519" t="str">
        <f>IF(AND('Mapa final'!$K$34="Alta",'Mapa final'!$O$34="Menor"),CONCATENATE("R",'Mapa final'!$A$34),"")</f>
        <v/>
      </c>
      <c r="S16" s="519"/>
      <c r="T16" s="519" t="str">
        <f>IF(AND('Mapa final'!$K$40="Alta",'Mapa final'!$O$40="Menor"),CONCATENATE("R",'Mapa final'!$A$40),"")</f>
        <v/>
      </c>
      <c r="U16" s="520"/>
      <c r="V16" s="502" t="str">
        <f>IF(AND('Mapa final'!$K$28="Alta",'Mapa final'!$O$28="Moderado"),CONCATENATE("R",'Mapa final'!$A$28),"")</f>
        <v/>
      </c>
      <c r="W16" s="498"/>
      <c r="X16" s="498" t="str">
        <f>IF(AND('Mapa final'!$K$34="Alta",'Mapa final'!$O$34="Moderado"),CONCATENATE("R",'Mapa final'!$A$34),"")</f>
        <v/>
      </c>
      <c r="Y16" s="498"/>
      <c r="Z16" s="498" t="str">
        <f>IF(AND('Mapa final'!$K$40="Alta",'Mapa final'!$O$40="Moderado"),CONCATENATE("R",'Mapa final'!$A$40),"")</f>
        <v/>
      </c>
      <c r="AA16" s="499"/>
      <c r="AB16" s="502" t="str">
        <f>IF(AND('Mapa final'!$K$28="Alta",'Mapa final'!$O$28="Mayor"),CONCATENATE("R",'Mapa final'!$A$28),"")</f>
        <v/>
      </c>
      <c r="AC16" s="498"/>
      <c r="AD16" s="498" t="str">
        <f>IF(AND('Mapa final'!$K$34="Alta",'Mapa final'!$O$34="Mayor"),CONCATENATE("R",'Mapa final'!$A$34),"")</f>
        <v/>
      </c>
      <c r="AE16" s="498"/>
      <c r="AF16" s="498" t="str">
        <f>IF(AND('Mapa final'!$K$40="Alta",'Mapa final'!$O$40="Mayor"),CONCATENATE("R",'Mapa final'!$A$40),"")</f>
        <v/>
      </c>
      <c r="AG16" s="499"/>
      <c r="AH16" s="509" t="str">
        <f>IF(AND('Mapa final'!$K$28="Alta",'Mapa final'!$O$28="Catastrófico"),CONCATENATE("R",'Mapa final'!$A$28),"")</f>
        <v/>
      </c>
      <c r="AI16" s="510"/>
      <c r="AJ16" s="510" t="str">
        <f>IF(AND('Mapa final'!$K$34="Alta",'Mapa final'!$O$34="Catastrófico"),CONCATENATE("R",'Mapa final'!$A$34),"")</f>
        <v/>
      </c>
      <c r="AK16" s="510"/>
      <c r="AL16" s="510" t="str">
        <f>IF(AND('Mapa final'!$K$40="Alta",'Mapa final'!$O$40="Catastrófico"),CONCATENATE("R",'Mapa final'!$A$40),"")</f>
        <v/>
      </c>
      <c r="AM16" s="511"/>
      <c r="AN16" s="67"/>
      <c r="AO16" s="465"/>
      <c r="AP16" s="466"/>
      <c r="AQ16" s="466"/>
      <c r="AR16" s="466"/>
      <c r="AS16" s="466"/>
      <c r="AT16" s="4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25">
      <c r="A17" s="67"/>
      <c r="B17" s="451"/>
      <c r="C17" s="451"/>
      <c r="D17" s="452"/>
      <c r="E17" s="492"/>
      <c r="F17" s="493"/>
      <c r="G17" s="493"/>
      <c r="H17" s="493"/>
      <c r="I17" s="493"/>
      <c r="J17" s="518"/>
      <c r="K17" s="519"/>
      <c r="L17" s="519"/>
      <c r="M17" s="519"/>
      <c r="N17" s="519"/>
      <c r="O17" s="520"/>
      <c r="P17" s="518"/>
      <c r="Q17" s="519"/>
      <c r="R17" s="519"/>
      <c r="S17" s="519"/>
      <c r="T17" s="519"/>
      <c r="U17" s="520"/>
      <c r="V17" s="502"/>
      <c r="W17" s="498"/>
      <c r="X17" s="498"/>
      <c r="Y17" s="498"/>
      <c r="Z17" s="498"/>
      <c r="AA17" s="499"/>
      <c r="AB17" s="502"/>
      <c r="AC17" s="498"/>
      <c r="AD17" s="498"/>
      <c r="AE17" s="498"/>
      <c r="AF17" s="498"/>
      <c r="AG17" s="499"/>
      <c r="AH17" s="509"/>
      <c r="AI17" s="510"/>
      <c r="AJ17" s="510"/>
      <c r="AK17" s="510"/>
      <c r="AL17" s="510"/>
      <c r="AM17" s="511"/>
      <c r="AN17" s="67"/>
      <c r="AO17" s="465"/>
      <c r="AP17" s="466"/>
      <c r="AQ17" s="466"/>
      <c r="AR17" s="466"/>
      <c r="AS17" s="466"/>
      <c r="AT17" s="4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25">
      <c r="A18" s="67"/>
      <c r="B18" s="451"/>
      <c r="C18" s="451"/>
      <c r="D18" s="452"/>
      <c r="E18" s="492"/>
      <c r="F18" s="493"/>
      <c r="G18" s="493"/>
      <c r="H18" s="493"/>
      <c r="I18" s="493"/>
      <c r="J18" s="518" t="str">
        <f>IF(AND('Mapa final'!$K$46="Alta",'Mapa final'!$O$46="Leve"),CONCATENATE("R",'Mapa final'!$A$46),"")</f>
        <v/>
      </c>
      <c r="K18" s="519"/>
      <c r="L18" s="519" t="str">
        <f>IF(AND('Mapa final'!$K$52="Alta",'Mapa final'!$O$52="Leve"),CONCATENATE("R",'Mapa final'!$A$52),"")</f>
        <v/>
      </c>
      <c r="M18" s="519"/>
      <c r="N18" s="519" t="str">
        <f>IF(AND('Mapa final'!$K$58="Alta",'Mapa final'!$O$58="Leve"),CONCATENATE("R",'Mapa final'!$A$58),"")</f>
        <v/>
      </c>
      <c r="O18" s="520"/>
      <c r="P18" s="518" t="str">
        <f>IF(AND('Mapa final'!$K$46="Alta",'Mapa final'!$O$46="Menor"),CONCATENATE("R",'Mapa final'!$A$46),"")</f>
        <v/>
      </c>
      <c r="Q18" s="519"/>
      <c r="R18" s="519" t="str">
        <f>IF(AND('Mapa final'!$K$52="Alta",'Mapa final'!$O$52="Menor"),CONCATENATE("R",'Mapa final'!$A$52),"")</f>
        <v/>
      </c>
      <c r="S18" s="519"/>
      <c r="T18" s="519" t="str">
        <f>IF(AND('Mapa final'!$K$58="Alta",'Mapa final'!$O$58="Menor"),CONCATENATE("R",'Mapa final'!$A$58),"")</f>
        <v/>
      </c>
      <c r="U18" s="520"/>
      <c r="V18" s="502" t="str">
        <f>IF(AND('Mapa final'!$K$46="Alta",'Mapa final'!$O$46="Moderado"),CONCATENATE("R",'Mapa final'!$A$46),"")</f>
        <v/>
      </c>
      <c r="W18" s="498"/>
      <c r="X18" s="498" t="str">
        <f>IF(AND('Mapa final'!$K$52="Alta",'Mapa final'!$O$52="Moderado"),CONCATENATE("R",'Mapa final'!$A$52),"")</f>
        <v/>
      </c>
      <c r="Y18" s="498"/>
      <c r="Z18" s="498" t="str">
        <f>IF(AND('Mapa final'!$K$58="Alta",'Mapa final'!$O$58="Moderado"),CONCATENATE("R",'Mapa final'!$A$58),"")</f>
        <v/>
      </c>
      <c r="AA18" s="499"/>
      <c r="AB18" s="502" t="str">
        <f>IF(AND('Mapa final'!$K$46="Alta",'Mapa final'!$O$46="Mayor"),CONCATENATE("R",'Mapa final'!$A$46),"")</f>
        <v/>
      </c>
      <c r="AC18" s="498"/>
      <c r="AD18" s="498" t="str">
        <f>IF(AND('Mapa final'!$K$52="Alta",'Mapa final'!$O$52="Mayor"),CONCATENATE("R",'Mapa final'!$A$52),"")</f>
        <v/>
      </c>
      <c r="AE18" s="498"/>
      <c r="AF18" s="498" t="str">
        <f>IF(AND('Mapa final'!$K$58="Alta",'Mapa final'!$O$58="Mayor"),CONCATENATE("R",'Mapa final'!$A$58),"")</f>
        <v/>
      </c>
      <c r="AG18" s="499"/>
      <c r="AH18" s="509" t="str">
        <f>IF(AND('Mapa final'!$K$46="Alta",'Mapa final'!$O$46="Catastrófico"),CONCATENATE("R",'Mapa final'!$A$46),"")</f>
        <v/>
      </c>
      <c r="AI18" s="510"/>
      <c r="AJ18" s="510" t="str">
        <f>IF(AND('Mapa final'!$K$52="Alta",'Mapa final'!$O$52="Catastrófico"),CONCATENATE("R",'Mapa final'!$A$52),"")</f>
        <v/>
      </c>
      <c r="AK18" s="510"/>
      <c r="AL18" s="510" t="str">
        <f>IF(AND('Mapa final'!$K$58="Alta",'Mapa final'!$O$58="Catastrófico"),CONCATENATE("R",'Mapa final'!$A$58),"")</f>
        <v/>
      </c>
      <c r="AM18" s="511"/>
      <c r="AN18" s="67"/>
      <c r="AO18" s="465"/>
      <c r="AP18" s="466"/>
      <c r="AQ18" s="466"/>
      <c r="AR18" s="466"/>
      <c r="AS18" s="466"/>
      <c r="AT18" s="4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25">
      <c r="A19" s="67"/>
      <c r="B19" s="451"/>
      <c r="C19" s="451"/>
      <c r="D19" s="452"/>
      <c r="E19" s="492"/>
      <c r="F19" s="493"/>
      <c r="G19" s="493"/>
      <c r="H19" s="493"/>
      <c r="I19" s="493"/>
      <c r="J19" s="518"/>
      <c r="K19" s="519"/>
      <c r="L19" s="519"/>
      <c r="M19" s="519"/>
      <c r="N19" s="519"/>
      <c r="O19" s="520"/>
      <c r="P19" s="518"/>
      <c r="Q19" s="519"/>
      <c r="R19" s="519"/>
      <c r="S19" s="519"/>
      <c r="T19" s="519"/>
      <c r="U19" s="520"/>
      <c r="V19" s="502"/>
      <c r="W19" s="498"/>
      <c r="X19" s="498"/>
      <c r="Y19" s="498"/>
      <c r="Z19" s="498"/>
      <c r="AA19" s="499"/>
      <c r="AB19" s="502"/>
      <c r="AC19" s="498"/>
      <c r="AD19" s="498"/>
      <c r="AE19" s="498"/>
      <c r="AF19" s="498"/>
      <c r="AG19" s="499"/>
      <c r="AH19" s="509"/>
      <c r="AI19" s="510"/>
      <c r="AJ19" s="510"/>
      <c r="AK19" s="510"/>
      <c r="AL19" s="510"/>
      <c r="AM19" s="511"/>
      <c r="AN19" s="67"/>
      <c r="AO19" s="465"/>
      <c r="AP19" s="466"/>
      <c r="AQ19" s="466"/>
      <c r="AR19" s="466"/>
      <c r="AS19" s="466"/>
      <c r="AT19" s="4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25">
      <c r="A20" s="67"/>
      <c r="B20" s="451"/>
      <c r="C20" s="451"/>
      <c r="D20" s="452"/>
      <c r="E20" s="492"/>
      <c r="F20" s="493"/>
      <c r="G20" s="493"/>
      <c r="H20" s="493"/>
      <c r="I20" s="493"/>
      <c r="J20" s="518" t="str">
        <f>IF(AND('Mapa final'!$K$64="Alta",'Mapa final'!$O$64="Leve"),CONCATENATE("R",'Mapa final'!$A$64),"")</f>
        <v/>
      </c>
      <c r="K20" s="519"/>
      <c r="L20" s="519" t="str">
        <f>IF(AND('Mapa final'!$K$70="Alta",'Mapa final'!$O$70="Leve"),CONCATENATE("R",'Mapa final'!$A$70),"")</f>
        <v/>
      </c>
      <c r="M20" s="519"/>
      <c r="N20" s="519" t="str">
        <f>IF(AND('Mapa final'!$K$76="Alta",'Mapa final'!$O$76="Leve"),CONCATENATE("R",'Mapa final'!$A$76),"")</f>
        <v/>
      </c>
      <c r="O20" s="520"/>
      <c r="P20" s="518" t="str">
        <f>IF(AND('Mapa final'!$K$64="Alta",'Mapa final'!$O$64="Menor"),CONCATENATE("R",'Mapa final'!$A$64),"")</f>
        <v/>
      </c>
      <c r="Q20" s="519"/>
      <c r="R20" s="519" t="str">
        <f>IF(AND('Mapa final'!$K$70="Alta",'Mapa final'!$O$70="Menor"),CONCATENATE("R",'Mapa final'!$A$70),"")</f>
        <v/>
      </c>
      <c r="S20" s="519"/>
      <c r="T20" s="519" t="str">
        <f>IF(AND('Mapa final'!$K$76="Alta",'Mapa final'!$O$76="Menor"),CONCATENATE("R",'Mapa final'!$A$76),"")</f>
        <v/>
      </c>
      <c r="U20" s="520"/>
      <c r="V20" s="502" t="str">
        <f>IF(AND('Mapa final'!$K$64="Alta",'Mapa final'!$O$64="Moderado"),CONCATENATE("R",'Mapa final'!$A$64),"")</f>
        <v/>
      </c>
      <c r="W20" s="498"/>
      <c r="X20" s="498" t="str">
        <f>IF(AND('Mapa final'!$K$70="Alta",'Mapa final'!$O$70="Moderado"),CONCATENATE("R",'Mapa final'!$A$70),"")</f>
        <v/>
      </c>
      <c r="Y20" s="498"/>
      <c r="Z20" s="498" t="str">
        <f>IF(AND('Mapa final'!$K$76="Alta",'Mapa final'!$O$76="Moderado"),CONCATENATE("R",'Mapa final'!$A$76),"")</f>
        <v/>
      </c>
      <c r="AA20" s="499"/>
      <c r="AB20" s="502" t="str">
        <f>IF(AND('Mapa final'!$K$64="Alta",'Mapa final'!$O$64="Mayor"),CONCATENATE("R",'Mapa final'!$A$64),"")</f>
        <v/>
      </c>
      <c r="AC20" s="498"/>
      <c r="AD20" s="498" t="str">
        <f>IF(AND('Mapa final'!$K$70="Alta",'Mapa final'!$O$70="Mayor"),CONCATENATE("R",'Mapa final'!$A$70),"")</f>
        <v/>
      </c>
      <c r="AE20" s="498"/>
      <c r="AF20" s="498" t="str">
        <f>IF(AND('Mapa final'!$K$76="Alta",'Mapa final'!$O$76="Mayor"),CONCATENATE("R",'Mapa final'!$A$76),"")</f>
        <v/>
      </c>
      <c r="AG20" s="499"/>
      <c r="AH20" s="509" t="str">
        <f>IF(AND('Mapa final'!$K$64="Alta",'Mapa final'!$O$64="Catastrófico"),CONCATENATE("R",'Mapa final'!$A$64),"")</f>
        <v/>
      </c>
      <c r="AI20" s="510"/>
      <c r="AJ20" s="510" t="str">
        <f>IF(AND('Mapa final'!$K$70="Alta",'Mapa final'!$O$70="Catastrófico"),CONCATENATE("R",'Mapa final'!$A$70),"")</f>
        <v/>
      </c>
      <c r="AK20" s="510"/>
      <c r="AL20" s="510" t="str">
        <f>IF(AND('Mapa final'!$K$76="Alta",'Mapa final'!$O$76="Catastrófico"),CONCATENATE("R",'Mapa final'!$A$76),"")</f>
        <v/>
      </c>
      <c r="AM20" s="511"/>
      <c r="AN20" s="67"/>
      <c r="AO20" s="465"/>
      <c r="AP20" s="466"/>
      <c r="AQ20" s="466"/>
      <c r="AR20" s="466"/>
      <c r="AS20" s="466"/>
      <c r="AT20" s="4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
      <c r="A21" s="67"/>
      <c r="B21" s="451"/>
      <c r="C21" s="451"/>
      <c r="D21" s="452"/>
      <c r="E21" s="495"/>
      <c r="F21" s="496"/>
      <c r="G21" s="496"/>
      <c r="H21" s="496"/>
      <c r="I21" s="496"/>
      <c r="J21" s="521"/>
      <c r="K21" s="522"/>
      <c r="L21" s="522"/>
      <c r="M21" s="522"/>
      <c r="N21" s="522"/>
      <c r="O21" s="523"/>
      <c r="P21" s="521"/>
      <c r="Q21" s="522"/>
      <c r="R21" s="522"/>
      <c r="S21" s="522"/>
      <c r="T21" s="522"/>
      <c r="U21" s="523"/>
      <c r="V21" s="506"/>
      <c r="W21" s="507"/>
      <c r="X21" s="507"/>
      <c r="Y21" s="507"/>
      <c r="Z21" s="507"/>
      <c r="AA21" s="508"/>
      <c r="AB21" s="506"/>
      <c r="AC21" s="507"/>
      <c r="AD21" s="507"/>
      <c r="AE21" s="507"/>
      <c r="AF21" s="507"/>
      <c r="AG21" s="508"/>
      <c r="AH21" s="512"/>
      <c r="AI21" s="513"/>
      <c r="AJ21" s="513"/>
      <c r="AK21" s="513"/>
      <c r="AL21" s="513"/>
      <c r="AM21" s="514"/>
      <c r="AN21" s="67"/>
      <c r="AO21" s="468"/>
      <c r="AP21" s="469"/>
      <c r="AQ21" s="469"/>
      <c r="AR21" s="469"/>
      <c r="AS21" s="469"/>
      <c r="AT21" s="470"/>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25">
      <c r="A22" s="67"/>
      <c r="B22" s="451"/>
      <c r="C22" s="451"/>
      <c r="D22" s="452"/>
      <c r="E22" s="489" t="s">
        <v>112</v>
      </c>
      <c r="F22" s="490"/>
      <c r="G22" s="490"/>
      <c r="H22" s="490"/>
      <c r="I22" s="491"/>
      <c r="J22" s="524" t="str">
        <f>IF(AND('Mapa final'!$K$10="Media",'Mapa final'!$O$10="Leve"),CONCATENATE("R",'Mapa final'!$A$10),"")</f>
        <v/>
      </c>
      <c r="K22" s="525"/>
      <c r="L22" s="525" t="str">
        <f>IF(AND('Mapa final'!$K$16="Media",'Mapa final'!$O$16="Leve"),CONCATENATE("R",'Mapa final'!$A$16),"")</f>
        <v/>
      </c>
      <c r="M22" s="525"/>
      <c r="N22" s="525" t="str">
        <f>IF(AND('Mapa final'!$K$22="Media",'Mapa final'!$O$22="Leve"),CONCATENATE("R",'Mapa final'!$A$22),"")</f>
        <v/>
      </c>
      <c r="O22" s="526"/>
      <c r="P22" s="524" t="str">
        <f>IF(AND('Mapa final'!$K$10="Media",'Mapa final'!$O$10="Menor"),CONCATENATE("R",'Mapa final'!$A$10),"")</f>
        <v/>
      </c>
      <c r="Q22" s="525"/>
      <c r="R22" s="525" t="str">
        <f>IF(AND('Mapa final'!$K$16="Media",'Mapa final'!$O$16="Menor"),CONCATENATE("R",'Mapa final'!$A$16),"")</f>
        <v>R2</v>
      </c>
      <c r="S22" s="525"/>
      <c r="T22" s="525" t="str">
        <f>IF(AND('Mapa final'!$K$22="Media",'Mapa final'!$O$22="Menor"),CONCATENATE("R",'Mapa final'!$A$22),"")</f>
        <v>R3</v>
      </c>
      <c r="U22" s="526"/>
      <c r="V22" s="524" t="str">
        <f>IF(AND('Mapa final'!$K$10="Media",'Mapa final'!$O$10="Moderado"),CONCATENATE("R",'Mapa final'!$A$10),"")</f>
        <v>R1</v>
      </c>
      <c r="W22" s="525"/>
      <c r="X22" s="525" t="str">
        <f>IF(AND('Mapa final'!$K$16="Media",'Mapa final'!$O$16="Moderado"),CONCATENATE("R",'Mapa final'!$A$16),"")</f>
        <v/>
      </c>
      <c r="Y22" s="525"/>
      <c r="Z22" s="525" t="str">
        <f>IF(AND('Mapa final'!$K$22="Media",'Mapa final'!$O$22="Moderado"),CONCATENATE("R",'Mapa final'!$A$22),"")</f>
        <v/>
      </c>
      <c r="AA22" s="526"/>
      <c r="AB22" s="500" t="str">
        <f>IF(AND('Mapa final'!$K$10="Media",'Mapa final'!$O$10="Mayor"),CONCATENATE("R",'Mapa final'!$A$10),"")</f>
        <v/>
      </c>
      <c r="AC22" s="501"/>
      <c r="AD22" s="501" t="str">
        <f>IF(AND('Mapa final'!$K$16="Media",'Mapa final'!$O$16="Mayor"),CONCATENATE("R",'Mapa final'!$A$16),"")</f>
        <v/>
      </c>
      <c r="AE22" s="501"/>
      <c r="AF22" s="501" t="str">
        <f>IF(AND('Mapa final'!$K$22="Media",'Mapa final'!$O$22="Mayor"),CONCATENATE("R",'Mapa final'!$A$22),"")</f>
        <v/>
      </c>
      <c r="AG22" s="503"/>
      <c r="AH22" s="515" t="str">
        <f>IF(AND('Mapa final'!$K$10="Media",'Mapa final'!$O$10="Catastrófico"),CONCATENATE("R",'Mapa final'!$A$10),"")</f>
        <v/>
      </c>
      <c r="AI22" s="516"/>
      <c r="AJ22" s="516" t="str">
        <f>IF(AND('Mapa final'!$K$16="Media",'Mapa final'!$O$16="Catastrófico"),CONCATENATE("R",'Mapa final'!$A$16),"")</f>
        <v/>
      </c>
      <c r="AK22" s="516"/>
      <c r="AL22" s="516" t="str">
        <f>IF(AND('Mapa final'!$K$22="Media",'Mapa final'!$O$22="Catastrófico"),CONCATENATE("R",'Mapa final'!$A$22),"")</f>
        <v/>
      </c>
      <c r="AM22" s="517"/>
      <c r="AN22" s="67"/>
      <c r="AO22" s="471" t="s">
        <v>80</v>
      </c>
      <c r="AP22" s="472"/>
      <c r="AQ22" s="472"/>
      <c r="AR22" s="472"/>
      <c r="AS22" s="472"/>
      <c r="AT22" s="473"/>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25">
      <c r="A23" s="67"/>
      <c r="B23" s="451"/>
      <c r="C23" s="451"/>
      <c r="D23" s="452"/>
      <c r="E23" s="492"/>
      <c r="F23" s="493"/>
      <c r="G23" s="493"/>
      <c r="H23" s="493"/>
      <c r="I23" s="494"/>
      <c r="J23" s="518"/>
      <c r="K23" s="519"/>
      <c r="L23" s="519"/>
      <c r="M23" s="519"/>
      <c r="N23" s="519"/>
      <c r="O23" s="520"/>
      <c r="P23" s="518"/>
      <c r="Q23" s="519"/>
      <c r="R23" s="519"/>
      <c r="S23" s="519"/>
      <c r="T23" s="519"/>
      <c r="U23" s="520"/>
      <c r="V23" s="518"/>
      <c r="W23" s="519"/>
      <c r="X23" s="519"/>
      <c r="Y23" s="519"/>
      <c r="Z23" s="519"/>
      <c r="AA23" s="520"/>
      <c r="AB23" s="502"/>
      <c r="AC23" s="498"/>
      <c r="AD23" s="498"/>
      <c r="AE23" s="498"/>
      <c r="AF23" s="498"/>
      <c r="AG23" s="499"/>
      <c r="AH23" s="509"/>
      <c r="AI23" s="510"/>
      <c r="AJ23" s="510"/>
      <c r="AK23" s="510"/>
      <c r="AL23" s="510"/>
      <c r="AM23" s="511"/>
      <c r="AN23" s="67"/>
      <c r="AO23" s="474"/>
      <c r="AP23" s="475"/>
      <c r="AQ23" s="475"/>
      <c r="AR23" s="475"/>
      <c r="AS23" s="475"/>
      <c r="AT23" s="476"/>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25">
      <c r="A24" s="67"/>
      <c r="B24" s="451"/>
      <c r="C24" s="451"/>
      <c r="D24" s="452"/>
      <c r="E24" s="492"/>
      <c r="F24" s="493"/>
      <c r="G24" s="493"/>
      <c r="H24" s="493"/>
      <c r="I24" s="494"/>
      <c r="J24" s="518" t="str">
        <f>IF(AND('Mapa final'!$K$28="Media",'Mapa final'!$O$28="Leve"),CONCATENATE("R",'Mapa final'!$A$28),"")</f>
        <v/>
      </c>
      <c r="K24" s="519"/>
      <c r="L24" s="519" t="str">
        <f>IF(AND('Mapa final'!$K$34="Media",'Mapa final'!$O$34="Leve"),CONCATENATE("R",'Mapa final'!$A$34),"")</f>
        <v/>
      </c>
      <c r="M24" s="519"/>
      <c r="N24" s="519" t="str">
        <f>IF(AND('Mapa final'!$K$40="Media",'Mapa final'!$O$40="Leve"),CONCATENATE("R",'Mapa final'!$A$40),"")</f>
        <v/>
      </c>
      <c r="O24" s="520"/>
      <c r="P24" s="518" t="str">
        <f>IF(AND('Mapa final'!$K$28="Media",'Mapa final'!$O$28="Menor"),CONCATENATE("R",'Mapa final'!$A$28),"")</f>
        <v/>
      </c>
      <c r="Q24" s="519"/>
      <c r="R24" s="519" t="str">
        <f>IF(AND('Mapa final'!$K$34="Media",'Mapa final'!$O$34="Menor"),CONCATENATE("R",'Mapa final'!$A$34),"")</f>
        <v/>
      </c>
      <c r="S24" s="519"/>
      <c r="T24" s="519" t="str">
        <f>IF(AND('Mapa final'!$K$40="Media",'Mapa final'!$O$40="Menor"),CONCATENATE("R",'Mapa final'!$A$40),"")</f>
        <v/>
      </c>
      <c r="U24" s="520"/>
      <c r="V24" s="518" t="str">
        <f>IF(AND('Mapa final'!$K$28="Media",'Mapa final'!$O$28="Moderado"),CONCATENATE("R",'Mapa final'!$A$28),"")</f>
        <v/>
      </c>
      <c r="W24" s="519"/>
      <c r="X24" s="519" t="str">
        <f>IF(AND('Mapa final'!$K$34="Media",'Mapa final'!$O$34="Moderado"),CONCATENATE("R",'Mapa final'!$A$34),"")</f>
        <v/>
      </c>
      <c r="Y24" s="519"/>
      <c r="Z24" s="519" t="str">
        <f>IF(AND('Mapa final'!$K$40="Media",'Mapa final'!$O$40="Moderado"),CONCATENATE("R",'Mapa final'!$A$40),"")</f>
        <v/>
      </c>
      <c r="AA24" s="520"/>
      <c r="AB24" s="502" t="str">
        <f>IF(AND('Mapa final'!$K$28="Media",'Mapa final'!$O$28="Mayor"),CONCATENATE("R",'Mapa final'!$A$28),"")</f>
        <v/>
      </c>
      <c r="AC24" s="498"/>
      <c r="AD24" s="498" t="str">
        <f>IF(AND('Mapa final'!$K$34="Media",'Mapa final'!$O$34="Mayor"),CONCATENATE("R",'Mapa final'!$A$34),"")</f>
        <v/>
      </c>
      <c r="AE24" s="498"/>
      <c r="AF24" s="498" t="str">
        <f>IF(AND('Mapa final'!$K$40="Media",'Mapa final'!$O$40="Mayor"),CONCATENATE("R",'Mapa final'!$A$40),"")</f>
        <v/>
      </c>
      <c r="AG24" s="499"/>
      <c r="AH24" s="509" t="str">
        <f>IF(AND('Mapa final'!$K$28="Media",'Mapa final'!$O$28="Catastrófico"),CONCATENATE("R",'Mapa final'!$A$28),"")</f>
        <v/>
      </c>
      <c r="AI24" s="510"/>
      <c r="AJ24" s="510" t="str">
        <f>IF(AND('Mapa final'!$K$34="Media",'Mapa final'!$O$34="Catastrófico"),CONCATENATE("R",'Mapa final'!$A$34),"")</f>
        <v/>
      </c>
      <c r="AK24" s="510"/>
      <c r="AL24" s="510" t="str">
        <f>IF(AND('Mapa final'!$K$40="Media",'Mapa final'!$O$40="Catastrófico"),CONCATENATE("R",'Mapa final'!$A$40),"")</f>
        <v/>
      </c>
      <c r="AM24" s="511"/>
      <c r="AN24" s="67"/>
      <c r="AO24" s="474"/>
      <c r="AP24" s="475"/>
      <c r="AQ24" s="475"/>
      <c r="AR24" s="475"/>
      <c r="AS24" s="475"/>
      <c r="AT24" s="476"/>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25">
      <c r="A25" s="67"/>
      <c r="B25" s="451"/>
      <c r="C25" s="451"/>
      <c r="D25" s="452"/>
      <c r="E25" s="492"/>
      <c r="F25" s="493"/>
      <c r="G25" s="493"/>
      <c r="H25" s="493"/>
      <c r="I25" s="494"/>
      <c r="J25" s="518"/>
      <c r="K25" s="519"/>
      <c r="L25" s="519"/>
      <c r="M25" s="519"/>
      <c r="N25" s="519"/>
      <c r="O25" s="520"/>
      <c r="P25" s="518"/>
      <c r="Q25" s="519"/>
      <c r="R25" s="519"/>
      <c r="S25" s="519"/>
      <c r="T25" s="519"/>
      <c r="U25" s="520"/>
      <c r="V25" s="518"/>
      <c r="W25" s="519"/>
      <c r="X25" s="519"/>
      <c r="Y25" s="519"/>
      <c r="Z25" s="519"/>
      <c r="AA25" s="520"/>
      <c r="AB25" s="502"/>
      <c r="AC25" s="498"/>
      <c r="AD25" s="498"/>
      <c r="AE25" s="498"/>
      <c r="AF25" s="498"/>
      <c r="AG25" s="499"/>
      <c r="AH25" s="509"/>
      <c r="AI25" s="510"/>
      <c r="AJ25" s="510"/>
      <c r="AK25" s="510"/>
      <c r="AL25" s="510"/>
      <c r="AM25" s="511"/>
      <c r="AN25" s="67"/>
      <c r="AO25" s="474"/>
      <c r="AP25" s="475"/>
      <c r="AQ25" s="475"/>
      <c r="AR25" s="475"/>
      <c r="AS25" s="475"/>
      <c r="AT25" s="476"/>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25">
      <c r="A26" s="67"/>
      <c r="B26" s="451"/>
      <c r="C26" s="451"/>
      <c r="D26" s="452"/>
      <c r="E26" s="492"/>
      <c r="F26" s="493"/>
      <c r="G26" s="493"/>
      <c r="H26" s="493"/>
      <c r="I26" s="494"/>
      <c r="J26" s="518" t="str">
        <f>IF(AND('Mapa final'!$K$46="Media",'Mapa final'!$O$46="Leve"),CONCATENATE("R",'Mapa final'!$A$46),"")</f>
        <v/>
      </c>
      <c r="K26" s="519"/>
      <c r="L26" s="519" t="str">
        <f>IF(AND('Mapa final'!$K$52="Media",'Mapa final'!$O$52="Leve"),CONCATENATE("R",'Mapa final'!$A$52),"")</f>
        <v/>
      </c>
      <c r="M26" s="519"/>
      <c r="N26" s="519" t="str">
        <f>IF(AND('Mapa final'!$K$58="Media",'Mapa final'!$O$58="Leve"),CONCATENATE("R",'Mapa final'!$A$58),"")</f>
        <v/>
      </c>
      <c r="O26" s="520"/>
      <c r="P26" s="518" t="str">
        <f>IF(AND('Mapa final'!$K$46="Media",'Mapa final'!$O$46="Menor"),CONCATENATE("R",'Mapa final'!$A$46),"")</f>
        <v/>
      </c>
      <c r="Q26" s="519"/>
      <c r="R26" s="519" t="str">
        <f>IF(AND('Mapa final'!$K$52="Media",'Mapa final'!$O$52="Menor"),CONCATENATE("R",'Mapa final'!$A$52),"")</f>
        <v/>
      </c>
      <c r="S26" s="519"/>
      <c r="T26" s="519" t="str">
        <f>IF(AND('Mapa final'!$K$58="Media",'Mapa final'!$O$58="Menor"),CONCATENATE("R",'Mapa final'!$A$58),"")</f>
        <v/>
      </c>
      <c r="U26" s="520"/>
      <c r="V26" s="518" t="str">
        <f>IF(AND('Mapa final'!$K$46="Media",'Mapa final'!$O$46="Moderado"),CONCATENATE("R",'Mapa final'!$A$46),"")</f>
        <v/>
      </c>
      <c r="W26" s="519"/>
      <c r="X26" s="519" t="str">
        <f>IF(AND('Mapa final'!$K$52="Media",'Mapa final'!$O$52="Moderado"),CONCATENATE("R",'Mapa final'!$A$52),"")</f>
        <v/>
      </c>
      <c r="Y26" s="519"/>
      <c r="Z26" s="519" t="str">
        <f>IF(AND('Mapa final'!$K$58="Media",'Mapa final'!$O$58="Moderado"),CONCATENATE("R",'Mapa final'!$A$58),"")</f>
        <v/>
      </c>
      <c r="AA26" s="520"/>
      <c r="AB26" s="502" t="str">
        <f>IF(AND('Mapa final'!$K$46="Media",'Mapa final'!$O$46="Mayor"),CONCATENATE("R",'Mapa final'!$A$46),"")</f>
        <v/>
      </c>
      <c r="AC26" s="498"/>
      <c r="AD26" s="498" t="str">
        <f>IF(AND('Mapa final'!$K$52="Media",'Mapa final'!$O$52="Mayor"),CONCATENATE("R",'Mapa final'!$A$52),"")</f>
        <v/>
      </c>
      <c r="AE26" s="498"/>
      <c r="AF26" s="498" t="str">
        <f>IF(AND('Mapa final'!$K$58="Media",'Mapa final'!$O$58="Mayor"),CONCATENATE("R",'Mapa final'!$A$58),"")</f>
        <v/>
      </c>
      <c r="AG26" s="499"/>
      <c r="AH26" s="509" t="str">
        <f>IF(AND('Mapa final'!$K$46="Media",'Mapa final'!$O$46="Catastrófico"),CONCATENATE("R",'Mapa final'!$A$46),"")</f>
        <v/>
      </c>
      <c r="AI26" s="510"/>
      <c r="AJ26" s="510" t="str">
        <f>IF(AND('Mapa final'!$K$52="Media",'Mapa final'!$O$52="Catastrófico"),CONCATENATE("R",'Mapa final'!$A$52),"")</f>
        <v/>
      </c>
      <c r="AK26" s="510"/>
      <c r="AL26" s="510" t="str">
        <f>IF(AND('Mapa final'!$K$58="Media",'Mapa final'!$O$58="Catastrófico"),CONCATENATE("R",'Mapa final'!$A$58),"")</f>
        <v/>
      </c>
      <c r="AM26" s="511"/>
      <c r="AN26" s="67"/>
      <c r="AO26" s="474"/>
      <c r="AP26" s="475"/>
      <c r="AQ26" s="475"/>
      <c r="AR26" s="475"/>
      <c r="AS26" s="475"/>
      <c r="AT26" s="476"/>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25">
      <c r="A27" s="67"/>
      <c r="B27" s="451"/>
      <c r="C27" s="451"/>
      <c r="D27" s="452"/>
      <c r="E27" s="492"/>
      <c r="F27" s="493"/>
      <c r="G27" s="493"/>
      <c r="H27" s="493"/>
      <c r="I27" s="494"/>
      <c r="J27" s="518"/>
      <c r="K27" s="519"/>
      <c r="L27" s="519"/>
      <c r="M27" s="519"/>
      <c r="N27" s="519"/>
      <c r="O27" s="520"/>
      <c r="P27" s="518"/>
      <c r="Q27" s="519"/>
      <c r="R27" s="519"/>
      <c r="S27" s="519"/>
      <c r="T27" s="519"/>
      <c r="U27" s="520"/>
      <c r="V27" s="518"/>
      <c r="W27" s="519"/>
      <c r="X27" s="519"/>
      <c r="Y27" s="519"/>
      <c r="Z27" s="519"/>
      <c r="AA27" s="520"/>
      <c r="AB27" s="502"/>
      <c r="AC27" s="498"/>
      <c r="AD27" s="498"/>
      <c r="AE27" s="498"/>
      <c r="AF27" s="498"/>
      <c r="AG27" s="499"/>
      <c r="AH27" s="509"/>
      <c r="AI27" s="510"/>
      <c r="AJ27" s="510"/>
      <c r="AK27" s="510"/>
      <c r="AL27" s="510"/>
      <c r="AM27" s="511"/>
      <c r="AN27" s="67"/>
      <c r="AO27" s="474"/>
      <c r="AP27" s="475"/>
      <c r="AQ27" s="475"/>
      <c r="AR27" s="475"/>
      <c r="AS27" s="475"/>
      <c r="AT27" s="476"/>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25">
      <c r="A28" s="67"/>
      <c r="B28" s="451"/>
      <c r="C28" s="451"/>
      <c r="D28" s="452"/>
      <c r="E28" s="492"/>
      <c r="F28" s="493"/>
      <c r="G28" s="493"/>
      <c r="H28" s="493"/>
      <c r="I28" s="494"/>
      <c r="J28" s="518" t="str">
        <f>IF(AND('Mapa final'!$K$64="Media",'Mapa final'!$O$64="Leve"),CONCATENATE("R",'Mapa final'!$A$64),"")</f>
        <v/>
      </c>
      <c r="K28" s="519"/>
      <c r="L28" s="519" t="str">
        <f>IF(AND('Mapa final'!$K$70="Media",'Mapa final'!$O$70="Leve"),CONCATENATE("R",'Mapa final'!$A$70),"")</f>
        <v/>
      </c>
      <c r="M28" s="519"/>
      <c r="N28" s="519" t="str">
        <f>IF(AND('Mapa final'!$K$76="Media",'Mapa final'!$O$76="Leve"),CONCATENATE("R",'Mapa final'!$A$76),"")</f>
        <v/>
      </c>
      <c r="O28" s="520"/>
      <c r="P28" s="518" t="str">
        <f>IF(AND('Mapa final'!$K$64="Media",'Mapa final'!$O$64="Menor"),CONCATENATE("R",'Mapa final'!$A$64),"")</f>
        <v/>
      </c>
      <c r="Q28" s="519"/>
      <c r="R28" s="519" t="str">
        <f>IF(AND('Mapa final'!$K$70="Media",'Mapa final'!$O$70="Menor"),CONCATENATE("R",'Mapa final'!$A$70),"")</f>
        <v/>
      </c>
      <c r="S28" s="519"/>
      <c r="T28" s="519" t="str">
        <f>IF(AND('Mapa final'!$K$76="Media",'Mapa final'!$O$76="Menor"),CONCATENATE("R",'Mapa final'!$A$76),"")</f>
        <v/>
      </c>
      <c r="U28" s="520"/>
      <c r="V28" s="518" t="str">
        <f>IF(AND('Mapa final'!$K$64="Media",'Mapa final'!$O$64="Moderado"),CONCATENATE("R",'Mapa final'!$A$64),"")</f>
        <v/>
      </c>
      <c r="W28" s="519"/>
      <c r="X28" s="519" t="str">
        <f>IF(AND('Mapa final'!$K$70="Media",'Mapa final'!$O$70="Moderado"),CONCATENATE("R",'Mapa final'!$A$70),"")</f>
        <v/>
      </c>
      <c r="Y28" s="519"/>
      <c r="Z28" s="519" t="str">
        <f>IF(AND('Mapa final'!$K$76="Media",'Mapa final'!$O$76="Moderado"),CONCATENATE("R",'Mapa final'!$A$76),"")</f>
        <v/>
      </c>
      <c r="AA28" s="520"/>
      <c r="AB28" s="502" t="str">
        <f>IF(AND('Mapa final'!$K$64="Media",'Mapa final'!$O$64="Mayor"),CONCATENATE("R",'Mapa final'!$A$64),"")</f>
        <v/>
      </c>
      <c r="AC28" s="498"/>
      <c r="AD28" s="498" t="str">
        <f>IF(AND('Mapa final'!$K$70="Media",'Mapa final'!$O$70="Mayor"),CONCATENATE("R",'Mapa final'!$A$70),"")</f>
        <v/>
      </c>
      <c r="AE28" s="498"/>
      <c r="AF28" s="498" t="str">
        <f>IF(AND('Mapa final'!$K$76="Media",'Mapa final'!$O$76="Mayor"),CONCATENATE("R",'Mapa final'!$A$76),"")</f>
        <v/>
      </c>
      <c r="AG28" s="499"/>
      <c r="AH28" s="509" t="str">
        <f>IF(AND('Mapa final'!$K$64="Media",'Mapa final'!$O$64="Catastrófico"),CONCATENATE("R",'Mapa final'!$A$64),"")</f>
        <v/>
      </c>
      <c r="AI28" s="510"/>
      <c r="AJ28" s="510" t="str">
        <f>IF(AND('Mapa final'!$K$70="Media",'Mapa final'!$O$70="Catastrófico"),CONCATENATE("R",'Mapa final'!$A$70),"")</f>
        <v/>
      </c>
      <c r="AK28" s="510"/>
      <c r="AL28" s="510" t="str">
        <f>IF(AND('Mapa final'!$K$76="Media",'Mapa final'!$O$76="Catastrófico"),CONCATENATE("R",'Mapa final'!$A$76),"")</f>
        <v/>
      </c>
      <c r="AM28" s="511"/>
      <c r="AN28" s="67"/>
      <c r="AO28" s="474"/>
      <c r="AP28" s="475"/>
      <c r="AQ28" s="475"/>
      <c r="AR28" s="475"/>
      <c r="AS28" s="475"/>
      <c r="AT28" s="476"/>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75" thickBot="1" x14ac:dyDescent="0.3">
      <c r="A29" s="67"/>
      <c r="B29" s="451"/>
      <c r="C29" s="451"/>
      <c r="D29" s="452"/>
      <c r="E29" s="495"/>
      <c r="F29" s="496"/>
      <c r="G29" s="496"/>
      <c r="H29" s="496"/>
      <c r="I29" s="497"/>
      <c r="J29" s="518"/>
      <c r="K29" s="519"/>
      <c r="L29" s="519"/>
      <c r="M29" s="519"/>
      <c r="N29" s="519"/>
      <c r="O29" s="520"/>
      <c r="P29" s="521"/>
      <c r="Q29" s="522"/>
      <c r="R29" s="522"/>
      <c r="S29" s="522"/>
      <c r="T29" s="522"/>
      <c r="U29" s="523"/>
      <c r="V29" s="521"/>
      <c r="W29" s="522"/>
      <c r="X29" s="522"/>
      <c r="Y29" s="522"/>
      <c r="Z29" s="522"/>
      <c r="AA29" s="523"/>
      <c r="AB29" s="506"/>
      <c r="AC29" s="507"/>
      <c r="AD29" s="507"/>
      <c r="AE29" s="507"/>
      <c r="AF29" s="507"/>
      <c r="AG29" s="508"/>
      <c r="AH29" s="512"/>
      <c r="AI29" s="513"/>
      <c r="AJ29" s="513"/>
      <c r="AK29" s="513"/>
      <c r="AL29" s="513"/>
      <c r="AM29" s="514"/>
      <c r="AN29" s="67"/>
      <c r="AO29" s="477"/>
      <c r="AP29" s="478"/>
      <c r="AQ29" s="478"/>
      <c r="AR29" s="478"/>
      <c r="AS29" s="478"/>
      <c r="AT29" s="479"/>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25">
      <c r="A30" s="67"/>
      <c r="B30" s="451"/>
      <c r="C30" s="451"/>
      <c r="D30" s="452"/>
      <c r="E30" s="489" t="s">
        <v>109</v>
      </c>
      <c r="F30" s="490"/>
      <c r="G30" s="490"/>
      <c r="H30" s="490"/>
      <c r="I30" s="490"/>
      <c r="J30" s="533" t="str">
        <f>IF(AND('Mapa final'!$K$10="Baja",'Mapa final'!$O$10="Leve"),CONCATENATE("R",'Mapa final'!$A$10),"")</f>
        <v/>
      </c>
      <c r="K30" s="534"/>
      <c r="L30" s="534" t="str">
        <f>IF(AND('Mapa final'!$K$16="Baja",'Mapa final'!$O$16="Leve"),CONCATENATE("R",'Mapa final'!$A$16),"")</f>
        <v/>
      </c>
      <c r="M30" s="534"/>
      <c r="N30" s="534" t="str">
        <f>IF(AND('Mapa final'!$K$22="Baja",'Mapa final'!$O$22="Leve"),CONCATENATE("R",'Mapa final'!$A$22),"")</f>
        <v/>
      </c>
      <c r="O30" s="535"/>
      <c r="P30" s="525" t="str">
        <f>IF(AND('Mapa final'!$K$10="Baja",'Mapa final'!$O$10="Menor"),CONCATENATE("R",'Mapa final'!$A$10),"")</f>
        <v/>
      </c>
      <c r="Q30" s="525"/>
      <c r="R30" s="525" t="str">
        <f>IF(AND('Mapa final'!$K$16="Baja",'Mapa final'!$O$16="Menor"),CONCATENATE("R",'Mapa final'!$A$16),"")</f>
        <v/>
      </c>
      <c r="S30" s="525"/>
      <c r="T30" s="525" t="str">
        <f>IF(AND('Mapa final'!$K$22="Baja",'Mapa final'!$O$22="Menor"),CONCATENATE("R",'Mapa final'!$A$22),"")</f>
        <v/>
      </c>
      <c r="U30" s="526"/>
      <c r="V30" s="524" t="str">
        <f>IF(AND('Mapa final'!$K$10="Baja",'Mapa final'!$O$10="Moderado"),CONCATENATE("R",'Mapa final'!$A$10),"")</f>
        <v/>
      </c>
      <c r="W30" s="525"/>
      <c r="X30" s="525" t="str">
        <f>IF(AND('Mapa final'!$K$16="Baja",'Mapa final'!$O$16="Moderado"),CONCATENATE("R",'Mapa final'!$A$16),"")</f>
        <v/>
      </c>
      <c r="Y30" s="525"/>
      <c r="Z30" s="525" t="str">
        <f>IF(AND('Mapa final'!$K$22="Baja",'Mapa final'!$O$22="Moderado"),CONCATENATE("R",'Mapa final'!$A$22),"")</f>
        <v/>
      </c>
      <c r="AA30" s="526"/>
      <c r="AB30" s="500" t="str">
        <f>IF(AND('Mapa final'!$K$10="Baja",'Mapa final'!$O$10="Mayor"),CONCATENATE("R",'Mapa final'!$A$10),"")</f>
        <v/>
      </c>
      <c r="AC30" s="501"/>
      <c r="AD30" s="501" t="str">
        <f>IF(AND('Mapa final'!$K$16="Baja",'Mapa final'!$O$16="Mayor"),CONCATENATE("R",'Mapa final'!$A$16),"")</f>
        <v/>
      </c>
      <c r="AE30" s="501"/>
      <c r="AF30" s="501" t="str">
        <f>IF(AND('Mapa final'!$K$22="Baja",'Mapa final'!$O$22="Mayor"),CONCATENATE("R",'Mapa final'!$A$22),"")</f>
        <v/>
      </c>
      <c r="AG30" s="503"/>
      <c r="AH30" s="515" t="str">
        <f>IF(AND('Mapa final'!$K$10="Baja",'Mapa final'!$O$10="Catastrófico"),CONCATENATE("R",'Mapa final'!$A$10),"")</f>
        <v/>
      </c>
      <c r="AI30" s="516"/>
      <c r="AJ30" s="516" t="str">
        <f>IF(AND('Mapa final'!$K$16="Baja",'Mapa final'!$O$16="Catastrófico"),CONCATENATE("R",'Mapa final'!$A$16),"")</f>
        <v/>
      </c>
      <c r="AK30" s="516"/>
      <c r="AL30" s="516" t="str">
        <f>IF(AND('Mapa final'!$K$22="Baja",'Mapa final'!$O$22="Catastrófico"),CONCATENATE("R",'Mapa final'!$A$22),"")</f>
        <v/>
      </c>
      <c r="AM30" s="517"/>
      <c r="AN30" s="67"/>
      <c r="AO30" s="480" t="s">
        <v>81</v>
      </c>
      <c r="AP30" s="481"/>
      <c r="AQ30" s="481"/>
      <c r="AR30" s="481"/>
      <c r="AS30" s="481"/>
      <c r="AT30" s="482"/>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25">
      <c r="A31" s="67"/>
      <c r="B31" s="451"/>
      <c r="C31" s="451"/>
      <c r="D31" s="452"/>
      <c r="E31" s="492"/>
      <c r="F31" s="493"/>
      <c r="G31" s="493"/>
      <c r="H31" s="493"/>
      <c r="I31" s="493"/>
      <c r="J31" s="529"/>
      <c r="K31" s="527"/>
      <c r="L31" s="527"/>
      <c r="M31" s="527"/>
      <c r="N31" s="527"/>
      <c r="O31" s="528"/>
      <c r="P31" s="519"/>
      <c r="Q31" s="519"/>
      <c r="R31" s="519"/>
      <c r="S31" s="519"/>
      <c r="T31" s="519"/>
      <c r="U31" s="520"/>
      <c r="V31" s="518"/>
      <c r="W31" s="519"/>
      <c r="X31" s="519"/>
      <c r="Y31" s="519"/>
      <c r="Z31" s="519"/>
      <c r="AA31" s="520"/>
      <c r="AB31" s="502"/>
      <c r="AC31" s="498"/>
      <c r="AD31" s="498"/>
      <c r="AE31" s="498"/>
      <c r="AF31" s="498"/>
      <c r="AG31" s="499"/>
      <c r="AH31" s="509"/>
      <c r="AI31" s="510"/>
      <c r="AJ31" s="510"/>
      <c r="AK31" s="510"/>
      <c r="AL31" s="510"/>
      <c r="AM31" s="511"/>
      <c r="AN31" s="67"/>
      <c r="AO31" s="483"/>
      <c r="AP31" s="484"/>
      <c r="AQ31" s="484"/>
      <c r="AR31" s="484"/>
      <c r="AS31" s="484"/>
      <c r="AT31" s="485"/>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25">
      <c r="A32" s="67"/>
      <c r="B32" s="451"/>
      <c r="C32" s="451"/>
      <c r="D32" s="452"/>
      <c r="E32" s="492"/>
      <c r="F32" s="493"/>
      <c r="G32" s="493"/>
      <c r="H32" s="493"/>
      <c r="I32" s="493"/>
      <c r="J32" s="529" t="str">
        <f>IF(AND('Mapa final'!$K$28="Baja",'Mapa final'!$O$28="Leve"),CONCATENATE("R",'Mapa final'!$A$28),"")</f>
        <v/>
      </c>
      <c r="K32" s="527"/>
      <c r="L32" s="527" t="str">
        <f>IF(AND('Mapa final'!$K$34="Baja",'Mapa final'!$O$34="Leve"),CONCATENATE("R",'Mapa final'!$A$34),"")</f>
        <v/>
      </c>
      <c r="M32" s="527"/>
      <c r="N32" s="527" t="str">
        <f>IF(AND('Mapa final'!$K$40="Baja",'Mapa final'!$O$40="Leve"),CONCATENATE("R",'Mapa final'!$A$40),"")</f>
        <v/>
      </c>
      <c r="O32" s="528"/>
      <c r="P32" s="519" t="str">
        <f>IF(AND('Mapa final'!$K$28="Baja",'Mapa final'!$O$28="Menor"),CONCATENATE("R",'Mapa final'!$A$28),"")</f>
        <v/>
      </c>
      <c r="Q32" s="519"/>
      <c r="R32" s="519" t="str">
        <f>IF(AND('Mapa final'!$K$34="Baja",'Mapa final'!$O$34="Menor"),CONCATENATE("R",'Mapa final'!$A$34),"")</f>
        <v/>
      </c>
      <c r="S32" s="519"/>
      <c r="T32" s="519" t="str">
        <f>IF(AND('Mapa final'!$K$40="Baja",'Mapa final'!$O$40="Menor"),CONCATENATE("R",'Mapa final'!$A$40),"")</f>
        <v/>
      </c>
      <c r="U32" s="520"/>
      <c r="V32" s="518" t="str">
        <f>IF(AND('Mapa final'!$K$28="Baja",'Mapa final'!$O$28="Moderado"),CONCATENATE("R",'Mapa final'!$A$28),"")</f>
        <v/>
      </c>
      <c r="W32" s="519"/>
      <c r="X32" s="519" t="str">
        <f>IF(AND('Mapa final'!$K$34="Baja",'Mapa final'!$O$34="Moderado"),CONCATENATE("R",'Mapa final'!$A$34),"")</f>
        <v/>
      </c>
      <c r="Y32" s="519"/>
      <c r="Z32" s="519" t="str">
        <f>IF(AND('Mapa final'!$K$40="Baja",'Mapa final'!$O$40="Moderado"),CONCATENATE("R",'Mapa final'!$A$40),"")</f>
        <v/>
      </c>
      <c r="AA32" s="520"/>
      <c r="AB32" s="502" t="str">
        <f>IF(AND('Mapa final'!$K$28="Baja",'Mapa final'!$O$28="Mayor"),CONCATENATE("R",'Mapa final'!$A$28),"")</f>
        <v/>
      </c>
      <c r="AC32" s="498"/>
      <c r="AD32" s="498" t="str">
        <f>IF(AND('Mapa final'!$K$34="Baja",'Mapa final'!$O$34="Mayor"),CONCATENATE("R",'Mapa final'!$A$34),"")</f>
        <v/>
      </c>
      <c r="AE32" s="498"/>
      <c r="AF32" s="498" t="str">
        <f>IF(AND('Mapa final'!$K$40="Baja",'Mapa final'!$O$40="Mayor"),CONCATENATE("R",'Mapa final'!$A$40),"")</f>
        <v/>
      </c>
      <c r="AG32" s="499"/>
      <c r="AH32" s="509" t="str">
        <f>IF(AND('Mapa final'!$K$28="Baja",'Mapa final'!$O$28="Catastrófico"),CONCATENATE("R",'Mapa final'!$A$28),"")</f>
        <v/>
      </c>
      <c r="AI32" s="510"/>
      <c r="AJ32" s="510" t="str">
        <f>IF(AND('Mapa final'!$K$34="Baja",'Mapa final'!$O$34="Catastrófico"),CONCATENATE("R",'Mapa final'!$A$34),"")</f>
        <v/>
      </c>
      <c r="AK32" s="510"/>
      <c r="AL32" s="510" t="str">
        <f>IF(AND('Mapa final'!$K$40="Baja",'Mapa final'!$O$40="Catastrófico"),CONCATENATE("R",'Mapa final'!$A$40),"")</f>
        <v/>
      </c>
      <c r="AM32" s="511"/>
      <c r="AN32" s="67"/>
      <c r="AO32" s="483"/>
      <c r="AP32" s="484"/>
      <c r="AQ32" s="484"/>
      <c r="AR32" s="484"/>
      <c r="AS32" s="484"/>
      <c r="AT32" s="485"/>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25">
      <c r="A33" s="67"/>
      <c r="B33" s="451"/>
      <c r="C33" s="451"/>
      <c r="D33" s="452"/>
      <c r="E33" s="492"/>
      <c r="F33" s="493"/>
      <c r="G33" s="493"/>
      <c r="H33" s="493"/>
      <c r="I33" s="493"/>
      <c r="J33" s="529"/>
      <c r="K33" s="527"/>
      <c r="L33" s="527"/>
      <c r="M33" s="527"/>
      <c r="N33" s="527"/>
      <c r="O33" s="528"/>
      <c r="P33" s="519"/>
      <c r="Q33" s="519"/>
      <c r="R33" s="519"/>
      <c r="S33" s="519"/>
      <c r="T33" s="519"/>
      <c r="U33" s="520"/>
      <c r="V33" s="518"/>
      <c r="W33" s="519"/>
      <c r="X33" s="519"/>
      <c r="Y33" s="519"/>
      <c r="Z33" s="519"/>
      <c r="AA33" s="520"/>
      <c r="AB33" s="502"/>
      <c r="AC33" s="498"/>
      <c r="AD33" s="498"/>
      <c r="AE33" s="498"/>
      <c r="AF33" s="498"/>
      <c r="AG33" s="499"/>
      <c r="AH33" s="509"/>
      <c r="AI33" s="510"/>
      <c r="AJ33" s="510"/>
      <c r="AK33" s="510"/>
      <c r="AL33" s="510"/>
      <c r="AM33" s="511"/>
      <c r="AN33" s="67"/>
      <c r="AO33" s="483"/>
      <c r="AP33" s="484"/>
      <c r="AQ33" s="484"/>
      <c r="AR33" s="484"/>
      <c r="AS33" s="484"/>
      <c r="AT33" s="485"/>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25">
      <c r="A34" s="67"/>
      <c r="B34" s="451"/>
      <c r="C34" s="451"/>
      <c r="D34" s="452"/>
      <c r="E34" s="492"/>
      <c r="F34" s="493"/>
      <c r="G34" s="493"/>
      <c r="H34" s="493"/>
      <c r="I34" s="493"/>
      <c r="J34" s="529" t="str">
        <f>IF(AND('Mapa final'!$K$46="Baja",'Mapa final'!$O$46="Leve"),CONCATENATE("R",'Mapa final'!$A$46),"")</f>
        <v/>
      </c>
      <c r="K34" s="527"/>
      <c r="L34" s="527" t="str">
        <f>IF(AND('Mapa final'!$K$52="Baja",'Mapa final'!$O$52="Leve"),CONCATENATE("R",'Mapa final'!$A$52),"")</f>
        <v/>
      </c>
      <c r="M34" s="527"/>
      <c r="N34" s="527" t="str">
        <f>IF(AND('Mapa final'!$K$58="Baja",'Mapa final'!$O$58="Leve"),CONCATENATE("R",'Mapa final'!$A$58),"")</f>
        <v/>
      </c>
      <c r="O34" s="528"/>
      <c r="P34" s="519" t="str">
        <f>IF(AND('Mapa final'!$K$46="Baja",'Mapa final'!$O$46="Menor"),CONCATENATE("R",'Mapa final'!$A$46),"")</f>
        <v/>
      </c>
      <c r="Q34" s="519"/>
      <c r="R34" s="519" t="str">
        <f>IF(AND('Mapa final'!$K$52="Baja",'Mapa final'!$O$52="Menor"),CONCATENATE("R",'Mapa final'!$A$52),"")</f>
        <v/>
      </c>
      <c r="S34" s="519"/>
      <c r="T34" s="519" t="str">
        <f>IF(AND('Mapa final'!$K$58="Baja",'Mapa final'!$O$58="Menor"),CONCATENATE("R",'Mapa final'!$A$58),"")</f>
        <v/>
      </c>
      <c r="U34" s="520"/>
      <c r="V34" s="518" t="str">
        <f>IF(AND('Mapa final'!$K$46="Baja",'Mapa final'!$O$46="Moderado"),CONCATENATE("R",'Mapa final'!$A$46),"")</f>
        <v/>
      </c>
      <c r="W34" s="519"/>
      <c r="X34" s="519" t="str">
        <f>IF(AND('Mapa final'!$K$52="Baja",'Mapa final'!$O$52="Moderado"),CONCATENATE("R",'Mapa final'!$A$52),"")</f>
        <v/>
      </c>
      <c r="Y34" s="519"/>
      <c r="Z34" s="519" t="str">
        <f>IF(AND('Mapa final'!$K$58="Baja",'Mapa final'!$O$58="Moderado"),CONCATENATE("R",'Mapa final'!$A$58),"")</f>
        <v/>
      </c>
      <c r="AA34" s="520"/>
      <c r="AB34" s="502" t="str">
        <f>IF(AND('Mapa final'!$K$46="Baja",'Mapa final'!$O$46="Mayor"),CONCATENATE("R",'Mapa final'!$A$46),"")</f>
        <v/>
      </c>
      <c r="AC34" s="498"/>
      <c r="AD34" s="498" t="str">
        <f>IF(AND('Mapa final'!$K$52="Baja",'Mapa final'!$O$52="Mayor"),CONCATENATE("R",'Mapa final'!$A$52),"")</f>
        <v/>
      </c>
      <c r="AE34" s="498"/>
      <c r="AF34" s="498" t="str">
        <f>IF(AND('Mapa final'!$K$58="Baja",'Mapa final'!$O$58="Mayor"),CONCATENATE("R",'Mapa final'!$A$58),"")</f>
        <v/>
      </c>
      <c r="AG34" s="499"/>
      <c r="AH34" s="509" t="str">
        <f>IF(AND('Mapa final'!$K$46="Baja",'Mapa final'!$O$46="Catastrófico"),CONCATENATE("R",'Mapa final'!$A$46),"")</f>
        <v/>
      </c>
      <c r="AI34" s="510"/>
      <c r="AJ34" s="510" t="str">
        <f>IF(AND('Mapa final'!$K$52="Baja",'Mapa final'!$O$52="Catastrófico"),CONCATENATE("R",'Mapa final'!$A$52),"")</f>
        <v/>
      </c>
      <c r="AK34" s="510"/>
      <c r="AL34" s="510" t="str">
        <f>IF(AND('Mapa final'!$K$58="Baja",'Mapa final'!$O$58="Catastrófico"),CONCATENATE("R",'Mapa final'!$A$58),"")</f>
        <v/>
      </c>
      <c r="AM34" s="511"/>
      <c r="AN34" s="67"/>
      <c r="AO34" s="483"/>
      <c r="AP34" s="484"/>
      <c r="AQ34" s="484"/>
      <c r="AR34" s="484"/>
      <c r="AS34" s="484"/>
      <c r="AT34" s="485"/>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25">
      <c r="A35" s="67"/>
      <c r="B35" s="451"/>
      <c r="C35" s="451"/>
      <c r="D35" s="452"/>
      <c r="E35" s="492"/>
      <c r="F35" s="493"/>
      <c r="G35" s="493"/>
      <c r="H35" s="493"/>
      <c r="I35" s="493"/>
      <c r="J35" s="529"/>
      <c r="K35" s="527"/>
      <c r="L35" s="527"/>
      <c r="M35" s="527"/>
      <c r="N35" s="527"/>
      <c r="O35" s="528"/>
      <c r="P35" s="519"/>
      <c r="Q35" s="519"/>
      <c r="R35" s="519"/>
      <c r="S35" s="519"/>
      <c r="T35" s="519"/>
      <c r="U35" s="520"/>
      <c r="V35" s="518"/>
      <c r="W35" s="519"/>
      <c r="X35" s="519"/>
      <c r="Y35" s="519"/>
      <c r="Z35" s="519"/>
      <c r="AA35" s="520"/>
      <c r="AB35" s="502"/>
      <c r="AC35" s="498"/>
      <c r="AD35" s="498"/>
      <c r="AE35" s="498"/>
      <c r="AF35" s="498"/>
      <c r="AG35" s="499"/>
      <c r="AH35" s="509"/>
      <c r="AI35" s="510"/>
      <c r="AJ35" s="510"/>
      <c r="AK35" s="510"/>
      <c r="AL35" s="510"/>
      <c r="AM35" s="511"/>
      <c r="AN35" s="67"/>
      <c r="AO35" s="483"/>
      <c r="AP35" s="484"/>
      <c r="AQ35" s="484"/>
      <c r="AR35" s="484"/>
      <c r="AS35" s="484"/>
      <c r="AT35" s="485"/>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25">
      <c r="A36" s="67"/>
      <c r="B36" s="451"/>
      <c r="C36" s="451"/>
      <c r="D36" s="452"/>
      <c r="E36" s="492"/>
      <c r="F36" s="493"/>
      <c r="G36" s="493"/>
      <c r="H36" s="493"/>
      <c r="I36" s="493"/>
      <c r="J36" s="529" t="str">
        <f>IF(AND('Mapa final'!$K$64="Baja",'Mapa final'!$O$64="Leve"),CONCATENATE("R",'Mapa final'!$A$64),"")</f>
        <v/>
      </c>
      <c r="K36" s="527"/>
      <c r="L36" s="527" t="str">
        <f>IF(AND('Mapa final'!$K$70="Baja",'Mapa final'!$O$70="Leve"),CONCATENATE("R",'Mapa final'!$A$70),"")</f>
        <v/>
      </c>
      <c r="M36" s="527"/>
      <c r="N36" s="527" t="str">
        <f>IF(AND('Mapa final'!$K$76="Baja",'Mapa final'!$O$76="Leve"),CONCATENATE("R",'Mapa final'!$A$76),"")</f>
        <v/>
      </c>
      <c r="O36" s="528"/>
      <c r="P36" s="519" t="str">
        <f>IF(AND('Mapa final'!$K$64="Baja",'Mapa final'!$O$64="Menor"),CONCATENATE("R",'Mapa final'!$A$64),"")</f>
        <v/>
      </c>
      <c r="Q36" s="519"/>
      <c r="R36" s="519" t="str">
        <f>IF(AND('Mapa final'!$K$70="Baja",'Mapa final'!$O$70="Menor"),CONCATENATE("R",'Mapa final'!$A$70),"")</f>
        <v/>
      </c>
      <c r="S36" s="519"/>
      <c r="T36" s="519" t="str">
        <f>IF(AND('Mapa final'!$K$76="Baja",'Mapa final'!$O$76="Menor"),CONCATENATE("R",'Mapa final'!$A$76),"")</f>
        <v/>
      </c>
      <c r="U36" s="520"/>
      <c r="V36" s="518" t="str">
        <f>IF(AND('Mapa final'!$K$64="Baja",'Mapa final'!$O$64="Moderado"),CONCATENATE("R",'Mapa final'!$A$64),"")</f>
        <v/>
      </c>
      <c r="W36" s="519"/>
      <c r="X36" s="519" t="str">
        <f>IF(AND('Mapa final'!$K$70="Baja",'Mapa final'!$O$70="Moderado"),CONCATENATE("R",'Mapa final'!$A$70),"")</f>
        <v/>
      </c>
      <c r="Y36" s="519"/>
      <c r="Z36" s="519" t="str">
        <f>IF(AND('Mapa final'!$K$76="Baja",'Mapa final'!$O$76="Moderado"),CONCATENATE("R",'Mapa final'!$A$76),"")</f>
        <v/>
      </c>
      <c r="AA36" s="520"/>
      <c r="AB36" s="502" t="str">
        <f>IF(AND('Mapa final'!$K$64="Baja",'Mapa final'!$O$64="Mayor"),CONCATENATE("R",'Mapa final'!$A$64),"")</f>
        <v/>
      </c>
      <c r="AC36" s="498"/>
      <c r="AD36" s="498" t="str">
        <f>IF(AND('Mapa final'!$K$70="Baja",'Mapa final'!$O$70="Mayor"),CONCATENATE("R",'Mapa final'!$A$70),"")</f>
        <v/>
      </c>
      <c r="AE36" s="498"/>
      <c r="AF36" s="498" t="str">
        <f>IF(AND('Mapa final'!$K$76="Baja",'Mapa final'!$O$76="Mayor"),CONCATENATE("R",'Mapa final'!$A$76),"")</f>
        <v/>
      </c>
      <c r="AG36" s="499"/>
      <c r="AH36" s="509" t="str">
        <f>IF(AND('Mapa final'!$K$64="Baja",'Mapa final'!$O$64="Catastrófico"),CONCATENATE("R",'Mapa final'!$A$64),"")</f>
        <v/>
      </c>
      <c r="AI36" s="510"/>
      <c r="AJ36" s="510" t="str">
        <f>IF(AND('Mapa final'!$K$70="Baja",'Mapa final'!$O$70="Catastrófico"),CONCATENATE("R",'Mapa final'!$A$70),"")</f>
        <v/>
      </c>
      <c r="AK36" s="510"/>
      <c r="AL36" s="510" t="str">
        <f>IF(AND('Mapa final'!$K$76="Baja",'Mapa final'!$O$76="Catastrófico"),CONCATENATE("R",'Mapa final'!$A$76),"")</f>
        <v/>
      </c>
      <c r="AM36" s="511"/>
      <c r="AN36" s="67"/>
      <c r="AO36" s="483"/>
      <c r="AP36" s="484"/>
      <c r="AQ36" s="484"/>
      <c r="AR36" s="484"/>
      <c r="AS36" s="484"/>
      <c r="AT36" s="485"/>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75" thickBot="1" x14ac:dyDescent="0.3">
      <c r="A37" s="67"/>
      <c r="B37" s="451"/>
      <c r="C37" s="451"/>
      <c r="D37" s="452"/>
      <c r="E37" s="495"/>
      <c r="F37" s="496"/>
      <c r="G37" s="496"/>
      <c r="H37" s="496"/>
      <c r="I37" s="496"/>
      <c r="J37" s="530"/>
      <c r="K37" s="531"/>
      <c r="L37" s="531"/>
      <c r="M37" s="531"/>
      <c r="N37" s="531"/>
      <c r="O37" s="532"/>
      <c r="P37" s="522"/>
      <c r="Q37" s="522"/>
      <c r="R37" s="522"/>
      <c r="S37" s="522"/>
      <c r="T37" s="522"/>
      <c r="U37" s="523"/>
      <c r="V37" s="521"/>
      <c r="W37" s="522"/>
      <c r="X37" s="522"/>
      <c r="Y37" s="522"/>
      <c r="Z37" s="522"/>
      <c r="AA37" s="523"/>
      <c r="AB37" s="506"/>
      <c r="AC37" s="507"/>
      <c r="AD37" s="507"/>
      <c r="AE37" s="507"/>
      <c r="AF37" s="507"/>
      <c r="AG37" s="508"/>
      <c r="AH37" s="512"/>
      <c r="AI37" s="513"/>
      <c r="AJ37" s="513"/>
      <c r="AK37" s="513"/>
      <c r="AL37" s="513"/>
      <c r="AM37" s="514"/>
      <c r="AN37" s="67"/>
      <c r="AO37" s="486"/>
      <c r="AP37" s="487"/>
      <c r="AQ37" s="487"/>
      <c r="AR37" s="487"/>
      <c r="AS37" s="487"/>
      <c r="AT37" s="488"/>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25">
      <c r="A38" s="67"/>
      <c r="B38" s="451"/>
      <c r="C38" s="451"/>
      <c r="D38" s="452"/>
      <c r="E38" s="489" t="s">
        <v>108</v>
      </c>
      <c r="F38" s="490"/>
      <c r="G38" s="490"/>
      <c r="H38" s="490"/>
      <c r="I38" s="491"/>
      <c r="J38" s="533" t="str">
        <f>IF(AND('Mapa final'!$K$10="Muy Baja",'Mapa final'!$O$10="Leve"),CONCATENATE("R",'Mapa final'!$A$10),"")</f>
        <v/>
      </c>
      <c r="K38" s="534"/>
      <c r="L38" s="534" t="str">
        <f>IF(AND('Mapa final'!$K$16="Muy Baja",'Mapa final'!$O$16="Leve"),CONCATENATE("R",'Mapa final'!$A$16),"")</f>
        <v/>
      </c>
      <c r="M38" s="534"/>
      <c r="N38" s="534" t="str">
        <f>IF(AND('Mapa final'!$K$22="Muy Baja",'Mapa final'!$O$22="Leve"),CONCATENATE("R",'Mapa final'!$A$22),"")</f>
        <v/>
      </c>
      <c r="O38" s="535"/>
      <c r="P38" s="533" t="str">
        <f>IF(AND('Mapa final'!$K$10="Muy Baja",'Mapa final'!$O$10="Menor"),CONCATENATE("R",'Mapa final'!$A$10),"")</f>
        <v/>
      </c>
      <c r="Q38" s="534"/>
      <c r="R38" s="534" t="str">
        <f>IF(AND('Mapa final'!$K$16="Muy Baja",'Mapa final'!$O$16="Menor"),CONCATENATE("R",'Mapa final'!$A$16),"")</f>
        <v/>
      </c>
      <c r="S38" s="534"/>
      <c r="T38" s="534" t="str">
        <f>IF(AND('Mapa final'!$K$22="Muy Baja",'Mapa final'!$O$22="Menor"),CONCATENATE("R",'Mapa final'!$A$22),"")</f>
        <v/>
      </c>
      <c r="U38" s="535"/>
      <c r="V38" s="524" t="str">
        <f>IF(AND('Mapa final'!$K$10="Muy Baja",'Mapa final'!$O$10="Moderado"),CONCATENATE("R",'Mapa final'!$A$10),"")</f>
        <v/>
      </c>
      <c r="W38" s="525"/>
      <c r="X38" s="525" t="str">
        <f>IF(AND('Mapa final'!$K$16="Muy Baja",'Mapa final'!$O$16="Moderado"),CONCATENATE("R",'Mapa final'!$A$16),"")</f>
        <v/>
      </c>
      <c r="Y38" s="525"/>
      <c r="Z38" s="525" t="str">
        <f>IF(AND('Mapa final'!$K$22="Muy Baja",'Mapa final'!$O$22="Moderado"),CONCATENATE("R",'Mapa final'!$A$22),"")</f>
        <v/>
      </c>
      <c r="AA38" s="526"/>
      <c r="AB38" s="500" t="str">
        <f>IF(AND('Mapa final'!$K$10="Muy Baja",'Mapa final'!$O$10="Mayor"),CONCATENATE("R",'Mapa final'!$A$10),"")</f>
        <v/>
      </c>
      <c r="AC38" s="501"/>
      <c r="AD38" s="501" t="str">
        <f>IF(AND('Mapa final'!$K$16="Muy Baja",'Mapa final'!$O$16="Mayor"),CONCATENATE("R",'Mapa final'!$A$16),"")</f>
        <v/>
      </c>
      <c r="AE38" s="501"/>
      <c r="AF38" s="501" t="str">
        <f>IF(AND('Mapa final'!$K$22="Muy Baja",'Mapa final'!$O$22="Mayor"),CONCATENATE("R",'Mapa final'!$A$22),"")</f>
        <v/>
      </c>
      <c r="AG38" s="503"/>
      <c r="AH38" s="515" t="str">
        <f>IF(AND('Mapa final'!$K$10="Muy Baja",'Mapa final'!$O$10="Catastrófico"),CONCATENATE("R",'Mapa final'!$A$10),"")</f>
        <v/>
      </c>
      <c r="AI38" s="516"/>
      <c r="AJ38" s="516" t="str">
        <f>IF(AND('Mapa final'!$K$16="Muy Baja",'Mapa final'!$O$16="Catastrófico"),CONCATENATE("R",'Mapa final'!$A$16),"")</f>
        <v/>
      </c>
      <c r="AK38" s="516"/>
      <c r="AL38" s="516" t="str">
        <f>IF(AND('Mapa final'!$K$22="Muy Baja",'Mapa final'!$O$22="Catastrófico"),CONCATENATE("R",'Mapa final'!$A$22),"")</f>
        <v/>
      </c>
      <c r="AM38" s="51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25">
      <c r="A39" s="67"/>
      <c r="B39" s="451"/>
      <c r="C39" s="451"/>
      <c r="D39" s="452"/>
      <c r="E39" s="492"/>
      <c r="F39" s="493"/>
      <c r="G39" s="493"/>
      <c r="H39" s="493"/>
      <c r="I39" s="494"/>
      <c r="J39" s="529"/>
      <c r="K39" s="527"/>
      <c r="L39" s="527"/>
      <c r="M39" s="527"/>
      <c r="N39" s="527"/>
      <c r="O39" s="528"/>
      <c r="P39" s="529"/>
      <c r="Q39" s="527"/>
      <c r="R39" s="527"/>
      <c r="S39" s="527"/>
      <c r="T39" s="527"/>
      <c r="U39" s="528"/>
      <c r="V39" s="518"/>
      <c r="W39" s="519"/>
      <c r="X39" s="519"/>
      <c r="Y39" s="519"/>
      <c r="Z39" s="519"/>
      <c r="AA39" s="520"/>
      <c r="AB39" s="502"/>
      <c r="AC39" s="498"/>
      <c r="AD39" s="498"/>
      <c r="AE39" s="498"/>
      <c r="AF39" s="498"/>
      <c r="AG39" s="499"/>
      <c r="AH39" s="509"/>
      <c r="AI39" s="510"/>
      <c r="AJ39" s="510"/>
      <c r="AK39" s="510"/>
      <c r="AL39" s="510"/>
      <c r="AM39" s="511"/>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25">
      <c r="A40" s="67"/>
      <c r="B40" s="451"/>
      <c r="C40" s="451"/>
      <c r="D40" s="452"/>
      <c r="E40" s="492"/>
      <c r="F40" s="493"/>
      <c r="G40" s="493"/>
      <c r="H40" s="493"/>
      <c r="I40" s="494"/>
      <c r="J40" s="529" t="str">
        <f>IF(AND('Mapa final'!$K$28="Muy Baja",'Mapa final'!$O$28="Leve"),CONCATENATE("R",'Mapa final'!$A$28),"")</f>
        <v/>
      </c>
      <c r="K40" s="527"/>
      <c r="L40" s="527" t="str">
        <f>IF(AND('Mapa final'!$K$34="Muy Baja",'Mapa final'!$O$34="Leve"),CONCATENATE("R",'Mapa final'!$A$34),"")</f>
        <v/>
      </c>
      <c r="M40" s="527"/>
      <c r="N40" s="527" t="str">
        <f>IF(AND('Mapa final'!$K$40="Muy Baja",'Mapa final'!$O$40="Leve"),CONCATENATE("R",'Mapa final'!$A$40),"")</f>
        <v/>
      </c>
      <c r="O40" s="528"/>
      <c r="P40" s="529" t="str">
        <f>IF(AND('Mapa final'!$K$28="Muy Baja",'Mapa final'!$O$28="Menor"),CONCATENATE("R",'Mapa final'!$A$28),"")</f>
        <v/>
      </c>
      <c r="Q40" s="527"/>
      <c r="R40" s="527" t="str">
        <f>IF(AND('Mapa final'!$K$34="Muy Baja",'Mapa final'!$O$34="Menor"),CONCATENATE("R",'Mapa final'!$A$34),"")</f>
        <v/>
      </c>
      <c r="S40" s="527"/>
      <c r="T40" s="527" t="str">
        <f>IF(AND('Mapa final'!$K$40="Muy Baja",'Mapa final'!$O$40="Menor"),CONCATENATE("R",'Mapa final'!$A$40),"")</f>
        <v/>
      </c>
      <c r="U40" s="528"/>
      <c r="V40" s="518" t="str">
        <f>IF(AND('Mapa final'!$K$28="Muy Baja",'Mapa final'!$O$28="Moderado"),CONCATENATE("R",'Mapa final'!$A$28),"")</f>
        <v/>
      </c>
      <c r="W40" s="519"/>
      <c r="X40" s="519" t="str">
        <f>IF(AND('Mapa final'!$K$34="Muy Baja",'Mapa final'!$O$34="Moderado"),CONCATENATE("R",'Mapa final'!$A$34),"")</f>
        <v/>
      </c>
      <c r="Y40" s="519"/>
      <c r="Z40" s="519" t="str">
        <f>IF(AND('Mapa final'!$K$40="Muy Baja",'Mapa final'!$O$40="Moderado"),CONCATENATE("R",'Mapa final'!$A$40),"")</f>
        <v/>
      </c>
      <c r="AA40" s="520"/>
      <c r="AB40" s="502" t="str">
        <f>IF(AND('Mapa final'!$K$28="Muy Baja",'Mapa final'!$O$28="Mayor"),CONCATENATE("R",'Mapa final'!$A$28),"")</f>
        <v/>
      </c>
      <c r="AC40" s="498"/>
      <c r="AD40" s="498" t="str">
        <f>IF(AND('Mapa final'!$K$34="Muy Baja",'Mapa final'!$O$34="Mayor"),CONCATENATE("R",'Mapa final'!$A$34),"")</f>
        <v/>
      </c>
      <c r="AE40" s="498"/>
      <c r="AF40" s="498" t="str">
        <f>IF(AND('Mapa final'!$K$40="Muy Baja",'Mapa final'!$O$40="Mayor"),CONCATENATE("R",'Mapa final'!$A$40),"")</f>
        <v/>
      </c>
      <c r="AG40" s="499"/>
      <c r="AH40" s="509" t="str">
        <f>IF(AND('Mapa final'!$K$28="Muy Baja",'Mapa final'!$O$28="Catastrófico"),CONCATENATE("R",'Mapa final'!$A$28),"")</f>
        <v/>
      </c>
      <c r="AI40" s="510"/>
      <c r="AJ40" s="510" t="str">
        <f>IF(AND('Mapa final'!$K$34="Muy Baja",'Mapa final'!$O$34="Catastrófico"),CONCATENATE("R",'Mapa final'!$A$34),"")</f>
        <v/>
      </c>
      <c r="AK40" s="510"/>
      <c r="AL40" s="510" t="str">
        <f>IF(AND('Mapa final'!$K$40="Muy Baja",'Mapa final'!$O$40="Catastrófico"),CONCATENATE("R",'Mapa final'!$A$40),"")</f>
        <v/>
      </c>
      <c r="AM40" s="511"/>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25">
      <c r="A41" s="67"/>
      <c r="B41" s="451"/>
      <c r="C41" s="451"/>
      <c r="D41" s="452"/>
      <c r="E41" s="492"/>
      <c r="F41" s="493"/>
      <c r="G41" s="493"/>
      <c r="H41" s="493"/>
      <c r="I41" s="494"/>
      <c r="J41" s="529"/>
      <c r="K41" s="527"/>
      <c r="L41" s="527"/>
      <c r="M41" s="527"/>
      <c r="N41" s="527"/>
      <c r="O41" s="528"/>
      <c r="P41" s="529"/>
      <c r="Q41" s="527"/>
      <c r="R41" s="527"/>
      <c r="S41" s="527"/>
      <c r="T41" s="527"/>
      <c r="U41" s="528"/>
      <c r="V41" s="518"/>
      <c r="W41" s="519"/>
      <c r="X41" s="519"/>
      <c r="Y41" s="519"/>
      <c r="Z41" s="519"/>
      <c r="AA41" s="520"/>
      <c r="AB41" s="502"/>
      <c r="AC41" s="498"/>
      <c r="AD41" s="498"/>
      <c r="AE41" s="498"/>
      <c r="AF41" s="498"/>
      <c r="AG41" s="499"/>
      <c r="AH41" s="509"/>
      <c r="AI41" s="510"/>
      <c r="AJ41" s="510"/>
      <c r="AK41" s="510"/>
      <c r="AL41" s="510"/>
      <c r="AM41" s="511"/>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25">
      <c r="A42" s="67"/>
      <c r="B42" s="451"/>
      <c r="C42" s="451"/>
      <c r="D42" s="452"/>
      <c r="E42" s="492"/>
      <c r="F42" s="493"/>
      <c r="G42" s="493"/>
      <c r="H42" s="493"/>
      <c r="I42" s="494"/>
      <c r="J42" s="529" t="str">
        <f>IF(AND('Mapa final'!$K$46="Muy Baja",'Mapa final'!$O$46="Leve"),CONCATENATE("R",'Mapa final'!$A$46),"")</f>
        <v/>
      </c>
      <c r="K42" s="527"/>
      <c r="L42" s="527" t="str">
        <f>IF(AND('Mapa final'!$K$52="Muy Baja",'Mapa final'!$O$52="Leve"),CONCATENATE("R",'Mapa final'!$A$52),"")</f>
        <v/>
      </c>
      <c r="M42" s="527"/>
      <c r="N42" s="527" t="str">
        <f>IF(AND('Mapa final'!$K$58="Muy Baja",'Mapa final'!$O$58="Leve"),CONCATENATE("R",'Mapa final'!$A$58),"")</f>
        <v/>
      </c>
      <c r="O42" s="528"/>
      <c r="P42" s="529" t="str">
        <f>IF(AND('Mapa final'!$K$46="Muy Baja",'Mapa final'!$O$46="Menor"),CONCATENATE("R",'Mapa final'!$A$46),"")</f>
        <v/>
      </c>
      <c r="Q42" s="527"/>
      <c r="R42" s="527" t="str">
        <f>IF(AND('Mapa final'!$K$52="Muy Baja",'Mapa final'!$O$52="Menor"),CONCATENATE("R",'Mapa final'!$A$52),"")</f>
        <v/>
      </c>
      <c r="S42" s="527"/>
      <c r="T42" s="527" t="str">
        <f>IF(AND('Mapa final'!$K$58="Muy Baja",'Mapa final'!$O$58="Menor"),CONCATENATE("R",'Mapa final'!$A$58),"")</f>
        <v/>
      </c>
      <c r="U42" s="528"/>
      <c r="V42" s="518" t="str">
        <f>IF(AND('Mapa final'!$K$46="Muy Baja",'Mapa final'!$O$46="Moderado"),CONCATENATE("R",'Mapa final'!$A$46),"")</f>
        <v/>
      </c>
      <c r="W42" s="519"/>
      <c r="X42" s="519" t="str">
        <f>IF(AND('Mapa final'!$K$52="Muy Baja",'Mapa final'!$O$52="Moderado"),CONCATENATE("R",'Mapa final'!$A$52),"")</f>
        <v/>
      </c>
      <c r="Y42" s="519"/>
      <c r="Z42" s="519" t="str">
        <f>IF(AND('Mapa final'!$K$58="Muy Baja",'Mapa final'!$O$58="Moderado"),CONCATENATE("R",'Mapa final'!$A$58),"")</f>
        <v/>
      </c>
      <c r="AA42" s="520"/>
      <c r="AB42" s="502" t="str">
        <f>IF(AND('Mapa final'!$K$46="Muy Baja",'Mapa final'!$O$46="Mayor"),CONCATENATE("R",'Mapa final'!$A$46),"")</f>
        <v/>
      </c>
      <c r="AC42" s="498"/>
      <c r="AD42" s="498" t="str">
        <f>IF(AND('Mapa final'!$K$52="Muy Baja",'Mapa final'!$O$52="Mayor"),CONCATENATE("R",'Mapa final'!$A$52),"")</f>
        <v/>
      </c>
      <c r="AE42" s="498"/>
      <c r="AF42" s="498" t="str">
        <f>IF(AND('Mapa final'!$K$58="Muy Baja",'Mapa final'!$O$58="Mayor"),CONCATENATE("R",'Mapa final'!$A$58),"")</f>
        <v/>
      </c>
      <c r="AG42" s="499"/>
      <c r="AH42" s="509" t="str">
        <f>IF(AND('Mapa final'!$K$46="Muy Baja",'Mapa final'!$O$46="Catastrófico"),CONCATENATE("R",'Mapa final'!$A$46),"")</f>
        <v/>
      </c>
      <c r="AI42" s="510"/>
      <c r="AJ42" s="510" t="str">
        <f>IF(AND('Mapa final'!$K$52="Muy Baja",'Mapa final'!$O$52="Catastrófico"),CONCATENATE("R",'Mapa final'!$A$52),"")</f>
        <v/>
      </c>
      <c r="AK42" s="510"/>
      <c r="AL42" s="510" t="str">
        <f>IF(AND('Mapa final'!$K$58="Muy Baja",'Mapa final'!$O$58="Catastrófico"),CONCATENATE("R",'Mapa final'!$A$58),"")</f>
        <v/>
      </c>
      <c r="AM42" s="511"/>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25">
      <c r="A43" s="67"/>
      <c r="B43" s="451"/>
      <c r="C43" s="451"/>
      <c r="D43" s="452"/>
      <c r="E43" s="492"/>
      <c r="F43" s="493"/>
      <c r="G43" s="493"/>
      <c r="H43" s="493"/>
      <c r="I43" s="494"/>
      <c r="J43" s="529"/>
      <c r="K43" s="527"/>
      <c r="L43" s="527"/>
      <c r="M43" s="527"/>
      <c r="N43" s="527"/>
      <c r="O43" s="528"/>
      <c r="P43" s="529"/>
      <c r="Q43" s="527"/>
      <c r="R43" s="527"/>
      <c r="S43" s="527"/>
      <c r="T43" s="527"/>
      <c r="U43" s="528"/>
      <c r="V43" s="518"/>
      <c r="W43" s="519"/>
      <c r="X43" s="519"/>
      <c r="Y43" s="519"/>
      <c r="Z43" s="519"/>
      <c r="AA43" s="520"/>
      <c r="AB43" s="502"/>
      <c r="AC43" s="498"/>
      <c r="AD43" s="498"/>
      <c r="AE43" s="498"/>
      <c r="AF43" s="498"/>
      <c r="AG43" s="499"/>
      <c r="AH43" s="509"/>
      <c r="AI43" s="510"/>
      <c r="AJ43" s="510"/>
      <c r="AK43" s="510"/>
      <c r="AL43" s="510"/>
      <c r="AM43" s="511"/>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25">
      <c r="A44" s="67"/>
      <c r="B44" s="451"/>
      <c r="C44" s="451"/>
      <c r="D44" s="452"/>
      <c r="E44" s="492"/>
      <c r="F44" s="493"/>
      <c r="G44" s="493"/>
      <c r="H44" s="493"/>
      <c r="I44" s="494"/>
      <c r="J44" s="529" t="str">
        <f>IF(AND('Mapa final'!$K$64="Muy Baja",'Mapa final'!$O$64="Leve"),CONCATENATE("R",'Mapa final'!$A$64),"")</f>
        <v/>
      </c>
      <c r="K44" s="527"/>
      <c r="L44" s="527" t="str">
        <f>IF(AND('Mapa final'!$K$70="Muy Baja",'Mapa final'!$O$70="Leve"),CONCATENATE("R",'Mapa final'!$A$70),"")</f>
        <v/>
      </c>
      <c r="M44" s="527"/>
      <c r="N44" s="527" t="str">
        <f>IF(AND('Mapa final'!$K$76="Muy Baja",'Mapa final'!$O$76="Leve"),CONCATENATE("R",'Mapa final'!$A$76),"")</f>
        <v/>
      </c>
      <c r="O44" s="528"/>
      <c r="P44" s="529" t="str">
        <f>IF(AND('Mapa final'!$K$64="Muy Baja",'Mapa final'!$O$64="Menor"),CONCATENATE("R",'Mapa final'!$A$64),"")</f>
        <v/>
      </c>
      <c r="Q44" s="527"/>
      <c r="R44" s="527" t="str">
        <f>IF(AND('Mapa final'!$K$70="Muy Baja",'Mapa final'!$O$70="Menor"),CONCATENATE("R",'Mapa final'!$A$70),"")</f>
        <v/>
      </c>
      <c r="S44" s="527"/>
      <c r="T44" s="527" t="str">
        <f>IF(AND('Mapa final'!$K$76="Muy Baja",'Mapa final'!$O$76="Menor"),CONCATENATE("R",'Mapa final'!$A$76),"")</f>
        <v/>
      </c>
      <c r="U44" s="528"/>
      <c r="V44" s="518" t="str">
        <f>IF(AND('Mapa final'!$K$64="Muy Baja",'Mapa final'!$O$64="Moderado"),CONCATENATE("R",'Mapa final'!$A$64),"")</f>
        <v/>
      </c>
      <c r="W44" s="519"/>
      <c r="X44" s="519" t="str">
        <f>IF(AND('Mapa final'!$K$70="Muy Baja",'Mapa final'!$O$70="Moderado"),CONCATENATE("R",'Mapa final'!$A$70),"")</f>
        <v/>
      </c>
      <c r="Y44" s="519"/>
      <c r="Z44" s="519" t="str">
        <f>IF(AND('Mapa final'!$K$76="Muy Baja",'Mapa final'!$O$76="Moderado"),CONCATENATE("R",'Mapa final'!$A$76),"")</f>
        <v/>
      </c>
      <c r="AA44" s="520"/>
      <c r="AB44" s="502" t="str">
        <f>IF(AND('Mapa final'!$K$64="Muy Baja",'Mapa final'!$O$64="Mayor"),CONCATENATE("R",'Mapa final'!$A$64),"")</f>
        <v/>
      </c>
      <c r="AC44" s="498"/>
      <c r="AD44" s="498" t="str">
        <f>IF(AND('Mapa final'!$K$70="Muy Baja",'Mapa final'!$O$70="Mayor"),CONCATENATE("R",'Mapa final'!$A$70),"")</f>
        <v/>
      </c>
      <c r="AE44" s="498"/>
      <c r="AF44" s="498" t="str">
        <f>IF(AND('Mapa final'!$K$76="Muy Baja",'Mapa final'!$O$76="Mayor"),CONCATENATE("R",'Mapa final'!$A$76),"")</f>
        <v/>
      </c>
      <c r="AG44" s="499"/>
      <c r="AH44" s="509" t="str">
        <f>IF(AND('Mapa final'!$K$64="Muy Baja",'Mapa final'!$O$64="Catastrófico"),CONCATENATE("R",'Mapa final'!$A$64),"")</f>
        <v/>
      </c>
      <c r="AI44" s="510"/>
      <c r="AJ44" s="510" t="str">
        <f>IF(AND('Mapa final'!$K$70="Muy Baja",'Mapa final'!$O$70="Catastrófico"),CONCATENATE("R",'Mapa final'!$A$70),"")</f>
        <v/>
      </c>
      <c r="AK44" s="510"/>
      <c r="AL44" s="510" t="str">
        <f>IF(AND('Mapa final'!$K$76="Muy Baja",'Mapa final'!$O$76="Catastrófico"),CONCATENATE("R",'Mapa final'!$A$76),"")</f>
        <v/>
      </c>
      <c r="AM44" s="511"/>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75" thickBot="1" x14ac:dyDescent="0.3">
      <c r="A45" s="67"/>
      <c r="B45" s="451"/>
      <c r="C45" s="451"/>
      <c r="D45" s="452"/>
      <c r="E45" s="495"/>
      <c r="F45" s="496"/>
      <c r="G45" s="496"/>
      <c r="H45" s="496"/>
      <c r="I45" s="497"/>
      <c r="J45" s="530"/>
      <c r="K45" s="531"/>
      <c r="L45" s="531"/>
      <c r="M45" s="531"/>
      <c r="N45" s="531"/>
      <c r="O45" s="532"/>
      <c r="P45" s="530"/>
      <c r="Q45" s="531"/>
      <c r="R45" s="531"/>
      <c r="S45" s="531"/>
      <c r="T45" s="531"/>
      <c r="U45" s="532"/>
      <c r="V45" s="521"/>
      <c r="W45" s="522"/>
      <c r="X45" s="522"/>
      <c r="Y45" s="522"/>
      <c r="Z45" s="522"/>
      <c r="AA45" s="523"/>
      <c r="AB45" s="506"/>
      <c r="AC45" s="507"/>
      <c r="AD45" s="507"/>
      <c r="AE45" s="507"/>
      <c r="AF45" s="507"/>
      <c r="AG45" s="508"/>
      <c r="AH45" s="512"/>
      <c r="AI45" s="513"/>
      <c r="AJ45" s="513"/>
      <c r="AK45" s="513"/>
      <c r="AL45" s="513"/>
      <c r="AM45" s="514"/>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25">
      <c r="A46" s="67"/>
      <c r="B46" s="67"/>
      <c r="C46" s="67"/>
      <c r="D46" s="67"/>
      <c r="E46" s="67"/>
      <c r="F46" s="67"/>
      <c r="G46" s="67"/>
      <c r="H46" s="67"/>
      <c r="I46" s="67"/>
      <c r="J46" s="489" t="s">
        <v>107</v>
      </c>
      <c r="K46" s="490"/>
      <c r="L46" s="490"/>
      <c r="M46" s="490"/>
      <c r="N46" s="490"/>
      <c r="O46" s="491"/>
      <c r="P46" s="489" t="s">
        <v>106</v>
      </c>
      <c r="Q46" s="490"/>
      <c r="R46" s="490"/>
      <c r="S46" s="490"/>
      <c r="T46" s="490"/>
      <c r="U46" s="491"/>
      <c r="V46" s="489" t="s">
        <v>105</v>
      </c>
      <c r="W46" s="490"/>
      <c r="X46" s="490"/>
      <c r="Y46" s="490"/>
      <c r="Z46" s="490"/>
      <c r="AA46" s="491"/>
      <c r="AB46" s="489" t="s">
        <v>104</v>
      </c>
      <c r="AC46" s="505"/>
      <c r="AD46" s="490"/>
      <c r="AE46" s="490"/>
      <c r="AF46" s="490"/>
      <c r="AG46" s="491"/>
      <c r="AH46" s="489" t="s">
        <v>103</v>
      </c>
      <c r="AI46" s="490"/>
      <c r="AJ46" s="490"/>
      <c r="AK46" s="490"/>
      <c r="AL46" s="490"/>
      <c r="AM46" s="491"/>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25">
      <c r="A47" s="67"/>
      <c r="B47" s="67"/>
      <c r="C47" s="67"/>
      <c r="D47" s="67"/>
      <c r="E47" s="67"/>
      <c r="F47" s="67"/>
      <c r="G47" s="67"/>
      <c r="H47" s="67"/>
      <c r="I47" s="67"/>
      <c r="J47" s="492"/>
      <c r="K47" s="493"/>
      <c r="L47" s="493"/>
      <c r="M47" s="493"/>
      <c r="N47" s="493"/>
      <c r="O47" s="494"/>
      <c r="P47" s="492"/>
      <c r="Q47" s="493"/>
      <c r="R47" s="493"/>
      <c r="S47" s="493"/>
      <c r="T47" s="493"/>
      <c r="U47" s="494"/>
      <c r="V47" s="492"/>
      <c r="W47" s="493"/>
      <c r="X47" s="493"/>
      <c r="Y47" s="493"/>
      <c r="Z47" s="493"/>
      <c r="AA47" s="494"/>
      <c r="AB47" s="492"/>
      <c r="AC47" s="493"/>
      <c r="AD47" s="493"/>
      <c r="AE47" s="493"/>
      <c r="AF47" s="493"/>
      <c r="AG47" s="494"/>
      <c r="AH47" s="492"/>
      <c r="AI47" s="493"/>
      <c r="AJ47" s="493"/>
      <c r="AK47" s="493"/>
      <c r="AL47" s="493"/>
      <c r="AM47" s="494"/>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25">
      <c r="A48" s="67"/>
      <c r="B48" s="67"/>
      <c r="C48" s="67"/>
      <c r="D48" s="67"/>
      <c r="E48" s="67"/>
      <c r="F48" s="67"/>
      <c r="G48" s="67"/>
      <c r="H48" s="67"/>
      <c r="I48" s="67"/>
      <c r="J48" s="492"/>
      <c r="K48" s="493"/>
      <c r="L48" s="493"/>
      <c r="M48" s="493"/>
      <c r="N48" s="493"/>
      <c r="O48" s="494"/>
      <c r="P48" s="492"/>
      <c r="Q48" s="493"/>
      <c r="R48" s="493"/>
      <c r="S48" s="493"/>
      <c r="T48" s="493"/>
      <c r="U48" s="494"/>
      <c r="V48" s="492"/>
      <c r="W48" s="493"/>
      <c r="X48" s="493"/>
      <c r="Y48" s="493"/>
      <c r="Z48" s="493"/>
      <c r="AA48" s="494"/>
      <c r="AB48" s="492"/>
      <c r="AC48" s="493"/>
      <c r="AD48" s="493"/>
      <c r="AE48" s="493"/>
      <c r="AF48" s="493"/>
      <c r="AG48" s="494"/>
      <c r="AH48" s="492"/>
      <c r="AI48" s="493"/>
      <c r="AJ48" s="493"/>
      <c r="AK48" s="493"/>
      <c r="AL48" s="493"/>
      <c r="AM48" s="494"/>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25">
      <c r="A49" s="67"/>
      <c r="B49" s="67"/>
      <c r="C49" s="67"/>
      <c r="D49" s="67"/>
      <c r="E49" s="67"/>
      <c r="F49" s="67"/>
      <c r="G49" s="67"/>
      <c r="H49" s="67"/>
      <c r="I49" s="67"/>
      <c r="J49" s="492"/>
      <c r="K49" s="493"/>
      <c r="L49" s="493"/>
      <c r="M49" s="493"/>
      <c r="N49" s="493"/>
      <c r="O49" s="494"/>
      <c r="P49" s="492"/>
      <c r="Q49" s="493"/>
      <c r="R49" s="493"/>
      <c r="S49" s="493"/>
      <c r="T49" s="493"/>
      <c r="U49" s="494"/>
      <c r="V49" s="492"/>
      <c r="W49" s="493"/>
      <c r="X49" s="493"/>
      <c r="Y49" s="493"/>
      <c r="Z49" s="493"/>
      <c r="AA49" s="494"/>
      <c r="AB49" s="492"/>
      <c r="AC49" s="493"/>
      <c r="AD49" s="493"/>
      <c r="AE49" s="493"/>
      <c r="AF49" s="493"/>
      <c r="AG49" s="494"/>
      <c r="AH49" s="492"/>
      <c r="AI49" s="493"/>
      <c r="AJ49" s="493"/>
      <c r="AK49" s="493"/>
      <c r="AL49" s="493"/>
      <c r="AM49" s="494"/>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25">
      <c r="A50" s="67"/>
      <c r="B50" s="67"/>
      <c r="C50" s="67"/>
      <c r="D50" s="67"/>
      <c r="E50" s="67"/>
      <c r="F50" s="67"/>
      <c r="G50" s="67"/>
      <c r="H50" s="67"/>
      <c r="I50" s="67"/>
      <c r="J50" s="492"/>
      <c r="K50" s="493"/>
      <c r="L50" s="493"/>
      <c r="M50" s="493"/>
      <c r="N50" s="493"/>
      <c r="O50" s="494"/>
      <c r="P50" s="492"/>
      <c r="Q50" s="493"/>
      <c r="R50" s="493"/>
      <c r="S50" s="493"/>
      <c r="T50" s="493"/>
      <c r="U50" s="494"/>
      <c r="V50" s="492"/>
      <c r="W50" s="493"/>
      <c r="X50" s="493"/>
      <c r="Y50" s="493"/>
      <c r="Z50" s="493"/>
      <c r="AA50" s="494"/>
      <c r="AB50" s="492"/>
      <c r="AC50" s="493"/>
      <c r="AD50" s="493"/>
      <c r="AE50" s="493"/>
      <c r="AF50" s="493"/>
      <c r="AG50" s="494"/>
      <c r="AH50" s="492"/>
      <c r="AI50" s="493"/>
      <c r="AJ50" s="493"/>
      <c r="AK50" s="493"/>
      <c r="AL50" s="493"/>
      <c r="AM50" s="494"/>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75" thickBot="1" x14ac:dyDescent="0.3">
      <c r="A51" s="67"/>
      <c r="B51" s="67"/>
      <c r="C51" s="67"/>
      <c r="D51" s="67"/>
      <c r="E51" s="67"/>
      <c r="F51" s="67"/>
      <c r="G51" s="67"/>
      <c r="H51" s="67"/>
      <c r="I51" s="67"/>
      <c r="J51" s="495"/>
      <c r="K51" s="496"/>
      <c r="L51" s="496"/>
      <c r="M51" s="496"/>
      <c r="N51" s="496"/>
      <c r="O51" s="497"/>
      <c r="P51" s="495"/>
      <c r="Q51" s="496"/>
      <c r="R51" s="496"/>
      <c r="S51" s="496"/>
      <c r="T51" s="496"/>
      <c r="U51" s="497"/>
      <c r="V51" s="495"/>
      <c r="W51" s="496"/>
      <c r="X51" s="496"/>
      <c r="Y51" s="496"/>
      <c r="Z51" s="496"/>
      <c r="AA51" s="497"/>
      <c r="AB51" s="495"/>
      <c r="AC51" s="496"/>
      <c r="AD51" s="496"/>
      <c r="AE51" s="496"/>
      <c r="AF51" s="496"/>
      <c r="AG51" s="497"/>
      <c r="AH51" s="495"/>
      <c r="AI51" s="496"/>
      <c r="AJ51" s="496"/>
      <c r="AK51" s="496"/>
      <c r="AL51" s="496"/>
      <c r="AM51" s="49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2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2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25">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2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25">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25">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25">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25">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25">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25">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25">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25">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25">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25">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25">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25">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25">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25">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25">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25">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25">
      <c r="B137" s="67"/>
      <c r="C137" s="67"/>
      <c r="D137" s="67"/>
      <c r="E137" s="67"/>
      <c r="F137" s="67"/>
      <c r="G137" s="67"/>
      <c r="H137" s="67"/>
      <c r="I137" s="67"/>
    </row>
    <row r="138" spans="2:63" x14ac:dyDescent="0.25">
      <c r="B138" s="67"/>
      <c r="C138" s="67"/>
      <c r="D138" s="67"/>
      <c r="E138" s="67"/>
      <c r="F138" s="67"/>
      <c r="G138" s="67"/>
      <c r="H138" s="67"/>
      <c r="I138" s="67"/>
    </row>
    <row r="139" spans="2:63" x14ac:dyDescent="0.25">
      <c r="B139" s="67"/>
      <c r="C139" s="67"/>
      <c r="D139" s="67"/>
      <c r="E139" s="67"/>
      <c r="F139" s="67"/>
      <c r="G139" s="67"/>
      <c r="H139" s="67"/>
      <c r="I139" s="67"/>
    </row>
    <row r="140" spans="2:63" x14ac:dyDescent="0.25">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40" zoomScaleNormal="40" workbookViewId="0">
      <selection activeCell="J37" sqref="J37"/>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25">
      <c r="A2" s="67"/>
      <c r="B2" s="562" t="s">
        <v>148</v>
      </c>
      <c r="C2" s="563"/>
      <c r="D2" s="563"/>
      <c r="E2" s="563"/>
      <c r="F2" s="563"/>
      <c r="G2" s="563"/>
      <c r="H2" s="563"/>
      <c r="I2" s="563"/>
      <c r="J2" s="504" t="s">
        <v>2</v>
      </c>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c r="AK2" s="504"/>
      <c r="AL2" s="504"/>
      <c r="AM2" s="504"/>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25">
      <c r="A3" s="67"/>
      <c r="B3" s="563"/>
      <c r="C3" s="563"/>
      <c r="D3" s="563"/>
      <c r="E3" s="563"/>
      <c r="F3" s="563"/>
      <c r="G3" s="563"/>
      <c r="H3" s="563"/>
      <c r="I3" s="563"/>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25">
      <c r="A4" s="67"/>
      <c r="B4" s="563"/>
      <c r="C4" s="563"/>
      <c r="D4" s="563"/>
      <c r="E4" s="563"/>
      <c r="F4" s="563"/>
      <c r="G4" s="563"/>
      <c r="H4" s="563"/>
      <c r="I4" s="563"/>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4"/>
      <c r="AI4" s="504"/>
      <c r="AJ4" s="504"/>
      <c r="AK4" s="504"/>
      <c r="AL4" s="504"/>
      <c r="AM4" s="504"/>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25">
      <c r="A6" s="67"/>
      <c r="B6" s="451" t="s">
        <v>4</v>
      </c>
      <c r="C6" s="451"/>
      <c r="D6" s="452"/>
      <c r="E6" s="546" t="s">
        <v>111</v>
      </c>
      <c r="F6" s="547"/>
      <c r="G6" s="547"/>
      <c r="H6" s="547"/>
      <c r="I6" s="564"/>
      <c r="J6" s="30" t="str">
        <f>IF(AND('Mapa final'!$AB$10="Muy Alta",'Mapa final'!$AD$10="Leve"),CONCATENATE("R1C",'Mapa final'!$R$10),"")</f>
        <v/>
      </c>
      <c r="K6" s="31" t="str">
        <f>IF(AND('Mapa final'!$AB$11="Muy Alta",'Mapa final'!$AD$11="Leve"),CONCATENATE("R1C",'Mapa final'!$R$11),"")</f>
        <v/>
      </c>
      <c r="L6" s="31" t="str">
        <f>IF(AND('Mapa final'!$AB$12="Muy Alta",'Mapa final'!$AD$12="Leve"),CONCATENATE("R1C",'Mapa final'!$R$12),"")</f>
        <v/>
      </c>
      <c r="M6" s="31" t="str">
        <f>IF(AND('Mapa final'!$AB$13="Muy Alta",'Mapa final'!$AD$13="Leve"),CONCATENATE("R1C",'Mapa final'!$R$13),"")</f>
        <v/>
      </c>
      <c r="N6" s="31" t="str">
        <f>IF(AND('Mapa final'!$AB$14="Muy Alta",'Mapa final'!$AD$14="Leve"),CONCATENATE("R1C",'Mapa final'!$R$14),"")</f>
        <v/>
      </c>
      <c r="O6" s="32" t="str">
        <f>IF(AND('Mapa final'!$AB$15="Muy Alta",'Mapa final'!$AD$15="Leve"),CONCATENATE("R1C",'Mapa final'!$R$15),"")</f>
        <v/>
      </c>
      <c r="P6" s="30" t="str">
        <f>IF(AND('Mapa final'!$AB$10="Muy Alta",'Mapa final'!$AD$10="Menor"),CONCATENATE("R1C",'Mapa final'!$R$10),"")</f>
        <v/>
      </c>
      <c r="Q6" s="31" t="str">
        <f>IF(AND('Mapa final'!$AB$11="Muy Alta",'Mapa final'!$AD$11="Menor"),CONCATENATE("R1C",'Mapa final'!$R$11),"")</f>
        <v/>
      </c>
      <c r="R6" s="31" t="str">
        <f>IF(AND('Mapa final'!$AB$12="Muy Alta",'Mapa final'!$AD$12="Menor"),CONCATENATE("R1C",'Mapa final'!$R$12),"")</f>
        <v/>
      </c>
      <c r="S6" s="31" t="str">
        <f>IF(AND('Mapa final'!$AB$13="Muy Alta",'Mapa final'!$AD$13="Menor"),CONCATENATE("R1C",'Mapa final'!$R$13),"")</f>
        <v/>
      </c>
      <c r="T6" s="31" t="str">
        <f>IF(AND('Mapa final'!$AB$14="Muy Alta",'Mapa final'!$AD$14="Menor"),CONCATENATE("R1C",'Mapa final'!$R$14),"")</f>
        <v/>
      </c>
      <c r="U6" s="32" t="str">
        <f>IF(AND('Mapa final'!$AB$15="Muy Alta",'Mapa final'!$AD$15="Menor"),CONCATENATE("R1C",'Mapa final'!$R$15),"")</f>
        <v/>
      </c>
      <c r="V6" s="30" t="str">
        <f>IF(AND('Mapa final'!$AB$10="Muy Alta",'Mapa final'!$AD$10="Moderado"),CONCATENATE("R1C",'Mapa final'!$R$10),"")</f>
        <v/>
      </c>
      <c r="W6" s="31" t="str">
        <f>IF(AND('Mapa final'!$AB$11="Muy Alta",'Mapa final'!$AD$11="Moderado"),CONCATENATE("R1C",'Mapa final'!$R$11),"")</f>
        <v/>
      </c>
      <c r="X6" s="31" t="str">
        <f>IF(AND('Mapa final'!$AB$12="Muy Alta",'Mapa final'!$AD$12="Moderado"),CONCATENATE("R1C",'Mapa final'!$R$12),"")</f>
        <v/>
      </c>
      <c r="Y6" s="31" t="str">
        <f>IF(AND('Mapa final'!$AB$13="Muy Alta",'Mapa final'!$AD$13="Moderado"),CONCATENATE("R1C",'Mapa final'!$R$13),"")</f>
        <v/>
      </c>
      <c r="Z6" s="31" t="str">
        <f>IF(AND('Mapa final'!$AB$14="Muy Alta",'Mapa final'!$AD$14="Moderado"),CONCATENATE("R1C",'Mapa final'!$R$14),"")</f>
        <v/>
      </c>
      <c r="AA6" s="32" t="str">
        <f>IF(AND('Mapa final'!$AB$15="Muy Alta",'Mapa final'!$AD$15="Moderado"),CONCATENATE("R1C",'Mapa final'!$R$15),"")</f>
        <v/>
      </c>
      <c r="AB6" s="30" t="str">
        <f>IF(AND('Mapa final'!$AB$10="Muy Alta",'Mapa final'!$AD$10="Mayor"),CONCATENATE("R1C",'Mapa final'!$R$10),"")</f>
        <v/>
      </c>
      <c r="AC6" s="31" t="str">
        <f>IF(AND('Mapa final'!$AB$11="Muy Alta",'Mapa final'!$AD$11="Mayor"),CONCATENATE("R1C",'Mapa final'!$R$11),"")</f>
        <v/>
      </c>
      <c r="AD6" s="31" t="str">
        <f>IF(AND('Mapa final'!$AB$12="Muy Alta",'Mapa final'!$AD$12="Mayor"),CONCATENATE("R1C",'Mapa final'!$R$12),"")</f>
        <v/>
      </c>
      <c r="AE6" s="31" t="str">
        <f>IF(AND('Mapa final'!$AB$13="Muy Alta",'Mapa final'!$AD$13="Mayor"),CONCATENATE("R1C",'Mapa final'!$R$13),"")</f>
        <v/>
      </c>
      <c r="AF6" s="31" t="str">
        <f>IF(AND('Mapa final'!$AB$14="Muy Alta",'Mapa final'!$AD$14="Mayor"),CONCATENATE("R1C",'Mapa final'!$R$14),"")</f>
        <v/>
      </c>
      <c r="AG6" s="32" t="str">
        <f>IF(AND('Mapa final'!$AB$15="Muy Alta",'Mapa final'!$AD$15="Mayor"),CONCATENATE("R1C",'Mapa final'!$R$15),"")</f>
        <v/>
      </c>
      <c r="AH6" s="33" t="str">
        <f>IF(AND('Mapa final'!$AB$10="Muy Alta",'Mapa final'!$AD$10="Catastrófico"),CONCATENATE("R1C",'Mapa final'!$R$10),"")</f>
        <v/>
      </c>
      <c r="AI6" s="34" t="str">
        <f>IF(AND('Mapa final'!$AB$11="Muy Alta",'Mapa final'!$AD$11="Catastrófico"),CONCATENATE("R1C",'Mapa final'!$R$11),"")</f>
        <v/>
      </c>
      <c r="AJ6" s="34" t="str">
        <f>IF(AND('Mapa final'!$AB$12="Muy Alta",'Mapa final'!$AD$12="Catastrófico"),CONCATENATE("R1C",'Mapa final'!$R$12),"")</f>
        <v/>
      </c>
      <c r="AK6" s="34" t="str">
        <f>IF(AND('Mapa final'!$AB$13="Muy Alta",'Mapa final'!$AD$13="Catastrófico"),CONCATENATE("R1C",'Mapa final'!$R$13),"")</f>
        <v/>
      </c>
      <c r="AL6" s="34" t="str">
        <f>IF(AND('Mapa final'!$AB$14="Muy Alta",'Mapa final'!$AD$14="Catastrófico"),CONCATENATE("R1C",'Mapa final'!$R$14),"")</f>
        <v/>
      </c>
      <c r="AM6" s="35" t="str">
        <f>IF(AND('Mapa final'!$AB$15="Muy Alta",'Mapa final'!$AD$15="Catastrófico"),CONCATENATE("R1C",'Mapa final'!$R$15),"")</f>
        <v/>
      </c>
      <c r="AN6" s="67"/>
      <c r="AO6" s="553" t="s">
        <v>78</v>
      </c>
      <c r="AP6" s="554"/>
      <c r="AQ6" s="554"/>
      <c r="AR6" s="554"/>
      <c r="AS6" s="554"/>
      <c r="AT6" s="555"/>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25">
      <c r="A7" s="67"/>
      <c r="B7" s="451"/>
      <c r="C7" s="451"/>
      <c r="D7" s="452"/>
      <c r="E7" s="550"/>
      <c r="F7" s="549"/>
      <c r="G7" s="549"/>
      <c r="H7" s="549"/>
      <c r="I7" s="565"/>
      <c r="J7" s="36" t="str">
        <f>IF(AND('Mapa final'!$AB$16="Muy Alta",'Mapa final'!$AD$16="Leve"),CONCATENATE("R2C",'Mapa final'!$R$16),"")</f>
        <v/>
      </c>
      <c r="K7" s="37" t="str">
        <f>IF(AND('Mapa final'!$AB$17="Muy Alta",'Mapa final'!$AD$17="Leve"),CONCATENATE("R2C",'Mapa final'!$R$17),"")</f>
        <v/>
      </c>
      <c r="L7" s="37" t="str">
        <f>IF(AND('Mapa final'!$AB$18="Muy Alta",'Mapa final'!$AD$18="Leve"),CONCATENATE("R2C",'Mapa final'!$R$18),"")</f>
        <v/>
      </c>
      <c r="M7" s="37" t="str">
        <f>IF(AND('Mapa final'!$AB$19="Muy Alta",'Mapa final'!$AD$19="Leve"),CONCATENATE("R2C",'Mapa final'!$R$19),"")</f>
        <v/>
      </c>
      <c r="N7" s="37" t="str">
        <f>IF(AND('Mapa final'!$AB$20="Muy Alta",'Mapa final'!$AD$20="Leve"),CONCATENATE("R2C",'Mapa final'!$R$20),"")</f>
        <v/>
      </c>
      <c r="O7" s="38" t="str">
        <f>IF(AND('Mapa final'!$AB$21="Muy Alta",'Mapa final'!$AD$21="Leve"),CONCATENATE("R2C",'Mapa final'!$R$21),"")</f>
        <v/>
      </c>
      <c r="P7" s="36" t="str">
        <f>IF(AND('Mapa final'!$AB$16="Muy Alta",'Mapa final'!$AD$16="Menor"),CONCATENATE("R2C",'Mapa final'!$R$16),"")</f>
        <v/>
      </c>
      <c r="Q7" s="37" t="str">
        <f>IF(AND('Mapa final'!$AB$17="Muy Alta",'Mapa final'!$AD$17="Menor"),CONCATENATE("R2C",'Mapa final'!$R$17),"")</f>
        <v/>
      </c>
      <c r="R7" s="37" t="str">
        <f>IF(AND('Mapa final'!$AB$18="Muy Alta",'Mapa final'!$AD$18="Menor"),CONCATENATE("R2C",'Mapa final'!$R$18),"")</f>
        <v/>
      </c>
      <c r="S7" s="37" t="str">
        <f>IF(AND('Mapa final'!$AB$19="Muy Alta",'Mapa final'!$AD$19="Menor"),CONCATENATE("R2C",'Mapa final'!$R$19),"")</f>
        <v/>
      </c>
      <c r="T7" s="37" t="str">
        <f>IF(AND('Mapa final'!$AB$20="Muy Alta",'Mapa final'!$AD$20="Menor"),CONCATENATE("R2C",'Mapa final'!$R$20),"")</f>
        <v/>
      </c>
      <c r="U7" s="38" t="str">
        <f>IF(AND('Mapa final'!$AB$21="Muy Alta",'Mapa final'!$AD$21="Menor"),CONCATENATE("R2C",'Mapa final'!$R$21),"")</f>
        <v/>
      </c>
      <c r="V7" s="36" t="str">
        <f>IF(AND('Mapa final'!$AB$16="Muy Alta",'Mapa final'!$AD$16="Moderado"),CONCATENATE("R2C",'Mapa final'!$R$16),"")</f>
        <v/>
      </c>
      <c r="W7" s="37" t="str">
        <f>IF(AND('Mapa final'!$AB$17="Muy Alta",'Mapa final'!$AD$17="Moderado"),CONCATENATE("R2C",'Mapa final'!$R$17),"")</f>
        <v/>
      </c>
      <c r="X7" s="37" t="str">
        <f>IF(AND('Mapa final'!$AB$18="Muy Alta",'Mapa final'!$AD$18="Moderado"),CONCATENATE("R2C",'Mapa final'!$R$18),"")</f>
        <v/>
      </c>
      <c r="Y7" s="37" t="str">
        <f>IF(AND('Mapa final'!$AB$19="Muy Alta",'Mapa final'!$AD$19="Moderado"),CONCATENATE("R2C",'Mapa final'!$R$19),"")</f>
        <v/>
      </c>
      <c r="Z7" s="37" t="str">
        <f>IF(AND('Mapa final'!$AB$20="Muy Alta",'Mapa final'!$AD$20="Moderado"),CONCATENATE("R2C",'Mapa final'!$R$20),"")</f>
        <v/>
      </c>
      <c r="AA7" s="38" t="str">
        <f>IF(AND('Mapa final'!$AB$21="Muy Alta",'Mapa final'!$AD$21="Moderado"),CONCATENATE("R2C",'Mapa final'!$R$21),"")</f>
        <v/>
      </c>
      <c r="AB7" s="36" t="str">
        <f>IF(AND('Mapa final'!$AB$16="Muy Alta",'Mapa final'!$AD$16="Mayor"),CONCATENATE("R2C",'Mapa final'!$R$16),"")</f>
        <v/>
      </c>
      <c r="AC7" s="37" t="str">
        <f>IF(AND('Mapa final'!$AB$17="Muy Alta",'Mapa final'!$AD$17="Mayor"),CONCATENATE("R2C",'Mapa final'!$R$17),"")</f>
        <v/>
      </c>
      <c r="AD7" s="37" t="str">
        <f>IF(AND('Mapa final'!$AB$18="Muy Alta",'Mapa final'!$AD$18="Mayor"),CONCATENATE("R2C",'Mapa final'!$R$18),"")</f>
        <v/>
      </c>
      <c r="AE7" s="37" t="str">
        <f>IF(AND('Mapa final'!$AB$19="Muy Alta",'Mapa final'!$AD$19="Mayor"),CONCATENATE("R2C",'Mapa final'!$R$19),"")</f>
        <v/>
      </c>
      <c r="AF7" s="37" t="str">
        <f>IF(AND('Mapa final'!$AB$20="Muy Alta",'Mapa final'!$AD$20="Mayor"),CONCATENATE("R2C",'Mapa final'!$R$20),"")</f>
        <v/>
      </c>
      <c r="AG7" s="38" t="str">
        <f>IF(AND('Mapa final'!$AB$21="Muy Alta",'Mapa final'!$AD$21="Mayor"),CONCATENATE("R2C",'Mapa final'!$R$21),"")</f>
        <v/>
      </c>
      <c r="AH7" s="39" t="str">
        <f>IF(AND('Mapa final'!$AB$16="Muy Alta",'Mapa final'!$AD$16="Catastrófico"),CONCATENATE("R2C",'Mapa final'!$R$16),"")</f>
        <v/>
      </c>
      <c r="AI7" s="40" t="str">
        <f>IF(AND('Mapa final'!$AB$17="Muy Alta",'Mapa final'!$AD$17="Catastrófico"),CONCATENATE("R2C",'Mapa final'!$R$17),"")</f>
        <v/>
      </c>
      <c r="AJ7" s="40" t="str">
        <f>IF(AND('Mapa final'!$AB$18="Muy Alta",'Mapa final'!$AD$18="Catastrófico"),CONCATENATE("R2C",'Mapa final'!$R$18),"")</f>
        <v/>
      </c>
      <c r="AK7" s="40" t="str">
        <f>IF(AND('Mapa final'!$AB$19="Muy Alta",'Mapa final'!$AD$19="Catastrófico"),CONCATENATE("R2C",'Mapa final'!$R$19),"")</f>
        <v/>
      </c>
      <c r="AL7" s="40" t="str">
        <f>IF(AND('Mapa final'!$AB$20="Muy Alta",'Mapa final'!$AD$20="Catastrófico"),CONCATENATE("R2C",'Mapa final'!$R$20),"")</f>
        <v/>
      </c>
      <c r="AM7" s="41" t="str">
        <f>IF(AND('Mapa final'!$AB$21="Muy Alta",'Mapa final'!$AD$21="Catastrófico"),CONCATENATE("R2C",'Mapa final'!$R$21),"")</f>
        <v/>
      </c>
      <c r="AN7" s="67"/>
      <c r="AO7" s="556"/>
      <c r="AP7" s="557"/>
      <c r="AQ7" s="557"/>
      <c r="AR7" s="557"/>
      <c r="AS7" s="557"/>
      <c r="AT7" s="558"/>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25">
      <c r="A8" s="67"/>
      <c r="B8" s="451"/>
      <c r="C8" s="451"/>
      <c r="D8" s="452"/>
      <c r="E8" s="550"/>
      <c r="F8" s="549"/>
      <c r="G8" s="549"/>
      <c r="H8" s="549"/>
      <c r="I8" s="565"/>
      <c r="J8" s="36" t="str">
        <f>IF(AND('Mapa final'!$AB$22="Muy Alta",'Mapa final'!$AD$22="Leve"),CONCATENATE("R3C",'Mapa final'!$R$22),"")</f>
        <v/>
      </c>
      <c r="K8" s="37" t="str">
        <f>IF(AND('Mapa final'!$AB$23="Muy Alta",'Mapa final'!$AD$23="Leve"),CONCATENATE("R3C",'Mapa final'!$R$23),"")</f>
        <v/>
      </c>
      <c r="L8" s="37" t="str">
        <f>IF(AND('Mapa final'!$AB$24="Muy Alta",'Mapa final'!$AD$24="Leve"),CONCATENATE("R3C",'Mapa final'!$R$24),"")</f>
        <v/>
      </c>
      <c r="M8" s="37" t="str">
        <f>IF(AND('Mapa final'!$AB$25="Muy Alta",'Mapa final'!$AD$25="Leve"),CONCATENATE("R3C",'Mapa final'!$R$25),"")</f>
        <v/>
      </c>
      <c r="N8" s="37" t="str">
        <f>IF(AND('Mapa final'!$AB$26="Muy Alta",'Mapa final'!$AD$26="Leve"),CONCATENATE("R3C",'Mapa final'!$R$26),"")</f>
        <v/>
      </c>
      <c r="O8" s="38" t="str">
        <f>IF(AND('Mapa final'!$AB$27="Muy Alta",'Mapa final'!$AD$27="Leve"),CONCATENATE("R3C",'Mapa final'!$R$27),"")</f>
        <v/>
      </c>
      <c r="P8" s="36" t="str">
        <f>IF(AND('Mapa final'!$AB$22="Muy Alta",'Mapa final'!$AD$22="Menor"),CONCATENATE("R3C",'Mapa final'!$R$22),"")</f>
        <v/>
      </c>
      <c r="Q8" s="37" t="str">
        <f>IF(AND('Mapa final'!$AB$23="Muy Alta",'Mapa final'!$AD$23="Menor"),CONCATENATE("R3C",'Mapa final'!$R$23),"")</f>
        <v/>
      </c>
      <c r="R8" s="37" t="str">
        <f>IF(AND('Mapa final'!$AB$24="Muy Alta",'Mapa final'!$AD$24="Menor"),CONCATENATE("R3C",'Mapa final'!$R$24),"")</f>
        <v/>
      </c>
      <c r="S8" s="37" t="str">
        <f>IF(AND('Mapa final'!$AB$25="Muy Alta",'Mapa final'!$AD$25="Menor"),CONCATENATE("R3C",'Mapa final'!$R$25),"")</f>
        <v/>
      </c>
      <c r="T8" s="37" t="str">
        <f>IF(AND('Mapa final'!$AB$26="Muy Alta",'Mapa final'!$AD$26="Menor"),CONCATENATE("R3C",'Mapa final'!$R$26),"")</f>
        <v/>
      </c>
      <c r="U8" s="38" t="str">
        <f>IF(AND('Mapa final'!$AB$27="Muy Alta",'Mapa final'!$AD$27="Menor"),CONCATENATE("R3C",'Mapa final'!$R$27),"")</f>
        <v/>
      </c>
      <c r="V8" s="36" t="str">
        <f>IF(AND('Mapa final'!$AB$22="Muy Alta",'Mapa final'!$AD$22="Moderado"),CONCATENATE("R3C",'Mapa final'!$R$22),"")</f>
        <v/>
      </c>
      <c r="W8" s="37" t="str">
        <f>IF(AND('Mapa final'!$AB$23="Muy Alta",'Mapa final'!$AD$23="Moderado"),CONCATENATE("R3C",'Mapa final'!$R$23),"")</f>
        <v/>
      </c>
      <c r="X8" s="37" t="str">
        <f>IF(AND('Mapa final'!$AB$24="Muy Alta",'Mapa final'!$AD$24="Moderado"),CONCATENATE("R3C",'Mapa final'!$R$24),"")</f>
        <v/>
      </c>
      <c r="Y8" s="37" t="str">
        <f>IF(AND('Mapa final'!$AB$25="Muy Alta",'Mapa final'!$AD$25="Moderado"),CONCATENATE("R3C",'Mapa final'!$R$25),"")</f>
        <v/>
      </c>
      <c r="Z8" s="37" t="str">
        <f>IF(AND('Mapa final'!$AB$26="Muy Alta",'Mapa final'!$AD$26="Moderado"),CONCATENATE("R3C",'Mapa final'!$R$26),"")</f>
        <v/>
      </c>
      <c r="AA8" s="38" t="str">
        <f>IF(AND('Mapa final'!$AB$27="Muy Alta",'Mapa final'!$AD$27="Moderado"),CONCATENATE("R3C",'Mapa final'!$R$27),"")</f>
        <v/>
      </c>
      <c r="AB8" s="36" t="str">
        <f>IF(AND('Mapa final'!$AB$22="Muy Alta",'Mapa final'!$AD$22="Mayor"),CONCATENATE("R3C",'Mapa final'!$R$22),"")</f>
        <v/>
      </c>
      <c r="AC8" s="37" t="str">
        <f>IF(AND('Mapa final'!$AB$23="Muy Alta",'Mapa final'!$AD$23="Mayor"),CONCATENATE("R3C",'Mapa final'!$R$23),"")</f>
        <v/>
      </c>
      <c r="AD8" s="37" t="str">
        <f>IF(AND('Mapa final'!$AB$24="Muy Alta",'Mapa final'!$AD$24="Mayor"),CONCATENATE("R3C",'Mapa final'!$R$24),"")</f>
        <v/>
      </c>
      <c r="AE8" s="37" t="str">
        <f>IF(AND('Mapa final'!$AB$25="Muy Alta",'Mapa final'!$AD$25="Mayor"),CONCATENATE("R3C",'Mapa final'!$R$25),"")</f>
        <v/>
      </c>
      <c r="AF8" s="37" t="str">
        <f>IF(AND('Mapa final'!$AB$26="Muy Alta",'Mapa final'!$AD$26="Mayor"),CONCATENATE("R3C",'Mapa final'!$R$26),"")</f>
        <v/>
      </c>
      <c r="AG8" s="38" t="str">
        <f>IF(AND('Mapa final'!$AB$27="Muy Alta",'Mapa final'!$AD$27="Mayor"),CONCATENATE("R3C",'Mapa final'!$R$27),"")</f>
        <v/>
      </c>
      <c r="AH8" s="39" t="str">
        <f>IF(AND('Mapa final'!$AB$22="Muy Alta",'Mapa final'!$AD$22="Catastrófico"),CONCATENATE("R3C",'Mapa final'!$R$22),"")</f>
        <v/>
      </c>
      <c r="AI8" s="40" t="str">
        <f>IF(AND('Mapa final'!$AB$23="Muy Alta",'Mapa final'!$AD$23="Catastrófico"),CONCATENATE("R3C",'Mapa final'!$R$23),"")</f>
        <v/>
      </c>
      <c r="AJ8" s="40" t="str">
        <f>IF(AND('Mapa final'!$AB$24="Muy Alta",'Mapa final'!$AD$24="Catastrófico"),CONCATENATE("R3C",'Mapa final'!$R$24),"")</f>
        <v/>
      </c>
      <c r="AK8" s="40" t="str">
        <f>IF(AND('Mapa final'!$AB$25="Muy Alta",'Mapa final'!$AD$25="Catastrófico"),CONCATENATE("R3C",'Mapa final'!$R$25),"")</f>
        <v/>
      </c>
      <c r="AL8" s="40" t="str">
        <f>IF(AND('Mapa final'!$AB$26="Muy Alta",'Mapa final'!$AD$26="Catastrófico"),CONCATENATE("R3C",'Mapa final'!$R$26),"")</f>
        <v/>
      </c>
      <c r="AM8" s="41" t="str">
        <f>IF(AND('Mapa final'!$AB$27="Muy Alta",'Mapa final'!$AD$27="Catastrófico"),CONCATENATE("R3C",'Mapa final'!$R$27),"")</f>
        <v/>
      </c>
      <c r="AN8" s="67"/>
      <c r="AO8" s="556"/>
      <c r="AP8" s="557"/>
      <c r="AQ8" s="557"/>
      <c r="AR8" s="557"/>
      <c r="AS8" s="557"/>
      <c r="AT8" s="558"/>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25">
      <c r="A9" s="67"/>
      <c r="B9" s="451"/>
      <c r="C9" s="451"/>
      <c r="D9" s="452"/>
      <c r="E9" s="550"/>
      <c r="F9" s="549"/>
      <c r="G9" s="549"/>
      <c r="H9" s="549"/>
      <c r="I9" s="565"/>
      <c r="J9" s="36" t="str">
        <f>IF(AND('Mapa final'!$AB$28="Muy Alta",'Mapa final'!$AD$28="Leve"),CONCATENATE("R4C",'Mapa final'!$R$28),"")</f>
        <v/>
      </c>
      <c r="K9" s="37" t="str">
        <f>IF(AND('Mapa final'!$AB$29="Muy Alta",'Mapa final'!$AD$29="Leve"),CONCATENATE("R4C",'Mapa final'!$R$29),"")</f>
        <v/>
      </c>
      <c r="L9" s="37" t="str">
        <f>IF(AND('Mapa final'!$AB$30="Muy Alta",'Mapa final'!$AD$30="Leve"),CONCATENATE("R4C",'Mapa final'!$R$30),"")</f>
        <v/>
      </c>
      <c r="M9" s="37" t="str">
        <f>IF(AND('Mapa final'!$AB$31="Muy Alta",'Mapa final'!$AD$31="Leve"),CONCATENATE("R4C",'Mapa final'!$R$31),"")</f>
        <v/>
      </c>
      <c r="N9" s="37" t="str">
        <f>IF(AND('Mapa final'!$AB$32="Muy Alta",'Mapa final'!$AD$32="Leve"),CONCATENATE("R4C",'Mapa final'!$R$32),"")</f>
        <v/>
      </c>
      <c r="O9" s="38" t="str">
        <f>IF(AND('Mapa final'!$AB$33="Muy Alta",'Mapa final'!$AD$33="Leve"),CONCATENATE("R4C",'Mapa final'!$R$33),"")</f>
        <v/>
      </c>
      <c r="P9" s="36" t="str">
        <f>IF(AND('Mapa final'!$AB$28="Muy Alta",'Mapa final'!$AD$28="Menor"),CONCATENATE("R4C",'Mapa final'!$R$28),"")</f>
        <v/>
      </c>
      <c r="Q9" s="37" t="str">
        <f>IF(AND('Mapa final'!$AB$29="Muy Alta",'Mapa final'!$AD$29="Menor"),CONCATENATE("R4C",'Mapa final'!$R$29),"")</f>
        <v/>
      </c>
      <c r="R9" s="37" t="str">
        <f>IF(AND('Mapa final'!$AB$30="Muy Alta",'Mapa final'!$AD$30="Menor"),CONCATENATE("R4C",'Mapa final'!$R$30),"")</f>
        <v/>
      </c>
      <c r="S9" s="37" t="str">
        <f>IF(AND('Mapa final'!$AB$31="Muy Alta",'Mapa final'!$AD$31="Menor"),CONCATENATE("R4C",'Mapa final'!$R$31),"")</f>
        <v/>
      </c>
      <c r="T9" s="37" t="str">
        <f>IF(AND('Mapa final'!$AB$32="Muy Alta",'Mapa final'!$AD$32="Menor"),CONCATENATE("R4C",'Mapa final'!$R$32),"")</f>
        <v/>
      </c>
      <c r="U9" s="38" t="str">
        <f>IF(AND('Mapa final'!$AB$33="Muy Alta",'Mapa final'!$AD$33="Menor"),CONCATENATE("R4C",'Mapa final'!$R$33),"")</f>
        <v/>
      </c>
      <c r="V9" s="36" t="str">
        <f>IF(AND('Mapa final'!$AB$28="Muy Alta",'Mapa final'!$AD$28="Moderado"),CONCATENATE("R4C",'Mapa final'!$R$28),"")</f>
        <v/>
      </c>
      <c r="W9" s="37" t="str">
        <f>IF(AND('Mapa final'!$AB$29="Muy Alta",'Mapa final'!$AD$29="Moderado"),CONCATENATE("R4C",'Mapa final'!$R$29),"")</f>
        <v/>
      </c>
      <c r="X9" s="37" t="str">
        <f>IF(AND('Mapa final'!$AB$30="Muy Alta",'Mapa final'!$AD$30="Moderado"),CONCATENATE("R4C",'Mapa final'!$R$30),"")</f>
        <v/>
      </c>
      <c r="Y9" s="37" t="str">
        <f>IF(AND('Mapa final'!$AB$31="Muy Alta",'Mapa final'!$AD$31="Moderado"),CONCATENATE("R4C",'Mapa final'!$R$31),"")</f>
        <v/>
      </c>
      <c r="Z9" s="37" t="str">
        <f>IF(AND('Mapa final'!$AB$32="Muy Alta",'Mapa final'!$AD$32="Moderado"),CONCATENATE("R4C",'Mapa final'!$R$32),"")</f>
        <v/>
      </c>
      <c r="AA9" s="38" t="str">
        <f>IF(AND('Mapa final'!$AB$33="Muy Alta",'Mapa final'!$AD$33="Moderado"),CONCATENATE("R4C",'Mapa final'!$R$33),"")</f>
        <v/>
      </c>
      <c r="AB9" s="36" t="str">
        <f>IF(AND('Mapa final'!$AB$28="Muy Alta",'Mapa final'!$AD$28="Mayor"),CONCATENATE("R4C",'Mapa final'!$R$28),"")</f>
        <v/>
      </c>
      <c r="AC9" s="37" t="str">
        <f>IF(AND('Mapa final'!$AB$29="Muy Alta",'Mapa final'!$AD$29="Mayor"),CONCATENATE("R4C",'Mapa final'!$R$29),"")</f>
        <v/>
      </c>
      <c r="AD9" s="37" t="str">
        <f>IF(AND('Mapa final'!$AB$30="Muy Alta",'Mapa final'!$AD$30="Mayor"),CONCATENATE("R4C",'Mapa final'!$R$30),"")</f>
        <v/>
      </c>
      <c r="AE9" s="37" t="str">
        <f>IF(AND('Mapa final'!$AB$31="Muy Alta",'Mapa final'!$AD$31="Mayor"),CONCATENATE("R4C",'Mapa final'!$R$31),"")</f>
        <v/>
      </c>
      <c r="AF9" s="37" t="str">
        <f>IF(AND('Mapa final'!$AB$32="Muy Alta",'Mapa final'!$AD$32="Mayor"),CONCATENATE("R4C",'Mapa final'!$R$32),"")</f>
        <v/>
      </c>
      <c r="AG9" s="38" t="str">
        <f>IF(AND('Mapa final'!$AB$33="Muy Alta",'Mapa final'!$AD$33="Mayor"),CONCATENATE("R4C",'Mapa final'!$R$33),"")</f>
        <v/>
      </c>
      <c r="AH9" s="39" t="str">
        <f>IF(AND('Mapa final'!$AB$28="Muy Alta",'Mapa final'!$AD$28="Catastrófico"),CONCATENATE("R4C",'Mapa final'!$R$28),"")</f>
        <v/>
      </c>
      <c r="AI9" s="40" t="str">
        <f>IF(AND('Mapa final'!$AB$29="Muy Alta",'Mapa final'!$AD$29="Catastrófico"),CONCATENATE("R4C",'Mapa final'!$R$29),"")</f>
        <v/>
      </c>
      <c r="AJ9" s="40" t="str">
        <f>IF(AND('Mapa final'!$AB$30="Muy Alta",'Mapa final'!$AD$30="Catastrófico"),CONCATENATE("R4C",'Mapa final'!$R$30),"")</f>
        <v/>
      </c>
      <c r="AK9" s="40" t="str">
        <f>IF(AND('Mapa final'!$AB$31="Muy Alta",'Mapa final'!$AD$31="Catastrófico"),CONCATENATE("R4C",'Mapa final'!$R$31),"")</f>
        <v/>
      </c>
      <c r="AL9" s="40" t="str">
        <f>IF(AND('Mapa final'!$AB$32="Muy Alta",'Mapa final'!$AD$32="Catastrófico"),CONCATENATE("R4C",'Mapa final'!$R$32),"")</f>
        <v/>
      </c>
      <c r="AM9" s="41" t="str">
        <f>IF(AND('Mapa final'!$AB$33="Muy Alta",'Mapa final'!$AD$33="Catastrófico"),CONCATENATE("R4C",'Mapa final'!$R$33),"")</f>
        <v/>
      </c>
      <c r="AN9" s="67"/>
      <c r="AO9" s="556"/>
      <c r="AP9" s="557"/>
      <c r="AQ9" s="557"/>
      <c r="AR9" s="557"/>
      <c r="AS9" s="557"/>
      <c r="AT9" s="558"/>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25">
      <c r="A10" s="67"/>
      <c r="B10" s="451"/>
      <c r="C10" s="451"/>
      <c r="D10" s="452"/>
      <c r="E10" s="550"/>
      <c r="F10" s="549"/>
      <c r="G10" s="549"/>
      <c r="H10" s="549"/>
      <c r="I10" s="565"/>
      <c r="J10" s="36" t="str">
        <f>IF(AND('Mapa final'!$AB$34="Muy Alta",'Mapa final'!$AD$34="Leve"),CONCATENATE("R5C",'Mapa final'!$R$34),"")</f>
        <v/>
      </c>
      <c r="K10" s="37" t="str">
        <f>IF(AND('Mapa final'!$AB$35="Muy Alta",'Mapa final'!$AD$35="Leve"),CONCATENATE("R5C",'Mapa final'!$R$35),"")</f>
        <v/>
      </c>
      <c r="L10" s="37" t="str">
        <f>IF(AND('Mapa final'!$AB$36="Muy Alta",'Mapa final'!$AD$36="Leve"),CONCATENATE("R5C",'Mapa final'!$R$36),"")</f>
        <v/>
      </c>
      <c r="M10" s="37" t="str">
        <f>IF(AND('Mapa final'!$AB$37="Muy Alta",'Mapa final'!$AD$37="Leve"),CONCATENATE("R5C",'Mapa final'!$R$37),"")</f>
        <v/>
      </c>
      <c r="N10" s="37" t="str">
        <f>IF(AND('Mapa final'!$AB$38="Muy Alta",'Mapa final'!$AD$38="Leve"),CONCATENATE("R5C",'Mapa final'!$R$38),"")</f>
        <v/>
      </c>
      <c r="O10" s="38" t="str">
        <f>IF(AND('Mapa final'!$AB$39="Muy Alta",'Mapa final'!$AD$39="Leve"),CONCATENATE("R5C",'Mapa final'!$R$39),"")</f>
        <v/>
      </c>
      <c r="P10" s="36" t="str">
        <f>IF(AND('Mapa final'!$AB$34="Muy Alta",'Mapa final'!$AD$34="Menor"),CONCATENATE("R5C",'Mapa final'!$R$34),"")</f>
        <v/>
      </c>
      <c r="Q10" s="37" t="str">
        <f>IF(AND('Mapa final'!$AB$35="Muy Alta",'Mapa final'!$AD$35="Menor"),CONCATENATE("R5C",'Mapa final'!$R$35),"")</f>
        <v/>
      </c>
      <c r="R10" s="37" t="str">
        <f>IF(AND('Mapa final'!$AB$36="Muy Alta",'Mapa final'!$AD$36="Menor"),CONCATENATE("R5C",'Mapa final'!$R$36),"")</f>
        <v/>
      </c>
      <c r="S10" s="37" t="str">
        <f>IF(AND('Mapa final'!$AB$37="Muy Alta",'Mapa final'!$AD$37="Menor"),CONCATENATE("R5C",'Mapa final'!$R$37),"")</f>
        <v/>
      </c>
      <c r="T10" s="37" t="str">
        <f>IF(AND('Mapa final'!$AB$38="Muy Alta",'Mapa final'!$AD$38="Menor"),CONCATENATE("R5C",'Mapa final'!$R$38),"")</f>
        <v/>
      </c>
      <c r="U10" s="38" t="str">
        <f>IF(AND('Mapa final'!$AB$39="Muy Alta",'Mapa final'!$AD$39="Menor"),CONCATENATE("R5C",'Mapa final'!$R$39),"")</f>
        <v/>
      </c>
      <c r="V10" s="36" t="str">
        <f>IF(AND('Mapa final'!$AB$34="Muy Alta",'Mapa final'!$AD$34="Moderado"),CONCATENATE("R5C",'Mapa final'!$R$34),"")</f>
        <v/>
      </c>
      <c r="W10" s="37" t="str">
        <f>IF(AND('Mapa final'!$AB$35="Muy Alta",'Mapa final'!$AD$35="Moderado"),CONCATENATE("R5C",'Mapa final'!$R$35),"")</f>
        <v/>
      </c>
      <c r="X10" s="37" t="str">
        <f>IF(AND('Mapa final'!$AB$36="Muy Alta",'Mapa final'!$AD$36="Moderado"),CONCATENATE("R5C",'Mapa final'!$R$36),"")</f>
        <v/>
      </c>
      <c r="Y10" s="37" t="str">
        <f>IF(AND('Mapa final'!$AB$37="Muy Alta",'Mapa final'!$AD$37="Moderado"),CONCATENATE("R5C",'Mapa final'!$R$37),"")</f>
        <v/>
      </c>
      <c r="Z10" s="37" t="str">
        <f>IF(AND('Mapa final'!$AB$38="Muy Alta",'Mapa final'!$AD$38="Moderado"),CONCATENATE("R5C",'Mapa final'!$R$38),"")</f>
        <v/>
      </c>
      <c r="AA10" s="38" t="str">
        <f>IF(AND('Mapa final'!$AB$39="Muy Alta",'Mapa final'!$AD$39="Moderado"),CONCATENATE("R5C",'Mapa final'!$R$39),"")</f>
        <v/>
      </c>
      <c r="AB10" s="36" t="str">
        <f>IF(AND('Mapa final'!$AB$34="Muy Alta",'Mapa final'!$AD$34="Mayor"),CONCATENATE("R5C",'Mapa final'!$R$34),"")</f>
        <v/>
      </c>
      <c r="AC10" s="37" t="str">
        <f>IF(AND('Mapa final'!$AB$35="Muy Alta",'Mapa final'!$AD$35="Mayor"),CONCATENATE("R5C",'Mapa final'!$R$35),"")</f>
        <v/>
      </c>
      <c r="AD10" s="37" t="str">
        <f>IF(AND('Mapa final'!$AB$36="Muy Alta",'Mapa final'!$AD$36="Mayor"),CONCATENATE("R5C",'Mapa final'!$R$36),"")</f>
        <v/>
      </c>
      <c r="AE10" s="37" t="str">
        <f>IF(AND('Mapa final'!$AB$37="Muy Alta",'Mapa final'!$AD$37="Mayor"),CONCATENATE("R5C",'Mapa final'!$R$37),"")</f>
        <v/>
      </c>
      <c r="AF10" s="37" t="str">
        <f>IF(AND('Mapa final'!$AB$38="Muy Alta",'Mapa final'!$AD$38="Mayor"),CONCATENATE("R5C",'Mapa final'!$R$38),"")</f>
        <v/>
      </c>
      <c r="AG10" s="38" t="str">
        <f>IF(AND('Mapa final'!$AB$39="Muy Alta",'Mapa final'!$AD$39="Mayor"),CONCATENATE("R5C",'Mapa final'!$R$39),"")</f>
        <v/>
      </c>
      <c r="AH10" s="39" t="str">
        <f>IF(AND('Mapa final'!$AB$34="Muy Alta",'Mapa final'!$AD$34="Catastrófico"),CONCATENATE("R5C",'Mapa final'!$R$34),"")</f>
        <v/>
      </c>
      <c r="AI10" s="40" t="str">
        <f>IF(AND('Mapa final'!$AB$35="Muy Alta",'Mapa final'!$AD$35="Catastrófico"),CONCATENATE("R5C",'Mapa final'!$R$35),"")</f>
        <v/>
      </c>
      <c r="AJ10" s="40" t="str">
        <f>IF(AND('Mapa final'!$AB$36="Muy Alta",'Mapa final'!$AD$36="Catastrófico"),CONCATENATE("R5C",'Mapa final'!$R$36),"")</f>
        <v/>
      </c>
      <c r="AK10" s="40" t="str">
        <f>IF(AND('Mapa final'!$AB$37="Muy Alta",'Mapa final'!$AD$37="Catastrófico"),CONCATENATE("R5C",'Mapa final'!$R$37),"")</f>
        <v/>
      </c>
      <c r="AL10" s="40" t="str">
        <f>IF(AND('Mapa final'!$AB$38="Muy Alta",'Mapa final'!$AD$38="Catastrófico"),CONCATENATE("R5C",'Mapa final'!$R$38),"")</f>
        <v/>
      </c>
      <c r="AM10" s="41" t="str">
        <f>IF(AND('Mapa final'!$AB$39="Muy Alta",'Mapa final'!$AD$39="Catastrófico"),CONCATENATE("R5C",'Mapa final'!$R$39),"")</f>
        <v/>
      </c>
      <c r="AN10" s="67"/>
      <c r="AO10" s="556"/>
      <c r="AP10" s="557"/>
      <c r="AQ10" s="557"/>
      <c r="AR10" s="557"/>
      <c r="AS10" s="557"/>
      <c r="AT10" s="558"/>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25">
      <c r="A11" s="67"/>
      <c r="B11" s="451"/>
      <c r="C11" s="451"/>
      <c r="D11" s="452"/>
      <c r="E11" s="550"/>
      <c r="F11" s="549"/>
      <c r="G11" s="549"/>
      <c r="H11" s="549"/>
      <c r="I11" s="565"/>
      <c r="J11" s="36" t="str">
        <f>IF(AND('Mapa final'!$AB$40="Muy Alta",'Mapa final'!$AD$40="Leve"),CONCATENATE("R6C",'Mapa final'!$R$40),"")</f>
        <v/>
      </c>
      <c r="K11" s="37" t="str">
        <f>IF(AND('Mapa final'!$AB$41="Muy Alta",'Mapa final'!$AD$41="Leve"),CONCATENATE("R6C",'Mapa final'!$R$41),"")</f>
        <v/>
      </c>
      <c r="L11" s="37" t="str">
        <f>IF(AND('Mapa final'!$AB$42="Muy Alta",'Mapa final'!$AD$42="Leve"),CONCATENATE("R6C",'Mapa final'!$R$42),"")</f>
        <v/>
      </c>
      <c r="M11" s="37" t="str">
        <f>IF(AND('Mapa final'!$AB$43="Muy Alta",'Mapa final'!$AD$43="Leve"),CONCATENATE("R6C",'Mapa final'!$R$43),"")</f>
        <v/>
      </c>
      <c r="N11" s="37" t="str">
        <f>IF(AND('Mapa final'!$AB$44="Muy Alta",'Mapa final'!$AD$44="Leve"),CONCATENATE("R6C",'Mapa final'!$R$44),"")</f>
        <v/>
      </c>
      <c r="O11" s="38" t="str">
        <f>IF(AND('Mapa final'!$AB$45="Muy Alta",'Mapa final'!$AD$45="Leve"),CONCATENATE("R6C",'Mapa final'!$R$45),"")</f>
        <v/>
      </c>
      <c r="P11" s="36" t="str">
        <f>IF(AND('Mapa final'!$AB$40="Muy Alta",'Mapa final'!$AD$40="Menor"),CONCATENATE("R6C",'Mapa final'!$R$40),"")</f>
        <v/>
      </c>
      <c r="Q11" s="37" t="str">
        <f>IF(AND('Mapa final'!$AB$41="Muy Alta",'Mapa final'!$AD$41="Menor"),CONCATENATE("R6C",'Mapa final'!$R$41),"")</f>
        <v/>
      </c>
      <c r="R11" s="37" t="str">
        <f>IF(AND('Mapa final'!$AB$42="Muy Alta",'Mapa final'!$AD$42="Menor"),CONCATENATE("R6C",'Mapa final'!$R$42),"")</f>
        <v/>
      </c>
      <c r="S11" s="37" t="str">
        <f>IF(AND('Mapa final'!$AB$43="Muy Alta",'Mapa final'!$AD$43="Menor"),CONCATENATE("R6C",'Mapa final'!$R$43),"")</f>
        <v/>
      </c>
      <c r="T11" s="37" t="str">
        <f>IF(AND('Mapa final'!$AB$44="Muy Alta",'Mapa final'!$AD$44="Menor"),CONCATENATE("R6C",'Mapa final'!$R$44),"")</f>
        <v/>
      </c>
      <c r="U11" s="38" t="str">
        <f>IF(AND('Mapa final'!$AB$45="Muy Alta",'Mapa final'!$AD$45="Menor"),CONCATENATE("R6C",'Mapa final'!$R$45),"")</f>
        <v/>
      </c>
      <c r="V11" s="36" t="str">
        <f>IF(AND('Mapa final'!$AB$40="Muy Alta",'Mapa final'!$AD$40="Moderado"),CONCATENATE("R6C",'Mapa final'!$R$40),"")</f>
        <v/>
      </c>
      <c r="W11" s="37" t="str">
        <f>IF(AND('Mapa final'!$AB$41="Muy Alta",'Mapa final'!$AD$41="Moderado"),CONCATENATE("R6C",'Mapa final'!$R$41),"")</f>
        <v/>
      </c>
      <c r="X11" s="37" t="str">
        <f>IF(AND('Mapa final'!$AB$42="Muy Alta",'Mapa final'!$AD$42="Moderado"),CONCATENATE("R6C",'Mapa final'!$R$42),"")</f>
        <v/>
      </c>
      <c r="Y11" s="37" t="str">
        <f>IF(AND('Mapa final'!$AB$43="Muy Alta",'Mapa final'!$AD$43="Moderado"),CONCATENATE("R6C",'Mapa final'!$R$43),"")</f>
        <v/>
      </c>
      <c r="Z11" s="37" t="str">
        <f>IF(AND('Mapa final'!$AB$44="Muy Alta",'Mapa final'!$AD$44="Moderado"),CONCATENATE("R6C",'Mapa final'!$R$44),"")</f>
        <v/>
      </c>
      <c r="AA11" s="38" t="str">
        <f>IF(AND('Mapa final'!$AB$45="Muy Alta",'Mapa final'!$AD$45="Moderado"),CONCATENATE("R6C",'Mapa final'!$R$45),"")</f>
        <v/>
      </c>
      <c r="AB11" s="36" t="str">
        <f>IF(AND('Mapa final'!$AB$40="Muy Alta",'Mapa final'!$AD$40="Mayor"),CONCATENATE("R6C",'Mapa final'!$R$40),"")</f>
        <v/>
      </c>
      <c r="AC11" s="37" t="str">
        <f>IF(AND('Mapa final'!$AB$41="Muy Alta",'Mapa final'!$AD$41="Mayor"),CONCATENATE("R6C",'Mapa final'!$R$41),"")</f>
        <v/>
      </c>
      <c r="AD11" s="37" t="str">
        <f>IF(AND('Mapa final'!$AB$42="Muy Alta",'Mapa final'!$AD$42="Mayor"),CONCATENATE("R6C",'Mapa final'!$R$42),"")</f>
        <v/>
      </c>
      <c r="AE11" s="37" t="str">
        <f>IF(AND('Mapa final'!$AB$43="Muy Alta",'Mapa final'!$AD$43="Mayor"),CONCATENATE("R6C",'Mapa final'!$R$43),"")</f>
        <v/>
      </c>
      <c r="AF11" s="37" t="str">
        <f>IF(AND('Mapa final'!$AB$44="Muy Alta",'Mapa final'!$AD$44="Mayor"),CONCATENATE("R6C",'Mapa final'!$R$44),"")</f>
        <v/>
      </c>
      <c r="AG11" s="38" t="str">
        <f>IF(AND('Mapa final'!$AB$45="Muy Alta",'Mapa final'!$AD$45="Mayor"),CONCATENATE("R6C",'Mapa final'!$R$45),"")</f>
        <v/>
      </c>
      <c r="AH11" s="39" t="str">
        <f>IF(AND('Mapa final'!$AB$40="Muy Alta",'Mapa final'!$AD$40="Catastrófico"),CONCATENATE("R6C",'Mapa final'!$R$40),"")</f>
        <v/>
      </c>
      <c r="AI11" s="40" t="str">
        <f>IF(AND('Mapa final'!$AB$41="Muy Alta",'Mapa final'!$AD$41="Catastrófico"),CONCATENATE("R6C",'Mapa final'!$R$41),"")</f>
        <v/>
      </c>
      <c r="AJ11" s="40" t="str">
        <f>IF(AND('Mapa final'!$AB$42="Muy Alta",'Mapa final'!$AD$42="Catastrófico"),CONCATENATE("R6C",'Mapa final'!$R$42),"")</f>
        <v/>
      </c>
      <c r="AK11" s="40" t="str">
        <f>IF(AND('Mapa final'!$AB$43="Muy Alta",'Mapa final'!$AD$43="Catastrófico"),CONCATENATE("R6C",'Mapa final'!$R$43),"")</f>
        <v/>
      </c>
      <c r="AL11" s="40" t="str">
        <f>IF(AND('Mapa final'!$AB$44="Muy Alta",'Mapa final'!$AD$44="Catastrófico"),CONCATENATE("R6C",'Mapa final'!$R$44),"")</f>
        <v/>
      </c>
      <c r="AM11" s="41" t="str">
        <f>IF(AND('Mapa final'!$AB$45="Muy Alta",'Mapa final'!$AD$45="Catastrófico"),CONCATENATE("R6C",'Mapa final'!$R$45),"")</f>
        <v/>
      </c>
      <c r="AN11" s="67"/>
      <c r="AO11" s="556"/>
      <c r="AP11" s="557"/>
      <c r="AQ11" s="557"/>
      <c r="AR11" s="557"/>
      <c r="AS11" s="557"/>
      <c r="AT11" s="558"/>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25">
      <c r="A12" s="67"/>
      <c r="B12" s="451"/>
      <c r="C12" s="451"/>
      <c r="D12" s="452"/>
      <c r="E12" s="550"/>
      <c r="F12" s="549"/>
      <c r="G12" s="549"/>
      <c r="H12" s="549"/>
      <c r="I12" s="565"/>
      <c r="J12" s="36" t="str">
        <f>IF(AND('Mapa final'!$AB$46="Muy Alta",'Mapa final'!$AD$46="Leve"),CONCATENATE("R7C",'Mapa final'!$R$46),"")</f>
        <v/>
      </c>
      <c r="K12" s="37" t="str">
        <f>IF(AND('Mapa final'!$AB$47="Muy Alta",'Mapa final'!$AD$47="Leve"),CONCATENATE("R7C",'Mapa final'!$R$47),"")</f>
        <v/>
      </c>
      <c r="L12" s="37" t="str">
        <f>IF(AND('Mapa final'!$AB$48="Muy Alta",'Mapa final'!$AD$48="Leve"),CONCATENATE("R7C",'Mapa final'!$R$48),"")</f>
        <v/>
      </c>
      <c r="M12" s="37" t="str">
        <f>IF(AND('Mapa final'!$AB$49="Muy Alta",'Mapa final'!$AD$49="Leve"),CONCATENATE("R7C",'Mapa final'!$R$49),"")</f>
        <v/>
      </c>
      <c r="N12" s="37" t="str">
        <f>IF(AND('Mapa final'!$AB$50="Muy Alta",'Mapa final'!$AD$50="Leve"),CONCATENATE("R7C",'Mapa final'!$R$50),"")</f>
        <v/>
      </c>
      <c r="O12" s="38" t="str">
        <f>IF(AND('Mapa final'!$AB$51="Muy Alta",'Mapa final'!$AD$51="Leve"),CONCATENATE("R7C",'Mapa final'!$R$51),"")</f>
        <v/>
      </c>
      <c r="P12" s="36" t="str">
        <f>IF(AND('Mapa final'!$AB$46="Muy Alta",'Mapa final'!$AD$46="Menor"),CONCATENATE("R7C",'Mapa final'!$R$46),"")</f>
        <v/>
      </c>
      <c r="Q12" s="37" t="str">
        <f>IF(AND('Mapa final'!$AB$47="Muy Alta",'Mapa final'!$AD$47="Menor"),CONCATENATE("R7C",'Mapa final'!$R$47),"")</f>
        <v/>
      </c>
      <c r="R12" s="37" t="str">
        <f>IF(AND('Mapa final'!$AB$48="Muy Alta",'Mapa final'!$AD$48="Menor"),CONCATENATE("R7C",'Mapa final'!$R$48),"")</f>
        <v/>
      </c>
      <c r="S12" s="37" t="str">
        <f>IF(AND('Mapa final'!$AB$49="Muy Alta",'Mapa final'!$AD$49="Menor"),CONCATENATE("R7C",'Mapa final'!$R$49),"")</f>
        <v/>
      </c>
      <c r="T12" s="37" t="str">
        <f>IF(AND('Mapa final'!$AB$50="Muy Alta",'Mapa final'!$AD$50="Menor"),CONCATENATE("R7C",'Mapa final'!$R$50),"")</f>
        <v/>
      </c>
      <c r="U12" s="38" t="str">
        <f>IF(AND('Mapa final'!$AB$51="Muy Alta",'Mapa final'!$AD$51="Menor"),CONCATENATE("R7C",'Mapa final'!$R$51),"")</f>
        <v/>
      </c>
      <c r="V12" s="36" t="str">
        <f>IF(AND('Mapa final'!$AB$46="Muy Alta",'Mapa final'!$AD$46="Moderado"),CONCATENATE("R7C",'Mapa final'!$R$46),"")</f>
        <v/>
      </c>
      <c r="W12" s="37" t="str">
        <f>IF(AND('Mapa final'!$AB$47="Muy Alta",'Mapa final'!$AD$47="Moderado"),CONCATENATE("R7C",'Mapa final'!$R$47),"")</f>
        <v/>
      </c>
      <c r="X12" s="37" t="str">
        <f>IF(AND('Mapa final'!$AB$48="Muy Alta",'Mapa final'!$AD$48="Moderado"),CONCATENATE("R7C",'Mapa final'!$R$48),"")</f>
        <v/>
      </c>
      <c r="Y12" s="37" t="str">
        <f>IF(AND('Mapa final'!$AB$49="Muy Alta",'Mapa final'!$AD$49="Moderado"),CONCATENATE("R7C",'Mapa final'!$R$49),"")</f>
        <v/>
      </c>
      <c r="Z12" s="37" t="str">
        <f>IF(AND('Mapa final'!$AB$50="Muy Alta",'Mapa final'!$AD$50="Moderado"),CONCATENATE("R7C",'Mapa final'!$R$50),"")</f>
        <v/>
      </c>
      <c r="AA12" s="38" t="str">
        <f>IF(AND('Mapa final'!$AB$51="Muy Alta",'Mapa final'!$AD$51="Moderado"),CONCATENATE("R7C",'Mapa final'!$R$51),"")</f>
        <v/>
      </c>
      <c r="AB12" s="36" t="str">
        <f>IF(AND('Mapa final'!$AB$46="Muy Alta",'Mapa final'!$AD$46="Mayor"),CONCATENATE("R7C",'Mapa final'!$R$46),"")</f>
        <v/>
      </c>
      <c r="AC12" s="37" t="str">
        <f>IF(AND('Mapa final'!$AB$47="Muy Alta",'Mapa final'!$AD$47="Mayor"),CONCATENATE("R7C",'Mapa final'!$R$47),"")</f>
        <v/>
      </c>
      <c r="AD12" s="37" t="str">
        <f>IF(AND('Mapa final'!$AB$48="Muy Alta",'Mapa final'!$AD$48="Mayor"),CONCATENATE("R7C",'Mapa final'!$R$48),"")</f>
        <v/>
      </c>
      <c r="AE12" s="37" t="str">
        <f>IF(AND('Mapa final'!$AB$49="Muy Alta",'Mapa final'!$AD$49="Mayor"),CONCATENATE("R7C",'Mapa final'!$R$49),"")</f>
        <v/>
      </c>
      <c r="AF12" s="37" t="str">
        <f>IF(AND('Mapa final'!$AB$50="Muy Alta",'Mapa final'!$AD$50="Mayor"),CONCATENATE("R7C",'Mapa final'!$R$50),"")</f>
        <v/>
      </c>
      <c r="AG12" s="38" t="str">
        <f>IF(AND('Mapa final'!$AB$51="Muy Alta",'Mapa final'!$AD$51="Mayor"),CONCATENATE("R7C",'Mapa final'!$R$51),"")</f>
        <v/>
      </c>
      <c r="AH12" s="39" t="str">
        <f>IF(AND('Mapa final'!$AB$46="Muy Alta",'Mapa final'!$AD$46="Catastrófico"),CONCATENATE("R7C",'Mapa final'!$R$46),"")</f>
        <v/>
      </c>
      <c r="AI12" s="40" t="str">
        <f>IF(AND('Mapa final'!$AB$47="Muy Alta",'Mapa final'!$AD$47="Catastrófico"),CONCATENATE("R7C",'Mapa final'!$R$47),"")</f>
        <v/>
      </c>
      <c r="AJ12" s="40" t="str">
        <f>IF(AND('Mapa final'!$AB$48="Muy Alta",'Mapa final'!$AD$48="Catastrófico"),CONCATENATE("R7C",'Mapa final'!$R$48),"")</f>
        <v/>
      </c>
      <c r="AK12" s="40" t="str">
        <f>IF(AND('Mapa final'!$AB$49="Muy Alta",'Mapa final'!$AD$49="Catastrófico"),CONCATENATE("R7C",'Mapa final'!$R$49),"")</f>
        <v/>
      </c>
      <c r="AL12" s="40" t="str">
        <f>IF(AND('Mapa final'!$AB$50="Muy Alta",'Mapa final'!$AD$50="Catastrófico"),CONCATENATE("R7C",'Mapa final'!$R$50),"")</f>
        <v/>
      </c>
      <c r="AM12" s="41" t="str">
        <f>IF(AND('Mapa final'!$AB$51="Muy Alta",'Mapa final'!$AD$51="Catastrófico"),CONCATENATE("R7C",'Mapa final'!$R$51),"")</f>
        <v/>
      </c>
      <c r="AN12" s="67"/>
      <c r="AO12" s="556"/>
      <c r="AP12" s="557"/>
      <c r="AQ12" s="557"/>
      <c r="AR12" s="557"/>
      <c r="AS12" s="557"/>
      <c r="AT12" s="558"/>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25">
      <c r="A13" s="67"/>
      <c r="B13" s="451"/>
      <c r="C13" s="451"/>
      <c r="D13" s="452"/>
      <c r="E13" s="550"/>
      <c r="F13" s="549"/>
      <c r="G13" s="549"/>
      <c r="H13" s="549"/>
      <c r="I13" s="565"/>
      <c r="J13" s="36" t="str">
        <f>IF(AND('Mapa final'!$AB$52="Muy Alta",'Mapa final'!$AD$52="Leve"),CONCATENATE("R8C",'Mapa final'!$R$52),"")</f>
        <v/>
      </c>
      <c r="K13" s="37" t="str">
        <f>IF(AND('Mapa final'!$AB$53="Muy Alta",'Mapa final'!$AD$53="Leve"),CONCATENATE("R8C",'Mapa final'!$R$53),"")</f>
        <v/>
      </c>
      <c r="L13" s="37" t="str">
        <f>IF(AND('Mapa final'!$AB$54="Muy Alta",'Mapa final'!$AD$54="Leve"),CONCATENATE("R8C",'Mapa final'!$R$54),"")</f>
        <v/>
      </c>
      <c r="M13" s="37" t="str">
        <f>IF(AND('Mapa final'!$AB$55="Muy Alta",'Mapa final'!$AD$55="Leve"),CONCATENATE("R8C",'Mapa final'!$R$55),"")</f>
        <v/>
      </c>
      <c r="N13" s="37" t="str">
        <f>IF(AND('Mapa final'!$AB$56="Muy Alta",'Mapa final'!$AD$56="Leve"),CONCATENATE("R8C",'Mapa final'!$R$56),"")</f>
        <v/>
      </c>
      <c r="O13" s="38" t="str">
        <f>IF(AND('Mapa final'!$AB$57="Muy Alta",'Mapa final'!$AD$57="Leve"),CONCATENATE("R8C",'Mapa final'!$R$57),"")</f>
        <v/>
      </c>
      <c r="P13" s="36" t="str">
        <f>IF(AND('Mapa final'!$AB$52="Muy Alta",'Mapa final'!$AD$52="Menor"),CONCATENATE("R8C",'Mapa final'!$R$52),"")</f>
        <v/>
      </c>
      <c r="Q13" s="37" t="str">
        <f>IF(AND('Mapa final'!$AB$53="Muy Alta",'Mapa final'!$AD$53="Menor"),CONCATENATE("R8C",'Mapa final'!$R$53),"")</f>
        <v/>
      </c>
      <c r="R13" s="37" t="str">
        <f>IF(AND('Mapa final'!$AB$54="Muy Alta",'Mapa final'!$AD$54="Menor"),CONCATENATE("R8C",'Mapa final'!$R$54),"")</f>
        <v/>
      </c>
      <c r="S13" s="37" t="str">
        <f>IF(AND('Mapa final'!$AB$55="Muy Alta",'Mapa final'!$AD$55="Menor"),CONCATENATE("R8C",'Mapa final'!$R$55),"")</f>
        <v/>
      </c>
      <c r="T13" s="37" t="str">
        <f>IF(AND('Mapa final'!$AB$56="Muy Alta",'Mapa final'!$AD$56="Menor"),CONCATENATE("R8C",'Mapa final'!$R$56),"")</f>
        <v/>
      </c>
      <c r="U13" s="38" t="str">
        <f>IF(AND('Mapa final'!$AB$57="Muy Alta",'Mapa final'!$AD$57="Menor"),CONCATENATE("R8C",'Mapa final'!$R$57),"")</f>
        <v/>
      </c>
      <c r="V13" s="36" t="str">
        <f>IF(AND('Mapa final'!$AB$52="Muy Alta",'Mapa final'!$AD$52="Moderado"),CONCATENATE("R8C",'Mapa final'!$R$52),"")</f>
        <v/>
      </c>
      <c r="W13" s="37" t="str">
        <f>IF(AND('Mapa final'!$AB$53="Muy Alta",'Mapa final'!$AD$53="Moderado"),CONCATENATE("R8C",'Mapa final'!$R$53),"")</f>
        <v/>
      </c>
      <c r="X13" s="37" t="str">
        <f>IF(AND('Mapa final'!$AB$54="Muy Alta",'Mapa final'!$AD$54="Moderado"),CONCATENATE("R8C",'Mapa final'!$R$54),"")</f>
        <v/>
      </c>
      <c r="Y13" s="37" t="str">
        <f>IF(AND('Mapa final'!$AB$55="Muy Alta",'Mapa final'!$AD$55="Moderado"),CONCATENATE("R8C",'Mapa final'!$R$55),"")</f>
        <v/>
      </c>
      <c r="Z13" s="37" t="str">
        <f>IF(AND('Mapa final'!$AB$56="Muy Alta",'Mapa final'!$AD$56="Moderado"),CONCATENATE("R8C",'Mapa final'!$R$56),"")</f>
        <v/>
      </c>
      <c r="AA13" s="38" t="str">
        <f>IF(AND('Mapa final'!$AB$57="Muy Alta",'Mapa final'!$AD$57="Moderado"),CONCATENATE("R8C",'Mapa final'!$R$57),"")</f>
        <v/>
      </c>
      <c r="AB13" s="36" t="str">
        <f>IF(AND('Mapa final'!$AB$52="Muy Alta",'Mapa final'!$AD$52="Mayor"),CONCATENATE("R8C",'Mapa final'!$R$52),"")</f>
        <v/>
      </c>
      <c r="AC13" s="37" t="str">
        <f>IF(AND('Mapa final'!$AB$53="Muy Alta",'Mapa final'!$AD$53="Mayor"),CONCATENATE("R8C",'Mapa final'!$R$53),"")</f>
        <v/>
      </c>
      <c r="AD13" s="37" t="str">
        <f>IF(AND('Mapa final'!$AB$54="Muy Alta",'Mapa final'!$AD$54="Mayor"),CONCATENATE("R8C",'Mapa final'!$R$54),"")</f>
        <v/>
      </c>
      <c r="AE13" s="37" t="str">
        <f>IF(AND('Mapa final'!$AB$55="Muy Alta",'Mapa final'!$AD$55="Mayor"),CONCATENATE("R8C",'Mapa final'!$R$55),"")</f>
        <v/>
      </c>
      <c r="AF13" s="37" t="str">
        <f>IF(AND('Mapa final'!$AB$56="Muy Alta",'Mapa final'!$AD$56="Mayor"),CONCATENATE("R8C",'Mapa final'!$R$56),"")</f>
        <v/>
      </c>
      <c r="AG13" s="38" t="str">
        <f>IF(AND('Mapa final'!$AB$57="Muy Alta",'Mapa final'!$AD$57="Mayor"),CONCATENATE("R8C",'Mapa final'!$R$57),"")</f>
        <v/>
      </c>
      <c r="AH13" s="39" t="str">
        <f>IF(AND('Mapa final'!$AB$52="Muy Alta",'Mapa final'!$AD$52="Catastrófico"),CONCATENATE("R8C",'Mapa final'!$R$52),"")</f>
        <v/>
      </c>
      <c r="AI13" s="40" t="str">
        <f>IF(AND('Mapa final'!$AB$53="Muy Alta",'Mapa final'!$AD$53="Catastrófico"),CONCATENATE("R8C",'Mapa final'!$R$53),"")</f>
        <v/>
      </c>
      <c r="AJ13" s="40" t="str">
        <f>IF(AND('Mapa final'!$AB$54="Muy Alta",'Mapa final'!$AD$54="Catastrófico"),CONCATENATE("R8C",'Mapa final'!$R$54),"")</f>
        <v/>
      </c>
      <c r="AK13" s="40" t="str">
        <f>IF(AND('Mapa final'!$AB$55="Muy Alta",'Mapa final'!$AD$55="Catastrófico"),CONCATENATE("R8C",'Mapa final'!$R$55),"")</f>
        <v/>
      </c>
      <c r="AL13" s="40" t="str">
        <f>IF(AND('Mapa final'!$AB$56="Muy Alta",'Mapa final'!$AD$56="Catastrófico"),CONCATENATE("R8C",'Mapa final'!$R$56),"")</f>
        <v/>
      </c>
      <c r="AM13" s="41" t="str">
        <f>IF(AND('Mapa final'!$AB$57="Muy Alta",'Mapa final'!$AD$57="Catastrófico"),CONCATENATE("R8C",'Mapa final'!$R$57),"")</f>
        <v/>
      </c>
      <c r="AN13" s="67"/>
      <c r="AO13" s="556"/>
      <c r="AP13" s="557"/>
      <c r="AQ13" s="557"/>
      <c r="AR13" s="557"/>
      <c r="AS13" s="557"/>
      <c r="AT13" s="558"/>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25">
      <c r="A14" s="67"/>
      <c r="B14" s="451"/>
      <c r="C14" s="451"/>
      <c r="D14" s="452"/>
      <c r="E14" s="550"/>
      <c r="F14" s="549"/>
      <c r="G14" s="549"/>
      <c r="H14" s="549"/>
      <c r="I14" s="565"/>
      <c r="J14" s="36" t="str">
        <f>IF(AND('Mapa final'!$AB$58="Muy Alta",'Mapa final'!$AD$58="Leve"),CONCATENATE("R9C",'Mapa final'!$R$58),"")</f>
        <v/>
      </c>
      <c r="K14" s="37" t="str">
        <f>IF(AND('Mapa final'!$AB$59="Muy Alta",'Mapa final'!$AD$59="Leve"),CONCATENATE("R9C",'Mapa final'!$R$59),"")</f>
        <v/>
      </c>
      <c r="L14" s="37" t="str">
        <f>IF(AND('Mapa final'!$AB$60="Muy Alta",'Mapa final'!$AD$60="Leve"),CONCATENATE("R9C",'Mapa final'!$R$60),"")</f>
        <v/>
      </c>
      <c r="M14" s="37" t="str">
        <f>IF(AND('Mapa final'!$AB$61="Muy Alta",'Mapa final'!$AD$61="Leve"),CONCATENATE("R9C",'Mapa final'!$R$61),"")</f>
        <v/>
      </c>
      <c r="N14" s="37" t="str">
        <f>IF(AND('Mapa final'!$AB$62="Muy Alta",'Mapa final'!$AD$62="Leve"),CONCATENATE("R9C",'Mapa final'!$R$62),"")</f>
        <v/>
      </c>
      <c r="O14" s="38" t="str">
        <f>IF(AND('Mapa final'!$AB$63="Muy Alta",'Mapa final'!$AD$63="Leve"),CONCATENATE("R9C",'Mapa final'!$R$63),"")</f>
        <v/>
      </c>
      <c r="P14" s="36" t="str">
        <f>IF(AND('Mapa final'!$AB$58="Muy Alta",'Mapa final'!$AD$58="Menor"),CONCATENATE("R9C",'Mapa final'!$R$58),"")</f>
        <v/>
      </c>
      <c r="Q14" s="37" t="str">
        <f>IF(AND('Mapa final'!$AB$59="Muy Alta",'Mapa final'!$AD$59="Menor"),CONCATENATE("R9C",'Mapa final'!$R$59),"")</f>
        <v/>
      </c>
      <c r="R14" s="37" t="str">
        <f>IF(AND('Mapa final'!$AB$60="Muy Alta",'Mapa final'!$AD$60="Menor"),CONCATENATE("R9C",'Mapa final'!$R$60),"")</f>
        <v/>
      </c>
      <c r="S14" s="37" t="str">
        <f>IF(AND('Mapa final'!$AB$61="Muy Alta",'Mapa final'!$AD$61="Menor"),CONCATENATE("R9C",'Mapa final'!$R$61),"")</f>
        <v/>
      </c>
      <c r="T14" s="37" t="str">
        <f>IF(AND('Mapa final'!$AB$62="Muy Alta",'Mapa final'!$AD$62="Menor"),CONCATENATE("R9C",'Mapa final'!$R$62),"")</f>
        <v/>
      </c>
      <c r="U14" s="38" t="str">
        <f>IF(AND('Mapa final'!$AB$63="Muy Alta",'Mapa final'!$AD$63="Menor"),CONCATENATE("R9C",'Mapa final'!$R$63),"")</f>
        <v/>
      </c>
      <c r="V14" s="36" t="str">
        <f>IF(AND('Mapa final'!$AB$58="Muy Alta",'Mapa final'!$AD$58="Moderado"),CONCATENATE("R9C",'Mapa final'!$R$58),"")</f>
        <v/>
      </c>
      <c r="W14" s="37" t="str">
        <f>IF(AND('Mapa final'!$AB$59="Muy Alta",'Mapa final'!$AD$59="Moderado"),CONCATENATE("R9C",'Mapa final'!$R$59),"")</f>
        <v/>
      </c>
      <c r="X14" s="37" t="str">
        <f>IF(AND('Mapa final'!$AB$60="Muy Alta",'Mapa final'!$AD$60="Moderado"),CONCATENATE("R9C",'Mapa final'!$R$60),"")</f>
        <v/>
      </c>
      <c r="Y14" s="37" t="str">
        <f>IF(AND('Mapa final'!$AB$61="Muy Alta",'Mapa final'!$AD$61="Moderado"),CONCATENATE("R9C",'Mapa final'!$R$61),"")</f>
        <v/>
      </c>
      <c r="Z14" s="37" t="str">
        <f>IF(AND('Mapa final'!$AB$62="Muy Alta",'Mapa final'!$AD$62="Moderado"),CONCATENATE("R9C",'Mapa final'!$R$62),"")</f>
        <v/>
      </c>
      <c r="AA14" s="38" t="str">
        <f>IF(AND('Mapa final'!$AB$63="Muy Alta",'Mapa final'!$AD$63="Moderado"),CONCATENATE("R9C",'Mapa final'!$R$63),"")</f>
        <v/>
      </c>
      <c r="AB14" s="36" t="str">
        <f>IF(AND('Mapa final'!$AB$58="Muy Alta",'Mapa final'!$AD$58="Mayor"),CONCATENATE("R9C",'Mapa final'!$R$58),"")</f>
        <v/>
      </c>
      <c r="AC14" s="37" t="str">
        <f>IF(AND('Mapa final'!$AB$59="Muy Alta",'Mapa final'!$AD$59="Mayor"),CONCATENATE("R9C",'Mapa final'!$R$59),"")</f>
        <v/>
      </c>
      <c r="AD14" s="37" t="str">
        <f>IF(AND('Mapa final'!$AB$60="Muy Alta",'Mapa final'!$AD$60="Mayor"),CONCATENATE("R9C",'Mapa final'!$R$60),"")</f>
        <v/>
      </c>
      <c r="AE14" s="37" t="str">
        <f>IF(AND('Mapa final'!$AB$61="Muy Alta",'Mapa final'!$AD$61="Mayor"),CONCATENATE("R9C",'Mapa final'!$R$61),"")</f>
        <v/>
      </c>
      <c r="AF14" s="37" t="str">
        <f>IF(AND('Mapa final'!$AB$62="Muy Alta",'Mapa final'!$AD$62="Mayor"),CONCATENATE("R9C",'Mapa final'!$R$62),"")</f>
        <v/>
      </c>
      <c r="AG14" s="38" t="str">
        <f>IF(AND('Mapa final'!$AB$63="Muy Alta",'Mapa final'!$AD$63="Mayor"),CONCATENATE("R9C",'Mapa final'!$R$63),"")</f>
        <v/>
      </c>
      <c r="AH14" s="39" t="str">
        <f>IF(AND('Mapa final'!$AB$58="Muy Alta",'Mapa final'!$AD$58="Catastrófico"),CONCATENATE("R9C",'Mapa final'!$R$58),"")</f>
        <v/>
      </c>
      <c r="AI14" s="40" t="str">
        <f>IF(AND('Mapa final'!$AB$59="Muy Alta",'Mapa final'!$AD$59="Catastrófico"),CONCATENATE("R9C",'Mapa final'!$R$59),"")</f>
        <v/>
      </c>
      <c r="AJ14" s="40" t="str">
        <f>IF(AND('Mapa final'!$AB$60="Muy Alta",'Mapa final'!$AD$60="Catastrófico"),CONCATENATE("R9C",'Mapa final'!$R$60),"")</f>
        <v/>
      </c>
      <c r="AK14" s="40" t="str">
        <f>IF(AND('Mapa final'!$AB$61="Muy Alta",'Mapa final'!$AD$61="Catastrófico"),CONCATENATE("R9C",'Mapa final'!$R$61),"")</f>
        <v/>
      </c>
      <c r="AL14" s="40" t="str">
        <f>IF(AND('Mapa final'!$AB$62="Muy Alta",'Mapa final'!$AD$62="Catastrófico"),CONCATENATE("R9C",'Mapa final'!$R$62),"")</f>
        <v/>
      </c>
      <c r="AM14" s="41" t="str">
        <f>IF(AND('Mapa final'!$AB$63="Muy Alta",'Mapa final'!$AD$63="Catastrófico"),CONCATENATE("R9C",'Mapa final'!$R$63),"")</f>
        <v/>
      </c>
      <c r="AN14" s="67"/>
      <c r="AO14" s="556"/>
      <c r="AP14" s="557"/>
      <c r="AQ14" s="557"/>
      <c r="AR14" s="557"/>
      <c r="AS14" s="557"/>
      <c r="AT14" s="558"/>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
      <c r="A15" s="67"/>
      <c r="B15" s="451"/>
      <c r="C15" s="451"/>
      <c r="D15" s="452"/>
      <c r="E15" s="551"/>
      <c r="F15" s="552"/>
      <c r="G15" s="552"/>
      <c r="H15" s="552"/>
      <c r="I15" s="566"/>
      <c r="J15" s="42" t="str">
        <f>IF(AND('Mapa final'!$AB$64="Muy Alta",'Mapa final'!$AD$64="Leve"),CONCATENATE("R10C",'Mapa final'!$R$64),"")</f>
        <v/>
      </c>
      <c r="K15" s="43" t="str">
        <f>IF(AND('Mapa final'!$AB$65="Muy Alta",'Mapa final'!$AD$65="Leve"),CONCATENATE("R10C",'Mapa final'!$R$65),"")</f>
        <v/>
      </c>
      <c r="L15" s="43" t="str">
        <f>IF(AND('Mapa final'!$AB$66="Muy Alta",'Mapa final'!$AD$66="Leve"),CONCATENATE("R10C",'Mapa final'!$R$66),"")</f>
        <v/>
      </c>
      <c r="M15" s="43" t="str">
        <f>IF(AND('Mapa final'!$AB$67="Muy Alta",'Mapa final'!$AD$67="Leve"),CONCATENATE("R10C",'Mapa final'!$R$67),"")</f>
        <v/>
      </c>
      <c r="N15" s="43" t="str">
        <f>IF(AND('Mapa final'!$AB$68="Muy Alta",'Mapa final'!$AD$68="Leve"),CONCATENATE("R10C",'Mapa final'!$R$68),"")</f>
        <v/>
      </c>
      <c r="O15" s="44" t="str">
        <f>IF(AND('Mapa final'!$AB$69="Muy Alta",'Mapa final'!$AD$69="Leve"),CONCATENATE("R10C",'Mapa final'!$R$69),"")</f>
        <v/>
      </c>
      <c r="P15" s="36" t="str">
        <f>IF(AND('Mapa final'!$AB$64="Muy Alta",'Mapa final'!$AD$64="Menor"),CONCATENATE("R10C",'Mapa final'!$R$64),"")</f>
        <v/>
      </c>
      <c r="Q15" s="37" t="str">
        <f>IF(AND('Mapa final'!$AB$65="Muy Alta",'Mapa final'!$AD$65="Menor"),CONCATENATE("R10C",'Mapa final'!$R$65),"")</f>
        <v/>
      </c>
      <c r="R15" s="37" t="str">
        <f>IF(AND('Mapa final'!$AB$66="Muy Alta",'Mapa final'!$AD$66="Menor"),CONCATENATE("R10C",'Mapa final'!$R$66),"")</f>
        <v/>
      </c>
      <c r="S15" s="37" t="str">
        <f>IF(AND('Mapa final'!$AB$67="Muy Alta",'Mapa final'!$AD$67="Menor"),CONCATENATE("R10C",'Mapa final'!$R$67),"")</f>
        <v/>
      </c>
      <c r="T15" s="37" t="str">
        <f>IF(AND('Mapa final'!$AB$68="Muy Alta",'Mapa final'!$AD$68="Menor"),CONCATENATE("R10C",'Mapa final'!$R$68),"")</f>
        <v/>
      </c>
      <c r="U15" s="38" t="str">
        <f>IF(AND('Mapa final'!$AB$69="Muy Alta",'Mapa final'!$AD$69="Menor"),CONCATENATE("R10C",'Mapa final'!$R$69),"")</f>
        <v/>
      </c>
      <c r="V15" s="42" t="str">
        <f>IF(AND('Mapa final'!$AB$64="Muy Alta",'Mapa final'!$AD$64="Moderado"),CONCATENATE("R10C",'Mapa final'!$R$64),"")</f>
        <v/>
      </c>
      <c r="W15" s="43" t="str">
        <f>IF(AND('Mapa final'!$AB$65="Muy Alta",'Mapa final'!$AD$65="Moderado"),CONCATENATE("R10C",'Mapa final'!$R$65),"")</f>
        <v/>
      </c>
      <c r="X15" s="43" t="str">
        <f>IF(AND('Mapa final'!$AB$66="Muy Alta",'Mapa final'!$AD$66="Moderado"),CONCATENATE("R10C",'Mapa final'!$R$66),"")</f>
        <v/>
      </c>
      <c r="Y15" s="43" t="str">
        <f>IF(AND('Mapa final'!$AB$67="Muy Alta",'Mapa final'!$AD$67="Moderado"),CONCATENATE("R10C",'Mapa final'!$R$67),"")</f>
        <v/>
      </c>
      <c r="Z15" s="43" t="str">
        <f>IF(AND('Mapa final'!$AB$68="Muy Alta",'Mapa final'!$AD$68="Moderado"),CONCATENATE("R10C",'Mapa final'!$R$68),"")</f>
        <v/>
      </c>
      <c r="AA15" s="44" t="str">
        <f>IF(AND('Mapa final'!$AB$69="Muy Alta",'Mapa final'!$AD$69="Moderado"),CONCATENATE("R10C",'Mapa final'!$R$69),"")</f>
        <v/>
      </c>
      <c r="AB15" s="36" t="str">
        <f>IF(AND('Mapa final'!$AB$64="Muy Alta",'Mapa final'!$AD$64="Mayor"),CONCATENATE("R10C",'Mapa final'!$R$64),"")</f>
        <v/>
      </c>
      <c r="AC15" s="37" t="str">
        <f>IF(AND('Mapa final'!$AB$65="Muy Alta",'Mapa final'!$AD$65="Mayor"),CONCATENATE("R10C",'Mapa final'!$R$65),"")</f>
        <v/>
      </c>
      <c r="AD15" s="37" t="str">
        <f>IF(AND('Mapa final'!$AB$66="Muy Alta",'Mapa final'!$AD$66="Mayor"),CONCATENATE("R10C",'Mapa final'!$R$66),"")</f>
        <v/>
      </c>
      <c r="AE15" s="37" t="str">
        <f>IF(AND('Mapa final'!$AB$67="Muy Alta",'Mapa final'!$AD$67="Mayor"),CONCATENATE("R10C",'Mapa final'!$R$67),"")</f>
        <v/>
      </c>
      <c r="AF15" s="37" t="str">
        <f>IF(AND('Mapa final'!$AB$68="Muy Alta",'Mapa final'!$AD$68="Mayor"),CONCATENATE("R10C",'Mapa final'!$R$68),"")</f>
        <v/>
      </c>
      <c r="AG15" s="38" t="str">
        <f>IF(AND('Mapa final'!$AB$69="Muy Alta",'Mapa final'!$AD$69="Mayor"),CONCATENATE("R10C",'Mapa final'!$R$69),"")</f>
        <v/>
      </c>
      <c r="AH15" s="45" t="str">
        <f>IF(AND('Mapa final'!$AB$64="Muy Alta",'Mapa final'!$AD$64="Catastrófico"),CONCATENATE("R10C",'Mapa final'!$R$64),"")</f>
        <v/>
      </c>
      <c r="AI15" s="46" t="str">
        <f>IF(AND('Mapa final'!$AB$65="Muy Alta",'Mapa final'!$AD$65="Catastrófico"),CONCATENATE("R10C",'Mapa final'!$R$65),"")</f>
        <v/>
      </c>
      <c r="AJ15" s="46" t="str">
        <f>IF(AND('Mapa final'!$AB$66="Muy Alta",'Mapa final'!$AD$66="Catastrófico"),CONCATENATE("R10C",'Mapa final'!$R$66),"")</f>
        <v/>
      </c>
      <c r="AK15" s="46" t="str">
        <f>IF(AND('Mapa final'!$AB$67="Muy Alta",'Mapa final'!$AD$67="Catastrófico"),CONCATENATE("R10C",'Mapa final'!$R$67),"")</f>
        <v/>
      </c>
      <c r="AL15" s="46" t="str">
        <f>IF(AND('Mapa final'!$AB$68="Muy Alta",'Mapa final'!$AD$68="Catastrófico"),CONCATENATE("R10C",'Mapa final'!$R$68),"")</f>
        <v/>
      </c>
      <c r="AM15" s="47" t="str">
        <f>IF(AND('Mapa final'!$AB$69="Muy Alta",'Mapa final'!$AD$69="Catastrófico"),CONCATENATE("R10C",'Mapa final'!$R$69),"")</f>
        <v/>
      </c>
      <c r="AN15" s="67"/>
      <c r="AO15" s="559"/>
      <c r="AP15" s="560"/>
      <c r="AQ15" s="560"/>
      <c r="AR15" s="560"/>
      <c r="AS15" s="560"/>
      <c r="AT15" s="561"/>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25">
      <c r="A16" s="67"/>
      <c r="B16" s="451"/>
      <c r="C16" s="451"/>
      <c r="D16" s="452"/>
      <c r="E16" s="546" t="s">
        <v>110</v>
      </c>
      <c r="F16" s="547"/>
      <c r="G16" s="547"/>
      <c r="H16" s="547"/>
      <c r="I16" s="547"/>
      <c r="J16" s="48" t="str">
        <f>IF(AND('Mapa final'!$AB$10="Alta",'Mapa final'!$AD$10="Leve"),CONCATENATE("R1C",'Mapa final'!$R$10),"")</f>
        <v/>
      </c>
      <c r="K16" s="49" t="str">
        <f>IF(AND('Mapa final'!$AB$11="Alta",'Mapa final'!$AD$11="Leve"),CONCATENATE("R1C",'Mapa final'!$R$11),"")</f>
        <v/>
      </c>
      <c r="L16" s="49" t="str">
        <f>IF(AND('Mapa final'!$AB$12="Alta",'Mapa final'!$AD$12="Leve"),CONCATENATE("R1C",'Mapa final'!$R$12),"")</f>
        <v/>
      </c>
      <c r="M16" s="49" t="str">
        <f>IF(AND('Mapa final'!$AB$13="Alta",'Mapa final'!$AD$13="Leve"),CONCATENATE("R1C",'Mapa final'!$R$13),"")</f>
        <v/>
      </c>
      <c r="N16" s="49" t="str">
        <f>IF(AND('Mapa final'!$AB$14="Alta",'Mapa final'!$AD$14="Leve"),CONCATENATE("R1C",'Mapa final'!$R$14),"")</f>
        <v/>
      </c>
      <c r="O16" s="50" t="str">
        <f>IF(AND('Mapa final'!$AB$15="Alta",'Mapa final'!$AD$15="Leve"),CONCATENATE("R1C",'Mapa final'!$R$15),"")</f>
        <v/>
      </c>
      <c r="P16" s="48" t="str">
        <f>IF(AND('Mapa final'!$AB$10="Alta",'Mapa final'!$AD$10="Menor"),CONCATENATE("R1C",'Mapa final'!$R$10),"")</f>
        <v/>
      </c>
      <c r="Q16" s="49" t="str">
        <f>IF(AND('Mapa final'!$AB$11="Alta",'Mapa final'!$AD$11="Menor"),CONCATENATE("R1C",'Mapa final'!$R$11),"")</f>
        <v/>
      </c>
      <c r="R16" s="49" t="str">
        <f>IF(AND('Mapa final'!$AB$12="Alta",'Mapa final'!$AD$12="Menor"),CONCATENATE("R1C",'Mapa final'!$R$12),"")</f>
        <v/>
      </c>
      <c r="S16" s="49" t="str">
        <f>IF(AND('Mapa final'!$AB$13="Alta",'Mapa final'!$AD$13="Menor"),CONCATENATE("R1C",'Mapa final'!$R$13),"")</f>
        <v/>
      </c>
      <c r="T16" s="49" t="str">
        <f>IF(AND('Mapa final'!$AB$14="Alta",'Mapa final'!$AD$14="Menor"),CONCATENATE("R1C",'Mapa final'!$R$14),"")</f>
        <v/>
      </c>
      <c r="U16" s="50" t="str">
        <f>IF(AND('Mapa final'!$AB$15="Alta",'Mapa final'!$AD$15="Menor"),CONCATENATE("R1C",'Mapa final'!$R$15),"")</f>
        <v/>
      </c>
      <c r="V16" s="30" t="str">
        <f>IF(AND('Mapa final'!$AB$10="Alta",'Mapa final'!$AD$10="Moderado"),CONCATENATE("R1C",'Mapa final'!$R$10),"")</f>
        <v/>
      </c>
      <c r="W16" s="31" t="str">
        <f>IF(AND('Mapa final'!$AB$11="Alta",'Mapa final'!$AD$11="Moderado"),CONCATENATE("R1C",'Mapa final'!$R$11),"")</f>
        <v/>
      </c>
      <c r="X16" s="31" t="str">
        <f>IF(AND('Mapa final'!$AB$12="Alta",'Mapa final'!$AD$12="Moderado"),CONCATENATE("R1C",'Mapa final'!$R$12),"")</f>
        <v/>
      </c>
      <c r="Y16" s="31" t="str">
        <f>IF(AND('Mapa final'!$AB$13="Alta",'Mapa final'!$AD$13="Moderado"),CONCATENATE("R1C",'Mapa final'!$R$13),"")</f>
        <v/>
      </c>
      <c r="Z16" s="31" t="str">
        <f>IF(AND('Mapa final'!$AB$14="Alta",'Mapa final'!$AD$14="Moderado"),CONCATENATE("R1C",'Mapa final'!$R$14),"")</f>
        <v/>
      </c>
      <c r="AA16" s="32" t="str">
        <f>IF(AND('Mapa final'!$AB$15="Alta",'Mapa final'!$AD$15="Moderado"),CONCATENATE("R1C",'Mapa final'!$R$15),"")</f>
        <v/>
      </c>
      <c r="AB16" s="30" t="str">
        <f>IF(AND('Mapa final'!$AB$10="Alta",'Mapa final'!$AD$10="Mayor"),CONCATENATE("R1C",'Mapa final'!$R$10),"")</f>
        <v/>
      </c>
      <c r="AC16" s="31" t="str">
        <f>IF(AND('Mapa final'!$AB$11="Alta",'Mapa final'!$AD$11="Mayor"),CONCATENATE("R1C",'Mapa final'!$R$11),"")</f>
        <v/>
      </c>
      <c r="AD16" s="31" t="str">
        <f>IF(AND('Mapa final'!$AB$12="Alta",'Mapa final'!$AD$12="Mayor"),CONCATENATE("R1C",'Mapa final'!$R$12),"")</f>
        <v/>
      </c>
      <c r="AE16" s="31" t="str">
        <f>IF(AND('Mapa final'!$AB$13="Alta",'Mapa final'!$AD$13="Mayor"),CONCATENATE("R1C",'Mapa final'!$R$13),"")</f>
        <v/>
      </c>
      <c r="AF16" s="31" t="str">
        <f>IF(AND('Mapa final'!$AB$14="Alta",'Mapa final'!$AD$14="Mayor"),CONCATENATE("R1C",'Mapa final'!$R$14),"")</f>
        <v/>
      </c>
      <c r="AG16" s="32" t="str">
        <f>IF(AND('Mapa final'!$AB$15="Alta",'Mapa final'!$AD$15="Mayor"),CONCATENATE("R1C",'Mapa final'!$R$15),"")</f>
        <v/>
      </c>
      <c r="AH16" s="33" t="str">
        <f>IF(AND('Mapa final'!$AB$10="Alta",'Mapa final'!$AD$10="Catastrófico"),CONCATENATE("R1C",'Mapa final'!$R$10),"")</f>
        <v/>
      </c>
      <c r="AI16" s="34" t="str">
        <f>IF(AND('Mapa final'!$AB$11="Alta",'Mapa final'!$AD$11="Catastrófico"),CONCATENATE("R1C",'Mapa final'!$R$11),"")</f>
        <v/>
      </c>
      <c r="AJ16" s="34" t="str">
        <f>IF(AND('Mapa final'!$AB$12="Alta",'Mapa final'!$AD$12="Catastrófico"),CONCATENATE("R1C",'Mapa final'!$R$12),"")</f>
        <v/>
      </c>
      <c r="AK16" s="34" t="str">
        <f>IF(AND('Mapa final'!$AB$13="Alta",'Mapa final'!$AD$13="Catastrófico"),CONCATENATE("R1C",'Mapa final'!$R$13),"")</f>
        <v/>
      </c>
      <c r="AL16" s="34" t="str">
        <f>IF(AND('Mapa final'!$AB$14="Alta",'Mapa final'!$AD$14="Catastrófico"),CONCATENATE("R1C",'Mapa final'!$R$14),"")</f>
        <v/>
      </c>
      <c r="AM16" s="35" t="str">
        <f>IF(AND('Mapa final'!$AB$15="Alta",'Mapa final'!$AD$15="Catastrófico"),CONCATENATE("R1C",'Mapa final'!$R$15),"")</f>
        <v/>
      </c>
      <c r="AN16" s="67"/>
      <c r="AO16" s="537" t="s">
        <v>79</v>
      </c>
      <c r="AP16" s="538"/>
      <c r="AQ16" s="538"/>
      <c r="AR16" s="538"/>
      <c r="AS16" s="538"/>
      <c r="AT16" s="539"/>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25">
      <c r="A17" s="67"/>
      <c r="B17" s="451"/>
      <c r="C17" s="451"/>
      <c r="D17" s="452"/>
      <c r="E17" s="548"/>
      <c r="F17" s="549"/>
      <c r="G17" s="549"/>
      <c r="H17" s="549"/>
      <c r="I17" s="549"/>
      <c r="J17" s="51" t="str">
        <f>IF(AND('Mapa final'!$AB$16="Alta",'Mapa final'!$AD$16="Leve"),CONCATENATE("R2C",'Mapa final'!$R$16),"")</f>
        <v/>
      </c>
      <c r="K17" s="52" t="str">
        <f>IF(AND('Mapa final'!$AB$17="Alta",'Mapa final'!$AD$17="Leve"),CONCATENATE("R2C",'Mapa final'!$R$17),"")</f>
        <v/>
      </c>
      <c r="L17" s="52" t="str">
        <f>IF(AND('Mapa final'!$AB$18="Alta",'Mapa final'!$AD$18="Leve"),CONCATENATE("R2C",'Mapa final'!$R$18),"")</f>
        <v/>
      </c>
      <c r="M17" s="52" t="str">
        <f>IF(AND('Mapa final'!$AB$19="Alta",'Mapa final'!$AD$19="Leve"),CONCATENATE("R2C",'Mapa final'!$R$19),"")</f>
        <v/>
      </c>
      <c r="N17" s="52" t="str">
        <f>IF(AND('Mapa final'!$AB$20="Alta",'Mapa final'!$AD$20="Leve"),CONCATENATE("R2C",'Mapa final'!$R$20),"")</f>
        <v/>
      </c>
      <c r="O17" s="53" t="str">
        <f>IF(AND('Mapa final'!$AB$21="Alta",'Mapa final'!$AD$21="Leve"),CONCATENATE("R2C",'Mapa final'!$R$21),"")</f>
        <v/>
      </c>
      <c r="P17" s="51" t="str">
        <f>IF(AND('Mapa final'!$AB$16="Alta",'Mapa final'!$AD$16="Menor"),CONCATENATE("R2C",'Mapa final'!$R$16),"")</f>
        <v/>
      </c>
      <c r="Q17" s="52" t="str">
        <f>IF(AND('Mapa final'!$AB$17="Alta",'Mapa final'!$AD$17="Menor"),CONCATENATE("R2C",'Mapa final'!$R$17),"")</f>
        <v/>
      </c>
      <c r="R17" s="52" t="str">
        <f>IF(AND('Mapa final'!$AB$18="Alta",'Mapa final'!$AD$18="Menor"),CONCATENATE("R2C",'Mapa final'!$R$18),"")</f>
        <v/>
      </c>
      <c r="S17" s="52" t="str">
        <f>IF(AND('Mapa final'!$AB$19="Alta",'Mapa final'!$AD$19="Menor"),CONCATENATE("R2C",'Mapa final'!$R$19),"")</f>
        <v/>
      </c>
      <c r="T17" s="52" t="str">
        <f>IF(AND('Mapa final'!$AB$20="Alta",'Mapa final'!$AD$20="Menor"),CONCATENATE("R2C",'Mapa final'!$R$20),"")</f>
        <v/>
      </c>
      <c r="U17" s="53" t="str">
        <f>IF(AND('Mapa final'!$AB$21="Alta",'Mapa final'!$AD$21="Menor"),CONCATENATE("R2C",'Mapa final'!$R$21),"")</f>
        <v/>
      </c>
      <c r="V17" s="36" t="str">
        <f>IF(AND('Mapa final'!$AB$16="Alta",'Mapa final'!$AD$16="Moderado"),CONCATENATE("R2C",'Mapa final'!$R$16),"")</f>
        <v/>
      </c>
      <c r="W17" s="37" t="str">
        <f>IF(AND('Mapa final'!$AB$17="Alta",'Mapa final'!$AD$17="Moderado"),CONCATENATE("R2C",'Mapa final'!$R$17),"")</f>
        <v/>
      </c>
      <c r="X17" s="37" t="str">
        <f>IF(AND('Mapa final'!$AB$18="Alta",'Mapa final'!$AD$18="Moderado"),CONCATENATE("R2C",'Mapa final'!$R$18),"")</f>
        <v/>
      </c>
      <c r="Y17" s="37" t="str">
        <f>IF(AND('Mapa final'!$AB$19="Alta",'Mapa final'!$AD$19="Moderado"),CONCATENATE("R2C",'Mapa final'!$R$19),"")</f>
        <v/>
      </c>
      <c r="Z17" s="37" t="str">
        <f>IF(AND('Mapa final'!$AB$20="Alta",'Mapa final'!$AD$20="Moderado"),CONCATENATE("R2C",'Mapa final'!$R$20),"")</f>
        <v/>
      </c>
      <c r="AA17" s="38" t="str">
        <f>IF(AND('Mapa final'!$AB$21="Alta",'Mapa final'!$AD$21="Moderado"),CONCATENATE("R2C",'Mapa final'!$R$21),"")</f>
        <v/>
      </c>
      <c r="AB17" s="36" t="str">
        <f>IF(AND('Mapa final'!$AB$16="Alta",'Mapa final'!$AD$16="Mayor"),CONCATENATE("R2C",'Mapa final'!$R$16),"")</f>
        <v/>
      </c>
      <c r="AC17" s="37" t="str">
        <f>IF(AND('Mapa final'!$AB$17="Alta",'Mapa final'!$AD$17="Mayor"),CONCATENATE("R2C",'Mapa final'!$R$17),"")</f>
        <v/>
      </c>
      <c r="AD17" s="37" t="str">
        <f>IF(AND('Mapa final'!$AB$18="Alta",'Mapa final'!$AD$18="Mayor"),CONCATENATE("R2C",'Mapa final'!$R$18),"")</f>
        <v/>
      </c>
      <c r="AE17" s="37" t="str">
        <f>IF(AND('Mapa final'!$AB$19="Alta",'Mapa final'!$AD$19="Mayor"),CONCATENATE("R2C",'Mapa final'!$R$19),"")</f>
        <v/>
      </c>
      <c r="AF17" s="37" t="str">
        <f>IF(AND('Mapa final'!$AB$20="Alta",'Mapa final'!$AD$20="Mayor"),CONCATENATE("R2C",'Mapa final'!$R$20),"")</f>
        <v/>
      </c>
      <c r="AG17" s="38" t="str">
        <f>IF(AND('Mapa final'!$AB$21="Alta",'Mapa final'!$AD$21="Mayor"),CONCATENATE("R2C",'Mapa final'!$R$21),"")</f>
        <v/>
      </c>
      <c r="AH17" s="39" t="str">
        <f>IF(AND('Mapa final'!$AB$16="Alta",'Mapa final'!$AD$16="Catastrófico"),CONCATENATE("R2C",'Mapa final'!$R$16),"")</f>
        <v/>
      </c>
      <c r="AI17" s="40" t="str">
        <f>IF(AND('Mapa final'!$AB$17="Alta",'Mapa final'!$AD$17="Catastrófico"),CONCATENATE("R2C",'Mapa final'!$R$17),"")</f>
        <v/>
      </c>
      <c r="AJ17" s="40" t="str">
        <f>IF(AND('Mapa final'!$AB$18="Alta",'Mapa final'!$AD$18="Catastrófico"),CONCATENATE("R2C",'Mapa final'!$R$18),"")</f>
        <v/>
      </c>
      <c r="AK17" s="40" t="str">
        <f>IF(AND('Mapa final'!$AB$19="Alta",'Mapa final'!$AD$19="Catastrófico"),CONCATENATE("R2C",'Mapa final'!$R$19),"")</f>
        <v/>
      </c>
      <c r="AL17" s="40" t="str">
        <f>IF(AND('Mapa final'!$AB$20="Alta",'Mapa final'!$AD$20="Catastrófico"),CONCATENATE("R2C",'Mapa final'!$R$20),"")</f>
        <v/>
      </c>
      <c r="AM17" s="41" t="str">
        <f>IF(AND('Mapa final'!$AB$21="Alta",'Mapa final'!$AD$21="Catastrófico"),CONCATENATE("R2C",'Mapa final'!$R$21),"")</f>
        <v/>
      </c>
      <c r="AN17" s="67"/>
      <c r="AO17" s="540"/>
      <c r="AP17" s="541"/>
      <c r="AQ17" s="541"/>
      <c r="AR17" s="541"/>
      <c r="AS17" s="541"/>
      <c r="AT17" s="542"/>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25">
      <c r="A18" s="67"/>
      <c r="B18" s="451"/>
      <c r="C18" s="451"/>
      <c r="D18" s="452"/>
      <c r="E18" s="550"/>
      <c r="F18" s="549"/>
      <c r="G18" s="549"/>
      <c r="H18" s="549"/>
      <c r="I18" s="549"/>
      <c r="J18" s="51" t="str">
        <f>IF(AND('Mapa final'!$AB$22="Alta",'Mapa final'!$AD$22="Leve"),CONCATENATE("R3C",'Mapa final'!$R$22),"")</f>
        <v/>
      </c>
      <c r="K18" s="52" t="str">
        <f>IF(AND('Mapa final'!$AB$23="Alta",'Mapa final'!$AD$23="Leve"),CONCATENATE("R3C",'Mapa final'!$R$23),"")</f>
        <v/>
      </c>
      <c r="L18" s="52" t="str">
        <f>IF(AND('Mapa final'!$AB$24="Alta",'Mapa final'!$AD$24="Leve"),CONCATENATE("R3C",'Mapa final'!$R$24),"")</f>
        <v/>
      </c>
      <c r="M18" s="52" t="str">
        <f>IF(AND('Mapa final'!$AB$25="Alta",'Mapa final'!$AD$25="Leve"),CONCATENATE("R3C",'Mapa final'!$R$25),"")</f>
        <v/>
      </c>
      <c r="N18" s="52" t="str">
        <f>IF(AND('Mapa final'!$AB$26="Alta",'Mapa final'!$AD$26="Leve"),CONCATENATE("R3C",'Mapa final'!$R$26),"")</f>
        <v/>
      </c>
      <c r="O18" s="53" t="str">
        <f>IF(AND('Mapa final'!$AB$27="Alta",'Mapa final'!$AD$27="Leve"),CONCATENATE("R3C",'Mapa final'!$R$27),"")</f>
        <v/>
      </c>
      <c r="P18" s="51" t="str">
        <f>IF(AND('Mapa final'!$AB$22="Alta",'Mapa final'!$AD$22="Menor"),CONCATENATE("R3C",'Mapa final'!$R$22),"")</f>
        <v/>
      </c>
      <c r="Q18" s="52" t="str">
        <f>IF(AND('Mapa final'!$AB$23="Alta",'Mapa final'!$AD$23="Menor"),CONCATENATE("R3C",'Mapa final'!$R$23),"")</f>
        <v/>
      </c>
      <c r="R18" s="52" t="str">
        <f>IF(AND('Mapa final'!$AB$24="Alta",'Mapa final'!$AD$24="Menor"),CONCATENATE("R3C",'Mapa final'!$R$24),"")</f>
        <v/>
      </c>
      <c r="S18" s="52" t="str">
        <f>IF(AND('Mapa final'!$AB$25="Alta",'Mapa final'!$AD$25="Menor"),CONCATENATE("R3C",'Mapa final'!$R$25),"")</f>
        <v/>
      </c>
      <c r="T18" s="52" t="str">
        <f>IF(AND('Mapa final'!$AB$26="Alta",'Mapa final'!$AD$26="Menor"),CONCATENATE("R3C",'Mapa final'!$R$26),"")</f>
        <v/>
      </c>
      <c r="U18" s="53" t="str">
        <f>IF(AND('Mapa final'!$AB$27="Alta",'Mapa final'!$AD$27="Menor"),CONCATENATE("R3C",'Mapa final'!$R$27),"")</f>
        <v/>
      </c>
      <c r="V18" s="36" t="str">
        <f>IF(AND('Mapa final'!$AB$22="Alta",'Mapa final'!$AD$22="Moderado"),CONCATENATE("R3C",'Mapa final'!$R$22),"")</f>
        <v/>
      </c>
      <c r="W18" s="37" t="str">
        <f>IF(AND('Mapa final'!$AB$23="Alta",'Mapa final'!$AD$23="Moderado"),CONCATENATE("R3C",'Mapa final'!$R$23),"")</f>
        <v/>
      </c>
      <c r="X18" s="37" t="str">
        <f>IF(AND('Mapa final'!$AB$24="Alta",'Mapa final'!$AD$24="Moderado"),CONCATENATE("R3C",'Mapa final'!$R$24),"")</f>
        <v/>
      </c>
      <c r="Y18" s="37" t="str">
        <f>IF(AND('Mapa final'!$AB$25="Alta",'Mapa final'!$AD$25="Moderado"),CONCATENATE("R3C",'Mapa final'!$R$25),"")</f>
        <v/>
      </c>
      <c r="Z18" s="37" t="str">
        <f>IF(AND('Mapa final'!$AB$26="Alta",'Mapa final'!$AD$26="Moderado"),CONCATENATE("R3C",'Mapa final'!$R$26),"")</f>
        <v/>
      </c>
      <c r="AA18" s="38" t="str">
        <f>IF(AND('Mapa final'!$AB$27="Alta",'Mapa final'!$AD$27="Moderado"),CONCATENATE("R3C",'Mapa final'!$R$27),"")</f>
        <v/>
      </c>
      <c r="AB18" s="36" t="str">
        <f>IF(AND('Mapa final'!$AB$22="Alta",'Mapa final'!$AD$22="Mayor"),CONCATENATE("R3C",'Mapa final'!$R$22),"")</f>
        <v/>
      </c>
      <c r="AC18" s="37" t="str">
        <f>IF(AND('Mapa final'!$AB$23="Alta",'Mapa final'!$AD$23="Mayor"),CONCATENATE("R3C",'Mapa final'!$R$23),"")</f>
        <v/>
      </c>
      <c r="AD18" s="37" t="str">
        <f>IF(AND('Mapa final'!$AB$24="Alta",'Mapa final'!$AD$24="Mayor"),CONCATENATE("R3C",'Mapa final'!$R$24),"")</f>
        <v/>
      </c>
      <c r="AE18" s="37" t="str">
        <f>IF(AND('Mapa final'!$AB$25="Alta",'Mapa final'!$AD$25="Mayor"),CONCATENATE("R3C",'Mapa final'!$R$25),"")</f>
        <v/>
      </c>
      <c r="AF18" s="37" t="str">
        <f>IF(AND('Mapa final'!$AB$26="Alta",'Mapa final'!$AD$26="Mayor"),CONCATENATE("R3C",'Mapa final'!$R$26),"")</f>
        <v/>
      </c>
      <c r="AG18" s="38" t="str">
        <f>IF(AND('Mapa final'!$AB$27="Alta",'Mapa final'!$AD$27="Mayor"),CONCATENATE("R3C",'Mapa final'!$R$27),"")</f>
        <v/>
      </c>
      <c r="AH18" s="39" t="str">
        <f>IF(AND('Mapa final'!$AB$22="Alta",'Mapa final'!$AD$22="Catastrófico"),CONCATENATE("R3C",'Mapa final'!$R$22),"")</f>
        <v/>
      </c>
      <c r="AI18" s="40" t="str">
        <f>IF(AND('Mapa final'!$AB$23="Alta",'Mapa final'!$AD$23="Catastrófico"),CONCATENATE("R3C",'Mapa final'!$R$23),"")</f>
        <v/>
      </c>
      <c r="AJ18" s="40" t="str">
        <f>IF(AND('Mapa final'!$AB$24="Alta",'Mapa final'!$AD$24="Catastrófico"),CONCATENATE("R3C",'Mapa final'!$R$24),"")</f>
        <v/>
      </c>
      <c r="AK18" s="40" t="str">
        <f>IF(AND('Mapa final'!$AB$25="Alta",'Mapa final'!$AD$25="Catastrófico"),CONCATENATE("R3C",'Mapa final'!$R$25),"")</f>
        <v/>
      </c>
      <c r="AL18" s="40" t="str">
        <f>IF(AND('Mapa final'!$AB$26="Alta",'Mapa final'!$AD$26="Catastrófico"),CONCATENATE("R3C",'Mapa final'!$R$26),"")</f>
        <v/>
      </c>
      <c r="AM18" s="41" t="str">
        <f>IF(AND('Mapa final'!$AB$27="Alta",'Mapa final'!$AD$27="Catastrófico"),CONCATENATE("R3C",'Mapa final'!$R$27),"")</f>
        <v/>
      </c>
      <c r="AN18" s="67"/>
      <c r="AO18" s="540"/>
      <c r="AP18" s="541"/>
      <c r="AQ18" s="541"/>
      <c r="AR18" s="541"/>
      <c r="AS18" s="541"/>
      <c r="AT18" s="542"/>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25">
      <c r="A19" s="67"/>
      <c r="B19" s="451"/>
      <c r="C19" s="451"/>
      <c r="D19" s="452"/>
      <c r="E19" s="550"/>
      <c r="F19" s="549"/>
      <c r="G19" s="549"/>
      <c r="H19" s="549"/>
      <c r="I19" s="549"/>
      <c r="J19" s="51" t="str">
        <f>IF(AND('Mapa final'!$AB$28="Alta",'Mapa final'!$AD$28="Leve"),CONCATENATE("R4C",'Mapa final'!$R$28),"")</f>
        <v/>
      </c>
      <c r="K19" s="52" t="str">
        <f>IF(AND('Mapa final'!$AB$29="Alta",'Mapa final'!$AD$29="Leve"),CONCATENATE("R4C",'Mapa final'!$R$29),"")</f>
        <v/>
      </c>
      <c r="L19" s="52" t="str">
        <f>IF(AND('Mapa final'!$AB$30="Alta",'Mapa final'!$AD$30="Leve"),CONCATENATE("R4C",'Mapa final'!$R$30),"")</f>
        <v/>
      </c>
      <c r="M19" s="52" t="str">
        <f>IF(AND('Mapa final'!$AB$31="Alta",'Mapa final'!$AD$31="Leve"),CONCATENATE("R4C",'Mapa final'!$R$31),"")</f>
        <v/>
      </c>
      <c r="N19" s="52" t="str">
        <f>IF(AND('Mapa final'!$AB$32="Alta",'Mapa final'!$AD$32="Leve"),CONCATENATE("R4C",'Mapa final'!$R$32),"")</f>
        <v/>
      </c>
      <c r="O19" s="53" t="str">
        <f>IF(AND('Mapa final'!$AB$33="Alta",'Mapa final'!$AD$33="Leve"),CONCATENATE("R4C",'Mapa final'!$R$33),"")</f>
        <v/>
      </c>
      <c r="P19" s="51" t="str">
        <f>IF(AND('Mapa final'!$AB$28="Alta",'Mapa final'!$AD$28="Menor"),CONCATENATE("R4C",'Mapa final'!$R$28),"")</f>
        <v/>
      </c>
      <c r="Q19" s="52" t="str">
        <f>IF(AND('Mapa final'!$AB$29="Alta",'Mapa final'!$AD$29="Menor"),CONCATENATE("R4C",'Mapa final'!$R$29),"")</f>
        <v/>
      </c>
      <c r="R19" s="52" t="str">
        <f>IF(AND('Mapa final'!$AB$30="Alta",'Mapa final'!$AD$30="Menor"),CONCATENATE("R4C",'Mapa final'!$R$30),"")</f>
        <v/>
      </c>
      <c r="S19" s="52" t="str">
        <f>IF(AND('Mapa final'!$AB$31="Alta",'Mapa final'!$AD$31="Menor"),CONCATENATE("R4C",'Mapa final'!$R$31),"")</f>
        <v/>
      </c>
      <c r="T19" s="52" t="str">
        <f>IF(AND('Mapa final'!$AB$32="Alta",'Mapa final'!$AD$32="Menor"),CONCATENATE("R4C",'Mapa final'!$R$32),"")</f>
        <v/>
      </c>
      <c r="U19" s="53" t="str">
        <f>IF(AND('Mapa final'!$AB$33="Alta",'Mapa final'!$AD$33="Menor"),CONCATENATE("R4C",'Mapa final'!$R$33),"")</f>
        <v/>
      </c>
      <c r="V19" s="36" t="str">
        <f>IF(AND('Mapa final'!$AB$28="Alta",'Mapa final'!$AD$28="Moderado"),CONCATENATE("R4C",'Mapa final'!$R$28),"")</f>
        <v/>
      </c>
      <c r="W19" s="37" t="str">
        <f>IF(AND('Mapa final'!$AB$29="Alta",'Mapa final'!$AD$29="Moderado"),CONCATENATE("R4C",'Mapa final'!$R$29),"")</f>
        <v/>
      </c>
      <c r="X19" s="37" t="str">
        <f>IF(AND('Mapa final'!$AB$30="Alta",'Mapa final'!$AD$30="Moderado"),CONCATENATE("R4C",'Mapa final'!$R$30),"")</f>
        <v/>
      </c>
      <c r="Y19" s="37" t="str">
        <f>IF(AND('Mapa final'!$AB$31="Alta",'Mapa final'!$AD$31="Moderado"),CONCATENATE("R4C",'Mapa final'!$R$31),"")</f>
        <v/>
      </c>
      <c r="Z19" s="37" t="str">
        <f>IF(AND('Mapa final'!$AB$32="Alta",'Mapa final'!$AD$32="Moderado"),CONCATENATE("R4C",'Mapa final'!$R$32),"")</f>
        <v/>
      </c>
      <c r="AA19" s="38" t="str">
        <f>IF(AND('Mapa final'!$AB$33="Alta",'Mapa final'!$AD$33="Moderado"),CONCATENATE("R4C",'Mapa final'!$R$33),"")</f>
        <v/>
      </c>
      <c r="AB19" s="36" t="str">
        <f>IF(AND('Mapa final'!$AB$28="Alta",'Mapa final'!$AD$28="Mayor"),CONCATENATE("R4C",'Mapa final'!$R$28),"")</f>
        <v/>
      </c>
      <c r="AC19" s="37" t="str">
        <f>IF(AND('Mapa final'!$AB$29="Alta",'Mapa final'!$AD$29="Mayor"),CONCATENATE("R4C",'Mapa final'!$R$29),"")</f>
        <v/>
      </c>
      <c r="AD19" s="37" t="str">
        <f>IF(AND('Mapa final'!$AB$30="Alta",'Mapa final'!$AD$30="Mayor"),CONCATENATE("R4C",'Mapa final'!$R$30),"")</f>
        <v/>
      </c>
      <c r="AE19" s="37" t="str">
        <f>IF(AND('Mapa final'!$AB$31="Alta",'Mapa final'!$AD$31="Mayor"),CONCATENATE("R4C",'Mapa final'!$R$31),"")</f>
        <v/>
      </c>
      <c r="AF19" s="37" t="str">
        <f>IF(AND('Mapa final'!$AB$32="Alta",'Mapa final'!$AD$32="Mayor"),CONCATENATE("R4C",'Mapa final'!$R$32),"")</f>
        <v/>
      </c>
      <c r="AG19" s="38" t="str">
        <f>IF(AND('Mapa final'!$AB$33="Alta",'Mapa final'!$AD$33="Mayor"),CONCATENATE("R4C",'Mapa final'!$R$33),"")</f>
        <v/>
      </c>
      <c r="AH19" s="39" t="str">
        <f>IF(AND('Mapa final'!$AB$28="Alta",'Mapa final'!$AD$28="Catastrófico"),CONCATENATE("R4C",'Mapa final'!$R$28),"")</f>
        <v/>
      </c>
      <c r="AI19" s="40" t="str">
        <f>IF(AND('Mapa final'!$AB$29="Alta",'Mapa final'!$AD$29="Catastrófico"),CONCATENATE("R4C",'Mapa final'!$R$29),"")</f>
        <v/>
      </c>
      <c r="AJ19" s="40" t="str">
        <f>IF(AND('Mapa final'!$AB$30="Alta",'Mapa final'!$AD$30="Catastrófico"),CONCATENATE("R4C",'Mapa final'!$R$30),"")</f>
        <v/>
      </c>
      <c r="AK19" s="40" t="str">
        <f>IF(AND('Mapa final'!$AB$31="Alta",'Mapa final'!$AD$31="Catastrófico"),CONCATENATE("R4C",'Mapa final'!$R$31),"")</f>
        <v/>
      </c>
      <c r="AL19" s="40" t="str">
        <f>IF(AND('Mapa final'!$AB$32="Alta",'Mapa final'!$AD$32="Catastrófico"),CONCATENATE("R4C",'Mapa final'!$R$32),"")</f>
        <v/>
      </c>
      <c r="AM19" s="41" t="str">
        <f>IF(AND('Mapa final'!$AB$33="Alta",'Mapa final'!$AD$33="Catastrófico"),CONCATENATE("R4C",'Mapa final'!$R$33),"")</f>
        <v/>
      </c>
      <c r="AN19" s="67"/>
      <c r="AO19" s="540"/>
      <c r="AP19" s="541"/>
      <c r="AQ19" s="541"/>
      <c r="AR19" s="541"/>
      <c r="AS19" s="541"/>
      <c r="AT19" s="542"/>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25">
      <c r="A20" s="67"/>
      <c r="B20" s="451"/>
      <c r="C20" s="451"/>
      <c r="D20" s="452"/>
      <c r="E20" s="550"/>
      <c r="F20" s="549"/>
      <c r="G20" s="549"/>
      <c r="H20" s="549"/>
      <c r="I20" s="549"/>
      <c r="J20" s="51" t="str">
        <f>IF(AND('Mapa final'!$AB$34="Alta",'Mapa final'!$AD$34="Leve"),CONCATENATE("R5C",'Mapa final'!$R$34),"")</f>
        <v/>
      </c>
      <c r="K20" s="52" t="str">
        <f>IF(AND('Mapa final'!$AB$35="Alta",'Mapa final'!$AD$35="Leve"),CONCATENATE("R5C",'Mapa final'!$R$35),"")</f>
        <v/>
      </c>
      <c r="L20" s="52" t="str">
        <f>IF(AND('Mapa final'!$AB$36="Alta",'Mapa final'!$AD$36="Leve"),CONCATENATE("R5C",'Mapa final'!$R$36),"")</f>
        <v/>
      </c>
      <c r="M20" s="52" t="str">
        <f>IF(AND('Mapa final'!$AB$37="Alta",'Mapa final'!$AD$37="Leve"),CONCATENATE("R5C",'Mapa final'!$R$37),"")</f>
        <v/>
      </c>
      <c r="N20" s="52" t="str">
        <f>IF(AND('Mapa final'!$AB$38="Alta",'Mapa final'!$AD$38="Leve"),CONCATENATE("R5C",'Mapa final'!$R$38),"")</f>
        <v/>
      </c>
      <c r="O20" s="53" t="str">
        <f>IF(AND('Mapa final'!$AB$39="Alta",'Mapa final'!$AD$39="Leve"),CONCATENATE("R5C",'Mapa final'!$R$39),"")</f>
        <v/>
      </c>
      <c r="P20" s="51" t="str">
        <f>IF(AND('Mapa final'!$AB$34="Alta",'Mapa final'!$AD$34="Menor"),CONCATENATE("R5C",'Mapa final'!$R$34),"")</f>
        <v/>
      </c>
      <c r="Q20" s="52" t="str">
        <f>IF(AND('Mapa final'!$AB$35="Alta",'Mapa final'!$AD$35="Menor"),CONCATENATE("R5C",'Mapa final'!$R$35),"")</f>
        <v/>
      </c>
      <c r="R20" s="52" t="str">
        <f>IF(AND('Mapa final'!$AB$36="Alta",'Mapa final'!$AD$36="Menor"),CONCATENATE("R5C",'Mapa final'!$R$36),"")</f>
        <v/>
      </c>
      <c r="S20" s="52" t="str">
        <f>IF(AND('Mapa final'!$AB$37="Alta",'Mapa final'!$AD$37="Menor"),CONCATENATE("R5C",'Mapa final'!$R$37),"")</f>
        <v/>
      </c>
      <c r="T20" s="52" t="str">
        <f>IF(AND('Mapa final'!$AB$38="Alta",'Mapa final'!$AD$38="Menor"),CONCATENATE("R5C",'Mapa final'!$R$38),"")</f>
        <v/>
      </c>
      <c r="U20" s="53" t="str">
        <f>IF(AND('Mapa final'!$AB$39="Alta",'Mapa final'!$AD$39="Menor"),CONCATENATE("R5C",'Mapa final'!$R$39),"")</f>
        <v/>
      </c>
      <c r="V20" s="36" t="str">
        <f>IF(AND('Mapa final'!$AB$34="Alta",'Mapa final'!$AD$34="Moderado"),CONCATENATE("R5C",'Mapa final'!$R$34),"")</f>
        <v/>
      </c>
      <c r="W20" s="37" t="str">
        <f>IF(AND('Mapa final'!$AB$35="Alta",'Mapa final'!$AD$35="Moderado"),CONCATENATE("R5C",'Mapa final'!$R$35),"")</f>
        <v/>
      </c>
      <c r="X20" s="37" t="str">
        <f>IF(AND('Mapa final'!$AB$36="Alta",'Mapa final'!$AD$36="Moderado"),CONCATENATE("R5C",'Mapa final'!$R$36),"")</f>
        <v/>
      </c>
      <c r="Y20" s="37" t="str">
        <f>IF(AND('Mapa final'!$AB$37="Alta",'Mapa final'!$AD$37="Moderado"),CONCATENATE("R5C",'Mapa final'!$R$37),"")</f>
        <v/>
      </c>
      <c r="Z20" s="37" t="str">
        <f>IF(AND('Mapa final'!$AB$38="Alta",'Mapa final'!$AD$38="Moderado"),CONCATENATE("R5C",'Mapa final'!$R$38),"")</f>
        <v/>
      </c>
      <c r="AA20" s="38" t="str">
        <f>IF(AND('Mapa final'!$AB$39="Alta",'Mapa final'!$AD$39="Moderado"),CONCATENATE("R5C",'Mapa final'!$R$39),"")</f>
        <v/>
      </c>
      <c r="AB20" s="36" t="str">
        <f>IF(AND('Mapa final'!$AB$34="Alta",'Mapa final'!$AD$34="Mayor"),CONCATENATE("R5C",'Mapa final'!$R$34),"")</f>
        <v/>
      </c>
      <c r="AC20" s="37" t="str">
        <f>IF(AND('Mapa final'!$AB$35="Alta",'Mapa final'!$AD$35="Mayor"),CONCATENATE("R5C",'Mapa final'!$R$35),"")</f>
        <v/>
      </c>
      <c r="AD20" s="37" t="str">
        <f>IF(AND('Mapa final'!$AB$36="Alta",'Mapa final'!$AD$36="Mayor"),CONCATENATE("R5C",'Mapa final'!$R$36),"")</f>
        <v/>
      </c>
      <c r="AE20" s="37" t="str">
        <f>IF(AND('Mapa final'!$AB$37="Alta",'Mapa final'!$AD$37="Mayor"),CONCATENATE("R5C",'Mapa final'!$R$37),"")</f>
        <v/>
      </c>
      <c r="AF20" s="37" t="str">
        <f>IF(AND('Mapa final'!$AB$38="Alta",'Mapa final'!$AD$38="Mayor"),CONCATENATE("R5C",'Mapa final'!$R$38),"")</f>
        <v/>
      </c>
      <c r="AG20" s="38" t="str">
        <f>IF(AND('Mapa final'!$AB$39="Alta",'Mapa final'!$AD$39="Mayor"),CONCATENATE("R5C",'Mapa final'!$R$39),"")</f>
        <v/>
      </c>
      <c r="AH20" s="39" t="str">
        <f>IF(AND('Mapa final'!$AB$34="Alta",'Mapa final'!$AD$34="Catastrófico"),CONCATENATE("R5C",'Mapa final'!$R$34),"")</f>
        <v/>
      </c>
      <c r="AI20" s="40" t="str">
        <f>IF(AND('Mapa final'!$AB$35="Alta",'Mapa final'!$AD$35="Catastrófico"),CONCATENATE("R5C",'Mapa final'!$R$35),"")</f>
        <v/>
      </c>
      <c r="AJ20" s="40" t="str">
        <f>IF(AND('Mapa final'!$AB$36="Alta",'Mapa final'!$AD$36="Catastrófico"),CONCATENATE("R5C",'Mapa final'!$R$36),"")</f>
        <v/>
      </c>
      <c r="AK20" s="40" t="str">
        <f>IF(AND('Mapa final'!$AB$37="Alta",'Mapa final'!$AD$37="Catastrófico"),CONCATENATE("R5C",'Mapa final'!$R$37),"")</f>
        <v/>
      </c>
      <c r="AL20" s="40" t="str">
        <f>IF(AND('Mapa final'!$AB$38="Alta",'Mapa final'!$AD$38="Catastrófico"),CONCATENATE("R5C",'Mapa final'!$R$38),"")</f>
        <v/>
      </c>
      <c r="AM20" s="41" t="str">
        <f>IF(AND('Mapa final'!$AB$39="Alta",'Mapa final'!$AD$39="Catastrófico"),CONCATENATE("R5C",'Mapa final'!$R$39),"")</f>
        <v/>
      </c>
      <c r="AN20" s="67"/>
      <c r="AO20" s="540"/>
      <c r="AP20" s="541"/>
      <c r="AQ20" s="541"/>
      <c r="AR20" s="541"/>
      <c r="AS20" s="541"/>
      <c r="AT20" s="542"/>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25">
      <c r="A21" s="67"/>
      <c r="B21" s="451"/>
      <c r="C21" s="451"/>
      <c r="D21" s="452"/>
      <c r="E21" s="550"/>
      <c r="F21" s="549"/>
      <c r="G21" s="549"/>
      <c r="H21" s="549"/>
      <c r="I21" s="549"/>
      <c r="J21" s="51" t="str">
        <f>IF(AND('Mapa final'!$AB$40="Alta",'Mapa final'!$AD$40="Leve"),CONCATENATE("R6C",'Mapa final'!$R$40),"")</f>
        <v/>
      </c>
      <c r="K21" s="52" t="str">
        <f>IF(AND('Mapa final'!$AB$41="Alta",'Mapa final'!$AD$41="Leve"),CONCATENATE("R6C",'Mapa final'!$R$41),"")</f>
        <v/>
      </c>
      <c r="L21" s="52" t="str">
        <f>IF(AND('Mapa final'!$AB$42="Alta",'Mapa final'!$AD$42="Leve"),CONCATENATE("R6C",'Mapa final'!$R$42),"")</f>
        <v/>
      </c>
      <c r="M21" s="52" t="str">
        <f>IF(AND('Mapa final'!$AB$43="Alta",'Mapa final'!$AD$43="Leve"),CONCATENATE("R6C",'Mapa final'!$R$43),"")</f>
        <v/>
      </c>
      <c r="N21" s="52" t="str">
        <f>IF(AND('Mapa final'!$AB$44="Alta",'Mapa final'!$AD$44="Leve"),CONCATENATE("R6C",'Mapa final'!$R$44),"")</f>
        <v/>
      </c>
      <c r="O21" s="53" t="str">
        <f>IF(AND('Mapa final'!$AB$45="Alta",'Mapa final'!$AD$45="Leve"),CONCATENATE("R6C",'Mapa final'!$R$45),"")</f>
        <v/>
      </c>
      <c r="P21" s="51" t="str">
        <f>IF(AND('Mapa final'!$AB$40="Alta",'Mapa final'!$AD$40="Menor"),CONCATENATE("R6C",'Mapa final'!$R$40),"")</f>
        <v/>
      </c>
      <c r="Q21" s="52" t="str">
        <f>IF(AND('Mapa final'!$AB$41="Alta",'Mapa final'!$AD$41="Menor"),CONCATENATE("R6C",'Mapa final'!$R$41),"")</f>
        <v/>
      </c>
      <c r="R21" s="52" t="str">
        <f>IF(AND('Mapa final'!$AB$42="Alta",'Mapa final'!$AD$42="Menor"),CONCATENATE("R6C",'Mapa final'!$R$42),"")</f>
        <v/>
      </c>
      <c r="S21" s="52" t="str">
        <f>IF(AND('Mapa final'!$AB$43="Alta",'Mapa final'!$AD$43="Menor"),CONCATENATE("R6C",'Mapa final'!$R$43),"")</f>
        <v/>
      </c>
      <c r="T21" s="52" t="str">
        <f>IF(AND('Mapa final'!$AB$44="Alta",'Mapa final'!$AD$44="Menor"),CONCATENATE("R6C",'Mapa final'!$R$44),"")</f>
        <v/>
      </c>
      <c r="U21" s="53" t="str">
        <f>IF(AND('Mapa final'!$AB$45="Alta",'Mapa final'!$AD$45="Menor"),CONCATENATE("R6C",'Mapa final'!$R$45),"")</f>
        <v/>
      </c>
      <c r="V21" s="36" t="str">
        <f>IF(AND('Mapa final'!$AB$40="Alta",'Mapa final'!$AD$40="Moderado"),CONCATENATE("R6C",'Mapa final'!$R$40),"")</f>
        <v/>
      </c>
      <c r="W21" s="37" t="str">
        <f>IF(AND('Mapa final'!$AB$41="Alta",'Mapa final'!$AD$41="Moderado"),CONCATENATE("R6C",'Mapa final'!$R$41),"")</f>
        <v/>
      </c>
      <c r="X21" s="37" t="str">
        <f>IF(AND('Mapa final'!$AB$42="Alta",'Mapa final'!$AD$42="Moderado"),CONCATENATE("R6C",'Mapa final'!$R$42),"")</f>
        <v/>
      </c>
      <c r="Y21" s="37" t="str">
        <f>IF(AND('Mapa final'!$AB$43="Alta",'Mapa final'!$AD$43="Moderado"),CONCATENATE("R6C",'Mapa final'!$R$43),"")</f>
        <v/>
      </c>
      <c r="Z21" s="37" t="str">
        <f>IF(AND('Mapa final'!$AB$44="Alta",'Mapa final'!$AD$44="Moderado"),CONCATENATE("R6C",'Mapa final'!$R$44),"")</f>
        <v/>
      </c>
      <c r="AA21" s="38" t="str">
        <f>IF(AND('Mapa final'!$AB$45="Alta",'Mapa final'!$AD$45="Moderado"),CONCATENATE("R6C",'Mapa final'!$R$45),"")</f>
        <v/>
      </c>
      <c r="AB21" s="36" t="str">
        <f>IF(AND('Mapa final'!$AB$40="Alta",'Mapa final'!$AD$40="Mayor"),CONCATENATE("R6C",'Mapa final'!$R$40),"")</f>
        <v/>
      </c>
      <c r="AC21" s="37" t="str">
        <f>IF(AND('Mapa final'!$AB$41="Alta",'Mapa final'!$AD$41="Mayor"),CONCATENATE("R6C",'Mapa final'!$R$41),"")</f>
        <v/>
      </c>
      <c r="AD21" s="37" t="str">
        <f>IF(AND('Mapa final'!$AB$42="Alta",'Mapa final'!$AD$42="Mayor"),CONCATENATE("R6C",'Mapa final'!$R$42),"")</f>
        <v/>
      </c>
      <c r="AE21" s="37" t="str">
        <f>IF(AND('Mapa final'!$AB$43="Alta",'Mapa final'!$AD$43="Mayor"),CONCATENATE("R6C",'Mapa final'!$R$43),"")</f>
        <v/>
      </c>
      <c r="AF21" s="37" t="str">
        <f>IF(AND('Mapa final'!$AB$44="Alta",'Mapa final'!$AD$44="Mayor"),CONCATENATE("R6C",'Mapa final'!$R$44),"")</f>
        <v/>
      </c>
      <c r="AG21" s="38" t="str">
        <f>IF(AND('Mapa final'!$AB$45="Alta",'Mapa final'!$AD$45="Mayor"),CONCATENATE("R6C",'Mapa final'!$R$45),"")</f>
        <v/>
      </c>
      <c r="AH21" s="39" t="str">
        <f>IF(AND('Mapa final'!$AB$40="Alta",'Mapa final'!$AD$40="Catastrófico"),CONCATENATE("R6C",'Mapa final'!$R$40),"")</f>
        <v/>
      </c>
      <c r="AI21" s="40" t="str">
        <f>IF(AND('Mapa final'!$AB$41="Alta",'Mapa final'!$AD$41="Catastrófico"),CONCATENATE("R6C",'Mapa final'!$R$41),"")</f>
        <v/>
      </c>
      <c r="AJ21" s="40" t="str">
        <f>IF(AND('Mapa final'!$AB$42="Alta",'Mapa final'!$AD$42="Catastrófico"),CONCATENATE("R6C",'Mapa final'!$R$42),"")</f>
        <v/>
      </c>
      <c r="AK21" s="40" t="str">
        <f>IF(AND('Mapa final'!$AB$43="Alta",'Mapa final'!$AD$43="Catastrófico"),CONCATENATE("R6C",'Mapa final'!$R$43),"")</f>
        <v/>
      </c>
      <c r="AL21" s="40" t="str">
        <f>IF(AND('Mapa final'!$AB$44="Alta",'Mapa final'!$AD$44="Catastrófico"),CONCATENATE("R6C",'Mapa final'!$R$44),"")</f>
        <v/>
      </c>
      <c r="AM21" s="41" t="str">
        <f>IF(AND('Mapa final'!$AB$45="Alta",'Mapa final'!$AD$45="Catastrófico"),CONCATENATE("R6C",'Mapa final'!$R$45),"")</f>
        <v/>
      </c>
      <c r="AN21" s="67"/>
      <c r="AO21" s="540"/>
      <c r="AP21" s="541"/>
      <c r="AQ21" s="541"/>
      <c r="AR21" s="541"/>
      <c r="AS21" s="541"/>
      <c r="AT21" s="542"/>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25">
      <c r="A22" s="67"/>
      <c r="B22" s="451"/>
      <c r="C22" s="451"/>
      <c r="D22" s="452"/>
      <c r="E22" s="550"/>
      <c r="F22" s="549"/>
      <c r="G22" s="549"/>
      <c r="H22" s="549"/>
      <c r="I22" s="549"/>
      <c r="J22" s="51" t="str">
        <f>IF(AND('Mapa final'!$AB$46="Alta",'Mapa final'!$AD$46="Leve"),CONCATENATE("R7C",'Mapa final'!$R$46),"")</f>
        <v/>
      </c>
      <c r="K22" s="52" t="str">
        <f>IF(AND('Mapa final'!$AB$47="Alta",'Mapa final'!$AD$47="Leve"),CONCATENATE("R7C",'Mapa final'!$R$47),"")</f>
        <v/>
      </c>
      <c r="L22" s="52" t="str">
        <f>IF(AND('Mapa final'!$AB$48="Alta",'Mapa final'!$AD$48="Leve"),CONCATENATE("R7C",'Mapa final'!$R$48),"")</f>
        <v/>
      </c>
      <c r="M22" s="52" t="str">
        <f>IF(AND('Mapa final'!$AB$49="Alta",'Mapa final'!$AD$49="Leve"),CONCATENATE("R7C",'Mapa final'!$R$49),"")</f>
        <v/>
      </c>
      <c r="N22" s="52" t="str">
        <f>IF(AND('Mapa final'!$AB$50="Alta",'Mapa final'!$AD$50="Leve"),CONCATENATE("R7C",'Mapa final'!$R$50),"")</f>
        <v/>
      </c>
      <c r="O22" s="53" t="str">
        <f>IF(AND('Mapa final'!$AB$51="Alta",'Mapa final'!$AD$51="Leve"),CONCATENATE("R7C",'Mapa final'!$R$51),"")</f>
        <v/>
      </c>
      <c r="P22" s="51" t="str">
        <f>IF(AND('Mapa final'!$AB$46="Alta",'Mapa final'!$AD$46="Menor"),CONCATENATE("R7C",'Mapa final'!$R$46),"")</f>
        <v/>
      </c>
      <c r="Q22" s="52" t="str">
        <f>IF(AND('Mapa final'!$AB$47="Alta",'Mapa final'!$AD$47="Menor"),CONCATENATE("R7C",'Mapa final'!$R$47),"")</f>
        <v/>
      </c>
      <c r="R22" s="52" t="str">
        <f>IF(AND('Mapa final'!$AB$48="Alta",'Mapa final'!$AD$48="Menor"),CONCATENATE("R7C",'Mapa final'!$R$48),"")</f>
        <v/>
      </c>
      <c r="S22" s="52" t="str">
        <f>IF(AND('Mapa final'!$AB$49="Alta",'Mapa final'!$AD$49="Menor"),CONCATENATE("R7C",'Mapa final'!$R$49),"")</f>
        <v/>
      </c>
      <c r="T22" s="52" t="str">
        <f>IF(AND('Mapa final'!$AB$50="Alta",'Mapa final'!$AD$50="Menor"),CONCATENATE("R7C",'Mapa final'!$R$50),"")</f>
        <v/>
      </c>
      <c r="U22" s="53" t="str">
        <f>IF(AND('Mapa final'!$AB$51="Alta",'Mapa final'!$AD$51="Menor"),CONCATENATE("R7C",'Mapa final'!$R$51),"")</f>
        <v/>
      </c>
      <c r="V22" s="36" t="str">
        <f>IF(AND('Mapa final'!$AB$46="Alta",'Mapa final'!$AD$46="Moderado"),CONCATENATE("R7C",'Mapa final'!$R$46),"")</f>
        <v/>
      </c>
      <c r="W22" s="37" t="str">
        <f>IF(AND('Mapa final'!$AB$47="Alta",'Mapa final'!$AD$47="Moderado"),CONCATENATE("R7C",'Mapa final'!$R$47),"")</f>
        <v/>
      </c>
      <c r="X22" s="37" t="str">
        <f>IF(AND('Mapa final'!$AB$48="Alta",'Mapa final'!$AD$48="Moderado"),CONCATENATE("R7C",'Mapa final'!$R$48),"")</f>
        <v/>
      </c>
      <c r="Y22" s="37" t="str">
        <f>IF(AND('Mapa final'!$AB$49="Alta",'Mapa final'!$AD$49="Moderado"),CONCATENATE("R7C",'Mapa final'!$R$49),"")</f>
        <v/>
      </c>
      <c r="Z22" s="37" t="str">
        <f>IF(AND('Mapa final'!$AB$50="Alta",'Mapa final'!$AD$50="Moderado"),CONCATENATE("R7C",'Mapa final'!$R$50),"")</f>
        <v/>
      </c>
      <c r="AA22" s="38" t="str">
        <f>IF(AND('Mapa final'!$AB$51="Alta",'Mapa final'!$AD$51="Moderado"),CONCATENATE("R7C",'Mapa final'!$R$51),"")</f>
        <v/>
      </c>
      <c r="AB22" s="36" t="str">
        <f>IF(AND('Mapa final'!$AB$46="Alta",'Mapa final'!$AD$46="Mayor"),CONCATENATE("R7C",'Mapa final'!$R$46),"")</f>
        <v/>
      </c>
      <c r="AC22" s="37" t="str">
        <f>IF(AND('Mapa final'!$AB$47="Alta",'Mapa final'!$AD$47="Mayor"),CONCATENATE("R7C",'Mapa final'!$R$47),"")</f>
        <v/>
      </c>
      <c r="AD22" s="37" t="str">
        <f>IF(AND('Mapa final'!$AB$48="Alta",'Mapa final'!$AD$48="Mayor"),CONCATENATE("R7C",'Mapa final'!$R$48),"")</f>
        <v/>
      </c>
      <c r="AE22" s="37" t="str">
        <f>IF(AND('Mapa final'!$AB$49="Alta",'Mapa final'!$AD$49="Mayor"),CONCATENATE("R7C",'Mapa final'!$R$49),"")</f>
        <v/>
      </c>
      <c r="AF22" s="37" t="str">
        <f>IF(AND('Mapa final'!$AB$50="Alta",'Mapa final'!$AD$50="Mayor"),CONCATENATE("R7C",'Mapa final'!$R$50),"")</f>
        <v/>
      </c>
      <c r="AG22" s="38" t="str">
        <f>IF(AND('Mapa final'!$AB$51="Alta",'Mapa final'!$AD$51="Mayor"),CONCATENATE("R7C",'Mapa final'!$R$51),"")</f>
        <v/>
      </c>
      <c r="AH22" s="39" t="str">
        <f>IF(AND('Mapa final'!$AB$46="Alta",'Mapa final'!$AD$46="Catastrófico"),CONCATENATE("R7C",'Mapa final'!$R$46),"")</f>
        <v/>
      </c>
      <c r="AI22" s="40" t="str">
        <f>IF(AND('Mapa final'!$AB$47="Alta",'Mapa final'!$AD$47="Catastrófico"),CONCATENATE("R7C",'Mapa final'!$R$47),"")</f>
        <v/>
      </c>
      <c r="AJ22" s="40" t="str">
        <f>IF(AND('Mapa final'!$AB$48="Alta",'Mapa final'!$AD$48="Catastrófico"),CONCATENATE("R7C",'Mapa final'!$R$48),"")</f>
        <v/>
      </c>
      <c r="AK22" s="40" t="str">
        <f>IF(AND('Mapa final'!$AB$49="Alta",'Mapa final'!$AD$49="Catastrófico"),CONCATENATE("R7C",'Mapa final'!$R$49),"")</f>
        <v/>
      </c>
      <c r="AL22" s="40" t="str">
        <f>IF(AND('Mapa final'!$AB$50="Alta",'Mapa final'!$AD$50="Catastrófico"),CONCATENATE("R7C",'Mapa final'!$R$50),"")</f>
        <v/>
      </c>
      <c r="AM22" s="41" t="str">
        <f>IF(AND('Mapa final'!$AB$51="Alta",'Mapa final'!$AD$51="Catastrófico"),CONCATENATE("R7C",'Mapa final'!$R$51),"")</f>
        <v/>
      </c>
      <c r="AN22" s="67"/>
      <c r="AO22" s="540"/>
      <c r="AP22" s="541"/>
      <c r="AQ22" s="541"/>
      <c r="AR22" s="541"/>
      <c r="AS22" s="541"/>
      <c r="AT22" s="542"/>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25">
      <c r="A23" s="67"/>
      <c r="B23" s="451"/>
      <c r="C23" s="451"/>
      <c r="D23" s="452"/>
      <c r="E23" s="550"/>
      <c r="F23" s="549"/>
      <c r="G23" s="549"/>
      <c r="H23" s="549"/>
      <c r="I23" s="549"/>
      <c r="J23" s="51" t="str">
        <f>IF(AND('Mapa final'!$AB$52="Alta",'Mapa final'!$AD$52="Leve"),CONCATENATE("R8C",'Mapa final'!$R$52),"")</f>
        <v/>
      </c>
      <c r="K23" s="52" t="str">
        <f>IF(AND('Mapa final'!$AB$53="Alta",'Mapa final'!$AD$53="Leve"),CONCATENATE("R8C",'Mapa final'!$R$53),"")</f>
        <v/>
      </c>
      <c r="L23" s="52" t="str">
        <f>IF(AND('Mapa final'!$AB$54="Alta",'Mapa final'!$AD$54="Leve"),CONCATENATE("R8C",'Mapa final'!$R$54),"")</f>
        <v/>
      </c>
      <c r="M23" s="52" t="str">
        <f>IF(AND('Mapa final'!$AB$55="Alta",'Mapa final'!$AD$55="Leve"),CONCATENATE("R8C",'Mapa final'!$R$55),"")</f>
        <v/>
      </c>
      <c r="N23" s="52" t="str">
        <f>IF(AND('Mapa final'!$AB$56="Alta",'Mapa final'!$AD$56="Leve"),CONCATENATE("R8C",'Mapa final'!$R$56),"")</f>
        <v/>
      </c>
      <c r="O23" s="53" t="str">
        <f>IF(AND('Mapa final'!$AB$57="Alta",'Mapa final'!$AD$57="Leve"),CONCATENATE("R8C",'Mapa final'!$R$57),"")</f>
        <v/>
      </c>
      <c r="P23" s="51" t="str">
        <f>IF(AND('Mapa final'!$AB$52="Alta",'Mapa final'!$AD$52="Menor"),CONCATENATE("R8C",'Mapa final'!$R$52),"")</f>
        <v/>
      </c>
      <c r="Q23" s="52" t="str">
        <f>IF(AND('Mapa final'!$AB$53="Alta",'Mapa final'!$AD$53="Menor"),CONCATENATE("R8C",'Mapa final'!$R$53),"")</f>
        <v/>
      </c>
      <c r="R23" s="52" t="str">
        <f>IF(AND('Mapa final'!$AB$54="Alta",'Mapa final'!$AD$54="Menor"),CONCATENATE("R8C",'Mapa final'!$R$54),"")</f>
        <v/>
      </c>
      <c r="S23" s="52" t="str">
        <f>IF(AND('Mapa final'!$AB$55="Alta",'Mapa final'!$AD$55="Menor"),CONCATENATE("R8C",'Mapa final'!$R$55),"")</f>
        <v/>
      </c>
      <c r="T23" s="52" t="str">
        <f>IF(AND('Mapa final'!$AB$56="Alta",'Mapa final'!$AD$56="Menor"),CONCATENATE("R8C",'Mapa final'!$R$56),"")</f>
        <v/>
      </c>
      <c r="U23" s="53" t="str">
        <f>IF(AND('Mapa final'!$AB$57="Alta",'Mapa final'!$AD$57="Menor"),CONCATENATE("R8C",'Mapa final'!$R$57),"")</f>
        <v/>
      </c>
      <c r="V23" s="36" t="str">
        <f>IF(AND('Mapa final'!$AB$52="Alta",'Mapa final'!$AD$52="Moderado"),CONCATENATE("R8C",'Mapa final'!$R$52),"")</f>
        <v/>
      </c>
      <c r="W23" s="37" t="str">
        <f>IF(AND('Mapa final'!$AB$53="Alta",'Mapa final'!$AD$53="Moderado"),CONCATENATE("R8C",'Mapa final'!$R$53),"")</f>
        <v/>
      </c>
      <c r="X23" s="37" t="str">
        <f>IF(AND('Mapa final'!$AB$54="Alta",'Mapa final'!$AD$54="Moderado"),CONCATENATE("R8C",'Mapa final'!$R$54),"")</f>
        <v/>
      </c>
      <c r="Y23" s="37" t="str">
        <f>IF(AND('Mapa final'!$AB$55="Alta",'Mapa final'!$AD$55="Moderado"),CONCATENATE("R8C",'Mapa final'!$R$55),"")</f>
        <v/>
      </c>
      <c r="Z23" s="37" t="str">
        <f>IF(AND('Mapa final'!$AB$56="Alta",'Mapa final'!$AD$56="Moderado"),CONCATENATE("R8C",'Mapa final'!$R$56),"")</f>
        <v/>
      </c>
      <c r="AA23" s="38" t="str">
        <f>IF(AND('Mapa final'!$AB$57="Alta",'Mapa final'!$AD$57="Moderado"),CONCATENATE("R8C",'Mapa final'!$R$57),"")</f>
        <v/>
      </c>
      <c r="AB23" s="36" t="str">
        <f>IF(AND('Mapa final'!$AB$52="Alta",'Mapa final'!$AD$52="Mayor"),CONCATENATE("R8C",'Mapa final'!$R$52),"")</f>
        <v/>
      </c>
      <c r="AC23" s="37" t="str">
        <f>IF(AND('Mapa final'!$AB$53="Alta",'Mapa final'!$AD$53="Mayor"),CONCATENATE("R8C",'Mapa final'!$R$53),"")</f>
        <v/>
      </c>
      <c r="AD23" s="37" t="str">
        <f>IF(AND('Mapa final'!$AB$54="Alta",'Mapa final'!$AD$54="Mayor"),CONCATENATE("R8C",'Mapa final'!$R$54),"")</f>
        <v/>
      </c>
      <c r="AE23" s="37" t="str">
        <f>IF(AND('Mapa final'!$AB$55="Alta",'Mapa final'!$AD$55="Mayor"),CONCATENATE("R8C",'Mapa final'!$R$55),"")</f>
        <v/>
      </c>
      <c r="AF23" s="37" t="str">
        <f>IF(AND('Mapa final'!$AB$56="Alta",'Mapa final'!$AD$56="Mayor"),CONCATENATE("R8C",'Mapa final'!$R$56),"")</f>
        <v/>
      </c>
      <c r="AG23" s="38" t="str">
        <f>IF(AND('Mapa final'!$AB$57="Alta",'Mapa final'!$AD$57="Mayor"),CONCATENATE("R8C",'Mapa final'!$R$57),"")</f>
        <v/>
      </c>
      <c r="AH23" s="39" t="str">
        <f>IF(AND('Mapa final'!$AB$52="Alta",'Mapa final'!$AD$52="Catastrófico"),CONCATENATE("R8C",'Mapa final'!$R$52),"")</f>
        <v/>
      </c>
      <c r="AI23" s="40" t="str">
        <f>IF(AND('Mapa final'!$AB$53="Alta",'Mapa final'!$AD$53="Catastrófico"),CONCATENATE("R8C",'Mapa final'!$R$53),"")</f>
        <v/>
      </c>
      <c r="AJ23" s="40" t="str">
        <f>IF(AND('Mapa final'!$AB$54="Alta",'Mapa final'!$AD$54="Catastrófico"),CONCATENATE("R8C",'Mapa final'!$R$54),"")</f>
        <v/>
      </c>
      <c r="AK23" s="40" t="str">
        <f>IF(AND('Mapa final'!$AB$55="Alta",'Mapa final'!$AD$55="Catastrófico"),CONCATENATE("R8C",'Mapa final'!$R$55),"")</f>
        <v/>
      </c>
      <c r="AL23" s="40" t="str">
        <f>IF(AND('Mapa final'!$AB$56="Alta",'Mapa final'!$AD$56="Catastrófico"),CONCATENATE("R8C",'Mapa final'!$R$56),"")</f>
        <v/>
      </c>
      <c r="AM23" s="41" t="str">
        <f>IF(AND('Mapa final'!$AB$57="Alta",'Mapa final'!$AD$57="Catastrófico"),CONCATENATE("R8C",'Mapa final'!$R$57),"")</f>
        <v/>
      </c>
      <c r="AN23" s="67"/>
      <c r="AO23" s="540"/>
      <c r="AP23" s="541"/>
      <c r="AQ23" s="541"/>
      <c r="AR23" s="541"/>
      <c r="AS23" s="541"/>
      <c r="AT23" s="542"/>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25">
      <c r="A24" s="67"/>
      <c r="B24" s="451"/>
      <c r="C24" s="451"/>
      <c r="D24" s="452"/>
      <c r="E24" s="550"/>
      <c r="F24" s="549"/>
      <c r="G24" s="549"/>
      <c r="H24" s="549"/>
      <c r="I24" s="549"/>
      <c r="J24" s="51" t="str">
        <f>IF(AND('Mapa final'!$AB$58="Alta",'Mapa final'!$AD$58="Leve"),CONCATENATE("R9C",'Mapa final'!$R$58),"")</f>
        <v/>
      </c>
      <c r="K24" s="52" t="str">
        <f>IF(AND('Mapa final'!$AB$59="Alta",'Mapa final'!$AD$59="Leve"),CONCATENATE("R9C",'Mapa final'!$R$59),"")</f>
        <v/>
      </c>
      <c r="L24" s="52" t="str">
        <f>IF(AND('Mapa final'!$AB$60="Alta",'Mapa final'!$AD$60="Leve"),CONCATENATE("R9C",'Mapa final'!$R$60),"")</f>
        <v/>
      </c>
      <c r="M24" s="52" t="str">
        <f>IF(AND('Mapa final'!$AB$61="Alta",'Mapa final'!$AD$61="Leve"),CONCATENATE("R9C",'Mapa final'!$R$61),"")</f>
        <v/>
      </c>
      <c r="N24" s="52" t="str">
        <f>IF(AND('Mapa final'!$AB$62="Alta",'Mapa final'!$AD$62="Leve"),CONCATENATE("R9C",'Mapa final'!$R$62),"")</f>
        <v/>
      </c>
      <c r="O24" s="53" t="str">
        <f>IF(AND('Mapa final'!$AB$63="Alta",'Mapa final'!$AD$63="Leve"),CONCATENATE("R9C",'Mapa final'!$R$63),"")</f>
        <v/>
      </c>
      <c r="P24" s="51" t="str">
        <f>IF(AND('Mapa final'!$AB$58="Alta",'Mapa final'!$AD$58="Menor"),CONCATENATE("R9C",'Mapa final'!$R$58),"")</f>
        <v/>
      </c>
      <c r="Q24" s="52" t="str">
        <f>IF(AND('Mapa final'!$AB$59="Alta",'Mapa final'!$AD$59="Menor"),CONCATENATE("R9C",'Mapa final'!$R$59),"")</f>
        <v/>
      </c>
      <c r="R24" s="52" t="str">
        <f>IF(AND('Mapa final'!$AB$60="Alta",'Mapa final'!$AD$60="Menor"),CONCATENATE("R9C",'Mapa final'!$R$60),"")</f>
        <v/>
      </c>
      <c r="S24" s="52" t="str">
        <f>IF(AND('Mapa final'!$AB$61="Alta",'Mapa final'!$AD$61="Menor"),CONCATENATE("R9C",'Mapa final'!$R$61),"")</f>
        <v/>
      </c>
      <c r="T24" s="52" t="str">
        <f>IF(AND('Mapa final'!$AB$62="Alta",'Mapa final'!$AD$62="Menor"),CONCATENATE("R9C",'Mapa final'!$R$62),"")</f>
        <v/>
      </c>
      <c r="U24" s="53" t="str">
        <f>IF(AND('Mapa final'!$AB$63="Alta",'Mapa final'!$AD$63="Menor"),CONCATENATE("R9C",'Mapa final'!$R$63),"")</f>
        <v/>
      </c>
      <c r="V24" s="36" t="str">
        <f>IF(AND('Mapa final'!$AB$58="Alta",'Mapa final'!$AD$58="Moderado"),CONCATENATE("R9C",'Mapa final'!$R$58),"")</f>
        <v/>
      </c>
      <c r="W24" s="37" t="str">
        <f>IF(AND('Mapa final'!$AB$59="Alta",'Mapa final'!$AD$59="Moderado"),CONCATENATE("R9C",'Mapa final'!$R$59),"")</f>
        <v/>
      </c>
      <c r="X24" s="37" t="str">
        <f>IF(AND('Mapa final'!$AB$60="Alta",'Mapa final'!$AD$60="Moderado"),CONCATENATE("R9C",'Mapa final'!$R$60),"")</f>
        <v/>
      </c>
      <c r="Y24" s="37" t="str">
        <f>IF(AND('Mapa final'!$AB$61="Alta",'Mapa final'!$AD$61="Moderado"),CONCATENATE("R9C",'Mapa final'!$R$61),"")</f>
        <v/>
      </c>
      <c r="Z24" s="37" t="str">
        <f>IF(AND('Mapa final'!$AB$62="Alta",'Mapa final'!$AD$62="Moderado"),CONCATENATE("R9C",'Mapa final'!$R$62),"")</f>
        <v/>
      </c>
      <c r="AA24" s="38" t="str">
        <f>IF(AND('Mapa final'!$AB$63="Alta",'Mapa final'!$AD$63="Moderado"),CONCATENATE("R9C",'Mapa final'!$R$63),"")</f>
        <v/>
      </c>
      <c r="AB24" s="36" t="str">
        <f>IF(AND('Mapa final'!$AB$58="Alta",'Mapa final'!$AD$58="Mayor"),CONCATENATE("R9C",'Mapa final'!$R$58),"")</f>
        <v/>
      </c>
      <c r="AC24" s="37" t="str">
        <f>IF(AND('Mapa final'!$AB$59="Alta",'Mapa final'!$AD$59="Mayor"),CONCATENATE("R9C",'Mapa final'!$R$59),"")</f>
        <v/>
      </c>
      <c r="AD24" s="37" t="str">
        <f>IF(AND('Mapa final'!$AB$60="Alta",'Mapa final'!$AD$60="Mayor"),CONCATENATE("R9C",'Mapa final'!$R$60),"")</f>
        <v/>
      </c>
      <c r="AE24" s="37" t="str">
        <f>IF(AND('Mapa final'!$AB$61="Alta",'Mapa final'!$AD$61="Mayor"),CONCATENATE("R9C",'Mapa final'!$R$61),"")</f>
        <v/>
      </c>
      <c r="AF24" s="37" t="str">
        <f>IF(AND('Mapa final'!$AB$62="Alta",'Mapa final'!$AD$62="Mayor"),CONCATENATE("R9C",'Mapa final'!$R$62),"")</f>
        <v/>
      </c>
      <c r="AG24" s="38" t="str">
        <f>IF(AND('Mapa final'!$AB$63="Alta",'Mapa final'!$AD$63="Mayor"),CONCATENATE("R9C",'Mapa final'!$R$63),"")</f>
        <v/>
      </c>
      <c r="AH24" s="39" t="str">
        <f>IF(AND('Mapa final'!$AB$58="Alta",'Mapa final'!$AD$58="Catastrófico"),CONCATENATE("R9C",'Mapa final'!$R$58),"")</f>
        <v/>
      </c>
      <c r="AI24" s="40" t="str">
        <f>IF(AND('Mapa final'!$AB$59="Alta",'Mapa final'!$AD$59="Catastrófico"),CONCATENATE("R9C",'Mapa final'!$R$59),"")</f>
        <v/>
      </c>
      <c r="AJ24" s="40" t="str">
        <f>IF(AND('Mapa final'!$AB$60="Alta",'Mapa final'!$AD$60="Catastrófico"),CONCATENATE("R9C",'Mapa final'!$R$60),"")</f>
        <v/>
      </c>
      <c r="AK24" s="40" t="str">
        <f>IF(AND('Mapa final'!$AB$61="Alta",'Mapa final'!$AD$61="Catastrófico"),CONCATENATE("R9C",'Mapa final'!$R$61),"")</f>
        <v/>
      </c>
      <c r="AL24" s="40" t="str">
        <f>IF(AND('Mapa final'!$AB$62="Alta",'Mapa final'!$AD$62="Catastrófico"),CONCATENATE("R9C",'Mapa final'!$R$62),"")</f>
        <v/>
      </c>
      <c r="AM24" s="41" t="str">
        <f>IF(AND('Mapa final'!$AB$63="Alta",'Mapa final'!$AD$63="Catastrófico"),CONCATENATE("R9C",'Mapa final'!$R$63),"")</f>
        <v/>
      </c>
      <c r="AN24" s="67"/>
      <c r="AO24" s="540"/>
      <c r="AP24" s="541"/>
      <c r="AQ24" s="541"/>
      <c r="AR24" s="541"/>
      <c r="AS24" s="541"/>
      <c r="AT24" s="542"/>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
      <c r="A25" s="67"/>
      <c r="B25" s="451"/>
      <c r="C25" s="451"/>
      <c r="D25" s="452"/>
      <c r="E25" s="551"/>
      <c r="F25" s="552"/>
      <c r="G25" s="552"/>
      <c r="H25" s="552"/>
      <c r="I25" s="552"/>
      <c r="J25" s="54" t="str">
        <f>IF(AND('Mapa final'!$AB$64="Alta",'Mapa final'!$AD$64="Leve"),CONCATENATE("R10C",'Mapa final'!$R$64),"")</f>
        <v/>
      </c>
      <c r="K25" s="55" t="str">
        <f>IF(AND('Mapa final'!$AB$65="Alta",'Mapa final'!$AD$65="Leve"),CONCATENATE("R10C",'Mapa final'!$R$65),"")</f>
        <v/>
      </c>
      <c r="L25" s="55" t="str">
        <f>IF(AND('Mapa final'!$AB$66="Alta",'Mapa final'!$AD$66="Leve"),CONCATENATE("R10C",'Mapa final'!$R$66),"")</f>
        <v/>
      </c>
      <c r="M25" s="55" t="str">
        <f>IF(AND('Mapa final'!$AB$67="Alta",'Mapa final'!$AD$67="Leve"),CONCATENATE("R10C",'Mapa final'!$R$67),"")</f>
        <v/>
      </c>
      <c r="N25" s="55" t="str">
        <f>IF(AND('Mapa final'!$AB$68="Alta",'Mapa final'!$AD$68="Leve"),CONCATENATE("R10C",'Mapa final'!$R$68),"")</f>
        <v/>
      </c>
      <c r="O25" s="56" t="str">
        <f>IF(AND('Mapa final'!$AB$69="Alta",'Mapa final'!$AD$69="Leve"),CONCATENATE("R10C",'Mapa final'!$R$69),"")</f>
        <v/>
      </c>
      <c r="P25" s="54" t="str">
        <f>IF(AND('Mapa final'!$AB$64="Alta",'Mapa final'!$AD$64="Menor"),CONCATENATE("R10C",'Mapa final'!$R$64),"")</f>
        <v/>
      </c>
      <c r="Q25" s="55" t="str">
        <f>IF(AND('Mapa final'!$AB$65="Alta",'Mapa final'!$AD$65="Menor"),CONCATENATE("R10C",'Mapa final'!$R$65),"")</f>
        <v/>
      </c>
      <c r="R25" s="55" t="str">
        <f>IF(AND('Mapa final'!$AB$66="Alta",'Mapa final'!$AD$66="Menor"),CONCATENATE("R10C",'Mapa final'!$R$66),"")</f>
        <v/>
      </c>
      <c r="S25" s="55" t="str">
        <f>IF(AND('Mapa final'!$AB$67="Alta",'Mapa final'!$AD$67="Menor"),CONCATENATE("R10C",'Mapa final'!$R$67),"")</f>
        <v/>
      </c>
      <c r="T25" s="55" t="str">
        <f>IF(AND('Mapa final'!$AB$68="Alta",'Mapa final'!$AD$68="Menor"),CONCATENATE("R10C",'Mapa final'!$R$68),"")</f>
        <v/>
      </c>
      <c r="U25" s="56" t="str">
        <f>IF(AND('Mapa final'!$AB$69="Alta",'Mapa final'!$AD$69="Menor"),CONCATENATE("R10C",'Mapa final'!$R$69),"")</f>
        <v/>
      </c>
      <c r="V25" s="42" t="str">
        <f>IF(AND('Mapa final'!$AB$64="Alta",'Mapa final'!$AD$64="Moderado"),CONCATENATE("R10C",'Mapa final'!$R$64),"")</f>
        <v/>
      </c>
      <c r="W25" s="43" t="str">
        <f>IF(AND('Mapa final'!$AB$65="Alta",'Mapa final'!$AD$65="Moderado"),CONCATENATE("R10C",'Mapa final'!$R$65),"")</f>
        <v/>
      </c>
      <c r="X25" s="43" t="str">
        <f>IF(AND('Mapa final'!$AB$66="Alta",'Mapa final'!$AD$66="Moderado"),CONCATENATE("R10C",'Mapa final'!$R$66),"")</f>
        <v/>
      </c>
      <c r="Y25" s="43" t="str">
        <f>IF(AND('Mapa final'!$AB$67="Alta",'Mapa final'!$AD$67="Moderado"),CONCATENATE("R10C",'Mapa final'!$R$67),"")</f>
        <v/>
      </c>
      <c r="Z25" s="43" t="str">
        <f>IF(AND('Mapa final'!$AB$68="Alta",'Mapa final'!$AD$68="Moderado"),CONCATENATE("R10C",'Mapa final'!$R$68),"")</f>
        <v/>
      </c>
      <c r="AA25" s="44" t="str">
        <f>IF(AND('Mapa final'!$AB$69="Alta",'Mapa final'!$AD$69="Moderado"),CONCATENATE("R10C",'Mapa final'!$R$69),"")</f>
        <v/>
      </c>
      <c r="AB25" s="42" t="str">
        <f>IF(AND('Mapa final'!$AB$64="Alta",'Mapa final'!$AD$64="Mayor"),CONCATENATE("R10C",'Mapa final'!$R$64),"")</f>
        <v/>
      </c>
      <c r="AC25" s="43" t="str">
        <f>IF(AND('Mapa final'!$AB$65="Alta",'Mapa final'!$AD$65="Mayor"),CONCATENATE("R10C",'Mapa final'!$R$65),"")</f>
        <v/>
      </c>
      <c r="AD25" s="43" t="str">
        <f>IF(AND('Mapa final'!$AB$66="Alta",'Mapa final'!$AD$66="Mayor"),CONCATENATE("R10C",'Mapa final'!$R$66),"")</f>
        <v/>
      </c>
      <c r="AE25" s="43" t="str">
        <f>IF(AND('Mapa final'!$AB$67="Alta",'Mapa final'!$AD$67="Mayor"),CONCATENATE("R10C",'Mapa final'!$R$67),"")</f>
        <v/>
      </c>
      <c r="AF25" s="43" t="str">
        <f>IF(AND('Mapa final'!$AB$68="Alta",'Mapa final'!$AD$68="Mayor"),CONCATENATE("R10C",'Mapa final'!$R$68),"")</f>
        <v/>
      </c>
      <c r="AG25" s="44" t="str">
        <f>IF(AND('Mapa final'!$AB$69="Alta",'Mapa final'!$AD$69="Mayor"),CONCATENATE("R10C",'Mapa final'!$R$69),"")</f>
        <v/>
      </c>
      <c r="AH25" s="45" t="str">
        <f>IF(AND('Mapa final'!$AB$64="Alta",'Mapa final'!$AD$64="Catastrófico"),CONCATENATE("R10C",'Mapa final'!$R$64),"")</f>
        <v/>
      </c>
      <c r="AI25" s="46" t="str">
        <f>IF(AND('Mapa final'!$AB$65="Alta",'Mapa final'!$AD$65="Catastrófico"),CONCATENATE("R10C",'Mapa final'!$R$65),"")</f>
        <v/>
      </c>
      <c r="AJ25" s="46" t="str">
        <f>IF(AND('Mapa final'!$AB$66="Alta",'Mapa final'!$AD$66="Catastrófico"),CONCATENATE("R10C",'Mapa final'!$R$66),"")</f>
        <v/>
      </c>
      <c r="AK25" s="46" t="str">
        <f>IF(AND('Mapa final'!$AB$67="Alta",'Mapa final'!$AD$67="Catastrófico"),CONCATENATE("R10C",'Mapa final'!$R$67),"")</f>
        <v/>
      </c>
      <c r="AL25" s="46" t="str">
        <f>IF(AND('Mapa final'!$AB$68="Alta",'Mapa final'!$AD$68="Catastrófico"),CONCATENATE("R10C",'Mapa final'!$R$68),"")</f>
        <v/>
      </c>
      <c r="AM25" s="47" t="str">
        <f>IF(AND('Mapa final'!$AB$69="Alta",'Mapa final'!$AD$69="Catastrófico"),CONCATENATE("R10C",'Mapa final'!$R$69),"")</f>
        <v/>
      </c>
      <c r="AN25" s="67"/>
      <c r="AO25" s="543"/>
      <c r="AP25" s="544"/>
      <c r="AQ25" s="544"/>
      <c r="AR25" s="544"/>
      <c r="AS25" s="544"/>
      <c r="AT25" s="545"/>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25">
      <c r="A26" s="67"/>
      <c r="B26" s="451"/>
      <c r="C26" s="451"/>
      <c r="D26" s="452"/>
      <c r="E26" s="546" t="s">
        <v>112</v>
      </c>
      <c r="F26" s="547"/>
      <c r="G26" s="547"/>
      <c r="H26" s="547"/>
      <c r="I26" s="564"/>
      <c r="J26" s="48" t="str">
        <f>IF(AND('Mapa final'!$AB$10="Media",'Mapa final'!$AD$10="Leve"),CONCATENATE("R1C",'Mapa final'!$R$10),"")</f>
        <v/>
      </c>
      <c r="K26" s="49" t="str">
        <f>IF(AND('Mapa final'!$AB$11="Media",'Mapa final'!$AD$11="Leve"),CONCATENATE("R1C",'Mapa final'!$R$11),"")</f>
        <v/>
      </c>
      <c r="L26" s="49" t="str">
        <f>IF(AND('Mapa final'!$AB$12="Media",'Mapa final'!$AD$12="Leve"),CONCATENATE("R1C",'Mapa final'!$R$12),"")</f>
        <v/>
      </c>
      <c r="M26" s="49" t="str">
        <f>IF(AND('Mapa final'!$AB$13="Media",'Mapa final'!$AD$13="Leve"),CONCATENATE("R1C",'Mapa final'!$R$13),"")</f>
        <v/>
      </c>
      <c r="N26" s="49" t="str">
        <f>IF(AND('Mapa final'!$AB$14="Media",'Mapa final'!$AD$14="Leve"),CONCATENATE("R1C",'Mapa final'!$R$14),"")</f>
        <v/>
      </c>
      <c r="O26" s="50" t="str">
        <f>IF(AND('Mapa final'!$AB$15="Media",'Mapa final'!$AD$15="Leve"),CONCATENATE("R1C",'Mapa final'!$R$15),"")</f>
        <v/>
      </c>
      <c r="P26" s="48" t="str">
        <f>IF(AND('Mapa final'!$AB$10="Media",'Mapa final'!$AD$10="Menor"),CONCATENATE("R1C",'Mapa final'!$R$10),"")</f>
        <v/>
      </c>
      <c r="Q26" s="49" t="str">
        <f>IF(AND('Mapa final'!$AB$11="Media",'Mapa final'!$AD$11="Menor"),CONCATENATE("R1C",'Mapa final'!$R$11),"")</f>
        <v/>
      </c>
      <c r="R26" s="49" t="str">
        <f>IF(AND('Mapa final'!$AB$12="Media",'Mapa final'!$AD$12="Menor"),CONCATENATE("R1C",'Mapa final'!$R$12),"")</f>
        <v/>
      </c>
      <c r="S26" s="49" t="str">
        <f>IF(AND('Mapa final'!$AB$13="Media",'Mapa final'!$AD$13="Menor"),CONCATENATE("R1C",'Mapa final'!$R$13),"")</f>
        <v/>
      </c>
      <c r="T26" s="49" t="str">
        <f>IF(AND('Mapa final'!$AB$14="Media",'Mapa final'!$AD$14="Menor"),CONCATENATE("R1C",'Mapa final'!$R$14),"")</f>
        <v/>
      </c>
      <c r="U26" s="50" t="str">
        <f>IF(AND('Mapa final'!$AB$15="Media",'Mapa final'!$AD$15="Menor"),CONCATENATE("R1C",'Mapa final'!$R$15),"")</f>
        <v/>
      </c>
      <c r="V26" s="48" t="str">
        <f>IF(AND('Mapa final'!$AB$10="Media",'Mapa final'!$AD$10="Moderado"),CONCATENATE("R1C",'Mapa final'!$R$10),"")</f>
        <v/>
      </c>
      <c r="W26" s="49" t="str">
        <f>IF(AND('Mapa final'!$AB$11="Media",'Mapa final'!$AD$11="Moderado"),CONCATENATE("R1C",'Mapa final'!$R$11),"")</f>
        <v/>
      </c>
      <c r="X26" s="49" t="str">
        <f>IF(AND('Mapa final'!$AB$12="Media",'Mapa final'!$AD$12="Moderado"),CONCATENATE("R1C",'Mapa final'!$R$12),"")</f>
        <v/>
      </c>
      <c r="Y26" s="49" t="str">
        <f>IF(AND('Mapa final'!$AB$13="Media",'Mapa final'!$AD$13="Moderado"),CONCATENATE("R1C",'Mapa final'!$R$13),"")</f>
        <v/>
      </c>
      <c r="Z26" s="49" t="str">
        <f>IF(AND('Mapa final'!$AB$14="Media",'Mapa final'!$AD$14="Moderado"),CONCATENATE("R1C",'Mapa final'!$R$14),"")</f>
        <v/>
      </c>
      <c r="AA26" s="50" t="str">
        <f>IF(AND('Mapa final'!$AB$15="Media",'Mapa final'!$AD$15="Moderado"),CONCATENATE("R1C",'Mapa final'!$R$15),"")</f>
        <v/>
      </c>
      <c r="AB26" s="30" t="str">
        <f>IF(AND('Mapa final'!$AB$10="Media",'Mapa final'!$AD$10="Mayor"),CONCATENATE("R1C",'Mapa final'!$R$10),"")</f>
        <v/>
      </c>
      <c r="AC26" s="31" t="str">
        <f>IF(AND('Mapa final'!$AB$11="Media",'Mapa final'!$AD$11="Mayor"),CONCATENATE("R1C",'Mapa final'!$R$11),"")</f>
        <v/>
      </c>
      <c r="AD26" s="31" t="str">
        <f>IF(AND('Mapa final'!$AB$12="Media",'Mapa final'!$AD$12="Mayor"),CONCATENATE("R1C",'Mapa final'!$R$12),"")</f>
        <v/>
      </c>
      <c r="AE26" s="31" t="str">
        <f>IF(AND('Mapa final'!$AB$13="Media",'Mapa final'!$AD$13="Mayor"),CONCATENATE("R1C",'Mapa final'!$R$13),"")</f>
        <v/>
      </c>
      <c r="AF26" s="31" t="str">
        <f>IF(AND('Mapa final'!$AB$14="Media",'Mapa final'!$AD$14="Mayor"),CONCATENATE("R1C",'Mapa final'!$R$14),"")</f>
        <v/>
      </c>
      <c r="AG26" s="32" t="str">
        <f>IF(AND('Mapa final'!$AB$15="Media",'Mapa final'!$AD$15="Mayor"),CONCATENATE("R1C",'Mapa final'!$R$15),"")</f>
        <v/>
      </c>
      <c r="AH26" s="33" t="str">
        <f>IF(AND('Mapa final'!$AB$10="Media",'Mapa final'!$AD$10="Catastrófico"),CONCATENATE("R1C",'Mapa final'!$R$10),"")</f>
        <v/>
      </c>
      <c r="AI26" s="34" t="str">
        <f>IF(AND('Mapa final'!$AB$11="Media",'Mapa final'!$AD$11="Catastrófico"),CONCATENATE("R1C",'Mapa final'!$R$11),"")</f>
        <v/>
      </c>
      <c r="AJ26" s="34" t="str">
        <f>IF(AND('Mapa final'!$AB$12="Media",'Mapa final'!$AD$12="Catastrófico"),CONCATENATE("R1C",'Mapa final'!$R$12),"")</f>
        <v/>
      </c>
      <c r="AK26" s="34" t="str">
        <f>IF(AND('Mapa final'!$AB$13="Media",'Mapa final'!$AD$13="Catastrófico"),CONCATENATE("R1C",'Mapa final'!$R$13),"")</f>
        <v/>
      </c>
      <c r="AL26" s="34" t="str">
        <f>IF(AND('Mapa final'!$AB$14="Media",'Mapa final'!$AD$14="Catastrófico"),CONCATENATE("R1C",'Mapa final'!$R$14),"")</f>
        <v/>
      </c>
      <c r="AM26" s="35" t="str">
        <f>IF(AND('Mapa final'!$AB$15="Media",'Mapa final'!$AD$15="Catastrófico"),CONCATENATE("R1C",'Mapa final'!$R$15),"")</f>
        <v/>
      </c>
      <c r="AN26" s="67"/>
      <c r="AO26" s="576" t="s">
        <v>80</v>
      </c>
      <c r="AP26" s="577"/>
      <c r="AQ26" s="577"/>
      <c r="AR26" s="577"/>
      <c r="AS26" s="577"/>
      <c r="AT26" s="578"/>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25">
      <c r="A27" s="67"/>
      <c r="B27" s="451"/>
      <c r="C27" s="451"/>
      <c r="D27" s="452"/>
      <c r="E27" s="548"/>
      <c r="F27" s="549"/>
      <c r="G27" s="549"/>
      <c r="H27" s="549"/>
      <c r="I27" s="565"/>
      <c r="J27" s="51" t="str">
        <f>IF(AND('Mapa final'!$AB$16="Media",'Mapa final'!$AD$16="Leve"),CONCATENATE("R2C",'Mapa final'!$R$16),"")</f>
        <v/>
      </c>
      <c r="K27" s="52" t="str">
        <f>IF(AND('Mapa final'!$AB$17="Media",'Mapa final'!$AD$17="Leve"),CONCATENATE("R2C",'Mapa final'!$R$17),"")</f>
        <v/>
      </c>
      <c r="L27" s="52" t="str">
        <f>IF(AND('Mapa final'!$AB$18="Media",'Mapa final'!$AD$18="Leve"),CONCATENATE("R2C",'Mapa final'!$R$18),"")</f>
        <v/>
      </c>
      <c r="M27" s="52" t="str">
        <f>IF(AND('Mapa final'!$AB$19="Media",'Mapa final'!$AD$19="Leve"),CONCATENATE("R2C",'Mapa final'!$R$19),"")</f>
        <v/>
      </c>
      <c r="N27" s="52" t="str">
        <f>IF(AND('Mapa final'!$AB$20="Media",'Mapa final'!$AD$20="Leve"),CONCATENATE("R2C",'Mapa final'!$R$20),"")</f>
        <v/>
      </c>
      <c r="O27" s="53" t="str">
        <f>IF(AND('Mapa final'!$AB$21="Media",'Mapa final'!$AD$21="Leve"),CONCATENATE("R2C",'Mapa final'!$R$21),"")</f>
        <v/>
      </c>
      <c r="P27" s="51" t="str">
        <f>IF(AND('Mapa final'!$AB$16="Media",'Mapa final'!$AD$16="Menor"),CONCATENATE("R2C",'Mapa final'!$R$16),"")</f>
        <v/>
      </c>
      <c r="Q27" s="52" t="str">
        <f>IF(AND('Mapa final'!$AB$17="Media",'Mapa final'!$AD$17="Menor"),CONCATENATE("R2C",'Mapa final'!$R$17),"")</f>
        <v/>
      </c>
      <c r="R27" s="52" t="str">
        <f>IF(AND('Mapa final'!$AB$18="Media",'Mapa final'!$AD$18="Menor"),CONCATENATE("R2C",'Mapa final'!$R$18),"")</f>
        <v/>
      </c>
      <c r="S27" s="52" t="str">
        <f>IF(AND('Mapa final'!$AB$19="Media",'Mapa final'!$AD$19="Menor"),CONCATENATE("R2C",'Mapa final'!$R$19),"")</f>
        <v/>
      </c>
      <c r="T27" s="52" t="str">
        <f>IF(AND('Mapa final'!$AB$20="Media",'Mapa final'!$AD$20="Menor"),CONCATENATE("R2C",'Mapa final'!$R$20),"")</f>
        <v/>
      </c>
      <c r="U27" s="53" t="str">
        <f>IF(AND('Mapa final'!$AB$21="Media",'Mapa final'!$AD$21="Menor"),CONCATENATE("R2C",'Mapa final'!$R$21),"")</f>
        <v/>
      </c>
      <c r="V27" s="51" t="str">
        <f>IF(AND('Mapa final'!$AB$16="Media",'Mapa final'!$AD$16="Moderado"),CONCATENATE("R2C",'Mapa final'!$R$16),"")</f>
        <v/>
      </c>
      <c r="W27" s="52" t="str">
        <f>IF(AND('Mapa final'!$AB$17="Media",'Mapa final'!$AD$17="Moderado"),CONCATENATE("R2C",'Mapa final'!$R$17),"")</f>
        <v/>
      </c>
      <c r="X27" s="52" t="str">
        <f>IF(AND('Mapa final'!$AB$18="Media",'Mapa final'!$AD$18="Moderado"),CONCATENATE("R2C",'Mapa final'!$R$18),"")</f>
        <v/>
      </c>
      <c r="Y27" s="52" t="str">
        <f>IF(AND('Mapa final'!$AB$19="Media",'Mapa final'!$AD$19="Moderado"),CONCATENATE("R2C",'Mapa final'!$R$19),"")</f>
        <v/>
      </c>
      <c r="Z27" s="52" t="str">
        <f>IF(AND('Mapa final'!$AB$20="Media",'Mapa final'!$AD$20="Moderado"),CONCATENATE("R2C",'Mapa final'!$R$20),"")</f>
        <v/>
      </c>
      <c r="AA27" s="53" t="str">
        <f>IF(AND('Mapa final'!$AB$21="Media",'Mapa final'!$AD$21="Moderado"),CONCATENATE("R2C",'Mapa final'!$R$21),"")</f>
        <v/>
      </c>
      <c r="AB27" s="36" t="str">
        <f>IF(AND('Mapa final'!$AB$16="Media",'Mapa final'!$AD$16="Mayor"),CONCATENATE("R2C",'Mapa final'!$R$16),"")</f>
        <v/>
      </c>
      <c r="AC27" s="37" t="str">
        <f>IF(AND('Mapa final'!$AB$17="Media",'Mapa final'!$AD$17="Mayor"),CONCATENATE("R2C",'Mapa final'!$R$17),"")</f>
        <v/>
      </c>
      <c r="AD27" s="37" t="str">
        <f>IF(AND('Mapa final'!$AB$18="Media",'Mapa final'!$AD$18="Mayor"),CONCATENATE("R2C",'Mapa final'!$R$18),"")</f>
        <v/>
      </c>
      <c r="AE27" s="37" t="str">
        <f>IF(AND('Mapa final'!$AB$19="Media",'Mapa final'!$AD$19="Mayor"),CONCATENATE("R2C",'Mapa final'!$R$19),"")</f>
        <v/>
      </c>
      <c r="AF27" s="37" t="str">
        <f>IF(AND('Mapa final'!$AB$20="Media",'Mapa final'!$AD$20="Mayor"),CONCATENATE("R2C",'Mapa final'!$R$20),"")</f>
        <v/>
      </c>
      <c r="AG27" s="38" t="str">
        <f>IF(AND('Mapa final'!$AB$21="Media",'Mapa final'!$AD$21="Mayor"),CONCATENATE("R2C",'Mapa final'!$R$21),"")</f>
        <v/>
      </c>
      <c r="AH27" s="39" t="str">
        <f>IF(AND('Mapa final'!$AB$16="Media",'Mapa final'!$AD$16="Catastrófico"),CONCATENATE("R2C",'Mapa final'!$R$16),"")</f>
        <v/>
      </c>
      <c r="AI27" s="40" t="str">
        <f>IF(AND('Mapa final'!$AB$17="Media",'Mapa final'!$AD$17="Catastrófico"),CONCATENATE("R2C",'Mapa final'!$R$17),"")</f>
        <v/>
      </c>
      <c r="AJ27" s="40" t="str">
        <f>IF(AND('Mapa final'!$AB$18="Media",'Mapa final'!$AD$18="Catastrófico"),CONCATENATE("R2C",'Mapa final'!$R$18),"")</f>
        <v/>
      </c>
      <c r="AK27" s="40" t="str">
        <f>IF(AND('Mapa final'!$AB$19="Media",'Mapa final'!$AD$19="Catastrófico"),CONCATENATE("R2C",'Mapa final'!$R$19),"")</f>
        <v/>
      </c>
      <c r="AL27" s="40" t="str">
        <f>IF(AND('Mapa final'!$AB$20="Media",'Mapa final'!$AD$20="Catastrófico"),CONCATENATE("R2C",'Mapa final'!$R$20),"")</f>
        <v/>
      </c>
      <c r="AM27" s="41" t="str">
        <f>IF(AND('Mapa final'!$AB$21="Media",'Mapa final'!$AD$21="Catastrófico"),CONCATENATE("R2C",'Mapa final'!$R$21),"")</f>
        <v/>
      </c>
      <c r="AN27" s="67"/>
      <c r="AO27" s="579"/>
      <c r="AP27" s="580"/>
      <c r="AQ27" s="580"/>
      <c r="AR27" s="580"/>
      <c r="AS27" s="580"/>
      <c r="AT27" s="581"/>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25">
      <c r="A28" s="67"/>
      <c r="B28" s="451"/>
      <c r="C28" s="451"/>
      <c r="D28" s="452"/>
      <c r="E28" s="550"/>
      <c r="F28" s="549"/>
      <c r="G28" s="549"/>
      <c r="H28" s="549"/>
      <c r="I28" s="565"/>
      <c r="J28" s="51" t="str">
        <f>IF(AND('Mapa final'!$AB$22="Media",'Mapa final'!$AD$22="Leve"),CONCATENATE("R3C",'Mapa final'!$R$22),"")</f>
        <v/>
      </c>
      <c r="K28" s="52" t="str">
        <f>IF(AND('Mapa final'!$AB$23="Media",'Mapa final'!$AD$23="Leve"),CONCATENATE("R3C",'Mapa final'!$R$23),"")</f>
        <v/>
      </c>
      <c r="L28" s="52" t="str">
        <f>IF(AND('Mapa final'!$AB$24="Media",'Mapa final'!$AD$24="Leve"),CONCATENATE("R3C",'Mapa final'!$R$24),"")</f>
        <v/>
      </c>
      <c r="M28" s="52" t="str">
        <f>IF(AND('Mapa final'!$AB$25="Media",'Mapa final'!$AD$25="Leve"),CONCATENATE("R3C",'Mapa final'!$R$25),"")</f>
        <v/>
      </c>
      <c r="N28" s="52" t="str">
        <f>IF(AND('Mapa final'!$AB$26="Media",'Mapa final'!$AD$26="Leve"),CONCATENATE("R3C",'Mapa final'!$R$26),"")</f>
        <v/>
      </c>
      <c r="O28" s="53" t="str">
        <f>IF(AND('Mapa final'!$AB$27="Media",'Mapa final'!$AD$27="Leve"),CONCATENATE("R3C",'Mapa final'!$R$27),"")</f>
        <v/>
      </c>
      <c r="P28" s="51" t="str">
        <f>IF(AND('Mapa final'!$AB$22="Media",'Mapa final'!$AD$22="Menor"),CONCATENATE("R3C",'Mapa final'!$R$22),"")</f>
        <v/>
      </c>
      <c r="Q28" s="52" t="str">
        <f>IF(AND('Mapa final'!$AB$23="Media",'Mapa final'!$AD$23="Menor"),CONCATENATE("R3C",'Mapa final'!$R$23),"")</f>
        <v/>
      </c>
      <c r="R28" s="52" t="str">
        <f>IF(AND('Mapa final'!$AB$24="Media",'Mapa final'!$AD$24="Menor"),CONCATENATE("R3C",'Mapa final'!$R$24),"")</f>
        <v/>
      </c>
      <c r="S28" s="52" t="str">
        <f>IF(AND('Mapa final'!$AB$25="Media",'Mapa final'!$AD$25="Menor"),CONCATENATE("R3C",'Mapa final'!$R$25),"")</f>
        <v/>
      </c>
      <c r="T28" s="52" t="str">
        <f>IF(AND('Mapa final'!$AB$26="Media",'Mapa final'!$AD$26="Menor"),CONCATENATE("R3C",'Mapa final'!$R$26),"")</f>
        <v/>
      </c>
      <c r="U28" s="53" t="str">
        <f>IF(AND('Mapa final'!$AB$27="Media",'Mapa final'!$AD$27="Menor"),CONCATENATE("R3C",'Mapa final'!$R$27),"")</f>
        <v/>
      </c>
      <c r="V28" s="51" t="str">
        <f>IF(AND('Mapa final'!$AB$22="Media",'Mapa final'!$AD$22="Moderado"),CONCATENATE("R3C",'Mapa final'!$R$22),"")</f>
        <v/>
      </c>
      <c r="W28" s="52" t="str">
        <f>IF(AND('Mapa final'!$AB$23="Media",'Mapa final'!$AD$23="Moderado"),CONCATENATE("R3C",'Mapa final'!$R$23),"")</f>
        <v/>
      </c>
      <c r="X28" s="52" t="str">
        <f>IF(AND('Mapa final'!$AB$24="Media",'Mapa final'!$AD$24="Moderado"),CONCATENATE("R3C",'Mapa final'!$R$24),"")</f>
        <v/>
      </c>
      <c r="Y28" s="52" t="str">
        <f>IF(AND('Mapa final'!$AB$25="Media",'Mapa final'!$AD$25="Moderado"),CONCATENATE("R3C",'Mapa final'!$R$25),"")</f>
        <v/>
      </c>
      <c r="Z28" s="52" t="str">
        <f>IF(AND('Mapa final'!$AB$26="Media",'Mapa final'!$AD$26="Moderado"),CONCATENATE("R3C",'Mapa final'!$R$26),"")</f>
        <v/>
      </c>
      <c r="AA28" s="53" t="str">
        <f>IF(AND('Mapa final'!$AB$27="Media",'Mapa final'!$AD$27="Moderado"),CONCATENATE("R3C",'Mapa final'!$R$27),"")</f>
        <v/>
      </c>
      <c r="AB28" s="36" t="str">
        <f>IF(AND('Mapa final'!$AB$22="Media",'Mapa final'!$AD$22="Mayor"),CONCATENATE("R3C",'Mapa final'!$R$22),"")</f>
        <v/>
      </c>
      <c r="AC28" s="37" t="str">
        <f>IF(AND('Mapa final'!$AB$23="Media",'Mapa final'!$AD$23="Mayor"),CONCATENATE("R3C",'Mapa final'!$R$23),"")</f>
        <v/>
      </c>
      <c r="AD28" s="37" t="str">
        <f>IF(AND('Mapa final'!$AB$24="Media",'Mapa final'!$AD$24="Mayor"),CONCATENATE("R3C",'Mapa final'!$R$24),"")</f>
        <v/>
      </c>
      <c r="AE28" s="37" t="str">
        <f>IF(AND('Mapa final'!$AB$25="Media",'Mapa final'!$AD$25="Mayor"),CONCATENATE("R3C",'Mapa final'!$R$25),"")</f>
        <v/>
      </c>
      <c r="AF28" s="37" t="str">
        <f>IF(AND('Mapa final'!$AB$26="Media",'Mapa final'!$AD$26="Mayor"),CONCATENATE("R3C",'Mapa final'!$R$26),"")</f>
        <v/>
      </c>
      <c r="AG28" s="38" t="str">
        <f>IF(AND('Mapa final'!$AB$27="Media",'Mapa final'!$AD$27="Mayor"),CONCATENATE("R3C",'Mapa final'!$R$27),"")</f>
        <v/>
      </c>
      <c r="AH28" s="39" t="str">
        <f>IF(AND('Mapa final'!$AB$22="Media",'Mapa final'!$AD$22="Catastrófico"),CONCATENATE("R3C",'Mapa final'!$R$22),"")</f>
        <v/>
      </c>
      <c r="AI28" s="40" t="str">
        <f>IF(AND('Mapa final'!$AB$23="Media",'Mapa final'!$AD$23="Catastrófico"),CONCATENATE("R3C",'Mapa final'!$R$23),"")</f>
        <v/>
      </c>
      <c r="AJ28" s="40" t="str">
        <f>IF(AND('Mapa final'!$AB$24="Media",'Mapa final'!$AD$24="Catastrófico"),CONCATENATE("R3C",'Mapa final'!$R$24),"")</f>
        <v/>
      </c>
      <c r="AK28" s="40" t="str">
        <f>IF(AND('Mapa final'!$AB$25="Media",'Mapa final'!$AD$25="Catastrófico"),CONCATENATE("R3C",'Mapa final'!$R$25),"")</f>
        <v/>
      </c>
      <c r="AL28" s="40" t="str">
        <f>IF(AND('Mapa final'!$AB$26="Media",'Mapa final'!$AD$26="Catastrófico"),CONCATENATE("R3C",'Mapa final'!$R$26),"")</f>
        <v/>
      </c>
      <c r="AM28" s="41" t="str">
        <f>IF(AND('Mapa final'!$AB$27="Media",'Mapa final'!$AD$27="Catastrófico"),CONCATENATE("R3C",'Mapa final'!$R$27),"")</f>
        <v/>
      </c>
      <c r="AN28" s="67"/>
      <c r="AO28" s="579"/>
      <c r="AP28" s="580"/>
      <c r="AQ28" s="580"/>
      <c r="AR28" s="580"/>
      <c r="AS28" s="580"/>
      <c r="AT28" s="581"/>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25">
      <c r="A29" s="67"/>
      <c r="B29" s="451"/>
      <c r="C29" s="451"/>
      <c r="D29" s="452"/>
      <c r="E29" s="550"/>
      <c r="F29" s="549"/>
      <c r="G29" s="549"/>
      <c r="H29" s="549"/>
      <c r="I29" s="565"/>
      <c r="J29" s="51" t="str">
        <f>IF(AND('Mapa final'!$AB$28="Media",'Mapa final'!$AD$28="Leve"),CONCATENATE("R4C",'Mapa final'!$R$28),"")</f>
        <v/>
      </c>
      <c r="K29" s="52" t="str">
        <f>IF(AND('Mapa final'!$AB$29="Media",'Mapa final'!$AD$29="Leve"),CONCATENATE("R4C",'Mapa final'!$R$29),"")</f>
        <v/>
      </c>
      <c r="L29" s="52" t="str">
        <f>IF(AND('Mapa final'!$AB$30="Media",'Mapa final'!$AD$30="Leve"),CONCATENATE("R4C",'Mapa final'!$R$30),"")</f>
        <v/>
      </c>
      <c r="M29" s="52" t="str">
        <f>IF(AND('Mapa final'!$AB$31="Media",'Mapa final'!$AD$31="Leve"),CONCATENATE("R4C",'Mapa final'!$R$31),"")</f>
        <v/>
      </c>
      <c r="N29" s="52" t="str">
        <f>IF(AND('Mapa final'!$AB$32="Media",'Mapa final'!$AD$32="Leve"),CONCATENATE("R4C",'Mapa final'!$R$32),"")</f>
        <v/>
      </c>
      <c r="O29" s="53" t="str">
        <f>IF(AND('Mapa final'!$AB$33="Media",'Mapa final'!$AD$33="Leve"),CONCATENATE("R4C",'Mapa final'!$R$33),"")</f>
        <v/>
      </c>
      <c r="P29" s="51" t="str">
        <f>IF(AND('Mapa final'!$AB$28="Media",'Mapa final'!$AD$28="Menor"),CONCATENATE("R4C",'Mapa final'!$R$28),"")</f>
        <v/>
      </c>
      <c r="Q29" s="52" t="str">
        <f>IF(AND('Mapa final'!$AB$29="Media",'Mapa final'!$AD$29="Menor"),CONCATENATE("R4C",'Mapa final'!$R$29),"")</f>
        <v/>
      </c>
      <c r="R29" s="52" t="str">
        <f>IF(AND('Mapa final'!$AB$30="Media",'Mapa final'!$AD$30="Menor"),CONCATENATE("R4C",'Mapa final'!$R$30),"")</f>
        <v/>
      </c>
      <c r="S29" s="52" t="str">
        <f>IF(AND('Mapa final'!$AB$31="Media",'Mapa final'!$AD$31="Menor"),CONCATENATE("R4C",'Mapa final'!$R$31),"")</f>
        <v/>
      </c>
      <c r="T29" s="52" t="str">
        <f>IF(AND('Mapa final'!$AB$32="Media",'Mapa final'!$AD$32="Menor"),CONCATENATE("R4C",'Mapa final'!$R$32),"")</f>
        <v/>
      </c>
      <c r="U29" s="53" t="str">
        <f>IF(AND('Mapa final'!$AB$33="Media",'Mapa final'!$AD$33="Menor"),CONCATENATE("R4C",'Mapa final'!$R$33),"")</f>
        <v/>
      </c>
      <c r="V29" s="51" t="str">
        <f>IF(AND('Mapa final'!$AB$28="Media",'Mapa final'!$AD$28="Moderado"),CONCATENATE("R4C",'Mapa final'!$R$28),"")</f>
        <v/>
      </c>
      <c r="W29" s="52" t="str">
        <f>IF(AND('Mapa final'!$AB$29="Media",'Mapa final'!$AD$29="Moderado"),CONCATENATE("R4C",'Mapa final'!$R$29),"")</f>
        <v/>
      </c>
      <c r="X29" s="52" t="str">
        <f>IF(AND('Mapa final'!$AB$30="Media",'Mapa final'!$AD$30="Moderado"),CONCATENATE("R4C",'Mapa final'!$R$30),"")</f>
        <v/>
      </c>
      <c r="Y29" s="52" t="str">
        <f>IF(AND('Mapa final'!$AB$31="Media",'Mapa final'!$AD$31="Moderado"),CONCATENATE("R4C",'Mapa final'!$R$31),"")</f>
        <v/>
      </c>
      <c r="Z29" s="52" t="str">
        <f>IF(AND('Mapa final'!$AB$32="Media",'Mapa final'!$AD$32="Moderado"),CONCATENATE("R4C",'Mapa final'!$R$32),"")</f>
        <v/>
      </c>
      <c r="AA29" s="53" t="str">
        <f>IF(AND('Mapa final'!$AB$33="Media",'Mapa final'!$AD$33="Moderado"),CONCATENATE("R4C",'Mapa final'!$R$33),"")</f>
        <v/>
      </c>
      <c r="AB29" s="36" t="str">
        <f>IF(AND('Mapa final'!$AB$28="Media",'Mapa final'!$AD$28="Mayor"),CONCATENATE("R4C",'Mapa final'!$R$28),"")</f>
        <v/>
      </c>
      <c r="AC29" s="37" t="str">
        <f>IF(AND('Mapa final'!$AB$29="Media",'Mapa final'!$AD$29="Mayor"),CONCATENATE("R4C",'Mapa final'!$R$29),"")</f>
        <v/>
      </c>
      <c r="AD29" s="37" t="str">
        <f>IF(AND('Mapa final'!$AB$30="Media",'Mapa final'!$AD$30="Mayor"),CONCATENATE("R4C",'Mapa final'!$R$30),"")</f>
        <v/>
      </c>
      <c r="AE29" s="37" t="str">
        <f>IF(AND('Mapa final'!$AB$31="Media",'Mapa final'!$AD$31="Mayor"),CONCATENATE("R4C",'Mapa final'!$R$31),"")</f>
        <v/>
      </c>
      <c r="AF29" s="37" t="str">
        <f>IF(AND('Mapa final'!$AB$32="Media",'Mapa final'!$AD$32="Mayor"),CONCATENATE("R4C",'Mapa final'!$R$32),"")</f>
        <v/>
      </c>
      <c r="AG29" s="38" t="str">
        <f>IF(AND('Mapa final'!$AB$33="Media",'Mapa final'!$AD$33="Mayor"),CONCATENATE("R4C",'Mapa final'!$R$33),"")</f>
        <v/>
      </c>
      <c r="AH29" s="39" t="str">
        <f>IF(AND('Mapa final'!$AB$28="Media",'Mapa final'!$AD$28="Catastrófico"),CONCATENATE("R4C",'Mapa final'!$R$28),"")</f>
        <v/>
      </c>
      <c r="AI29" s="40" t="str">
        <f>IF(AND('Mapa final'!$AB$29="Media",'Mapa final'!$AD$29="Catastrófico"),CONCATENATE("R4C",'Mapa final'!$R$29),"")</f>
        <v/>
      </c>
      <c r="AJ29" s="40" t="str">
        <f>IF(AND('Mapa final'!$AB$30="Media",'Mapa final'!$AD$30="Catastrófico"),CONCATENATE("R4C",'Mapa final'!$R$30),"")</f>
        <v/>
      </c>
      <c r="AK29" s="40" t="str">
        <f>IF(AND('Mapa final'!$AB$31="Media",'Mapa final'!$AD$31="Catastrófico"),CONCATENATE("R4C",'Mapa final'!$R$31),"")</f>
        <v/>
      </c>
      <c r="AL29" s="40" t="str">
        <f>IF(AND('Mapa final'!$AB$32="Media",'Mapa final'!$AD$32="Catastrófico"),CONCATENATE("R4C",'Mapa final'!$R$32),"")</f>
        <v/>
      </c>
      <c r="AM29" s="41" t="str">
        <f>IF(AND('Mapa final'!$AB$33="Media",'Mapa final'!$AD$33="Catastrófico"),CONCATENATE("R4C",'Mapa final'!$R$33),"")</f>
        <v/>
      </c>
      <c r="AN29" s="67"/>
      <c r="AO29" s="579"/>
      <c r="AP29" s="580"/>
      <c r="AQ29" s="580"/>
      <c r="AR29" s="580"/>
      <c r="AS29" s="580"/>
      <c r="AT29" s="581"/>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25">
      <c r="A30" s="67"/>
      <c r="B30" s="451"/>
      <c r="C30" s="451"/>
      <c r="D30" s="452"/>
      <c r="E30" s="550"/>
      <c r="F30" s="549"/>
      <c r="G30" s="549"/>
      <c r="H30" s="549"/>
      <c r="I30" s="565"/>
      <c r="J30" s="51" t="str">
        <f>IF(AND('Mapa final'!$AB$34="Media",'Mapa final'!$AD$34="Leve"),CONCATENATE("R5C",'Mapa final'!$R$34),"")</f>
        <v/>
      </c>
      <c r="K30" s="52" t="str">
        <f>IF(AND('Mapa final'!$AB$35="Media",'Mapa final'!$AD$35="Leve"),CONCATENATE("R5C",'Mapa final'!$R$35),"")</f>
        <v/>
      </c>
      <c r="L30" s="52" t="str">
        <f>IF(AND('Mapa final'!$AB$36="Media",'Mapa final'!$AD$36="Leve"),CONCATENATE("R5C",'Mapa final'!$R$36),"")</f>
        <v/>
      </c>
      <c r="M30" s="52" t="str">
        <f>IF(AND('Mapa final'!$AB$37="Media",'Mapa final'!$AD$37="Leve"),CONCATENATE("R5C",'Mapa final'!$R$37),"")</f>
        <v/>
      </c>
      <c r="N30" s="52" t="str">
        <f>IF(AND('Mapa final'!$AB$38="Media",'Mapa final'!$AD$38="Leve"),CONCATENATE("R5C",'Mapa final'!$R$38),"")</f>
        <v/>
      </c>
      <c r="O30" s="53" t="str">
        <f>IF(AND('Mapa final'!$AB$39="Media",'Mapa final'!$AD$39="Leve"),CONCATENATE("R5C",'Mapa final'!$R$39),"")</f>
        <v/>
      </c>
      <c r="P30" s="51" t="str">
        <f>IF(AND('Mapa final'!$AB$34="Media",'Mapa final'!$AD$34="Menor"),CONCATENATE("R5C",'Mapa final'!$R$34),"")</f>
        <v/>
      </c>
      <c r="Q30" s="52" t="str">
        <f>IF(AND('Mapa final'!$AB$35="Media",'Mapa final'!$AD$35="Menor"),CONCATENATE("R5C",'Mapa final'!$R$35),"")</f>
        <v/>
      </c>
      <c r="R30" s="52" t="str">
        <f>IF(AND('Mapa final'!$AB$36="Media",'Mapa final'!$AD$36="Menor"),CONCATENATE("R5C",'Mapa final'!$R$36),"")</f>
        <v/>
      </c>
      <c r="S30" s="52" t="str">
        <f>IF(AND('Mapa final'!$AB$37="Media",'Mapa final'!$AD$37="Menor"),CONCATENATE("R5C",'Mapa final'!$R$37),"")</f>
        <v/>
      </c>
      <c r="T30" s="52" t="str">
        <f>IF(AND('Mapa final'!$AB$38="Media",'Mapa final'!$AD$38="Menor"),CONCATENATE("R5C",'Mapa final'!$R$38),"")</f>
        <v/>
      </c>
      <c r="U30" s="53" t="str">
        <f>IF(AND('Mapa final'!$AB$39="Media",'Mapa final'!$AD$39="Menor"),CONCATENATE("R5C",'Mapa final'!$R$39),"")</f>
        <v/>
      </c>
      <c r="V30" s="51" t="str">
        <f>IF(AND('Mapa final'!$AB$34="Media",'Mapa final'!$AD$34="Moderado"),CONCATENATE("R5C",'Mapa final'!$R$34),"")</f>
        <v/>
      </c>
      <c r="W30" s="52" t="str">
        <f>IF(AND('Mapa final'!$AB$35="Media",'Mapa final'!$AD$35="Moderado"),CONCATENATE("R5C",'Mapa final'!$R$35),"")</f>
        <v/>
      </c>
      <c r="X30" s="52" t="str">
        <f>IF(AND('Mapa final'!$AB$36="Media",'Mapa final'!$AD$36="Moderado"),CONCATENATE("R5C",'Mapa final'!$R$36),"")</f>
        <v/>
      </c>
      <c r="Y30" s="52" t="str">
        <f>IF(AND('Mapa final'!$AB$37="Media",'Mapa final'!$AD$37="Moderado"),CONCATENATE("R5C",'Mapa final'!$R$37),"")</f>
        <v/>
      </c>
      <c r="Z30" s="52" t="str">
        <f>IF(AND('Mapa final'!$AB$38="Media",'Mapa final'!$AD$38="Moderado"),CONCATENATE("R5C",'Mapa final'!$R$38),"")</f>
        <v/>
      </c>
      <c r="AA30" s="53" t="str">
        <f>IF(AND('Mapa final'!$AB$39="Media",'Mapa final'!$AD$39="Moderado"),CONCATENATE("R5C",'Mapa final'!$R$39),"")</f>
        <v/>
      </c>
      <c r="AB30" s="36" t="str">
        <f>IF(AND('Mapa final'!$AB$34="Media",'Mapa final'!$AD$34="Mayor"),CONCATENATE("R5C",'Mapa final'!$R$34),"")</f>
        <v/>
      </c>
      <c r="AC30" s="37" t="str">
        <f>IF(AND('Mapa final'!$AB$35="Media",'Mapa final'!$AD$35="Mayor"),CONCATENATE("R5C",'Mapa final'!$R$35),"")</f>
        <v/>
      </c>
      <c r="AD30" s="37" t="str">
        <f>IF(AND('Mapa final'!$AB$36="Media",'Mapa final'!$AD$36="Mayor"),CONCATENATE("R5C",'Mapa final'!$R$36),"")</f>
        <v/>
      </c>
      <c r="AE30" s="37" t="str">
        <f>IF(AND('Mapa final'!$AB$37="Media",'Mapa final'!$AD$37="Mayor"),CONCATENATE("R5C",'Mapa final'!$R$37),"")</f>
        <v/>
      </c>
      <c r="AF30" s="37" t="str">
        <f>IF(AND('Mapa final'!$AB$38="Media",'Mapa final'!$AD$38="Mayor"),CONCATENATE("R5C",'Mapa final'!$R$38),"")</f>
        <v/>
      </c>
      <c r="AG30" s="38" t="str">
        <f>IF(AND('Mapa final'!$AB$39="Media",'Mapa final'!$AD$39="Mayor"),CONCATENATE("R5C",'Mapa final'!$R$39),"")</f>
        <v/>
      </c>
      <c r="AH30" s="39" t="str">
        <f>IF(AND('Mapa final'!$AB$34="Media",'Mapa final'!$AD$34="Catastrófico"),CONCATENATE("R5C",'Mapa final'!$R$34),"")</f>
        <v/>
      </c>
      <c r="AI30" s="40" t="str">
        <f>IF(AND('Mapa final'!$AB$35="Media",'Mapa final'!$AD$35="Catastrófico"),CONCATENATE("R5C",'Mapa final'!$R$35),"")</f>
        <v/>
      </c>
      <c r="AJ30" s="40" t="str">
        <f>IF(AND('Mapa final'!$AB$36="Media",'Mapa final'!$AD$36="Catastrófico"),CONCATENATE("R5C",'Mapa final'!$R$36),"")</f>
        <v/>
      </c>
      <c r="AK30" s="40" t="str">
        <f>IF(AND('Mapa final'!$AB$37="Media",'Mapa final'!$AD$37="Catastrófico"),CONCATENATE("R5C",'Mapa final'!$R$37),"")</f>
        <v/>
      </c>
      <c r="AL30" s="40" t="str">
        <f>IF(AND('Mapa final'!$AB$38="Media",'Mapa final'!$AD$38="Catastrófico"),CONCATENATE("R5C",'Mapa final'!$R$38),"")</f>
        <v/>
      </c>
      <c r="AM30" s="41" t="str">
        <f>IF(AND('Mapa final'!$AB$39="Media",'Mapa final'!$AD$39="Catastrófico"),CONCATENATE("R5C",'Mapa final'!$R$39),"")</f>
        <v/>
      </c>
      <c r="AN30" s="67"/>
      <c r="AO30" s="579"/>
      <c r="AP30" s="580"/>
      <c r="AQ30" s="580"/>
      <c r="AR30" s="580"/>
      <c r="AS30" s="580"/>
      <c r="AT30" s="581"/>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25">
      <c r="A31" s="67"/>
      <c r="B31" s="451"/>
      <c r="C31" s="451"/>
      <c r="D31" s="452"/>
      <c r="E31" s="550"/>
      <c r="F31" s="549"/>
      <c r="G31" s="549"/>
      <c r="H31" s="549"/>
      <c r="I31" s="565"/>
      <c r="J31" s="51" t="str">
        <f>IF(AND('Mapa final'!$AB$40="Media",'Mapa final'!$AD$40="Leve"),CONCATENATE("R6C",'Mapa final'!$R$40),"")</f>
        <v/>
      </c>
      <c r="K31" s="52" t="str">
        <f>IF(AND('Mapa final'!$AB$41="Media",'Mapa final'!$AD$41="Leve"),CONCATENATE("R6C",'Mapa final'!$R$41),"")</f>
        <v/>
      </c>
      <c r="L31" s="52" t="str">
        <f>IF(AND('Mapa final'!$AB$42="Media",'Mapa final'!$AD$42="Leve"),CONCATENATE("R6C",'Mapa final'!$R$42),"")</f>
        <v/>
      </c>
      <c r="M31" s="52" t="str">
        <f>IF(AND('Mapa final'!$AB$43="Media",'Mapa final'!$AD$43="Leve"),CONCATENATE("R6C",'Mapa final'!$R$43),"")</f>
        <v/>
      </c>
      <c r="N31" s="52" t="str">
        <f>IF(AND('Mapa final'!$AB$44="Media",'Mapa final'!$AD$44="Leve"),CONCATENATE("R6C",'Mapa final'!$R$44),"")</f>
        <v/>
      </c>
      <c r="O31" s="53" t="str">
        <f>IF(AND('Mapa final'!$AB$45="Media",'Mapa final'!$AD$45="Leve"),CONCATENATE("R6C",'Mapa final'!$R$45),"")</f>
        <v/>
      </c>
      <c r="P31" s="51" t="str">
        <f>IF(AND('Mapa final'!$AB$40="Media",'Mapa final'!$AD$40="Menor"),CONCATENATE("R6C",'Mapa final'!$R$40),"")</f>
        <v/>
      </c>
      <c r="Q31" s="52" t="str">
        <f>IF(AND('Mapa final'!$AB$41="Media",'Mapa final'!$AD$41="Menor"),CONCATENATE("R6C",'Mapa final'!$R$41),"")</f>
        <v/>
      </c>
      <c r="R31" s="52" t="str">
        <f>IF(AND('Mapa final'!$AB$42="Media",'Mapa final'!$AD$42="Menor"),CONCATENATE("R6C",'Mapa final'!$R$42),"")</f>
        <v/>
      </c>
      <c r="S31" s="52" t="str">
        <f>IF(AND('Mapa final'!$AB$43="Media",'Mapa final'!$AD$43="Menor"),CONCATENATE("R6C",'Mapa final'!$R$43),"")</f>
        <v/>
      </c>
      <c r="T31" s="52" t="str">
        <f>IF(AND('Mapa final'!$AB$44="Media",'Mapa final'!$AD$44="Menor"),CONCATENATE("R6C",'Mapa final'!$R$44),"")</f>
        <v/>
      </c>
      <c r="U31" s="53" t="str">
        <f>IF(AND('Mapa final'!$AB$45="Media",'Mapa final'!$AD$45="Menor"),CONCATENATE("R6C",'Mapa final'!$R$45),"")</f>
        <v/>
      </c>
      <c r="V31" s="51" t="str">
        <f>IF(AND('Mapa final'!$AB$40="Media",'Mapa final'!$AD$40="Moderado"),CONCATENATE("R6C",'Mapa final'!$R$40),"")</f>
        <v/>
      </c>
      <c r="W31" s="52" t="str">
        <f>IF(AND('Mapa final'!$AB$41="Media",'Mapa final'!$AD$41="Moderado"),CONCATENATE("R6C",'Mapa final'!$R$41),"")</f>
        <v/>
      </c>
      <c r="X31" s="52" t="str">
        <f>IF(AND('Mapa final'!$AB$42="Media",'Mapa final'!$AD$42="Moderado"),CONCATENATE("R6C",'Mapa final'!$R$42),"")</f>
        <v/>
      </c>
      <c r="Y31" s="52" t="str">
        <f>IF(AND('Mapa final'!$AB$43="Media",'Mapa final'!$AD$43="Moderado"),CONCATENATE("R6C",'Mapa final'!$R$43),"")</f>
        <v/>
      </c>
      <c r="Z31" s="52" t="str">
        <f>IF(AND('Mapa final'!$AB$44="Media",'Mapa final'!$AD$44="Moderado"),CONCATENATE("R6C",'Mapa final'!$R$44),"")</f>
        <v/>
      </c>
      <c r="AA31" s="53" t="str">
        <f>IF(AND('Mapa final'!$AB$45="Media",'Mapa final'!$AD$45="Moderado"),CONCATENATE("R6C",'Mapa final'!$R$45),"")</f>
        <v/>
      </c>
      <c r="AB31" s="36" t="str">
        <f>IF(AND('Mapa final'!$AB$40="Media",'Mapa final'!$AD$40="Mayor"),CONCATENATE("R6C",'Mapa final'!$R$40),"")</f>
        <v/>
      </c>
      <c r="AC31" s="37" t="str">
        <f>IF(AND('Mapa final'!$AB$41="Media",'Mapa final'!$AD$41="Mayor"),CONCATENATE("R6C",'Mapa final'!$R$41),"")</f>
        <v/>
      </c>
      <c r="AD31" s="37" t="str">
        <f>IF(AND('Mapa final'!$AB$42="Media",'Mapa final'!$AD$42="Mayor"),CONCATENATE("R6C",'Mapa final'!$R$42),"")</f>
        <v/>
      </c>
      <c r="AE31" s="37" t="str">
        <f>IF(AND('Mapa final'!$AB$43="Media",'Mapa final'!$AD$43="Mayor"),CONCATENATE("R6C",'Mapa final'!$R$43),"")</f>
        <v/>
      </c>
      <c r="AF31" s="37" t="str">
        <f>IF(AND('Mapa final'!$AB$44="Media",'Mapa final'!$AD$44="Mayor"),CONCATENATE("R6C",'Mapa final'!$R$44),"")</f>
        <v/>
      </c>
      <c r="AG31" s="38" t="str">
        <f>IF(AND('Mapa final'!$AB$45="Media",'Mapa final'!$AD$45="Mayor"),CONCATENATE("R6C",'Mapa final'!$R$45),"")</f>
        <v/>
      </c>
      <c r="AH31" s="39" t="str">
        <f>IF(AND('Mapa final'!$AB$40="Media",'Mapa final'!$AD$40="Catastrófico"),CONCATENATE("R6C",'Mapa final'!$R$40),"")</f>
        <v/>
      </c>
      <c r="AI31" s="40" t="str">
        <f>IF(AND('Mapa final'!$AB$41="Media",'Mapa final'!$AD$41="Catastrófico"),CONCATENATE("R6C",'Mapa final'!$R$41),"")</f>
        <v/>
      </c>
      <c r="AJ31" s="40" t="str">
        <f>IF(AND('Mapa final'!$AB$42="Media",'Mapa final'!$AD$42="Catastrófico"),CONCATENATE("R6C",'Mapa final'!$R$42),"")</f>
        <v/>
      </c>
      <c r="AK31" s="40" t="str">
        <f>IF(AND('Mapa final'!$AB$43="Media",'Mapa final'!$AD$43="Catastrófico"),CONCATENATE("R6C",'Mapa final'!$R$43),"")</f>
        <v/>
      </c>
      <c r="AL31" s="40" t="str">
        <f>IF(AND('Mapa final'!$AB$44="Media",'Mapa final'!$AD$44="Catastrófico"),CONCATENATE("R6C",'Mapa final'!$R$44),"")</f>
        <v/>
      </c>
      <c r="AM31" s="41" t="str">
        <f>IF(AND('Mapa final'!$AB$45="Media",'Mapa final'!$AD$45="Catastrófico"),CONCATENATE("R6C",'Mapa final'!$R$45),"")</f>
        <v/>
      </c>
      <c r="AN31" s="67"/>
      <c r="AO31" s="579"/>
      <c r="AP31" s="580"/>
      <c r="AQ31" s="580"/>
      <c r="AR31" s="580"/>
      <c r="AS31" s="580"/>
      <c r="AT31" s="581"/>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25">
      <c r="A32" s="67"/>
      <c r="B32" s="451"/>
      <c r="C32" s="451"/>
      <c r="D32" s="452"/>
      <c r="E32" s="550"/>
      <c r="F32" s="549"/>
      <c r="G32" s="549"/>
      <c r="H32" s="549"/>
      <c r="I32" s="565"/>
      <c r="J32" s="51" t="str">
        <f>IF(AND('Mapa final'!$AB$46="Media",'Mapa final'!$AD$46="Leve"),CONCATENATE("R7C",'Mapa final'!$R$46),"")</f>
        <v/>
      </c>
      <c r="K32" s="52" t="str">
        <f>IF(AND('Mapa final'!$AB$47="Media",'Mapa final'!$AD$47="Leve"),CONCATENATE("R7C",'Mapa final'!$R$47),"")</f>
        <v/>
      </c>
      <c r="L32" s="52" t="str">
        <f>IF(AND('Mapa final'!$AB$48="Media",'Mapa final'!$AD$48="Leve"),CONCATENATE("R7C",'Mapa final'!$R$48),"")</f>
        <v/>
      </c>
      <c r="M32" s="52" t="str">
        <f>IF(AND('Mapa final'!$AB$49="Media",'Mapa final'!$AD$49="Leve"),CONCATENATE("R7C",'Mapa final'!$R$49),"")</f>
        <v/>
      </c>
      <c r="N32" s="52" t="str">
        <f>IF(AND('Mapa final'!$AB$50="Media",'Mapa final'!$AD$50="Leve"),CONCATENATE("R7C",'Mapa final'!$R$50),"")</f>
        <v/>
      </c>
      <c r="O32" s="53" t="str">
        <f>IF(AND('Mapa final'!$AB$51="Media",'Mapa final'!$AD$51="Leve"),CONCATENATE("R7C",'Mapa final'!$R$51),"")</f>
        <v/>
      </c>
      <c r="P32" s="51" t="str">
        <f>IF(AND('Mapa final'!$AB$46="Media",'Mapa final'!$AD$46="Menor"),CONCATENATE("R7C",'Mapa final'!$R$46),"")</f>
        <v/>
      </c>
      <c r="Q32" s="52" t="str">
        <f>IF(AND('Mapa final'!$AB$47="Media",'Mapa final'!$AD$47="Menor"),CONCATENATE("R7C",'Mapa final'!$R$47),"")</f>
        <v/>
      </c>
      <c r="R32" s="52" t="str">
        <f>IF(AND('Mapa final'!$AB$48="Media",'Mapa final'!$AD$48="Menor"),CONCATENATE("R7C",'Mapa final'!$R$48),"")</f>
        <v/>
      </c>
      <c r="S32" s="52" t="str">
        <f>IF(AND('Mapa final'!$AB$49="Media",'Mapa final'!$AD$49="Menor"),CONCATENATE("R7C",'Mapa final'!$R$49),"")</f>
        <v/>
      </c>
      <c r="T32" s="52" t="str">
        <f>IF(AND('Mapa final'!$AB$50="Media",'Mapa final'!$AD$50="Menor"),CONCATENATE("R7C",'Mapa final'!$R$50),"")</f>
        <v/>
      </c>
      <c r="U32" s="53" t="str">
        <f>IF(AND('Mapa final'!$AB$51="Media",'Mapa final'!$AD$51="Menor"),CONCATENATE("R7C",'Mapa final'!$R$51),"")</f>
        <v/>
      </c>
      <c r="V32" s="51" t="str">
        <f>IF(AND('Mapa final'!$AB$46="Media",'Mapa final'!$AD$46="Moderado"),CONCATENATE("R7C",'Mapa final'!$R$46),"")</f>
        <v/>
      </c>
      <c r="W32" s="52" t="str">
        <f>IF(AND('Mapa final'!$AB$47="Media",'Mapa final'!$AD$47="Moderado"),CONCATENATE("R7C",'Mapa final'!$R$47),"")</f>
        <v/>
      </c>
      <c r="X32" s="52" t="str">
        <f>IF(AND('Mapa final'!$AB$48="Media",'Mapa final'!$AD$48="Moderado"),CONCATENATE("R7C",'Mapa final'!$R$48),"")</f>
        <v/>
      </c>
      <c r="Y32" s="52" t="str">
        <f>IF(AND('Mapa final'!$AB$49="Media",'Mapa final'!$AD$49="Moderado"),CONCATENATE("R7C",'Mapa final'!$R$49),"")</f>
        <v/>
      </c>
      <c r="Z32" s="52" t="str">
        <f>IF(AND('Mapa final'!$AB$50="Media",'Mapa final'!$AD$50="Moderado"),CONCATENATE("R7C",'Mapa final'!$R$50),"")</f>
        <v/>
      </c>
      <c r="AA32" s="53" t="str">
        <f>IF(AND('Mapa final'!$AB$51="Media",'Mapa final'!$AD$51="Moderado"),CONCATENATE("R7C",'Mapa final'!$R$51),"")</f>
        <v/>
      </c>
      <c r="AB32" s="36" t="str">
        <f>IF(AND('Mapa final'!$AB$46="Media",'Mapa final'!$AD$46="Mayor"),CONCATENATE("R7C",'Mapa final'!$R$46),"")</f>
        <v/>
      </c>
      <c r="AC32" s="37" t="str">
        <f>IF(AND('Mapa final'!$AB$47="Media",'Mapa final'!$AD$47="Mayor"),CONCATENATE("R7C",'Mapa final'!$R$47),"")</f>
        <v/>
      </c>
      <c r="AD32" s="37" t="str">
        <f>IF(AND('Mapa final'!$AB$48="Media",'Mapa final'!$AD$48="Mayor"),CONCATENATE("R7C",'Mapa final'!$R$48),"")</f>
        <v/>
      </c>
      <c r="AE32" s="37" t="str">
        <f>IF(AND('Mapa final'!$AB$49="Media",'Mapa final'!$AD$49="Mayor"),CONCATENATE("R7C",'Mapa final'!$R$49),"")</f>
        <v/>
      </c>
      <c r="AF32" s="37" t="str">
        <f>IF(AND('Mapa final'!$AB$50="Media",'Mapa final'!$AD$50="Mayor"),CONCATENATE("R7C",'Mapa final'!$R$50),"")</f>
        <v/>
      </c>
      <c r="AG32" s="38" t="str">
        <f>IF(AND('Mapa final'!$AB$51="Media",'Mapa final'!$AD$51="Mayor"),CONCATENATE("R7C",'Mapa final'!$R$51),"")</f>
        <v/>
      </c>
      <c r="AH32" s="39" t="str">
        <f>IF(AND('Mapa final'!$AB$46="Media",'Mapa final'!$AD$46="Catastrófico"),CONCATENATE("R7C",'Mapa final'!$R$46),"")</f>
        <v/>
      </c>
      <c r="AI32" s="40" t="str">
        <f>IF(AND('Mapa final'!$AB$47="Media",'Mapa final'!$AD$47="Catastrófico"),CONCATENATE("R7C",'Mapa final'!$R$47),"")</f>
        <v/>
      </c>
      <c r="AJ32" s="40" t="str">
        <f>IF(AND('Mapa final'!$AB$48="Media",'Mapa final'!$AD$48="Catastrófico"),CONCATENATE("R7C",'Mapa final'!$R$48),"")</f>
        <v/>
      </c>
      <c r="AK32" s="40" t="str">
        <f>IF(AND('Mapa final'!$AB$49="Media",'Mapa final'!$AD$49="Catastrófico"),CONCATENATE("R7C",'Mapa final'!$R$49),"")</f>
        <v/>
      </c>
      <c r="AL32" s="40" t="str">
        <f>IF(AND('Mapa final'!$AB$50="Media",'Mapa final'!$AD$50="Catastrófico"),CONCATENATE("R7C",'Mapa final'!$R$50),"")</f>
        <v/>
      </c>
      <c r="AM32" s="41" t="str">
        <f>IF(AND('Mapa final'!$AB$51="Media",'Mapa final'!$AD$51="Catastrófico"),CONCATENATE("R7C",'Mapa final'!$R$51),"")</f>
        <v/>
      </c>
      <c r="AN32" s="67"/>
      <c r="AO32" s="579"/>
      <c r="AP32" s="580"/>
      <c r="AQ32" s="580"/>
      <c r="AR32" s="580"/>
      <c r="AS32" s="580"/>
      <c r="AT32" s="581"/>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25">
      <c r="A33" s="67"/>
      <c r="B33" s="451"/>
      <c r="C33" s="451"/>
      <c r="D33" s="452"/>
      <c r="E33" s="550"/>
      <c r="F33" s="549"/>
      <c r="G33" s="549"/>
      <c r="H33" s="549"/>
      <c r="I33" s="565"/>
      <c r="J33" s="51" t="str">
        <f>IF(AND('Mapa final'!$AB$52="Media",'Mapa final'!$AD$52="Leve"),CONCATENATE("R8C",'Mapa final'!$R$52),"")</f>
        <v/>
      </c>
      <c r="K33" s="52" t="str">
        <f>IF(AND('Mapa final'!$AB$53="Media",'Mapa final'!$AD$53="Leve"),CONCATENATE("R8C",'Mapa final'!$R$53),"")</f>
        <v/>
      </c>
      <c r="L33" s="52" t="str">
        <f>IF(AND('Mapa final'!$AB$54="Media",'Mapa final'!$AD$54="Leve"),CONCATENATE("R8C",'Mapa final'!$R$54),"")</f>
        <v/>
      </c>
      <c r="M33" s="52" t="str">
        <f>IF(AND('Mapa final'!$AB$55="Media",'Mapa final'!$AD$55="Leve"),CONCATENATE("R8C",'Mapa final'!$R$55),"")</f>
        <v/>
      </c>
      <c r="N33" s="52" t="str">
        <f>IF(AND('Mapa final'!$AB$56="Media",'Mapa final'!$AD$56="Leve"),CONCATENATE("R8C",'Mapa final'!$R$56),"")</f>
        <v/>
      </c>
      <c r="O33" s="53" t="str">
        <f>IF(AND('Mapa final'!$AB$57="Media",'Mapa final'!$AD$57="Leve"),CONCATENATE("R8C",'Mapa final'!$R$57),"")</f>
        <v/>
      </c>
      <c r="P33" s="51" t="str">
        <f>IF(AND('Mapa final'!$AB$52="Media",'Mapa final'!$AD$52="Menor"),CONCATENATE("R8C",'Mapa final'!$R$52),"")</f>
        <v/>
      </c>
      <c r="Q33" s="52" t="str">
        <f>IF(AND('Mapa final'!$AB$53="Media",'Mapa final'!$AD$53="Menor"),CONCATENATE("R8C",'Mapa final'!$R$53),"")</f>
        <v/>
      </c>
      <c r="R33" s="52" t="str">
        <f>IF(AND('Mapa final'!$AB$54="Media",'Mapa final'!$AD$54="Menor"),CONCATENATE("R8C",'Mapa final'!$R$54),"")</f>
        <v/>
      </c>
      <c r="S33" s="52" t="str">
        <f>IF(AND('Mapa final'!$AB$55="Media",'Mapa final'!$AD$55="Menor"),CONCATENATE("R8C",'Mapa final'!$R$55),"")</f>
        <v/>
      </c>
      <c r="T33" s="52" t="str">
        <f>IF(AND('Mapa final'!$AB$56="Media",'Mapa final'!$AD$56="Menor"),CONCATENATE("R8C",'Mapa final'!$R$56),"")</f>
        <v/>
      </c>
      <c r="U33" s="53" t="str">
        <f>IF(AND('Mapa final'!$AB$57="Media",'Mapa final'!$AD$57="Menor"),CONCATENATE("R8C",'Mapa final'!$R$57),"")</f>
        <v/>
      </c>
      <c r="V33" s="51" t="str">
        <f>IF(AND('Mapa final'!$AB$52="Media",'Mapa final'!$AD$52="Moderado"),CONCATENATE("R8C",'Mapa final'!$R$52),"")</f>
        <v/>
      </c>
      <c r="W33" s="52" t="str">
        <f>IF(AND('Mapa final'!$AB$53="Media",'Mapa final'!$AD$53="Moderado"),CONCATENATE("R8C",'Mapa final'!$R$53),"")</f>
        <v/>
      </c>
      <c r="X33" s="52" t="str">
        <f>IF(AND('Mapa final'!$AB$54="Media",'Mapa final'!$AD$54="Moderado"),CONCATENATE("R8C",'Mapa final'!$R$54),"")</f>
        <v/>
      </c>
      <c r="Y33" s="52" t="str">
        <f>IF(AND('Mapa final'!$AB$55="Media",'Mapa final'!$AD$55="Moderado"),CONCATENATE("R8C",'Mapa final'!$R$55),"")</f>
        <v/>
      </c>
      <c r="Z33" s="52" t="str">
        <f>IF(AND('Mapa final'!$AB$56="Media",'Mapa final'!$AD$56="Moderado"),CONCATENATE("R8C",'Mapa final'!$R$56),"")</f>
        <v/>
      </c>
      <c r="AA33" s="53" t="str">
        <f>IF(AND('Mapa final'!$AB$57="Media",'Mapa final'!$AD$57="Moderado"),CONCATENATE("R8C",'Mapa final'!$R$57),"")</f>
        <v/>
      </c>
      <c r="AB33" s="36" t="str">
        <f>IF(AND('Mapa final'!$AB$52="Media",'Mapa final'!$AD$52="Mayor"),CONCATENATE("R8C",'Mapa final'!$R$52),"")</f>
        <v/>
      </c>
      <c r="AC33" s="37" t="str">
        <f>IF(AND('Mapa final'!$AB$53="Media",'Mapa final'!$AD$53="Mayor"),CONCATENATE("R8C",'Mapa final'!$R$53),"")</f>
        <v/>
      </c>
      <c r="AD33" s="37" t="str">
        <f>IF(AND('Mapa final'!$AB$54="Media",'Mapa final'!$AD$54="Mayor"),CONCATENATE("R8C",'Mapa final'!$R$54),"")</f>
        <v/>
      </c>
      <c r="AE33" s="37" t="str">
        <f>IF(AND('Mapa final'!$AB$55="Media",'Mapa final'!$AD$55="Mayor"),CONCATENATE("R8C",'Mapa final'!$R$55),"")</f>
        <v/>
      </c>
      <c r="AF33" s="37" t="str">
        <f>IF(AND('Mapa final'!$AB$56="Media",'Mapa final'!$AD$56="Mayor"),CONCATENATE("R8C",'Mapa final'!$R$56),"")</f>
        <v/>
      </c>
      <c r="AG33" s="38" t="str">
        <f>IF(AND('Mapa final'!$AB$57="Media",'Mapa final'!$AD$57="Mayor"),CONCATENATE("R8C",'Mapa final'!$R$57),"")</f>
        <v/>
      </c>
      <c r="AH33" s="39" t="str">
        <f>IF(AND('Mapa final'!$AB$52="Media",'Mapa final'!$AD$52="Catastrófico"),CONCATENATE("R8C",'Mapa final'!$R$52),"")</f>
        <v/>
      </c>
      <c r="AI33" s="40" t="str">
        <f>IF(AND('Mapa final'!$AB$53="Media",'Mapa final'!$AD$53="Catastrófico"),CONCATENATE("R8C",'Mapa final'!$R$53),"")</f>
        <v/>
      </c>
      <c r="AJ33" s="40" t="str">
        <f>IF(AND('Mapa final'!$AB$54="Media",'Mapa final'!$AD$54="Catastrófico"),CONCATENATE("R8C",'Mapa final'!$R$54),"")</f>
        <v/>
      </c>
      <c r="AK33" s="40" t="str">
        <f>IF(AND('Mapa final'!$AB$55="Media",'Mapa final'!$AD$55="Catastrófico"),CONCATENATE("R8C",'Mapa final'!$R$55),"")</f>
        <v/>
      </c>
      <c r="AL33" s="40" t="str">
        <f>IF(AND('Mapa final'!$AB$56="Media",'Mapa final'!$AD$56="Catastrófico"),CONCATENATE("R8C",'Mapa final'!$R$56),"")</f>
        <v/>
      </c>
      <c r="AM33" s="41" t="str">
        <f>IF(AND('Mapa final'!$AB$57="Media",'Mapa final'!$AD$57="Catastrófico"),CONCATENATE("R8C",'Mapa final'!$R$57),"")</f>
        <v/>
      </c>
      <c r="AN33" s="67"/>
      <c r="AO33" s="579"/>
      <c r="AP33" s="580"/>
      <c r="AQ33" s="580"/>
      <c r="AR33" s="580"/>
      <c r="AS33" s="580"/>
      <c r="AT33" s="581"/>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25">
      <c r="A34" s="67"/>
      <c r="B34" s="451"/>
      <c r="C34" s="451"/>
      <c r="D34" s="452"/>
      <c r="E34" s="550"/>
      <c r="F34" s="549"/>
      <c r="G34" s="549"/>
      <c r="H34" s="549"/>
      <c r="I34" s="565"/>
      <c r="J34" s="51" t="str">
        <f>IF(AND('Mapa final'!$AB$58="Media",'Mapa final'!$AD$58="Leve"),CONCATENATE("R9C",'Mapa final'!$R$58),"")</f>
        <v/>
      </c>
      <c r="K34" s="52" t="str">
        <f>IF(AND('Mapa final'!$AB$59="Media",'Mapa final'!$AD$59="Leve"),CONCATENATE("R9C",'Mapa final'!$R$59),"")</f>
        <v/>
      </c>
      <c r="L34" s="52" t="str">
        <f>IF(AND('Mapa final'!$AB$60="Media",'Mapa final'!$AD$60="Leve"),CONCATENATE("R9C",'Mapa final'!$R$60),"")</f>
        <v/>
      </c>
      <c r="M34" s="52" t="str">
        <f>IF(AND('Mapa final'!$AB$61="Media",'Mapa final'!$AD$61="Leve"),CONCATENATE("R9C",'Mapa final'!$R$61),"")</f>
        <v/>
      </c>
      <c r="N34" s="52" t="str">
        <f>IF(AND('Mapa final'!$AB$62="Media",'Mapa final'!$AD$62="Leve"),CONCATENATE("R9C",'Mapa final'!$R$62),"")</f>
        <v/>
      </c>
      <c r="O34" s="53" t="str">
        <f>IF(AND('Mapa final'!$AB$63="Media",'Mapa final'!$AD$63="Leve"),CONCATENATE("R9C",'Mapa final'!$R$63),"")</f>
        <v/>
      </c>
      <c r="P34" s="51" t="str">
        <f>IF(AND('Mapa final'!$AB$58="Media",'Mapa final'!$AD$58="Menor"),CONCATENATE("R9C",'Mapa final'!$R$58),"")</f>
        <v/>
      </c>
      <c r="Q34" s="52" t="str">
        <f>IF(AND('Mapa final'!$AB$59="Media",'Mapa final'!$AD$59="Menor"),CONCATENATE("R9C",'Mapa final'!$R$59),"")</f>
        <v/>
      </c>
      <c r="R34" s="52" t="str">
        <f>IF(AND('Mapa final'!$AB$60="Media",'Mapa final'!$AD$60="Menor"),CONCATENATE("R9C",'Mapa final'!$R$60),"")</f>
        <v/>
      </c>
      <c r="S34" s="52" t="str">
        <f>IF(AND('Mapa final'!$AB$61="Media",'Mapa final'!$AD$61="Menor"),CONCATENATE("R9C",'Mapa final'!$R$61),"")</f>
        <v/>
      </c>
      <c r="T34" s="52" t="str">
        <f>IF(AND('Mapa final'!$AB$62="Media",'Mapa final'!$AD$62="Menor"),CONCATENATE("R9C",'Mapa final'!$R$62),"")</f>
        <v/>
      </c>
      <c r="U34" s="53" t="str">
        <f>IF(AND('Mapa final'!$AB$63="Media",'Mapa final'!$AD$63="Menor"),CONCATENATE("R9C",'Mapa final'!$R$63),"")</f>
        <v/>
      </c>
      <c r="V34" s="51" t="str">
        <f>IF(AND('Mapa final'!$AB$58="Media",'Mapa final'!$AD$58="Moderado"),CONCATENATE("R9C",'Mapa final'!$R$58),"")</f>
        <v/>
      </c>
      <c r="W34" s="52" t="str">
        <f>IF(AND('Mapa final'!$AB$59="Media",'Mapa final'!$AD$59="Moderado"),CONCATENATE("R9C",'Mapa final'!$R$59),"")</f>
        <v/>
      </c>
      <c r="X34" s="52" t="str">
        <f>IF(AND('Mapa final'!$AB$60="Media",'Mapa final'!$AD$60="Moderado"),CONCATENATE("R9C",'Mapa final'!$R$60),"")</f>
        <v/>
      </c>
      <c r="Y34" s="52" t="str">
        <f>IF(AND('Mapa final'!$AB$61="Media",'Mapa final'!$AD$61="Moderado"),CONCATENATE("R9C",'Mapa final'!$R$61),"")</f>
        <v/>
      </c>
      <c r="Z34" s="52" t="str">
        <f>IF(AND('Mapa final'!$AB$62="Media",'Mapa final'!$AD$62="Moderado"),CONCATENATE("R9C",'Mapa final'!$R$62),"")</f>
        <v/>
      </c>
      <c r="AA34" s="53" t="str">
        <f>IF(AND('Mapa final'!$AB$63="Media",'Mapa final'!$AD$63="Moderado"),CONCATENATE("R9C",'Mapa final'!$R$63),"")</f>
        <v/>
      </c>
      <c r="AB34" s="36" t="str">
        <f>IF(AND('Mapa final'!$AB$58="Media",'Mapa final'!$AD$58="Mayor"),CONCATENATE("R9C",'Mapa final'!$R$58),"")</f>
        <v/>
      </c>
      <c r="AC34" s="37" t="str">
        <f>IF(AND('Mapa final'!$AB$59="Media",'Mapa final'!$AD$59="Mayor"),CONCATENATE("R9C",'Mapa final'!$R$59),"")</f>
        <v/>
      </c>
      <c r="AD34" s="37" t="str">
        <f>IF(AND('Mapa final'!$AB$60="Media",'Mapa final'!$AD$60="Mayor"),CONCATENATE("R9C",'Mapa final'!$R$60),"")</f>
        <v/>
      </c>
      <c r="AE34" s="37" t="str">
        <f>IF(AND('Mapa final'!$AB$61="Media",'Mapa final'!$AD$61="Mayor"),CONCATENATE("R9C",'Mapa final'!$R$61),"")</f>
        <v/>
      </c>
      <c r="AF34" s="37" t="str">
        <f>IF(AND('Mapa final'!$AB$62="Media",'Mapa final'!$AD$62="Mayor"),CONCATENATE("R9C",'Mapa final'!$R$62),"")</f>
        <v/>
      </c>
      <c r="AG34" s="38" t="str">
        <f>IF(AND('Mapa final'!$AB$63="Media",'Mapa final'!$AD$63="Mayor"),CONCATENATE("R9C",'Mapa final'!$R$63),"")</f>
        <v/>
      </c>
      <c r="AH34" s="39" t="str">
        <f>IF(AND('Mapa final'!$AB$58="Media",'Mapa final'!$AD$58="Catastrófico"),CONCATENATE("R9C",'Mapa final'!$R$58),"")</f>
        <v/>
      </c>
      <c r="AI34" s="40" t="str">
        <f>IF(AND('Mapa final'!$AB$59="Media",'Mapa final'!$AD$59="Catastrófico"),CONCATENATE("R9C",'Mapa final'!$R$59),"")</f>
        <v/>
      </c>
      <c r="AJ34" s="40" t="str">
        <f>IF(AND('Mapa final'!$AB$60="Media",'Mapa final'!$AD$60="Catastrófico"),CONCATENATE("R9C",'Mapa final'!$R$60),"")</f>
        <v/>
      </c>
      <c r="AK34" s="40" t="str">
        <f>IF(AND('Mapa final'!$AB$61="Media",'Mapa final'!$AD$61="Catastrófico"),CONCATENATE("R9C",'Mapa final'!$R$61),"")</f>
        <v/>
      </c>
      <c r="AL34" s="40" t="str">
        <f>IF(AND('Mapa final'!$AB$62="Media",'Mapa final'!$AD$62="Catastrófico"),CONCATENATE("R9C",'Mapa final'!$R$62),"")</f>
        <v/>
      </c>
      <c r="AM34" s="41" t="str">
        <f>IF(AND('Mapa final'!$AB$63="Media",'Mapa final'!$AD$63="Catastrófico"),CONCATENATE("R9C",'Mapa final'!$R$63),"")</f>
        <v/>
      </c>
      <c r="AN34" s="67"/>
      <c r="AO34" s="579"/>
      <c r="AP34" s="580"/>
      <c r="AQ34" s="580"/>
      <c r="AR34" s="580"/>
      <c r="AS34" s="580"/>
      <c r="AT34" s="581"/>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
      <c r="A35" s="67"/>
      <c r="B35" s="451"/>
      <c r="C35" s="451"/>
      <c r="D35" s="452"/>
      <c r="E35" s="551"/>
      <c r="F35" s="552"/>
      <c r="G35" s="552"/>
      <c r="H35" s="552"/>
      <c r="I35" s="566"/>
      <c r="J35" s="51" t="str">
        <f>IF(AND('Mapa final'!$AB$64="Media",'Mapa final'!$AD$64="Leve"),CONCATENATE("R10C",'Mapa final'!$R$64),"")</f>
        <v/>
      </c>
      <c r="K35" s="52" t="str">
        <f>IF(AND('Mapa final'!$AB$65="Media",'Mapa final'!$AD$65="Leve"),CONCATENATE("R10C",'Mapa final'!$R$65),"")</f>
        <v/>
      </c>
      <c r="L35" s="52" t="str">
        <f>IF(AND('Mapa final'!$AB$66="Media",'Mapa final'!$AD$66="Leve"),CONCATENATE("R10C",'Mapa final'!$R$66),"")</f>
        <v/>
      </c>
      <c r="M35" s="52" t="str">
        <f>IF(AND('Mapa final'!$AB$67="Media",'Mapa final'!$AD$67="Leve"),CONCATENATE("R10C",'Mapa final'!$R$67),"")</f>
        <v/>
      </c>
      <c r="N35" s="52" t="str">
        <f>IF(AND('Mapa final'!$AB$68="Media",'Mapa final'!$AD$68="Leve"),CONCATENATE("R10C",'Mapa final'!$R$68),"")</f>
        <v/>
      </c>
      <c r="O35" s="53" t="str">
        <f>IF(AND('Mapa final'!$AB$69="Media",'Mapa final'!$AD$69="Leve"),CONCATENATE("R10C",'Mapa final'!$R$69),"")</f>
        <v/>
      </c>
      <c r="P35" s="51" t="str">
        <f>IF(AND('Mapa final'!$AB$64="Media",'Mapa final'!$AD$64="Menor"),CONCATENATE("R10C",'Mapa final'!$R$64),"")</f>
        <v/>
      </c>
      <c r="Q35" s="52" t="str">
        <f>IF(AND('Mapa final'!$AB$65="Media",'Mapa final'!$AD$65="Menor"),CONCATENATE("R10C",'Mapa final'!$R$65),"")</f>
        <v/>
      </c>
      <c r="R35" s="52" t="str">
        <f>IF(AND('Mapa final'!$AB$66="Media",'Mapa final'!$AD$66="Menor"),CONCATENATE("R10C",'Mapa final'!$R$66),"")</f>
        <v/>
      </c>
      <c r="S35" s="52" t="str">
        <f>IF(AND('Mapa final'!$AB$67="Media",'Mapa final'!$AD$67="Menor"),CONCATENATE("R10C",'Mapa final'!$R$67),"")</f>
        <v/>
      </c>
      <c r="T35" s="52" t="str">
        <f>IF(AND('Mapa final'!$AB$68="Media",'Mapa final'!$AD$68="Menor"),CONCATENATE("R10C",'Mapa final'!$R$68),"")</f>
        <v/>
      </c>
      <c r="U35" s="53" t="str">
        <f>IF(AND('Mapa final'!$AB$69="Media",'Mapa final'!$AD$69="Menor"),CONCATENATE("R10C",'Mapa final'!$R$69),"")</f>
        <v/>
      </c>
      <c r="V35" s="51" t="str">
        <f>IF(AND('Mapa final'!$AB$64="Media",'Mapa final'!$AD$64="Moderado"),CONCATENATE("R10C",'Mapa final'!$R$64),"")</f>
        <v/>
      </c>
      <c r="W35" s="52" t="str">
        <f>IF(AND('Mapa final'!$AB$65="Media",'Mapa final'!$AD$65="Moderado"),CONCATENATE("R10C",'Mapa final'!$R$65),"")</f>
        <v/>
      </c>
      <c r="X35" s="52" t="str">
        <f>IF(AND('Mapa final'!$AB$66="Media",'Mapa final'!$AD$66="Moderado"),CONCATENATE("R10C",'Mapa final'!$R$66),"")</f>
        <v/>
      </c>
      <c r="Y35" s="52" t="str">
        <f>IF(AND('Mapa final'!$AB$67="Media",'Mapa final'!$AD$67="Moderado"),CONCATENATE("R10C",'Mapa final'!$R$67),"")</f>
        <v/>
      </c>
      <c r="Z35" s="52" t="str">
        <f>IF(AND('Mapa final'!$AB$68="Media",'Mapa final'!$AD$68="Moderado"),CONCATENATE("R10C",'Mapa final'!$R$68),"")</f>
        <v/>
      </c>
      <c r="AA35" s="53" t="str">
        <f>IF(AND('Mapa final'!$AB$69="Media",'Mapa final'!$AD$69="Moderado"),CONCATENATE("R10C",'Mapa final'!$R$69),"")</f>
        <v/>
      </c>
      <c r="AB35" s="42" t="str">
        <f>IF(AND('Mapa final'!$AB$64="Media",'Mapa final'!$AD$64="Mayor"),CONCATENATE("R10C",'Mapa final'!$R$64),"")</f>
        <v/>
      </c>
      <c r="AC35" s="43" t="str">
        <f>IF(AND('Mapa final'!$AB$65="Media",'Mapa final'!$AD$65="Mayor"),CONCATENATE("R10C",'Mapa final'!$R$65),"")</f>
        <v/>
      </c>
      <c r="AD35" s="43" t="str">
        <f>IF(AND('Mapa final'!$AB$66="Media",'Mapa final'!$AD$66="Mayor"),CONCATENATE("R10C",'Mapa final'!$R$66),"")</f>
        <v/>
      </c>
      <c r="AE35" s="43" t="str">
        <f>IF(AND('Mapa final'!$AB$67="Media",'Mapa final'!$AD$67="Mayor"),CONCATENATE("R10C",'Mapa final'!$R$67),"")</f>
        <v/>
      </c>
      <c r="AF35" s="43" t="str">
        <f>IF(AND('Mapa final'!$AB$68="Media",'Mapa final'!$AD$68="Mayor"),CONCATENATE("R10C",'Mapa final'!$R$68),"")</f>
        <v/>
      </c>
      <c r="AG35" s="44" t="str">
        <f>IF(AND('Mapa final'!$AB$69="Media",'Mapa final'!$AD$69="Mayor"),CONCATENATE("R10C",'Mapa final'!$R$69),"")</f>
        <v/>
      </c>
      <c r="AH35" s="45" t="str">
        <f>IF(AND('Mapa final'!$AB$64="Media",'Mapa final'!$AD$64="Catastrófico"),CONCATENATE("R10C",'Mapa final'!$R$64),"")</f>
        <v/>
      </c>
      <c r="AI35" s="46" t="str">
        <f>IF(AND('Mapa final'!$AB$65="Media",'Mapa final'!$AD$65="Catastrófico"),CONCATENATE("R10C",'Mapa final'!$R$65),"")</f>
        <v/>
      </c>
      <c r="AJ35" s="46" t="str">
        <f>IF(AND('Mapa final'!$AB$66="Media",'Mapa final'!$AD$66="Catastrófico"),CONCATENATE("R10C",'Mapa final'!$R$66),"")</f>
        <v/>
      </c>
      <c r="AK35" s="46" t="str">
        <f>IF(AND('Mapa final'!$AB$67="Media",'Mapa final'!$AD$67="Catastrófico"),CONCATENATE("R10C",'Mapa final'!$R$67),"")</f>
        <v/>
      </c>
      <c r="AL35" s="46" t="str">
        <f>IF(AND('Mapa final'!$AB$68="Media",'Mapa final'!$AD$68="Catastrófico"),CONCATENATE("R10C",'Mapa final'!$R$68),"")</f>
        <v/>
      </c>
      <c r="AM35" s="47" t="str">
        <f>IF(AND('Mapa final'!$AB$69="Media",'Mapa final'!$AD$69="Catastrófico"),CONCATENATE("R10C",'Mapa final'!$R$69),"")</f>
        <v/>
      </c>
      <c r="AN35" s="67"/>
      <c r="AO35" s="582"/>
      <c r="AP35" s="583"/>
      <c r="AQ35" s="583"/>
      <c r="AR35" s="583"/>
      <c r="AS35" s="583"/>
      <c r="AT35" s="584"/>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25">
      <c r="A36" s="67"/>
      <c r="B36" s="451"/>
      <c r="C36" s="451"/>
      <c r="D36" s="452"/>
      <c r="E36" s="546" t="s">
        <v>109</v>
      </c>
      <c r="F36" s="547"/>
      <c r="G36" s="547"/>
      <c r="H36" s="547"/>
      <c r="I36" s="547"/>
      <c r="J36" s="57" t="str">
        <f>IF(AND('Mapa final'!$AB$10="Baja",'Mapa final'!$AD$10="Leve"),CONCATENATE("R1C",'Mapa final'!$R$10),"")</f>
        <v/>
      </c>
      <c r="K36" s="58" t="str">
        <f>IF(AND('Mapa final'!$AB$11="Baja",'Mapa final'!$AD$11="Leve"),CONCATENATE("R1C",'Mapa final'!$R$11),"")</f>
        <v/>
      </c>
      <c r="L36" s="58" t="str">
        <f>IF(AND('Mapa final'!$AB$12="Baja",'Mapa final'!$AD$12="Leve"),CONCATENATE("R1C",'Mapa final'!$R$12),"")</f>
        <v/>
      </c>
      <c r="M36" s="58" t="str">
        <f>IF(AND('Mapa final'!$AB$13="Baja",'Mapa final'!$AD$13="Leve"),CONCATENATE("R1C",'Mapa final'!$R$13),"")</f>
        <v/>
      </c>
      <c r="N36" s="58" t="str">
        <f>IF(AND('Mapa final'!$AB$14="Baja",'Mapa final'!$AD$14="Leve"),CONCATENATE("R1C",'Mapa final'!$R$14),"")</f>
        <v/>
      </c>
      <c r="O36" s="59" t="str">
        <f>IF(AND('Mapa final'!$AB$15="Baja",'Mapa final'!$AD$15="Leve"),CONCATENATE("R1C",'Mapa final'!$R$15),"")</f>
        <v/>
      </c>
      <c r="P36" s="48" t="str">
        <f>IF(AND('Mapa final'!$AB$10="Baja",'Mapa final'!$AD$10="Menor"),CONCATENATE("R1C",'Mapa final'!$R$10),"")</f>
        <v/>
      </c>
      <c r="Q36" s="49" t="str">
        <f>IF(AND('Mapa final'!$AB$11="Baja",'Mapa final'!$AD$11="Menor"),CONCATENATE("R1C",'Mapa final'!$R$11),"")</f>
        <v/>
      </c>
      <c r="R36" s="49" t="str">
        <f>IF(AND('Mapa final'!$AB$12="Baja",'Mapa final'!$AD$12="Menor"),CONCATENATE("R1C",'Mapa final'!$R$12),"")</f>
        <v/>
      </c>
      <c r="S36" s="49" t="str">
        <f>IF(AND('Mapa final'!$AB$13="Baja",'Mapa final'!$AD$13="Menor"),CONCATENATE("R1C",'Mapa final'!$R$13),"")</f>
        <v/>
      </c>
      <c r="T36" s="49" t="str">
        <f>IF(AND('Mapa final'!$AB$14="Baja",'Mapa final'!$AD$14="Menor"),CONCATENATE("R1C",'Mapa final'!$R$14),"")</f>
        <v/>
      </c>
      <c r="U36" s="50" t="str">
        <f>IF(AND('Mapa final'!$AB$15="Baja",'Mapa final'!$AD$15="Menor"),CONCATENATE("R1C",'Mapa final'!$R$15),"")</f>
        <v/>
      </c>
      <c r="V36" s="48" t="str">
        <f>IF(AND('Mapa final'!$AB$10="Baja",'Mapa final'!$AD$10="Moderado"),CONCATENATE("R1C",'Mapa final'!$R$10),"")</f>
        <v>R1C1</v>
      </c>
      <c r="W36" s="49" t="str">
        <f>IF(AND('Mapa final'!$AB$11="Baja",'Mapa final'!$AD$11="Moderado"),CONCATENATE("R1C",'Mapa final'!$R$11),"")</f>
        <v>R1C2</v>
      </c>
      <c r="X36" s="49" t="str">
        <f>IF(AND('Mapa final'!$AB$12="Baja",'Mapa final'!$AD$12="Moderado"),CONCATENATE("R1C",'Mapa final'!$R$12),"")</f>
        <v/>
      </c>
      <c r="Y36" s="49" t="str">
        <f>IF(AND('Mapa final'!$AB$13="Baja",'Mapa final'!$AD$13="Moderado"),CONCATENATE("R1C",'Mapa final'!$R$13),"")</f>
        <v/>
      </c>
      <c r="Z36" s="49" t="str">
        <f>IF(AND('Mapa final'!$AB$14="Baja",'Mapa final'!$AD$14="Moderado"),CONCATENATE("R1C",'Mapa final'!$R$14),"")</f>
        <v/>
      </c>
      <c r="AA36" s="50" t="str">
        <f>IF(AND('Mapa final'!$AB$15="Baja",'Mapa final'!$AD$15="Moderado"),CONCATENATE("R1C",'Mapa final'!$R$15),"")</f>
        <v/>
      </c>
      <c r="AB36" s="30" t="str">
        <f>IF(AND('Mapa final'!$AB$10="Baja",'Mapa final'!$AD$10="Mayor"),CONCATENATE("R1C",'Mapa final'!$R$10),"")</f>
        <v/>
      </c>
      <c r="AC36" s="31" t="str">
        <f>IF(AND('Mapa final'!$AB$11="Baja",'Mapa final'!$AD$11="Mayor"),CONCATENATE("R1C",'Mapa final'!$R$11),"")</f>
        <v/>
      </c>
      <c r="AD36" s="31" t="str">
        <f>IF(AND('Mapa final'!$AB$12="Baja",'Mapa final'!$AD$12="Mayor"),CONCATENATE("R1C",'Mapa final'!$R$12),"")</f>
        <v/>
      </c>
      <c r="AE36" s="31" t="str">
        <f>IF(AND('Mapa final'!$AB$13="Baja",'Mapa final'!$AD$13="Mayor"),CONCATENATE("R1C",'Mapa final'!$R$13),"")</f>
        <v/>
      </c>
      <c r="AF36" s="31" t="str">
        <f>IF(AND('Mapa final'!$AB$14="Baja",'Mapa final'!$AD$14="Mayor"),CONCATENATE("R1C",'Mapa final'!$R$14),"")</f>
        <v/>
      </c>
      <c r="AG36" s="32" t="str">
        <f>IF(AND('Mapa final'!$AB$15="Baja",'Mapa final'!$AD$15="Mayor"),CONCATENATE("R1C",'Mapa final'!$R$15),"")</f>
        <v/>
      </c>
      <c r="AH36" s="33" t="str">
        <f>IF(AND('Mapa final'!$AB$10="Baja",'Mapa final'!$AD$10="Catastrófico"),CONCATENATE("R1C",'Mapa final'!$R$10),"")</f>
        <v/>
      </c>
      <c r="AI36" s="34" t="str">
        <f>IF(AND('Mapa final'!$AB$11="Baja",'Mapa final'!$AD$11="Catastrófico"),CONCATENATE("R1C",'Mapa final'!$R$11),"")</f>
        <v/>
      </c>
      <c r="AJ36" s="34" t="str">
        <f>IF(AND('Mapa final'!$AB$12="Baja",'Mapa final'!$AD$12="Catastrófico"),CONCATENATE("R1C",'Mapa final'!$R$12),"")</f>
        <v/>
      </c>
      <c r="AK36" s="34" t="str">
        <f>IF(AND('Mapa final'!$AB$13="Baja",'Mapa final'!$AD$13="Catastrófico"),CONCATENATE("R1C",'Mapa final'!$R$13),"")</f>
        <v/>
      </c>
      <c r="AL36" s="34" t="str">
        <f>IF(AND('Mapa final'!$AB$14="Baja",'Mapa final'!$AD$14="Catastrófico"),CONCATENATE("R1C",'Mapa final'!$R$14),"")</f>
        <v/>
      </c>
      <c r="AM36" s="35" t="str">
        <f>IF(AND('Mapa final'!$AB$15="Baja",'Mapa final'!$AD$15="Catastrófico"),CONCATENATE("R1C",'Mapa final'!$R$15),"")</f>
        <v/>
      </c>
      <c r="AN36" s="67"/>
      <c r="AO36" s="567" t="s">
        <v>81</v>
      </c>
      <c r="AP36" s="568"/>
      <c r="AQ36" s="568"/>
      <c r="AR36" s="568"/>
      <c r="AS36" s="568"/>
      <c r="AT36" s="569"/>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25">
      <c r="A37" s="67"/>
      <c r="B37" s="451"/>
      <c r="C37" s="451"/>
      <c r="D37" s="452"/>
      <c r="E37" s="548"/>
      <c r="F37" s="549"/>
      <c r="G37" s="549"/>
      <c r="H37" s="549"/>
      <c r="I37" s="549"/>
      <c r="J37" s="60" t="str">
        <f>IF(AND('Mapa final'!$AB$16="Baja",'Mapa final'!$AD$16="Leve"),CONCATENATE("R2C",'Mapa final'!$R$16),"")</f>
        <v/>
      </c>
      <c r="K37" s="61" t="str">
        <f>IF(AND('Mapa final'!$AB$17="Baja",'Mapa final'!$AD$17="Leve"),CONCATENATE("R2C",'Mapa final'!$R$17),"")</f>
        <v/>
      </c>
      <c r="L37" s="61" t="str">
        <f>IF(AND('Mapa final'!$AB$18="Baja",'Mapa final'!$AD$18="Leve"),CONCATENATE("R2C",'Mapa final'!$R$18),"")</f>
        <v/>
      </c>
      <c r="M37" s="61" t="str">
        <f>IF(AND('Mapa final'!$AB$19="Baja",'Mapa final'!$AD$19="Leve"),CONCATENATE("R2C",'Mapa final'!$R$19),"")</f>
        <v/>
      </c>
      <c r="N37" s="61" t="str">
        <f>IF(AND('Mapa final'!$AB$20="Baja",'Mapa final'!$AD$20="Leve"),CONCATENATE("R2C",'Mapa final'!$R$20),"")</f>
        <v/>
      </c>
      <c r="O37" s="62" t="str">
        <f>IF(AND('Mapa final'!$AB$21="Baja",'Mapa final'!$AD$21="Leve"),CONCATENATE("R2C",'Mapa final'!$R$21),"")</f>
        <v/>
      </c>
      <c r="P37" s="51" t="str">
        <f>IF(AND('Mapa final'!$AB$16="Baja",'Mapa final'!$AD$16="Menor"),CONCATENATE("R2C",'Mapa final'!$R$16),"")</f>
        <v>R2C1</v>
      </c>
      <c r="Q37" s="52" t="str">
        <f>IF(AND('Mapa final'!$AB$17="Baja",'Mapa final'!$AD$17="Menor"),CONCATENATE("R2C",'Mapa final'!$R$17),"")</f>
        <v>R2C2</v>
      </c>
      <c r="R37" s="52" t="str">
        <f>IF(AND('Mapa final'!$AB$18="Baja",'Mapa final'!$AD$18="Menor"),CONCATENATE("R2C",'Mapa final'!$R$18),"")</f>
        <v/>
      </c>
      <c r="S37" s="52" t="str">
        <f>IF(AND('Mapa final'!$AB$19="Baja",'Mapa final'!$AD$19="Menor"),CONCATENATE("R2C",'Mapa final'!$R$19),"")</f>
        <v/>
      </c>
      <c r="T37" s="52" t="str">
        <f>IF(AND('Mapa final'!$AB$20="Baja",'Mapa final'!$AD$20="Menor"),CONCATENATE("R2C",'Mapa final'!$R$20),"")</f>
        <v/>
      </c>
      <c r="U37" s="53" t="str">
        <f>IF(AND('Mapa final'!$AB$21="Baja",'Mapa final'!$AD$21="Menor"),CONCATENATE("R2C",'Mapa final'!$R$21),"")</f>
        <v/>
      </c>
      <c r="V37" s="51" t="str">
        <f>IF(AND('Mapa final'!$AB$16="Baja",'Mapa final'!$AD$16="Moderado"),CONCATENATE("R2C",'Mapa final'!$R$16),"")</f>
        <v/>
      </c>
      <c r="W37" s="52" t="str">
        <f>IF(AND('Mapa final'!$AB$17="Baja",'Mapa final'!$AD$17="Moderado"),CONCATENATE("R2C",'Mapa final'!$R$17),"")</f>
        <v/>
      </c>
      <c r="X37" s="52" t="str">
        <f>IF(AND('Mapa final'!$AB$18="Baja",'Mapa final'!$AD$18="Moderado"),CONCATENATE("R2C",'Mapa final'!$R$18),"")</f>
        <v/>
      </c>
      <c r="Y37" s="52" t="str">
        <f>IF(AND('Mapa final'!$AB$19="Baja",'Mapa final'!$AD$19="Moderado"),CONCATENATE("R2C",'Mapa final'!$R$19),"")</f>
        <v/>
      </c>
      <c r="Z37" s="52" t="str">
        <f>IF(AND('Mapa final'!$AB$20="Baja",'Mapa final'!$AD$20="Moderado"),CONCATENATE("R2C",'Mapa final'!$R$20),"")</f>
        <v/>
      </c>
      <c r="AA37" s="53" t="str">
        <f>IF(AND('Mapa final'!$AB$21="Baja",'Mapa final'!$AD$21="Moderado"),CONCATENATE("R2C",'Mapa final'!$R$21),"")</f>
        <v/>
      </c>
      <c r="AB37" s="36" t="str">
        <f>IF(AND('Mapa final'!$AB$16="Baja",'Mapa final'!$AD$16="Mayor"),CONCATENATE("R2C",'Mapa final'!$R$16),"")</f>
        <v/>
      </c>
      <c r="AC37" s="37" t="str">
        <f>IF(AND('Mapa final'!$AB$17="Baja",'Mapa final'!$AD$17="Mayor"),CONCATENATE("R2C",'Mapa final'!$R$17),"")</f>
        <v/>
      </c>
      <c r="AD37" s="37" t="str">
        <f>IF(AND('Mapa final'!$AB$18="Baja",'Mapa final'!$AD$18="Mayor"),CONCATENATE("R2C",'Mapa final'!$R$18),"")</f>
        <v/>
      </c>
      <c r="AE37" s="37" t="str">
        <f>IF(AND('Mapa final'!$AB$19="Baja",'Mapa final'!$AD$19="Mayor"),CONCATENATE("R2C",'Mapa final'!$R$19),"")</f>
        <v/>
      </c>
      <c r="AF37" s="37" t="str">
        <f>IF(AND('Mapa final'!$AB$20="Baja",'Mapa final'!$AD$20="Mayor"),CONCATENATE("R2C",'Mapa final'!$R$20),"")</f>
        <v/>
      </c>
      <c r="AG37" s="38" t="str">
        <f>IF(AND('Mapa final'!$AB$21="Baja",'Mapa final'!$AD$21="Mayor"),CONCATENATE("R2C",'Mapa final'!$R$21),"")</f>
        <v/>
      </c>
      <c r="AH37" s="39" t="str">
        <f>IF(AND('Mapa final'!$AB$16="Baja",'Mapa final'!$AD$16="Catastrófico"),CONCATENATE("R2C",'Mapa final'!$R$16),"")</f>
        <v/>
      </c>
      <c r="AI37" s="40" t="str">
        <f>IF(AND('Mapa final'!$AB$17="Baja",'Mapa final'!$AD$17="Catastrófico"),CONCATENATE("R2C",'Mapa final'!$R$17),"")</f>
        <v/>
      </c>
      <c r="AJ37" s="40" t="str">
        <f>IF(AND('Mapa final'!$AB$18="Baja",'Mapa final'!$AD$18="Catastrófico"),CONCATENATE("R2C",'Mapa final'!$R$18),"")</f>
        <v/>
      </c>
      <c r="AK37" s="40" t="str">
        <f>IF(AND('Mapa final'!$AB$19="Baja",'Mapa final'!$AD$19="Catastrófico"),CONCATENATE("R2C",'Mapa final'!$R$19),"")</f>
        <v/>
      </c>
      <c r="AL37" s="40" t="str">
        <f>IF(AND('Mapa final'!$AB$20="Baja",'Mapa final'!$AD$20="Catastrófico"),CONCATENATE("R2C",'Mapa final'!$R$20),"")</f>
        <v/>
      </c>
      <c r="AM37" s="41" t="str">
        <f>IF(AND('Mapa final'!$AB$21="Baja",'Mapa final'!$AD$21="Catastrófico"),CONCATENATE("R2C",'Mapa final'!$R$21),"")</f>
        <v/>
      </c>
      <c r="AN37" s="67"/>
      <c r="AO37" s="570"/>
      <c r="AP37" s="571"/>
      <c r="AQ37" s="571"/>
      <c r="AR37" s="571"/>
      <c r="AS37" s="571"/>
      <c r="AT37" s="572"/>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25">
      <c r="A38" s="67"/>
      <c r="B38" s="451"/>
      <c r="C38" s="451"/>
      <c r="D38" s="452"/>
      <c r="E38" s="550"/>
      <c r="F38" s="549"/>
      <c r="G38" s="549"/>
      <c r="H38" s="549"/>
      <c r="I38" s="549"/>
      <c r="J38" s="60" t="str">
        <f>IF(AND('Mapa final'!$AB$22="Baja",'Mapa final'!$AD$22="Leve"),CONCATENATE("R3C",'Mapa final'!$R$22),"")</f>
        <v/>
      </c>
      <c r="K38" s="61" t="str">
        <f>IF(AND('Mapa final'!$AB$23="Baja",'Mapa final'!$AD$23="Leve"),CONCATENATE("R3C",'Mapa final'!$R$23),"")</f>
        <v/>
      </c>
      <c r="L38" s="61" t="str">
        <f>IF(AND('Mapa final'!$AB$24="Baja",'Mapa final'!$AD$24="Leve"),CONCATENATE("R3C",'Mapa final'!$R$24),"")</f>
        <v/>
      </c>
      <c r="M38" s="61" t="str">
        <f>IF(AND('Mapa final'!$AB$25="Baja",'Mapa final'!$AD$25="Leve"),CONCATENATE("R3C",'Mapa final'!$R$25),"")</f>
        <v/>
      </c>
      <c r="N38" s="61" t="str">
        <f>IF(AND('Mapa final'!$AB$26="Baja",'Mapa final'!$AD$26="Leve"),CONCATENATE("R3C",'Mapa final'!$R$26),"")</f>
        <v/>
      </c>
      <c r="O38" s="62" t="str">
        <f>IF(AND('Mapa final'!$AB$27="Baja",'Mapa final'!$AD$27="Leve"),CONCATENATE("R3C",'Mapa final'!$R$27),"")</f>
        <v/>
      </c>
      <c r="P38" s="51" t="str">
        <f>IF(AND('Mapa final'!$AB$22="Baja",'Mapa final'!$AD$22="Menor"),CONCATENATE("R3C",'Mapa final'!$R$22),"")</f>
        <v>R3C1</v>
      </c>
      <c r="Q38" s="52" t="str">
        <f>IF(AND('Mapa final'!$AB$23="Baja",'Mapa final'!$AD$23="Menor"),CONCATENATE("R3C",'Mapa final'!$R$23),"")</f>
        <v>R3C2</v>
      </c>
      <c r="R38" s="52" t="str">
        <f>IF(AND('Mapa final'!$AB$24="Baja",'Mapa final'!$AD$24="Menor"),CONCATENATE("R3C",'Mapa final'!$R$24),"")</f>
        <v/>
      </c>
      <c r="S38" s="52" t="str">
        <f>IF(AND('Mapa final'!$AB$25="Baja",'Mapa final'!$AD$25="Menor"),CONCATENATE("R3C",'Mapa final'!$R$25),"")</f>
        <v/>
      </c>
      <c r="T38" s="52" t="str">
        <f>IF(AND('Mapa final'!$AB$26="Baja",'Mapa final'!$AD$26="Menor"),CONCATENATE("R3C",'Mapa final'!$R$26),"")</f>
        <v/>
      </c>
      <c r="U38" s="53" t="str">
        <f>IF(AND('Mapa final'!$AB$27="Baja",'Mapa final'!$AD$27="Menor"),CONCATENATE("R3C",'Mapa final'!$R$27),"")</f>
        <v/>
      </c>
      <c r="V38" s="51" t="str">
        <f>IF(AND('Mapa final'!$AB$22="Baja",'Mapa final'!$AD$22="Moderado"),CONCATENATE("R3C",'Mapa final'!$R$22),"")</f>
        <v/>
      </c>
      <c r="W38" s="52" t="str">
        <f>IF(AND('Mapa final'!$AB$23="Baja",'Mapa final'!$AD$23="Moderado"),CONCATENATE("R3C",'Mapa final'!$R$23),"")</f>
        <v/>
      </c>
      <c r="X38" s="52" t="str">
        <f>IF(AND('Mapa final'!$AB$24="Baja",'Mapa final'!$AD$24="Moderado"),CONCATENATE("R3C",'Mapa final'!$R$24),"")</f>
        <v/>
      </c>
      <c r="Y38" s="52" t="str">
        <f>IF(AND('Mapa final'!$AB$25="Baja",'Mapa final'!$AD$25="Moderado"),CONCATENATE("R3C",'Mapa final'!$R$25),"")</f>
        <v/>
      </c>
      <c r="Z38" s="52" t="str">
        <f>IF(AND('Mapa final'!$AB$26="Baja",'Mapa final'!$AD$26="Moderado"),CONCATENATE("R3C",'Mapa final'!$R$26),"")</f>
        <v/>
      </c>
      <c r="AA38" s="53" t="str">
        <f>IF(AND('Mapa final'!$AB$27="Baja",'Mapa final'!$AD$27="Moderado"),CONCATENATE("R3C",'Mapa final'!$R$27),"")</f>
        <v/>
      </c>
      <c r="AB38" s="36" t="str">
        <f>IF(AND('Mapa final'!$AB$22="Baja",'Mapa final'!$AD$22="Mayor"),CONCATENATE("R3C",'Mapa final'!$R$22),"")</f>
        <v/>
      </c>
      <c r="AC38" s="37" t="str">
        <f>IF(AND('Mapa final'!$AB$23="Baja",'Mapa final'!$AD$23="Mayor"),CONCATENATE("R3C",'Mapa final'!$R$23),"")</f>
        <v/>
      </c>
      <c r="AD38" s="37" t="str">
        <f>IF(AND('Mapa final'!$AB$24="Baja",'Mapa final'!$AD$24="Mayor"),CONCATENATE("R3C",'Mapa final'!$R$24),"")</f>
        <v/>
      </c>
      <c r="AE38" s="37" t="str">
        <f>IF(AND('Mapa final'!$AB$25="Baja",'Mapa final'!$AD$25="Mayor"),CONCATENATE("R3C",'Mapa final'!$R$25),"")</f>
        <v/>
      </c>
      <c r="AF38" s="37" t="str">
        <f>IF(AND('Mapa final'!$AB$26="Baja",'Mapa final'!$AD$26="Mayor"),CONCATENATE("R3C",'Mapa final'!$R$26),"")</f>
        <v/>
      </c>
      <c r="AG38" s="38" t="str">
        <f>IF(AND('Mapa final'!$AB$27="Baja",'Mapa final'!$AD$27="Mayor"),CONCATENATE("R3C",'Mapa final'!$R$27),"")</f>
        <v/>
      </c>
      <c r="AH38" s="39" t="str">
        <f>IF(AND('Mapa final'!$AB$22="Baja",'Mapa final'!$AD$22="Catastrófico"),CONCATENATE("R3C",'Mapa final'!$R$22),"")</f>
        <v/>
      </c>
      <c r="AI38" s="40" t="str">
        <f>IF(AND('Mapa final'!$AB$23="Baja",'Mapa final'!$AD$23="Catastrófico"),CONCATENATE("R3C",'Mapa final'!$R$23),"")</f>
        <v/>
      </c>
      <c r="AJ38" s="40" t="str">
        <f>IF(AND('Mapa final'!$AB$24="Baja",'Mapa final'!$AD$24="Catastrófico"),CONCATENATE("R3C",'Mapa final'!$R$24),"")</f>
        <v/>
      </c>
      <c r="AK38" s="40" t="str">
        <f>IF(AND('Mapa final'!$AB$25="Baja",'Mapa final'!$AD$25="Catastrófico"),CONCATENATE("R3C",'Mapa final'!$R$25),"")</f>
        <v/>
      </c>
      <c r="AL38" s="40" t="str">
        <f>IF(AND('Mapa final'!$AB$26="Baja",'Mapa final'!$AD$26="Catastrófico"),CONCATENATE("R3C",'Mapa final'!$R$26),"")</f>
        <v/>
      </c>
      <c r="AM38" s="41" t="str">
        <f>IF(AND('Mapa final'!$AB$27="Baja",'Mapa final'!$AD$27="Catastrófico"),CONCATENATE("R3C",'Mapa final'!$R$27),"")</f>
        <v/>
      </c>
      <c r="AN38" s="67"/>
      <c r="AO38" s="570"/>
      <c r="AP38" s="571"/>
      <c r="AQ38" s="571"/>
      <c r="AR38" s="571"/>
      <c r="AS38" s="571"/>
      <c r="AT38" s="572"/>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25">
      <c r="A39" s="67"/>
      <c r="B39" s="451"/>
      <c r="C39" s="451"/>
      <c r="D39" s="452"/>
      <c r="E39" s="550"/>
      <c r="F39" s="549"/>
      <c r="G39" s="549"/>
      <c r="H39" s="549"/>
      <c r="I39" s="549"/>
      <c r="J39" s="60" t="str">
        <f>IF(AND('Mapa final'!$AB$28="Baja",'Mapa final'!$AD$28="Leve"),CONCATENATE("R4C",'Mapa final'!$R$28),"")</f>
        <v/>
      </c>
      <c r="K39" s="61" t="str">
        <f>IF(AND('Mapa final'!$AB$29="Baja",'Mapa final'!$AD$29="Leve"),CONCATENATE("R4C",'Mapa final'!$R$29),"")</f>
        <v/>
      </c>
      <c r="L39" s="61" t="str">
        <f>IF(AND('Mapa final'!$AB$30="Baja",'Mapa final'!$AD$30="Leve"),CONCATENATE("R4C",'Mapa final'!$R$30),"")</f>
        <v/>
      </c>
      <c r="M39" s="61" t="str">
        <f>IF(AND('Mapa final'!$AB$31="Baja",'Mapa final'!$AD$31="Leve"),CONCATENATE("R4C",'Mapa final'!$R$31),"")</f>
        <v/>
      </c>
      <c r="N39" s="61" t="str">
        <f>IF(AND('Mapa final'!$AB$32="Baja",'Mapa final'!$AD$32="Leve"),CONCATENATE("R4C",'Mapa final'!$R$32),"")</f>
        <v/>
      </c>
      <c r="O39" s="62" t="str">
        <f>IF(AND('Mapa final'!$AB$33="Baja",'Mapa final'!$AD$33="Leve"),CONCATENATE("R4C",'Mapa final'!$R$33),"")</f>
        <v/>
      </c>
      <c r="P39" s="51" t="str">
        <f>IF(AND('Mapa final'!$AB$28="Baja",'Mapa final'!$AD$28="Menor"),CONCATENATE("R4C",'Mapa final'!$R$28),"")</f>
        <v/>
      </c>
      <c r="Q39" s="52" t="str">
        <f>IF(AND('Mapa final'!$AB$29="Baja",'Mapa final'!$AD$29="Menor"),CONCATENATE("R4C",'Mapa final'!$R$29),"")</f>
        <v/>
      </c>
      <c r="R39" s="52" t="str">
        <f>IF(AND('Mapa final'!$AB$30="Baja",'Mapa final'!$AD$30="Menor"),CONCATENATE("R4C",'Mapa final'!$R$30),"")</f>
        <v/>
      </c>
      <c r="S39" s="52" t="str">
        <f>IF(AND('Mapa final'!$AB$31="Baja",'Mapa final'!$AD$31="Menor"),CONCATENATE("R4C",'Mapa final'!$R$31),"")</f>
        <v/>
      </c>
      <c r="T39" s="52" t="str">
        <f>IF(AND('Mapa final'!$AB$32="Baja",'Mapa final'!$AD$32="Menor"),CONCATENATE("R4C",'Mapa final'!$R$32),"")</f>
        <v/>
      </c>
      <c r="U39" s="53" t="str">
        <f>IF(AND('Mapa final'!$AB$33="Baja",'Mapa final'!$AD$33="Menor"),CONCATENATE("R4C",'Mapa final'!$R$33),"")</f>
        <v/>
      </c>
      <c r="V39" s="51" t="str">
        <f>IF(AND('Mapa final'!$AB$28="Baja",'Mapa final'!$AD$28="Moderado"),CONCATENATE("R4C",'Mapa final'!$R$28),"")</f>
        <v/>
      </c>
      <c r="W39" s="52" t="str">
        <f>IF(AND('Mapa final'!$AB$29="Baja",'Mapa final'!$AD$29="Moderado"),CONCATENATE("R4C",'Mapa final'!$R$29),"")</f>
        <v/>
      </c>
      <c r="X39" s="52" t="str">
        <f>IF(AND('Mapa final'!$AB$30="Baja",'Mapa final'!$AD$30="Moderado"),CONCATENATE("R4C",'Mapa final'!$R$30),"")</f>
        <v/>
      </c>
      <c r="Y39" s="52" t="str">
        <f>IF(AND('Mapa final'!$AB$31="Baja",'Mapa final'!$AD$31="Moderado"),CONCATENATE("R4C",'Mapa final'!$R$31),"")</f>
        <v/>
      </c>
      <c r="Z39" s="52" t="str">
        <f>IF(AND('Mapa final'!$AB$32="Baja",'Mapa final'!$AD$32="Moderado"),CONCATENATE("R4C",'Mapa final'!$R$32),"")</f>
        <v/>
      </c>
      <c r="AA39" s="53" t="str">
        <f>IF(AND('Mapa final'!$AB$33="Baja",'Mapa final'!$AD$33="Moderado"),CONCATENATE("R4C",'Mapa final'!$R$33),"")</f>
        <v/>
      </c>
      <c r="AB39" s="36" t="str">
        <f>IF(AND('Mapa final'!$AB$28="Baja",'Mapa final'!$AD$28="Mayor"),CONCATENATE("R4C",'Mapa final'!$R$28),"")</f>
        <v/>
      </c>
      <c r="AC39" s="37" t="str">
        <f>IF(AND('Mapa final'!$AB$29="Baja",'Mapa final'!$AD$29="Mayor"),CONCATENATE("R4C",'Mapa final'!$R$29),"")</f>
        <v/>
      </c>
      <c r="AD39" s="37" t="str">
        <f>IF(AND('Mapa final'!$AB$30="Baja",'Mapa final'!$AD$30="Mayor"),CONCATENATE("R4C",'Mapa final'!$R$30),"")</f>
        <v/>
      </c>
      <c r="AE39" s="37" t="str">
        <f>IF(AND('Mapa final'!$AB$31="Baja",'Mapa final'!$AD$31="Mayor"),CONCATENATE("R4C",'Mapa final'!$R$31),"")</f>
        <v/>
      </c>
      <c r="AF39" s="37" t="str">
        <f>IF(AND('Mapa final'!$AB$32="Baja",'Mapa final'!$AD$32="Mayor"),CONCATENATE("R4C",'Mapa final'!$R$32),"")</f>
        <v/>
      </c>
      <c r="AG39" s="38" t="str">
        <f>IF(AND('Mapa final'!$AB$33="Baja",'Mapa final'!$AD$33="Mayor"),CONCATENATE("R4C",'Mapa final'!$R$33),"")</f>
        <v/>
      </c>
      <c r="AH39" s="39" t="str">
        <f>IF(AND('Mapa final'!$AB$28="Baja",'Mapa final'!$AD$28="Catastrófico"),CONCATENATE("R4C",'Mapa final'!$R$28),"")</f>
        <v/>
      </c>
      <c r="AI39" s="40" t="str">
        <f>IF(AND('Mapa final'!$AB$29="Baja",'Mapa final'!$AD$29="Catastrófico"),CONCATENATE("R4C",'Mapa final'!$R$29),"")</f>
        <v/>
      </c>
      <c r="AJ39" s="40" t="str">
        <f>IF(AND('Mapa final'!$AB$30="Baja",'Mapa final'!$AD$30="Catastrófico"),CONCATENATE("R4C",'Mapa final'!$R$30),"")</f>
        <v/>
      </c>
      <c r="AK39" s="40" t="str">
        <f>IF(AND('Mapa final'!$AB$31="Baja",'Mapa final'!$AD$31="Catastrófico"),CONCATENATE("R4C",'Mapa final'!$R$31),"")</f>
        <v/>
      </c>
      <c r="AL39" s="40" t="str">
        <f>IF(AND('Mapa final'!$AB$32="Baja",'Mapa final'!$AD$32="Catastrófico"),CONCATENATE("R4C",'Mapa final'!$R$32),"")</f>
        <v/>
      </c>
      <c r="AM39" s="41" t="str">
        <f>IF(AND('Mapa final'!$AB$33="Baja",'Mapa final'!$AD$33="Catastrófico"),CONCATENATE("R4C",'Mapa final'!$R$33),"")</f>
        <v/>
      </c>
      <c r="AN39" s="67"/>
      <c r="AO39" s="570"/>
      <c r="AP39" s="571"/>
      <c r="AQ39" s="571"/>
      <c r="AR39" s="571"/>
      <c r="AS39" s="571"/>
      <c r="AT39" s="572"/>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25">
      <c r="A40" s="67"/>
      <c r="B40" s="451"/>
      <c r="C40" s="451"/>
      <c r="D40" s="452"/>
      <c r="E40" s="550"/>
      <c r="F40" s="549"/>
      <c r="G40" s="549"/>
      <c r="H40" s="549"/>
      <c r="I40" s="549"/>
      <c r="J40" s="60" t="str">
        <f>IF(AND('Mapa final'!$AB$34="Baja",'Mapa final'!$AD$34="Leve"),CONCATENATE("R5C",'Mapa final'!$R$34),"")</f>
        <v/>
      </c>
      <c r="K40" s="61" t="str">
        <f>IF(AND('Mapa final'!$AB$35="Baja",'Mapa final'!$AD$35="Leve"),CONCATENATE("R5C",'Mapa final'!$R$35),"")</f>
        <v/>
      </c>
      <c r="L40" s="61" t="str">
        <f>IF(AND('Mapa final'!$AB$36="Baja",'Mapa final'!$AD$36="Leve"),CONCATENATE("R5C",'Mapa final'!$R$36),"")</f>
        <v/>
      </c>
      <c r="M40" s="61" t="str">
        <f>IF(AND('Mapa final'!$AB$37="Baja",'Mapa final'!$AD$37="Leve"),CONCATENATE("R5C",'Mapa final'!$R$37),"")</f>
        <v/>
      </c>
      <c r="N40" s="61" t="str">
        <f>IF(AND('Mapa final'!$AB$38="Baja",'Mapa final'!$AD$38="Leve"),CONCATENATE("R5C",'Mapa final'!$R$38),"")</f>
        <v/>
      </c>
      <c r="O40" s="62" t="str">
        <f>IF(AND('Mapa final'!$AB$39="Baja",'Mapa final'!$AD$39="Leve"),CONCATENATE("R5C",'Mapa final'!$R$39),"")</f>
        <v/>
      </c>
      <c r="P40" s="51" t="str">
        <f>IF(AND('Mapa final'!$AB$34="Baja",'Mapa final'!$AD$34="Menor"),CONCATENATE("R5C",'Mapa final'!$R$34),"")</f>
        <v/>
      </c>
      <c r="Q40" s="52" t="str">
        <f>IF(AND('Mapa final'!$AB$35="Baja",'Mapa final'!$AD$35="Menor"),CONCATENATE("R5C",'Mapa final'!$R$35),"")</f>
        <v/>
      </c>
      <c r="R40" s="52" t="str">
        <f>IF(AND('Mapa final'!$AB$36="Baja",'Mapa final'!$AD$36="Menor"),CONCATENATE("R5C",'Mapa final'!$R$36),"")</f>
        <v/>
      </c>
      <c r="S40" s="52" t="str">
        <f>IF(AND('Mapa final'!$AB$37="Baja",'Mapa final'!$AD$37="Menor"),CONCATENATE("R5C",'Mapa final'!$R$37),"")</f>
        <v/>
      </c>
      <c r="T40" s="52" t="str">
        <f>IF(AND('Mapa final'!$AB$38="Baja",'Mapa final'!$AD$38="Menor"),CONCATENATE("R5C",'Mapa final'!$R$38),"")</f>
        <v/>
      </c>
      <c r="U40" s="53" t="str">
        <f>IF(AND('Mapa final'!$AB$39="Baja",'Mapa final'!$AD$39="Menor"),CONCATENATE("R5C",'Mapa final'!$R$39),"")</f>
        <v/>
      </c>
      <c r="V40" s="51" t="str">
        <f>IF(AND('Mapa final'!$AB$34="Baja",'Mapa final'!$AD$34="Moderado"),CONCATENATE("R5C",'Mapa final'!$R$34),"")</f>
        <v/>
      </c>
      <c r="W40" s="52" t="str">
        <f>IF(AND('Mapa final'!$AB$35="Baja",'Mapa final'!$AD$35="Moderado"),CONCATENATE("R5C",'Mapa final'!$R$35),"")</f>
        <v/>
      </c>
      <c r="X40" s="52" t="str">
        <f>IF(AND('Mapa final'!$AB$36="Baja",'Mapa final'!$AD$36="Moderado"),CONCATENATE("R5C",'Mapa final'!$R$36),"")</f>
        <v/>
      </c>
      <c r="Y40" s="52" t="str">
        <f>IF(AND('Mapa final'!$AB$37="Baja",'Mapa final'!$AD$37="Moderado"),CONCATENATE("R5C",'Mapa final'!$R$37),"")</f>
        <v/>
      </c>
      <c r="Z40" s="52" t="str">
        <f>IF(AND('Mapa final'!$AB$38="Baja",'Mapa final'!$AD$38="Moderado"),CONCATENATE("R5C",'Mapa final'!$R$38),"")</f>
        <v/>
      </c>
      <c r="AA40" s="53" t="str">
        <f>IF(AND('Mapa final'!$AB$39="Baja",'Mapa final'!$AD$39="Moderado"),CONCATENATE("R5C",'Mapa final'!$R$39),"")</f>
        <v/>
      </c>
      <c r="AB40" s="36" t="str">
        <f>IF(AND('Mapa final'!$AB$34="Baja",'Mapa final'!$AD$34="Mayor"),CONCATENATE("R5C",'Mapa final'!$R$34),"")</f>
        <v/>
      </c>
      <c r="AC40" s="37" t="str">
        <f>IF(AND('Mapa final'!$AB$35="Baja",'Mapa final'!$AD$35="Mayor"),CONCATENATE("R5C",'Mapa final'!$R$35),"")</f>
        <v/>
      </c>
      <c r="AD40" s="37" t="str">
        <f>IF(AND('Mapa final'!$AB$36="Baja",'Mapa final'!$AD$36="Mayor"),CONCATENATE("R5C",'Mapa final'!$R$36),"")</f>
        <v/>
      </c>
      <c r="AE40" s="37" t="str">
        <f>IF(AND('Mapa final'!$AB$37="Baja",'Mapa final'!$AD$37="Mayor"),CONCATENATE("R5C",'Mapa final'!$R$37),"")</f>
        <v/>
      </c>
      <c r="AF40" s="37" t="str">
        <f>IF(AND('Mapa final'!$AB$38="Baja",'Mapa final'!$AD$38="Mayor"),CONCATENATE("R5C",'Mapa final'!$R$38),"")</f>
        <v/>
      </c>
      <c r="AG40" s="38" t="str">
        <f>IF(AND('Mapa final'!$AB$39="Baja",'Mapa final'!$AD$39="Mayor"),CONCATENATE("R5C",'Mapa final'!$R$39),"")</f>
        <v/>
      </c>
      <c r="AH40" s="39" t="str">
        <f>IF(AND('Mapa final'!$AB$34="Baja",'Mapa final'!$AD$34="Catastrófico"),CONCATENATE("R5C",'Mapa final'!$R$34),"")</f>
        <v/>
      </c>
      <c r="AI40" s="40" t="str">
        <f>IF(AND('Mapa final'!$AB$35="Baja",'Mapa final'!$AD$35="Catastrófico"),CONCATENATE("R5C",'Mapa final'!$R$35),"")</f>
        <v/>
      </c>
      <c r="AJ40" s="40" t="str">
        <f>IF(AND('Mapa final'!$AB$36="Baja",'Mapa final'!$AD$36="Catastrófico"),CONCATENATE("R5C",'Mapa final'!$R$36),"")</f>
        <v/>
      </c>
      <c r="AK40" s="40" t="str">
        <f>IF(AND('Mapa final'!$AB$37="Baja",'Mapa final'!$AD$37="Catastrófico"),CONCATENATE("R5C",'Mapa final'!$R$37),"")</f>
        <v/>
      </c>
      <c r="AL40" s="40" t="str">
        <f>IF(AND('Mapa final'!$AB$38="Baja",'Mapa final'!$AD$38="Catastrófico"),CONCATENATE("R5C",'Mapa final'!$R$38),"")</f>
        <v/>
      </c>
      <c r="AM40" s="41" t="str">
        <f>IF(AND('Mapa final'!$AB$39="Baja",'Mapa final'!$AD$39="Catastrófico"),CONCATENATE("R5C",'Mapa final'!$R$39),"")</f>
        <v/>
      </c>
      <c r="AN40" s="67"/>
      <c r="AO40" s="570"/>
      <c r="AP40" s="571"/>
      <c r="AQ40" s="571"/>
      <c r="AR40" s="571"/>
      <c r="AS40" s="571"/>
      <c r="AT40" s="572"/>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25">
      <c r="A41" s="67"/>
      <c r="B41" s="451"/>
      <c r="C41" s="451"/>
      <c r="D41" s="452"/>
      <c r="E41" s="550"/>
      <c r="F41" s="549"/>
      <c r="G41" s="549"/>
      <c r="H41" s="549"/>
      <c r="I41" s="549"/>
      <c r="J41" s="60" t="str">
        <f>IF(AND('Mapa final'!$AB$40="Baja",'Mapa final'!$AD$40="Leve"),CONCATENATE("R6C",'Mapa final'!$R$40),"")</f>
        <v/>
      </c>
      <c r="K41" s="61" t="str">
        <f>IF(AND('Mapa final'!$AB$41="Baja",'Mapa final'!$AD$41="Leve"),CONCATENATE("R6C",'Mapa final'!$R$41),"")</f>
        <v/>
      </c>
      <c r="L41" s="61" t="str">
        <f>IF(AND('Mapa final'!$AB$42="Baja",'Mapa final'!$AD$42="Leve"),CONCATENATE("R6C",'Mapa final'!$R$42),"")</f>
        <v/>
      </c>
      <c r="M41" s="61" t="str">
        <f>IF(AND('Mapa final'!$AB$43="Baja",'Mapa final'!$AD$43="Leve"),CONCATENATE("R6C",'Mapa final'!$R$43),"")</f>
        <v/>
      </c>
      <c r="N41" s="61" t="str">
        <f>IF(AND('Mapa final'!$AB$44="Baja",'Mapa final'!$AD$44="Leve"),CONCATENATE("R6C",'Mapa final'!$R$44),"")</f>
        <v/>
      </c>
      <c r="O41" s="62" t="str">
        <f>IF(AND('Mapa final'!$AB$45="Baja",'Mapa final'!$AD$45="Leve"),CONCATENATE("R6C",'Mapa final'!$R$45),"")</f>
        <v/>
      </c>
      <c r="P41" s="51" t="str">
        <f>IF(AND('Mapa final'!$AB$40="Baja",'Mapa final'!$AD$40="Menor"),CONCATENATE("R6C",'Mapa final'!$R$40),"")</f>
        <v/>
      </c>
      <c r="Q41" s="52" t="str">
        <f>IF(AND('Mapa final'!$AB$41="Baja",'Mapa final'!$AD$41="Menor"),CONCATENATE("R6C",'Mapa final'!$R$41),"")</f>
        <v/>
      </c>
      <c r="R41" s="52" t="str">
        <f>IF(AND('Mapa final'!$AB$42="Baja",'Mapa final'!$AD$42="Menor"),CONCATENATE("R6C",'Mapa final'!$R$42),"")</f>
        <v/>
      </c>
      <c r="S41" s="52" t="str">
        <f>IF(AND('Mapa final'!$AB$43="Baja",'Mapa final'!$AD$43="Menor"),CONCATENATE("R6C",'Mapa final'!$R$43),"")</f>
        <v/>
      </c>
      <c r="T41" s="52" t="str">
        <f>IF(AND('Mapa final'!$AB$44="Baja",'Mapa final'!$AD$44="Menor"),CONCATENATE("R6C",'Mapa final'!$R$44),"")</f>
        <v/>
      </c>
      <c r="U41" s="53" t="str">
        <f>IF(AND('Mapa final'!$AB$45="Baja",'Mapa final'!$AD$45="Menor"),CONCATENATE("R6C",'Mapa final'!$R$45),"")</f>
        <v/>
      </c>
      <c r="V41" s="51" t="str">
        <f>IF(AND('Mapa final'!$AB$40="Baja",'Mapa final'!$AD$40="Moderado"),CONCATENATE("R6C",'Mapa final'!$R$40),"")</f>
        <v/>
      </c>
      <c r="W41" s="52" t="str">
        <f>IF(AND('Mapa final'!$AB$41="Baja",'Mapa final'!$AD$41="Moderado"),CONCATENATE("R6C",'Mapa final'!$R$41),"")</f>
        <v/>
      </c>
      <c r="X41" s="52" t="str">
        <f>IF(AND('Mapa final'!$AB$42="Baja",'Mapa final'!$AD$42="Moderado"),CONCATENATE("R6C",'Mapa final'!$R$42),"")</f>
        <v/>
      </c>
      <c r="Y41" s="52" t="str">
        <f>IF(AND('Mapa final'!$AB$43="Baja",'Mapa final'!$AD$43="Moderado"),CONCATENATE("R6C",'Mapa final'!$R$43),"")</f>
        <v/>
      </c>
      <c r="Z41" s="52" t="str">
        <f>IF(AND('Mapa final'!$AB$44="Baja",'Mapa final'!$AD$44="Moderado"),CONCATENATE("R6C",'Mapa final'!$R$44),"")</f>
        <v/>
      </c>
      <c r="AA41" s="53" t="str">
        <f>IF(AND('Mapa final'!$AB$45="Baja",'Mapa final'!$AD$45="Moderado"),CONCATENATE("R6C",'Mapa final'!$R$45),"")</f>
        <v/>
      </c>
      <c r="AB41" s="36" t="str">
        <f>IF(AND('Mapa final'!$AB$40="Baja",'Mapa final'!$AD$40="Mayor"),CONCATENATE("R6C",'Mapa final'!$R$40),"")</f>
        <v/>
      </c>
      <c r="AC41" s="37" t="str">
        <f>IF(AND('Mapa final'!$AB$41="Baja",'Mapa final'!$AD$41="Mayor"),CONCATENATE("R6C",'Mapa final'!$R$41),"")</f>
        <v/>
      </c>
      <c r="AD41" s="37" t="str">
        <f>IF(AND('Mapa final'!$AB$42="Baja",'Mapa final'!$AD$42="Mayor"),CONCATENATE("R6C",'Mapa final'!$R$42),"")</f>
        <v/>
      </c>
      <c r="AE41" s="37" t="str">
        <f>IF(AND('Mapa final'!$AB$43="Baja",'Mapa final'!$AD$43="Mayor"),CONCATENATE("R6C",'Mapa final'!$R$43),"")</f>
        <v/>
      </c>
      <c r="AF41" s="37" t="str">
        <f>IF(AND('Mapa final'!$AB$44="Baja",'Mapa final'!$AD$44="Mayor"),CONCATENATE("R6C",'Mapa final'!$R$44),"")</f>
        <v/>
      </c>
      <c r="AG41" s="38" t="str">
        <f>IF(AND('Mapa final'!$AB$45="Baja",'Mapa final'!$AD$45="Mayor"),CONCATENATE("R6C",'Mapa final'!$R$45),"")</f>
        <v/>
      </c>
      <c r="AH41" s="39" t="str">
        <f>IF(AND('Mapa final'!$AB$40="Baja",'Mapa final'!$AD$40="Catastrófico"),CONCATENATE("R6C",'Mapa final'!$R$40),"")</f>
        <v/>
      </c>
      <c r="AI41" s="40" t="str">
        <f>IF(AND('Mapa final'!$AB$41="Baja",'Mapa final'!$AD$41="Catastrófico"),CONCATENATE("R6C",'Mapa final'!$R$41),"")</f>
        <v/>
      </c>
      <c r="AJ41" s="40" t="str">
        <f>IF(AND('Mapa final'!$AB$42="Baja",'Mapa final'!$AD$42="Catastrófico"),CONCATENATE("R6C",'Mapa final'!$R$42),"")</f>
        <v/>
      </c>
      <c r="AK41" s="40" t="str">
        <f>IF(AND('Mapa final'!$AB$43="Baja",'Mapa final'!$AD$43="Catastrófico"),CONCATENATE("R6C",'Mapa final'!$R$43),"")</f>
        <v/>
      </c>
      <c r="AL41" s="40" t="str">
        <f>IF(AND('Mapa final'!$AB$44="Baja",'Mapa final'!$AD$44="Catastrófico"),CONCATENATE("R6C",'Mapa final'!$R$44),"")</f>
        <v/>
      </c>
      <c r="AM41" s="41" t="str">
        <f>IF(AND('Mapa final'!$AB$45="Baja",'Mapa final'!$AD$45="Catastrófico"),CONCATENATE("R6C",'Mapa final'!$R$45),"")</f>
        <v/>
      </c>
      <c r="AN41" s="67"/>
      <c r="AO41" s="570"/>
      <c r="AP41" s="571"/>
      <c r="AQ41" s="571"/>
      <c r="AR41" s="571"/>
      <c r="AS41" s="571"/>
      <c r="AT41" s="572"/>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25">
      <c r="A42" s="67"/>
      <c r="B42" s="451"/>
      <c r="C42" s="451"/>
      <c r="D42" s="452"/>
      <c r="E42" s="550"/>
      <c r="F42" s="549"/>
      <c r="G42" s="549"/>
      <c r="H42" s="549"/>
      <c r="I42" s="549"/>
      <c r="J42" s="60" t="str">
        <f>IF(AND('Mapa final'!$AB$46="Baja",'Mapa final'!$AD$46="Leve"),CONCATENATE("R7C",'Mapa final'!$R$46),"")</f>
        <v/>
      </c>
      <c r="K42" s="61" t="str">
        <f>IF(AND('Mapa final'!$AB$47="Baja",'Mapa final'!$AD$47="Leve"),CONCATENATE("R7C",'Mapa final'!$R$47),"")</f>
        <v/>
      </c>
      <c r="L42" s="61" t="str">
        <f>IF(AND('Mapa final'!$AB$48="Baja",'Mapa final'!$AD$48="Leve"),CONCATENATE("R7C",'Mapa final'!$R$48),"")</f>
        <v/>
      </c>
      <c r="M42" s="61" t="str">
        <f>IF(AND('Mapa final'!$AB$49="Baja",'Mapa final'!$AD$49="Leve"),CONCATENATE("R7C",'Mapa final'!$R$49),"")</f>
        <v/>
      </c>
      <c r="N42" s="61" t="str">
        <f>IF(AND('Mapa final'!$AB$50="Baja",'Mapa final'!$AD$50="Leve"),CONCATENATE("R7C",'Mapa final'!$R$50),"")</f>
        <v/>
      </c>
      <c r="O42" s="62" t="str">
        <f>IF(AND('Mapa final'!$AB$51="Baja",'Mapa final'!$AD$51="Leve"),CONCATENATE("R7C",'Mapa final'!$R$51),"")</f>
        <v/>
      </c>
      <c r="P42" s="51" t="str">
        <f>IF(AND('Mapa final'!$AB$46="Baja",'Mapa final'!$AD$46="Menor"),CONCATENATE("R7C",'Mapa final'!$R$46),"")</f>
        <v/>
      </c>
      <c r="Q42" s="52" t="str">
        <f>IF(AND('Mapa final'!$AB$47="Baja",'Mapa final'!$AD$47="Menor"),CONCATENATE("R7C",'Mapa final'!$R$47),"")</f>
        <v/>
      </c>
      <c r="R42" s="52" t="str">
        <f>IF(AND('Mapa final'!$AB$48="Baja",'Mapa final'!$AD$48="Menor"),CONCATENATE("R7C",'Mapa final'!$R$48),"")</f>
        <v/>
      </c>
      <c r="S42" s="52" t="str">
        <f>IF(AND('Mapa final'!$AB$49="Baja",'Mapa final'!$AD$49="Menor"),CONCATENATE("R7C",'Mapa final'!$R$49),"")</f>
        <v/>
      </c>
      <c r="T42" s="52" t="str">
        <f>IF(AND('Mapa final'!$AB$50="Baja",'Mapa final'!$AD$50="Menor"),CONCATENATE("R7C",'Mapa final'!$R$50),"")</f>
        <v/>
      </c>
      <c r="U42" s="53" t="str">
        <f>IF(AND('Mapa final'!$AB$51="Baja",'Mapa final'!$AD$51="Menor"),CONCATENATE("R7C",'Mapa final'!$R$51),"")</f>
        <v/>
      </c>
      <c r="V42" s="51" t="str">
        <f>IF(AND('Mapa final'!$AB$46="Baja",'Mapa final'!$AD$46="Moderado"),CONCATENATE("R7C",'Mapa final'!$R$46),"")</f>
        <v/>
      </c>
      <c r="W42" s="52" t="str">
        <f>IF(AND('Mapa final'!$AB$47="Baja",'Mapa final'!$AD$47="Moderado"),CONCATENATE("R7C",'Mapa final'!$R$47),"")</f>
        <v/>
      </c>
      <c r="X42" s="52" t="str">
        <f>IF(AND('Mapa final'!$AB$48="Baja",'Mapa final'!$AD$48="Moderado"),CONCATENATE("R7C",'Mapa final'!$R$48),"")</f>
        <v/>
      </c>
      <c r="Y42" s="52" t="str">
        <f>IF(AND('Mapa final'!$AB$49="Baja",'Mapa final'!$AD$49="Moderado"),CONCATENATE("R7C",'Mapa final'!$R$49),"")</f>
        <v/>
      </c>
      <c r="Z42" s="52" t="str">
        <f>IF(AND('Mapa final'!$AB$50="Baja",'Mapa final'!$AD$50="Moderado"),CONCATENATE("R7C",'Mapa final'!$R$50),"")</f>
        <v/>
      </c>
      <c r="AA42" s="53" t="str">
        <f>IF(AND('Mapa final'!$AB$51="Baja",'Mapa final'!$AD$51="Moderado"),CONCATENATE("R7C",'Mapa final'!$R$51),"")</f>
        <v/>
      </c>
      <c r="AB42" s="36" t="str">
        <f>IF(AND('Mapa final'!$AB$46="Baja",'Mapa final'!$AD$46="Mayor"),CONCATENATE("R7C",'Mapa final'!$R$46),"")</f>
        <v/>
      </c>
      <c r="AC42" s="37" t="str">
        <f>IF(AND('Mapa final'!$AB$47="Baja",'Mapa final'!$AD$47="Mayor"),CONCATENATE("R7C",'Mapa final'!$R$47),"")</f>
        <v/>
      </c>
      <c r="AD42" s="37" t="str">
        <f>IF(AND('Mapa final'!$AB$48="Baja",'Mapa final'!$AD$48="Mayor"),CONCATENATE("R7C",'Mapa final'!$R$48),"")</f>
        <v/>
      </c>
      <c r="AE42" s="37" t="str">
        <f>IF(AND('Mapa final'!$AB$49="Baja",'Mapa final'!$AD$49="Mayor"),CONCATENATE("R7C",'Mapa final'!$R$49),"")</f>
        <v/>
      </c>
      <c r="AF42" s="37" t="str">
        <f>IF(AND('Mapa final'!$AB$50="Baja",'Mapa final'!$AD$50="Mayor"),CONCATENATE("R7C",'Mapa final'!$R$50),"")</f>
        <v/>
      </c>
      <c r="AG42" s="38" t="str">
        <f>IF(AND('Mapa final'!$AB$51="Baja",'Mapa final'!$AD$51="Mayor"),CONCATENATE("R7C",'Mapa final'!$R$51),"")</f>
        <v/>
      </c>
      <c r="AH42" s="39" t="str">
        <f>IF(AND('Mapa final'!$AB$46="Baja",'Mapa final'!$AD$46="Catastrófico"),CONCATENATE("R7C",'Mapa final'!$R$46),"")</f>
        <v/>
      </c>
      <c r="AI42" s="40" t="str">
        <f>IF(AND('Mapa final'!$AB$47="Baja",'Mapa final'!$AD$47="Catastrófico"),CONCATENATE("R7C",'Mapa final'!$R$47),"")</f>
        <v/>
      </c>
      <c r="AJ42" s="40" t="str">
        <f>IF(AND('Mapa final'!$AB$48="Baja",'Mapa final'!$AD$48="Catastrófico"),CONCATENATE("R7C",'Mapa final'!$R$48),"")</f>
        <v/>
      </c>
      <c r="AK42" s="40" t="str">
        <f>IF(AND('Mapa final'!$AB$49="Baja",'Mapa final'!$AD$49="Catastrófico"),CONCATENATE("R7C",'Mapa final'!$R$49),"")</f>
        <v/>
      </c>
      <c r="AL42" s="40" t="str">
        <f>IF(AND('Mapa final'!$AB$50="Baja",'Mapa final'!$AD$50="Catastrófico"),CONCATENATE("R7C",'Mapa final'!$R$50),"")</f>
        <v/>
      </c>
      <c r="AM42" s="41" t="str">
        <f>IF(AND('Mapa final'!$AB$51="Baja",'Mapa final'!$AD$51="Catastrófico"),CONCATENATE("R7C",'Mapa final'!$R$51),"")</f>
        <v/>
      </c>
      <c r="AN42" s="67"/>
      <c r="AO42" s="570"/>
      <c r="AP42" s="571"/>
      <c r="AQ42" s="571"/>
      <c r="AR42" s="571"/>
      <c r="AS42" s="571"/>
      <c r="AT42" s="572"/>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25">
      <c r="A43" s="67"/>
      <c r="B43" s="451"/>
      <c r="C43" s="451"/>
      <c r="D43" s="452"/>
      <c r="E43" s="550"/>
      <c r="F43" s="549"/>
      <c r="G43" s="549"/>
      <c r="H43" s="549"/>
      <c r="I43" s="549"/>
      <c r="J43" s="60" t="str">
        <f>IF(AND('Mapa final'!$AB$52="Baja",'Mapa final'!$AD$52="Leve"),CONCATENATE("R8C",'Mapa final'!$R$52),"")</f>
        <v/>
      </c>
      <c r="K43" s="61" t="str">
        <f>IF(AND('Mapa final'!$AB$53="Baja",'Mapa final'!$AD$53="Leve"),CONCATENATE("R8C",'Mapa final'!$R$53),"")</f>
        <v/>
      </c>
      <c r="L43" s="61" t="str">
        <f>IF(AND('Mapa final'!$AB$54="Baja",'Mapa final'!$AD$54="Leve"),CONCATENATE("R8C",'Mapa final'!$R$54),"")</f>
        <v/>
      </c>
      <c r="M43" s="61" t="str">
        <f>IF(AND('Mapa final'!$AB$55="Baja",'Mapa final'!$AD$55="Leve"),CONCATENATE("R8C",'Mapa final'!$R$55),"")</f>
        <v/>
      </c>
      <c r="N43" s="61" t="str">
        <f>IF(AND('Mapa final'!$AB$56="Baja",'Mapa final'!$AD$56="Leve"),CONCATENATE("R8C",'Mapa final'!$R$56),"")</f>
        <v/>
      </c>
      <c r="O43" s="62" t="str">
        <f>IF(AND('Mapa final'!$AB$57="Baja",'Mapa final'!$AD$57="Leve"),CONCATENATE("R8C",'Mapa final'!$R$57),"")</f>
        <v/>
      </c>
      <c r="P43" s="51" t="str">
        <f>IF(AND('Mapa final'!$AB$52="Baja",'Mapa final'!$AD$52="Menor"),CONCATENATE("R8C",'Mapa final'!$R$52),"")</f>
        <v/>
      </c>
      <c r="Q43" s="52" t="str">
        <f>IF(AND('Mapa final'!$AB$53="Baja",'Mapa final'!$AD$53="Menor"),CONCATENATE("R8C",'Mapa final'!$R$53),"")</f>
        <v/>
      </c>
      <c r="R43" s="52" t="str">
        <f>IF(AND('Mapa final'!$AB$54="Baja",'Mapa final'!$AD$54="Menor"),CONCATENATE("R8C",'Mapa final'!$R$54),"")</f>
        <v/>
      </c>
      <c r="S43" s="52" t="str">
        <f>IF(AND('Mapa final'!$AB$55="Baja",'Mapa final'!$AD$55="Menor"),CONCATENATE("R8C",'Mapa final'!$R$55),"")</f>
        <v/>
      </c>
      <c r="T43" s="52" t="str">
        <f>IF(AND('Mapa final'!$AB$56="Baja",'Mapa final'!$AD$56="Menor"),CONCATENATE("R8C",'Mapa final'!$R$56),"")</f>
        <v/>
      </c>
      <c r="U43" s="53" t="str">
        <f>IF(AND('Mapa final'!$AB$57="Baja",'Mapa final'!$AD$57="Menor"),CONCATENATE("R8C",'Mapa final'!$R$57),"")</f>
        <v/>
      </c>
      <c r="V43" s="51" t="str">
        <f>IF(AND('Mapa final'!$AB$52="Baja",'Mapa final'!$AD$52="Moderado"),CONCATENATE("R8C",'Mapa final'!$R$52),"")</f>
        <v/>
      </c>
      <c r="W43" s="52" t="str">
        <f>IF(AND('Mapa final'!$AB$53="Baja",'Mapa final'!$AD$53="Moderado"),CONCATENATE("R8C",'Mapa final'!$R$53),"")</f>
        <v/>
      </c>
      <c r="X43" s="52" t="str">
        <f>IF(AND('Mapa final'!$AB$54="Baja",'Mapa final'!$AD$54="Moderado"),CONCATENATE("R8C",'Mapa final'!$R$54),"")</f>
        <v/>
      </c>
      <c r="Y43" s="52" t="str">
        <f>IF(AND('Mapa final'!$AB$55="Baja",'Mapa final'!$AD$55="Moderado"),CONCATENATE("R8C",'Mapa final'!$R$55),"")</f>
        <v/>
      </c>
      <c r="Z43" s="52" t="str">
        <f>IF(AND('Mapa final'!$AB$56="Baja",'Mapa final'!$AD$56="Moderado"),CONCATENATE("R8C",'Mapa final'!$R$56),"")</f>
        <v/>
      </c>
      <c r="AA43" s="53" t="str">
        <f>IF(AND('Mapa final'!$AB$57="Baja",'Mapa final'!$AD$57="Moderado"),CONCATENATE("R8C",'Mapa final'!$R$57),"")</f>
        <v/>
      </c>
      <c r="AB43" s="36" t="str">
        <f>IF(AND('Mapa final'!$AB$52="Baja",'Mapa final'!$AD$52="Mayor"),CONCATENATE("R8C",'Mapa final'!$R$52),"")</f>
        <v/>
      </c>
      <c r="AC43" s="37" t="str">
        <f>IF(AND('Mapa final'!$AB$53="Baja",'Mapa final'!$AD$53="Mayor"),CONCATENATE("R8C",'Mapa final'!$R$53),"")</f>
        <v/>
      </c>
      <c r="AD43" s="37" t="str">
        <f>IF(AND('Mapa final'!$AB$54="Baja",'Mapa final'!$AD$54="Mayor"),CONCATENATE("R8C",'Mapa final'!$R$54),"")</f>
        <v/>
      </c>
      <c r="AE43" s="37" t="str">
        <f>IF(AND('Mapa final'!$AB$55="Baja",'Mapa final'!$AD$55="Mayor"),CONCATENATE("R8C",'Mapa final'!$R$55),"")</f>
        <v/>
      </c>
      <c r="AF43" s="37" t="str">
        <f>IF(AND('Mapa final'!$AB$56="Baja",'Mapa final'!$AD$56="Mayor"),CONCATENATE("R8C",'Mapa final'!$R$56),"")</f>
        <v/>
      </c>
      <c r="AG43" s="38" t="str">
        <f>IF(AND('Mapa final'!$AB$57="Baja",'Mapa final'!$AD$57="Mayor"),CONCATENATE("R8C",'Mapa final'!$R$57),"")</f>
        <v/>
      </c>
      <c r="AH43" s="39" t="str">
        <f>IF(AND('Mapa final'!$AB$52="Baja",'Mapa final'!$AD$52="Catastrófico"),CONCATENATE("R8C",'Mapa final'!$R$52),"")</f>
        <v/>
      </c>
      <c r="AI43" s="40" t="str">
        <f>IF(AND('Mapa final'!$AB$53="Baja",'Mapa final'!$AD$53="Catastrófico"),CONCATENATE("R8C",'Mapa final'!$R$53),"")</f>
        <v/>
      </c>
      <c r="AJ43" s="40" t="str">
        <f>IF(AND('Mapa final'!$AB$54="Baja",'Mapa final'!$AD$54="Catastrófico"),CONCATENATE("R8C",'Mapa final'!$R$54),"")</f>
        <v/>
      </c>
      <c r="AK43" s="40" t="str">
        <f>IF(AND('Mapa final'!$AB$55="Baja",'Mapa final'!$AD$55="Catastrófico"),CONCATENATE("R8C",'Mapa final'!$R$55),"")</f>
        <v/>
      </c>
      <c r="AL43" s="40" t="str">
        <f>IF(AND('Mapa final'!$AB$56="Baja",'Mapa final'!$AD$56="Catastrófico"),CONCATENATE("R8C",'Mapa final'!$R$56),"")</f>
        <v/>
      </c>
      <c r="AM43" s="41" t="str">
        <f>IF(AND('Mapa final'!$AB$57="Baja",'Mapa final'!$AD$57="Catastrófico"),CONCATENATE("R8C",'Mapa final'!$R$57),"")</f>
        <v/>
      </c>
      <c r="AN43" s="67"/>
      <c r="AO43" s="570"/>
      <c r="AP43" s="571"/>
      <c r="AQ43" s="571"/>
      <c r="AR43" s="571"/>
      <c r="AS43" s="571"/>
      <c r="AT43" s="572"/>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25">
      <c r="A44" s="67"/>
      <c r="B44" s="451"/>
      <c r="C44" s="451"/>
      <c r="D44" s="452"/>
      <c r="E44" s="550"/>
      <c r="F44" s="549"/>
      <c r="G44" s="549"/>
      <c r="H44" s="549"/>
      <c r="I44" s="549"/>
      <c r="J44" s="60" t="str">
        <f>IF(AND('Mapa final'!$AB$58="Baja",'Mapa final'!$AD$58="Leve"),CONCATENATE("R9C",'Mapa final'!$R$58),"")</f>
        <v/>
      </c>
      <c r="K44" s="61" t="str">
        <f>IF(AND('Mapa final'!$AB$59="Baja",'Mapa final'!$AD$59="Leve"),CONCATENATE("R9C",'Mapa final'!$R$59),"")</f>
        <v/>
      </c>
      <c r="L44" s="61" t="str">
        <f>IF(AND('Mapa final'!$AB$60="Baja",'Mapa final'!$AD$60="Leve"),CONCATENATE("R9C",'Mapa final'!$R$60),"")</f>
        <v/>
      </c>
      <c r="M44" s="61" t="str">
        <f>IF(AND('Mapa final'!$AB$61="Baja",'Mapa final'!$AD$61="Leve"),CONCATENATE("R9C",'Mapa final'!$R$61),"")</f>
        <v/>
      </c>
      <c r="N44" s="61" t="str">
        <f>IF(AND('Mapa final'!$AB$62="Baja",'Mapa final'!$AD$62="Leve"),CONCATENATE("R9C",'Mapa final'!$R$62),"")</f>
        <v/>
      </c>
      <c r="O44" s="62" t="str">
        <f>IF(AND('Mapa final'!$AB$63="Baja",'Mapa final'!$AD$63="Leve"),CONCATENATE("R9C",'Mapa final'!$R$63),"")</f>
        <v/>
      </c>
      <c r="P44" s="51" t="str">
        <f>IF(AND('Mapa final'!$AB$58="Baja",'Mapa final'!$AD$58="Menor"),CONCATENATE("R9C",'Mapa final'!$R$58),"")</f>
        <v/>
      </c>
      <c r="Q44" s="52" t="str">
        <f>IF(AND('Mapa final'!$AB$59="Baja",'Mapa final'!$AD$59="Menor"),CONCATENATE("R9C",'Mapa final'!$R$59),"")</f>
        <v/>
      </c>
      <c r="R44" s="52" t="str">
        <f>IF(AND('Mapa final'!$AB$60="Baja",'Mapa final'!$AD$60="Menor"),CONCATENATE("R9C",'Mapa final'!$R$60),"")</f>
        <v/>
      </c>
      <c r="S44" s="52" t="str">
        <f>IF(AND('Mapa final'!$AB$61="Baja",'Mapa final'!$AD$61="Menor"),CONCATENATE("R9C",'Mapa final'!$R$61),"")</f>
        <v/>
      </c>
      <c r="T44" s="52" t="str">
        <f>IF(AND('Mapa final'!$AB$62="Baja",'Mapa final'!$AD$62="Menor"),CONCATENATE("R9C",'Mapa final'!$R$62),"")</f>
        <v/>
      </c>
      <c r="U44" s="53" t="str">
        <f>IF(AND('Mapa final'!$AB$63="Baja",'Mapa final'!$AD$63="Menor"),CONCATENATE("R9C",'Mapa final'!$R$63),"")</f>
        <v/>
      </c>
      <c r="V44" s="51" t="str">
        <f>IF(AND('Mapa final'!$AB$58="Baja",'Mapa final'!$AD$58="Moderado"),CONCATENATE("R9C",'Mapa final'!$R$58),"")</f>
        <v/>
      </c>
      <c r="W44" s="52" t="str">
        <f>IF(AND('Mapa final'!$AB$59="Baja",'Mapa final'!$AD$59="Moderado"),CONCATENATE("R9C",'Mapa final'!$R$59),"")</f>
        <v/>
      </c>
      <c r="X44" s="52" t="str">
        <f>IF(AND('Mapa final'!$AB$60="Baja",'Mapa final'!$AD$60="Moderado"),CONCATENATE("R9C",'Mapa final'!$R$60),"")</f>
        <v/>
      </c>
      <c r="Y44" s="52" t="str">
        <f>IF(AND('Mapa final'!$AB$61="Baja",'Mapa final'!$AD$61="Moderado"),CONCATENATE("R9C",'Mapa final'!$R$61),"")</f>
        <v/>
      </c>
      <c r="Z44" s="52" t="str">
        <f>IF(AND('Mapa final'!$AB$62="Baja",'Mapa final'!$AD$62="Moderado"),CONCATENATE("R9C",'Mapa final'!$R$62),"")</f>
        <v/>
      </c>
      <c r="AA44" s="53" t="str">
        <f>IF(AND('Mapa final'!$AB$63="Baja",'Mapa final'!$AD$63="Moderado"),CONCATENATE("R9C",'Mapa final'!$R$63),"")</f>
        <v/>
      </c>
      <c r="AB44" s="36" t="str">
        <f>IF(AND('Mapa final'!$AB$58="Baja",'Mapa final'!$AD$58="Mayor"),CONCATENATE("R9C",'Mapa final'!$R$58),"")</f>
        <v/>
      </c>
      <c r="AC44" s="37" t="str">
        <f>IF(AND('Mapa final'!$AB$59="Baja",'Mapa final'!$AD$59="Mayor"),CONCATENATE("R9C",'Mapa final'!$R$59),"")</f>
        <v/>
      </c>
      <c r="AD44" s="37" t="str">
        <f>IF(AND('Mapa final'!$AB$60="Baja",'Mapa final'!$AD$60="Mayor"),CONCATENATE("R9C",'Mapa final'!$R$60),"")</f>
        <v/>
      </c>
      <c r="AE44" s="37" t="str">
        <f>IF(AND('Mapa final'!$AB$61="Baja",'Mapa final'!$AD$61="Mayor"),CONCATENATE("R9C",'Mapa final'!$R$61),"")</f>
        <v/>
      </c>
      <c r="AF44" s="37" t="str">
        <f>IF(AND('Mapa final'!$AB$62="Baja",'Mapa final'!$AD$62="Mayor"),CONCATENATE("R9C",'Mapa final'!$R$62),"")</f>
        <v/>
      </c>
      <c r="AG44" s="38" t="str">
        <f>IF(AND('Mapa final'!$AB$63="Baja",'Mapa final'!$AD$63="Mayor"),CONCATENATE("R9C",'Mapa final'!$R$63),"")</f>
        <v/>
      </c>
      <c r="AH44" s="39" t="str">
        <f>IF(AND('Mapa final'!$AB$58="Baja",'Mapa final'!$AD$58="Catastrófico"),CONCATENATE("R9C",'Mapa final'!$R$58),"")</f>
        <v/>
      </c>
      <c r="AI44" s="40" t="str">
        <f>IF(AND('Mapa final'!$AB$59="Baja",'Mapa final'!$AD$59="Catastrófico"),CONCATENATE("R9C",'Mapa final'!$R$59),"")</f>
        <v/>
      </c>
      <c r="AJ44" s="40" t="str">
        <f>IF(AND('Mapa final'!$AB$60="Baja",'Mapa final'!$AD$60="Catastrófico"),CONCATENATE("R9C",'Mapa final'!$R$60),"")</f>
        <v/>
      </c>
      <c r="AK44" s="40" t="str">
        <f>IF(AND('Mapa final'!$AB$61="Baja",'Mapa final'!$AD$61="Catastrófico"),CONCATENATE("R9C",'Mapa final'!$R$61),"")</f>
        <v/>
      </c>
      <c r="AL44" s="40" t="str">
        <f>IF(AND('Mapa final'!$AB$62="Baja",'Mapa final'!$AD$62="Catastrófico"),CONCATENATE("R9C",'Mapa final'!$R$62),"")</f>
        <v/>
      </c>
      <c r="AM44" s="41" t="str">
        <f>IF(AND('Mapa final'!$AB$63="Baja",'Mapa final'!$AD$63="Catastrófico"),CONCATENATE("R9C",'Mapa final'!$R$63),"")</f>
        <v/>
      </c>
      <c r="AN44" s="67"/>
      <c r="AO44" s="570"/>
      <c r="AP44" s="571"/>
      <c r="AQ44" s="571"/>
      <c r="AR44" s="571"/>
      <c r="AS44" s="571"/>
      <c r="AT44" s="572"/>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
      <c r="A45" s="67"/>
      <c r="B45" s="451"/>
      <c r="C45" s="451"/>
      <c r="D45" s="452"/>
      <c r="E45" s="551"/>
      <c r="F45" s="552"/>
      <c r="G45" s="552"/>
      <c r="H45" s="552"/>
      <c r="I45" s="552"/>
      <c r="J45" s="63" t="str">
        <f>IF(AND('Mapa final'!$AB$64="Baja",'Mapa final'!$AD$64="Leve"),CONCATENATE("R10C",'Mapa final'!$R$64),"")</f>
        <v/>
      </c>
      <c r="K45" s="64" t="str">
        <f>IF(AND('Mapa final'!$AB$65="Baja",'Mapa final'!$AD$65="Leve"),CONCATENATE("R10C",'Mapa final'!$R$65),"")</f>
        <v/>
      </c>
      <c r="L45" s="64" t="str">
        <f>IF(AND('Mapa final'!$AB$66="Baja",'Mapa final'!$AD$66="Leve"),CONCATENATE("R10C",'Mapa final'!$R$66),"")</f>
        <v/>
      </c>
      <c r="M45" s="64" t="str">
        <f>IF(AND('Mapa final'!$AB$67="Baja",'Mapa final'!$AD$67="Leve"),CONCATENATE("R10C",'Mapa final'!$R$67),"")</f>
        <v/>
      </c>
      <c r="N45" s="64" t="str">
        <f>IF(AND('Mapa final'!$AB$68="Baja",'Mapa final'!$AD$68="Leve"),CONCATENATE("R10C",'Mapa final'!$R$68),"")</f>
        <v/>
      </c>
      <c r="O45" s="65" t="str">
        <f>IF(AND('Mapa final'!$AB$69="Baja",'Mapa final'!$AD$69="Leve"),CONCATENATE("R10C",'Mapa final'!$R$69),"")</f>
        <v/>
      </c>
      <c r="P45" s="51" t="str">
        <f>IF(AND('Mapa final'!$AB$64="Baja",'Mapa final'!$AD$64="Menor"),CONCATENATE("R10C",'Mapa final'!$R$64),"")</f>
        <v/>
      </c>
      <c r="Q45" s="52" t="str">
        <f>IF(AND('Mapa final'!$AB$65="Baja",'Mapa final'!$AD$65="Menor"),CONCATENATE("R10C",'Mapa final'!$R$65),"")</f>
        <v/>
      </c>
      <c r="R45" s="52" t="str">
        <f>IF(AND('Mapa final'!$AB$66="Baja",'Mapa final'!$AD$66="Menor"),CONCATENATE("R10C",'Mapa final'!$R$66),"")</f>
        <v/>
      </c>
      <c r="S45" s="52" t="str">
        <f>IF(AND('Mapa final'!$AB$67="Baja",'Mapa final'!$AD$67="Menor"),CONCATENATE("R10C",'Mapa final'!$R$67),"")</f>
        <v/>
      </c>
      <c r="T45" s="52" t="str">
        <f>IF(AND('Mapa final'!$AB$68="Baja",'Mapa final'!$AD$68="Menor"),CONCATENATE("R10C",'Mapa final'!$R$68),"")</f>
        <v/>
      </c>
      <c r="U45" s="53" t="str">
        <f>IF(AND('Mapa final'!$AB$69="Baja",'Mapa final'!$AD$69="Menor"),CONCATENATE("R10C",'Mapa final'!$R$69),"")</f>
        <v/>
      </c>
      <c r="V45" s="54" t="str">
        <f>IF(AND('Mapa final'!$AB$64="Baja",'Mapa final'!$AD$64="Moderado"),CONCATENATE("R10C",'Mapa final'!$R$64),"")</f>
        <v/>
      </c>
      <c r="W45" s="55" t="str">
        <f>IF(AND('Mapa final'!$AB$65="Baja",'Mapa final'!$AD$65="Moderado"),CONCATENATE("R10C",'Mapa final'!$R$65),"")</f>
        <v/>
      </c>
      <c r="X45" s="55" t="str">
        <f>IF(AND('Mapa final'!$AB$66="Baja",'Mapa final'!$AD$66="Moderado"),CONCATENATE("R10C",'Mapa final'!$R$66),"")</f>
        <v/>
      </c>
      <c r="Y45" s="55" t="str">
        <f>IF(AND('Mapa final'!$AB$67="Baja",'Mapa final'!$AD$67="Moderado"),CONCATENATE("R10C",'Mapa final'!$R$67),"")</f>
        <v/>
      </c>
      <c r="Z45" s="55" t="str">
        <f>IF(AND('Mapa final'!$AB$68="Baja",'Mapa final'!$AD$68="Moderado"),CONCATENATE("R10C",'Mapa final'!$R$68),"")</f>
        <v/>
      </c>
      <c r="AA45" s="56" t="str">
        <f>IF(AND('Mapa final'!$AB$69="Baja",'Mapa final'!$AD$69="Moderado"),CONCATENATE("R10C",'Mapa final'!$R$69),"")</f>
        <v/>
      </c>
      <c r="AB45" s="42" t="str">
        <f>IF(AND('Mapa final'!$AB$64="Baja",'Mapa final'!$AD$64="Mayor"),CONCATENATE("R10C",'Mapa final'!$R$64),"")</f>
        <v/>
      </c>
      <c r="AC45" s="43" t="str">
        <f>IF(AND('Mapa final'!$AB$65="Baja",'Mapa final'!$AD$65="Mayor"),CONCATENATE("R10C",'Mapa final'!$R$65),"")</f>
        <v/>
      </c>
      <c r="AD45" s="43" t="str">
        <f>IF(AND('Mapa final'!$AB$66="Baja",'Mapa final'!$AD$66="Mayor"),CONCATENATE("R10C",'Mapa final'!$R$66),"")</f>
        <v/>
      </c>
      <c r="AE45" s="43" t="str">
        <f>IF(AND('Mapa final'!$AB$67="Baja",'Mapa final'!$AD$67="Mayor"),CONCATENATE("R10C",'Mapa final'!$R$67),"")</f>
        <v/>
      </c>
      <c r="AF45" s="43" t="str">
        <f>IF(AND('Mapa final'!$AB$68="Baja",'Mapa final'!$AD$68="Mayor"),CONCATENATE("R10C",'Mapa final'!$R$68),"")</f>
        <v/>
      </c>
      <c r="AG45" s="44" t="str">
        <f>IF(AND('Mapa final'!$AB$69="Baja",'Mapa final'!$AD$69="Mayor"),CONCATENATE("R10C",'Mapa final'!$R$69),"")</f>
        <v/>
      </c>
      <c r="AH45" s="45" t="str">
        <f>IF(AND('Mapa final'!$AB$64="Baja",'Mapa final'!$AD$64="Catastrófico"),CONCATENATE("R10C",'Mapa final'!$R$64),"")</f>
        <v/>
      </c>
      <c r="AI45" s="46" t="str">
        <f>IF(AND('Mapa final'!$AB$65="Baja",'Mapa final'!$AD$65="Catastrófico"),CONCATENATE("R10C",'Mapa final'!$R$65),"")</f>
        <v/>
      </c>
      <c r="AJ45" s="46" t="str">
        <f>IF(AND('Mapa final'!$AB$66="Baja",'Mapa final'!$AD$66="Catastrófico"),CONCATENATE("R10C",'Mapa final'!$R$66),"")</f>
        <v/>
      </c>
      <c r="AK45" s="46" t="str">
        <f>IF(AND('Mapa final'!$AB$67="Baja",'Mapa final'!$AD$67="Catastrófico"),CONCATENATE("R10C",'Mapa final'!$R$67),"")</f>
        <v/>
      </c>
      <c r="AL45" s="46" t="str">
        <f>IF(AND('Mapa final'!$AB$68="Baja",'Mapa final'!$AD$68="Catastrófico"),CONCATENATE("R10C",'Mapa final'!$R$68),"")</f>
        <v/>
      </c>
      <c r="AM45" s="47" t="str">
        <f>IF(AND('Mapa final'!$AB$69="Baja",'Mapa final'!$AD$69="Catastrófico"),CONCATENATE("R10C",'Mapa final'!$R$69),"")</f>
        <v/>
      </c>
      <c r="AN45" s="67"/>
      <c r="AO45" s="573"/>
      <c r="AP45" s="574"/>
      <c r="AQ45" s="574"/>
      <c r="AR45" s="574"/>
      <c r="AS45" s="574"/>
      <c r="AT45" s="575"/>
    </row>
    <row r="46" spans="1:80" ht="46.5" customHeight="1" x14ac:dyDescent="0.35">
      <c r="A46" s="67"/>
      <c r="B46" s="451"/>
      <c r="C46" s="451"/>
      <c r="D46" s="452"/>
      <c r="E46" s="546" t="s">
        <v>108</v>
      </c>
      <c r="F46" s="547"/>
      <c r="G46" s="547"/>
      <c r="H46" s="547"/>
      <c r="I46" s="564"/>
      <c r="J46" s="57" t="str">
        <f>IF(AND('Mapa final'!$AB$10="Muy Baja",'Mapa final'!$AD$10="Leve"),CONCATENATE("R1C",'Mapa final'!$R$10),"")</f>
        <v/>
      </c>
      <c r="K46" s="58" t="str">
        <f>IF(AND('Mapa final'!$AB$11="Muy Baja",'Mapa final'!$AD$11="Leve"),CONCATENATE("R1C",'Mapa final'!$R$11),"")</f>
        <v/>
      </c>
      <c r="L46" s="58" t="str">
        <f>IF(AND('Mapa final'!$AB$12="Muy Baja",'Mapa final'!$AD$12="Leve"),CONCATENATE("R1C",'Mapa final'!$R$12),"")</f>
        <v/>
      </c>
      <c r="M46" s="58" t="str">
        <f>IF(AND('Mapa final'!$AB$13="Muy Baja",'Mapa final'!$AD$13="Leve"),CONCATENATE("R1C",'Mapa final'!$R$13),"")</f>
        <v/>
      </c>
      <c r="N46" s="58" t="str">
        <f>IF(AND('Mapa final'!$AB$14="Muy Baja",'Mapa final'!$AD$14="Leve"),CONCATENATE("R1C",'Mapa final'!$R$14),"")</f>
        <v/>
      </c>
      <c r="O46" s="59" t="str">
        <f>IF(AND('Mapa final'!$AB$15="Muy Baja",'Mapa final'!$AD$15="Leve"),CONCATENATE("R1C",'Mapa final'!$R$15),"")</f>
        <v/>
      </c>
      <c r="P46" s="57" t="str">
        <f>IF(AND('Mapa final'!$AB$10="Muy Baja",'Mapa final'!$AD$10="Menor"),CONCATENATE("R1C",'Mapa final'!$R$10),"")</f>
        <v/>
      </c>
      <c r="Q46" s="58" t="str">
        <f>IF(AND('Mapa final'!$AB$11="Muy Baja",'Mapa final'!$AD$11="Menor"),CONCATENATE("R1C",'Mapa final'!$R$11),"")</f>
        <v/>
      </c>
      <c r="R46" s="58" t="str">
        <f>IF(AND('Mapa final'!$AB$12="Muy Baja",'Mapa final'!$AD$12="Menor"),CONCATENATE("R1C",'Mapa final'!$R$12),"")</f>
        <v/>
      </c>
      <c r="S46" s="58" t="str">
        <f>IF(AND('Mapa final'!$AB$13="Muy Baja",'Mapa final'!$AD$13="Menor"),CONCATENATE("R1C",'Mapa final'!$R$13),"")</f>
        <v/>
      </c>
      <c r="T46" s="58" t="str">
        <f>IF(AND('Mapa final'!$AB$14="Muy Baja",'Mapa final'!$AD$14="Menor"),CONCATENATE("R1C",'Mapa final'!$R$14),"")</f>
        <v/>
      </c>
      <c r="U46" s="59" t="str">
        <f>IF(AND('Mapa final'!$AB$15="Muy Baja",'Mapa final'!$AD$15="Menor"),CONCATENATE("R1C",'Mapa final'!$R$15),"")</f>
        <v/>
      </c>
      <c r="V46" s="48" t="str">
        <f>IF(AND('Mapa final'!$AB$10="Muy Baja",'Mapa final'!$AD$10="Moderado"),CONCATENATE("R1C",'Mapa final'!$R$10),"")</f>
        <v/>
      </c>
      <c r="W46" s="66" t="str">
        <f>IF(AND('Mapa final'!$AB$11="Muy Baja",'Mapa final'!$AD$11="Moderado"),CONCATENATE("R1C",'Mapa final'!$R$11),"")</f>
        <v/>
      </c>
      <c r="X46" s="49" t="str">
        <f>IF(AND('Mapa final'!$AB$12="Muy Baja",'Mapa final'!$AD$12="Moderado"),CONCATENATE("R1C",'Mapa final'!$R$12),"")</f>
        <v/>
      </c>
      <c r="Y46" s="49" t="str">
        <f>IF(AND('Mapa final'!$AB$13="Muy Baja",'Mapa final'!$AD$13="Moderado"),CONCATENATE("R1C",'Mapa final'!$R$13),"")</f>
        <v/>
      </c>
      <c r="Z46" s="49" t="str">
        <f>IF(AND('Mapa final'!$AB$14="Muy Baja",'Mapa final'!$AD$14="Moderado"),CONCATENATE("R1C",'Mapa final'!$R$14),"")</f>
        <v/>
      </c>
      <c r="AA46" s="50" t="str">
        <f>IF(AND('Mapa final'!$AB$15="Muy Baja",'Mapa final'!$AD$15="Moderado"),CONCATENATE("R1C",'Mapa final'!$R$15),"")</f>
        <v/>
      </c>
      <c r="AB46" s="30" t="str">
        <f>IF(AND('Mapa final'!$AB$10="Muy Baja",'Mapa final'!$AD$10="Mayor"),CONCATENATE("R1C",'Mapa final'!$R$10),"")</f>
        <v/>
      </c>
      <c r="AC46" s="31" t="str">
        <f>IF(AND('Mapa final'!$AB$11="Muy Baja",'Mapa final'!$AD$11="Mayor"),CONCATENATE("R1C",'Mapa final'!$R$11),"")</f>
        <v/>
      </c>
      <c r="AD46" s="31" t="str">
        <f>IF(AND('Mapa final'!$AB$12="Muy Baja",'Mapa final'!$AD$12="Mayor"),CONCATENATE("R1C",'Mapa final'!$R$12),"")</f>
        <v/>
      </c>
      <c r="AE46" s="31" t="str">
        <f>IF(AND('Mapa final'!$AB$13="Muy Baja",'Mapa final'!$AD$13="Mayor"),CONCATENATE("R1C",'Mapa final'!$R$13),"")</f>
        <v/>
      </c>
      <c r="AF46" s="31" t="str">
        <f>IF(AND('Mapa final'!$AB$14="Muy Baja",'Mapa final'!$AD$14="Mayor"),CONCATENATE("R1C",'Mapa final'!$R$14),"")</f>
        <v/>
      </c>
      <c r="AG46" s="32" t="str">
        <f>IF(AND('Mapa final'!$AB$15="Muy Baja",'Mapa final'!$AD$15="Mayor"),CONCATENATE("R1C",'Mapa final'!$R$15),"")</f>
        <v/>
      </c>
      <c r="AH46" s="33" t="str">
        <f>IF(AND('Mapa final'!$AB$10="Muy Baja",'Mapa final'!$AD$10="Catastrófico"),CONCATENATE("R1C",'Mapa final'!$R$10),"")</f>
        <v/>
      </c>
      <c r="AI46" s="34" t="str">
        <f>IF(AND('Mapa final'!$AB$11="Muy Baja",'Mapa final'!$AD$11="Catastrófico"),CONCATENATE("R1C",'Mapa final'!$R$11),"")</f>
        <v/>
      </c>
      <c r="AJ46" s="34" t="str">
        <f>IF(AND('Mapa final'!$AB$12="Muy Baja",'Mapa final'!$AD$12="Catastrófico"),CONCATENATE("R1C",'Mapa final'!$R$12),"")</f>
        <v/>
      </c>
      <c r="AK46" s="34" t="str">
        <f>IF(AND('Mapa final'!$AB$13="Muy Baja",'Mapa final'!$AD$13="Catastrófico"),CONCATENATE("R1C",'Mapa final'!$R$13),"")</f>
        <v/>
      </c>
      <c r="AL46" s="34" t="str">
        <f>IF(AND('Mapa final'!$AB$14="Muy Baja",'Mapa final'!$AD$14="Catastrófico"),CONCATENATE("R1C",'Mapa final'!$R$14),"")</f>
        <v/>
      </c>
      <c r="AM46" s="35" t="str">
        <f>IF(AND('Mapa final'!$AB$15="Muy Baja",'Mapa final'!$AD$15="Catastrófico"),CONCATENATE("R1C",'Mapa final'!$R$15),"")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25">
      <c r="A47" s="67"/>
      <c r="B47" s="451"/>
      <c r="C47" s="451"/>
      <c r="D47" s="452"/>
      <c r="E47" s="548"/>
      <c r="F47" s="549"/>
      <c r="G47" s="549"/>
      <c r="H47" s="549"/>
      <c r="I47" s="565"/>
      <c r="J47" s="60" t="str">
        <f>IF(AND('Mapa final'!$AB$16="Muy Baja",'Mapa final'!$AD$16="Leve"),CONCATENATE("R2C",'Mapa final'!$R$16),"")</f>
        <v/>
      </c>
      <c r="K47" s="61" t="str">
        <f>IF(AND('Mapa final'!$AB$17="Muy Baja",'Mapa final'!$AD$17="Leve"),CONCATENATE("R2C",'Mapa final'!$R$17),"")</f>
        <v/>
      </c>
      <c r="L47" s="61" t="str">
        <f>IF(AND('Mapa final'!$AB$18="Muy Baja",'Mapa final'!$AD$18="Leve"),CONCATENATE("R2C",'Mapa final'!$R$18),"")</f>
        <v/>
      </c>
      <c r="M47" s="61" t="str">
        <f>IF(AND('Mapa final'!$AB$19="Muy Baja",'Mapa final'!$AD$19="Leve"),CONCATENATE("R2C",'Mapa final'!$R$19),"")</f>
        <v/>
      </c>
      <c r="N47" s="61" t="str">
        <f>IF(AND('Mapa final'!$AB$20="Muy Baja",'Mapa final'!$AD$20="Leve"),CONCATENATE("R2C",'Mapa final'!$R$20),"")</f>
        <v/>
      </c>
      <c r="O47" s="62" t="str">
        <f>IF(AND('Mapa final'!$AB$21="Muy Baja",'Mapa final'!$AD$21="Leve"),CONCATENATE("R2C",'Mapa final'!$R$21),"")</f>
        <v/>
      </c>
      <c r="P47" s="60" t="str">
        <f>IF(AND('Mapa final'!$AB$16="Muy Baja",'Mapa final'!$AD$16="Menor"),CONCATENATE("R2C",'Mapa final'!$R$16),"")</f>
        <v/>
      </c>
      <c r="Q47" s="61" t="str">
        <f>IF(AND('Mapa final'!$AB$17="Muy Baja",'Mapa final'!$AD$17="Menor"),CONCATENATE("R2C",'Mapa final'!$R$17),"")</f>
        <v/>
      </c>
      <c r="R47" s="61" t="str">
        <f>IF(AND('Mapa final'!$AB$18="Muy Baja",'Mapa final'!$AD$18="Menor"),CONCATENATE("R2C",'Mapa final'!$R$18),"")</f>
        <v/>
      </c>
      <c r="S47" s="61" t="str">
        <f>IF(AND('Mapa final'!$AB$19="Muy Baja",'Mapa final'!$AD$19="Menor"),CONCATENATE("R2C",'Mapa final'!$R$19),"")</f>
        <v/>
      </c>
      <c r="T47" s="61" t="str">
        <f>IF(AND('Mapa final'!$AB$20="Muy Baja",'Mapa final'!$AD$20="Menor"),CONCATENATE("R2C",'Mapa final'!$R$20),"")</f>
        <v/>
      </c>
      <c r="U47" s="62" t="str">
        <f>IF(AND('Mapa final'!$AB$21="Muy Baja",'Mapa final'!$AD$21="Menor"),CONCATENATE("R2C",'Mapa final'!$R$21),"")</f>
        <v/>
      </c>
      <c r="V47" s="51" t="str">
        <f>IF(AND('Mapa final'!$AB$16="Muy Baja",'Mapa final'!$AD$16="Moderado"),CONCATENATE("R2C",'Mapa final'!$R$16),"")</f>
        <v/>
      </c>
      <c r="W47" s="52" t="str">
        <f>IF(AND('Mapa final'!$AB$17="Muy Baja",'Mapa final'!$AD$17="Moderado"),CONCATENATE("R2C",'Mapa final'!$R$17),"")</f>
        <v/>
      </c>
      <c r="X47" s="52" t="str">
        <f>IF(AND('Mapa final'!$AB$18="Muy Baja",'Mapa final'!$AD$18="Moderado"),CONCATENATE("R2C",'Mapa final'!$R$18),"")</f>
        <v/>
      </c>
      <c r="Y47" s="52" t="str">
        <f>IF(AND('Mapa final'!$AB$19="Muy Baja",'Mapa final'!$AD$19="Moderado"),CONCATENATE("R2C",'Mapa final'!$R$19),"")</f>
        <v/>
      </c>
      <c r="Z47" s="52" t="str">
        <f>IF(AND('Mapa final'!$AB$20="Muy Baja",'Mapa final'!$AD$20="Moderado"),CONCATENATE("R2C",'Mapa final'!$R$20),"")</f>
        <v/>
      </c>
      <c r="AA47" s="53" t="str">
        <f>IF(AND('Mapa final'!$AB$21="Muy Baja",'Mapa final'!$AD$21="Moderado"),CONCATENATE("R2C",'Mapa final'!$R$21),"")</f>
        <v/>
      </c>
      <c r="AB47" s="36" t="str">
        <f>IF(AND('Mapa final'!$AB$16="Muy Baja",'Mapa final'!$AD$16="Mayor"),CONCATENATE("R2C",'Mapa final'!$R$16),"")</f>
        <v/>
      </c>
      <c r="AC47" s="37" t="str">
        <f>IF(AND('Mapa final'!$AB$17="Muy Baja",'Mapa final'!$AD$17="Mayor"),CONCATENATE("R2C",'Mapa final'!$R$17),"")</f>
        <v/>
      </c>
      <c r="AD47" s="37" t="str">
        <f>IF(AND('Mapa final'!$AB$18="Muy Baja",'Mapa final'!$AD$18="Mayor"),CONCATENATE("R2C",'Mapa final'!$R$18),"")</f>
        <v/>
      </c>
      <c r="AE47" s="37" t="str">
        <f>IF(AND('Mapa final'!$AB$19="Muy Baja",'Mapa final'!$AD$19="Mayor"),CONCATENATE("R2C",'Mapa final'!$R$19),"")</f>
        <v/>
      </c>
      <c r="AF47" s="37" t="str">
        <f>IF(AND('Mapa final'!$AB$20="Muy Baja",'Mapa final'!$AD$20="Mayor"),CONCATENATE("R2C",'Mapa final'!$R$20),"")</f>
        <v/>
      </c>
      <c r="AG47" s="38" t="str">
        <f>IF(AND('Mapa final'!$AB$21="Muy Baja",'Mapa final'!$AD$21="Mayor"),CONCATENATE("R2C",'Mapa final'!$R$21),"")</f>
        <v/>
      </c>
      <c r="AH47" s="39" t="str">
        <f>IF(AND('Mapa final'!$AB$16="Muy Baja",'Mapa final'!$AD$16="Catastrófico"),CONCATENATE("R2C",'Mapa final'!$R$16),"")</f>
        <v/>
      </c>
      <c r="AI47" s="40" t="str">
        <f>IF(AND('Mapa final'!$AB$17="Muy Baja",'Mapa final'!$AD$17="Catastrófico"),CONCATENATE("R2C",'Mapa final'!$R$17),"")</f>
        <v/>
      </c>
      <c r="AJ47" s="40" t="str">
        <f>IF(AND('Mapa final'!$AB$18="Muy Baja",'Mapa final'!$AD$18="Catastrófico"),CONCATENATE("R2C",'Mapa final'!$R$18),"")</f>
        <v/>
      </c>
      <c r="AK47" s="40" t="str">
        <f>IF(AND('Mapa final'!$AB$19="Muy Baja",'Mapa final'!$AD$19="Catastrófico"),CONCATENATE("R2C",'Mapa final'!$R$19),"")</f>
        <v/>
      </c>
      <c r="AL47" s="40" t="str">
        <f>IF(AND('Mapa final'!$AB$20="Muy Baja",'Mapa final'!$AD$20="Catastrófico"),CONCATENATE("R2C",'Mapa final'!$R$20),"")</f>
        <v/>
      </c>
      <c r="AM47" s="41" t="str">
        <f>IF(AND('Mapa final'!$AB$21="Muy Baja",'Mapa final'!$AD$21="Catastrófico"),CONCATENATE("R2C",'Mapa final'!$R$21),"")</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25">
      <c r="A48" s="67"/>
      <c r="B48" s="451"/>
      <c r="C48" s="451"/>
      <c r="D48" s="452"/>
      <c r="E48" s="548"/>
      <c r="F48" s="549"/>
      <c r="G48" s="549"/>
      <c r="H48" s="549"/>
      <c r="I48" s="565"/>
      <c r="J48" s="60" t="str">
        <f>IF(AND('Mapa final'!$AB$22="Muy Baja",'Mapa final'!$AD$22="Leve"),CONCATENATE("R3C",'Mapa final'!$R$22),"")</f>
        <v/>
      </c>
      <c r="K48" s="61" t="str">
        <f>IF(AND('Mapa final'!$AB$23="Muy Baja",'Mapa final'!$AD$23="Leve"),CONCATENATE("R3C",'Mapa final'!$R$23),"")</f>
        <v/>
      </c>
      <c r="L48" s="61" t="str">
        <f>IF(AND('Mapa final'!$AB$24="Muy Baja",'Mapa final'!$AD$24="Leve"),CONCATENATE("R3C",'Mapa final'!$R$24),"")</f>
        <v/>
      </c>
      <c r="M48" s="61" t="str">
        <f>IF(AND('Mapa final'!$AB$25="Muy Baja",'Mapa final'!$AD$25="Leve"),CONCATENATE("R3C",'Mapa final'!$R$25),"")</f>
        <v/>
      </c>
      <c r="N48" s="61" t="str">
        <f>IF(AND('Mapa final'!$AB$26="Muy Baja",'Mapa final'!$AD$26="Leve"),CONCATENATE("R3C",'Mapa final'!$R$26),"")</f>
        <v/>
      </c>
      <c r="O48" s="62" t="str">
        <f>IF(AND('Mapa final'!$AB$27="Muy Baja",'Mapa final'!$AD$27="Leve"),CONCATENATE("R3C",'Mapa final'!$R$27),"")</f>
        <v/>
      </c>
      <c r="P48" s="60" t="str">
        <f>IF(AND('Mapa final'!$AB$22="Muy Baja",'Mapa final'!$AD$22="Menor"),CONCATENATE("R3C",'Mapa final'!$R$22),"")</f>
        <v/>
      </c>
      <c r="Q48" s="61" t="str">
        <f>IF(AND('Mapa final'!$AB$23="Muy Baja",'Mapa final'!$AD$23="Menor"),CONCATENATE("R3C",'Mapa final'!$R$23),"")</f>
        <v/>
      </c>
      <c r="R48" s="61" t="str">
        <f>IF(AND('Mapa final'!$AB$24="Muy Baja",'Mapa final'!$AD$24="Menor"),CONCATENATE("R3C",'Mapa final'!$R$24),"")</f>
        <v/>
      </c>
      <c r="S48" s="61" t="str">
        <f>IF(AND('Mapa final'!$AB$25="Muy Baja",'Mapa final'!$AD$25="Menor"),CONCATENATE("R3C",'Mapa final'!$R$25),"")</f>
        <v/>
      </c>
      <c r="T48" s="61" t="str">
        <f>IF(AND('Mapa final'!$AB$26="Muy Baja",'Mapa final'!$AD$26="Menor"),CONCATENATE("R3C",'Mapa final'!$R$26),"")</f>
        <v/>
      </c>
      <c r="U48" s="62" t="str">
        <f>IF(AND('Mapa final'!$AB$27="Muy Baja",'Mapa final'!$AD$27="Menor"),CONCATENATE("R3C",'Mapa final'!$R$27),"")</f>
        <v/>
      </c>
      <c r="V48" s="51" t="str">
        <f>IF(AND('Mapa final'!$AB$22="Muy Baja",'Mapa final'!$AD$22="Moderado"),CONCATENATE("R3C",'Mapa final'!$R$22),"")</f>
        <v/>
      </c>
      <c r="W48" s="52" t="str">
        <f>IF(AND('Mapa final'!$AB$23="Muy Baja",'Mapa final'!$AD$23="Moderado"),CONCATENATE("R3C",'Mapa final'!$R$23),"")</f>
        <v/>
      </c>
      <c r="X48" s="52" t="str">
        <f>IF(AND('Mapa final'!$AB$24="Muy Baja",'Mapa final'!$AD$24="Moderado"),CONCATENATE("R3C",'Mapa final'!$R$24),"")</f>
        <v/>
      </c>
      <c r="Y48" s="52" t="str">
        <f>IF(AND('Mapa final'!$AB$25="Muy Baja",'Mapa final'!$AD$25="Moderado"),CONCATENATE("R3C",'Mapa final'!$R$25),"")</f>
        <v/>
      </c>
      <c r="Z48" s="52" t="str">
        <f>IF(AND('Mapa final'!$AB$26="Muy Baja",'Mapa final'!$AD$26="Moderado"),CONCATENATE("R3C",'Mapa final'!$R$26),"")</f>
        <v/>
      </c>
      <c r="AA48" s="53" t="str">
        <f>IF(AND('Mapa final'!$AB$27="Muy Baja",'Mapa final'!$AD$27="Moderado"),CONCATENATE("R3C",'Mapa final'!$R$27),"")</f>
        <v/>
      </c>
      <c r="AB48" s="36" t="str">
        <f>IF(AND('Mapa final'!$AB$22="Muy Baja",'Mapa final'!$AD$22="Mayor"),CONCATENATE("R3C",'Mapa final'!$R$22),"")</f>
        <v/>
      </c>
      <c r="AC48" s="37" t="str">
        <f>IF(AND('Mapa final'!$AB$23="Muy Baja",'Mapa final'!$AD$23="Mayor"),CONCATENATE("R3C",'Mapa final'!$R$23),"")</f>
        <v/>
      </c>
      <c r="AD48" s="37" t="str">
        <f>IF(AND('Mapa final'!$AB$24="Muy Baja",'Mapa final'!$AD$24="Mayor"),CONCATENATE("R3C",'Mapa final'!$R$24),"")</f>
        <v/>
      </c>
      <c r="AE48" s="37" t="str">
        <f>IF(AND('Mapa final'!$AB$25="Muy Baja",'Mapa final'!$AD$25="Mayor"),CONCATENATE("R3C",'Mapa final'!$R$25),"")</f>
        <v/>
      </c>
      <c r="AF48" s="37" t="str">
        <f>IF(AND('Mapa final'!$AB$26="Muy Baja",'Mapa final'!$AD$26="Mayor"),CONCATENATE("R3C",'Mapa final'!$R$26),"")</f>
        <v/>
      </c>
      <c r="AG48" s="38" t="str">
        <f>IF(AND('Mapa final'!$AB$27="Muy Baja",'Mapa final'!$AD$27="Mayor"),CONCATENATE("R3C",'Mapa final'!$R$27),"")</f>
        <v/>
      </c>
      <c r="AH48" s="39" t="str">
        <f>IF(AND('Mapa final'!$AB$22="Muy Baja",'Mapa final'!$AD$22="Catastrófico"),CONCATENATE("R3C",'Mapa final'!$R$22),"")</f>
        <v/>
      </c>
      <c r="AI48" s="40" t="str">
        <f>IF(AND('Mapa final'!$AB$23="Muy Baja",'Mapa final'!$AD$23="Catastrófico"),CONCATENATE("R3C",'Mapa final'!$R$23),"")</f>
        <v/>
      </c>
      <c r="AJ48" s="40" t="str">
        <f>IF(AND('Mapa final'!$AB$24="Muy Baja",'Mapa final'!$AD$24="Catastrófico"),CONCATENATE("R3C",'Mapa final'!$R$24),"")</f>
        <v/>
      </c>
      <c r="AK48" s="40" t="str">
        <f>IF(AND('Mapa final'!$AB$25="Muy Baja",'Mapa final'!$AD$25="Catastrófico"),CONCATENATE("R3C",'Mapa final'!$R$25),"")</f>
        <v/>
      </c>
      <c r="AL48" s="40" t="str">
        <f>IF(AND('Mapa final'!$AB$26="Muy Baja",'Mapa final'!$AD$26="Catastrófico"),CONCATENATE("R3C",'Mapa final'!$R$26),"")</f>
        <v/>
      </c>
      <c r="AM48" s="41" t="str">
        <f>IF(AND('Mapa final'!$AB$27="Muy Baja",'Mapa final'!$AD$27="Catastrófico"),CONCATENATE("R3C",'Mapa final'!$R$27),"")</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25">
      <c r="A49" s="67"/>
      <c r="B49" s="451"/>
      <c r="C49" s="451"/>
      <c r="D49" s="452"/>
      <c r="E49" s="550"/>
      <c r="F49" s="549"/>
      <c r="G49" s="549"/>
      <c r="H49" s="549"/>
      <c r="I49" s="565"/>
      <c r="J49" s="60" t="str">
        <f>IF(AND('Mapa final'!$AB$28="Muy Baja",'Mapa final'!$AD$28="Leve"),CONCATENATE("R4C",'Mapa final'!$R$28),"")</f>
        <v/>
      </c>
      <c r="K49" s="61" t="str">
        <f>IF(AND('Mapa final'!$AB$29="Muy Baja",'Mapa final'!$AD$29="Leve"),CONCATENATE("R4C",'Mapa final'!$R$29),"")</f>
        <v/>
      </c>
      <c r="L49" s="61" t="str">
        <f>IF(AND('Mapa final'!$AB$30="Muy Baja",'Mapa final'!$AD$30="Leve"),CONCATENATE("R4C",'Mapa final'!$R$30),"")</f>
        <v/>
      </c>
      <c r="M49" s="61" t="str">
        <f>IF(AND('Mapa final'!$AB$31="Muy Baja",'Mapa final'!$AD$31="Leve"),CONCATENATE("R4C",'Mapa final'!$R$31),"")</f>
        <v/>
      </c>
      <c r="N49" s="61" t="str">
        <f>IF(AND('Mapa final'!$AB$32="Muy Baja",'Mapa final'!$AD$32="Leve"),CONCATENATE("R4C",'Mapa final'!$R$32),"")</f>
        <v/>
      </c>
      <c r="O49" s="62" t="str">
        <f>IF(AND('Mapa final'!$AB$33="Muy Baja",'Mapa final'!$AD$33="Leve"),CONCATENATE("R4C",'Mapa final'!$R$33),"")</f>
        <v/>
      </c>
      <c r="P49" s="60" t="str">
        <f>IF(AND('Mapa final'!$AB$28="Muy Baja",'Mapa final'!$AD$28="Menor"),CONCATENATE("R4C",'Mapa final'!$R$28),"")</f>
        <v/>
      </c>
      <c r="Q49" s="61" t="str">
        <f>IF(AND('Mapa final'!$AB$29="Muy Baja",'Mapa final'!$AD$29="Menor"),CONCATENATE("R4C",'Mapa final'!$R$29),"")</f>
        <v/>
      </c>
      <c r="R49" s="61" t="str">
        <f>IF(AND('Mapa final'!$AB$30="Muy Baja",'Mapa final'!$AD$30="Menor"),CONCATENATE("R4C",'Mapa final'!$R$30),"")</f>
        <v/>
      </c>
      <c r="S49" s="61" t="str">
        <f>IF(AND('Mapa final'!$AB$31="Muy Baja",'Mapa final'!$AD$31="Menor"),CONCATENATE("R4C",'Mapa final'!$R$31),"")</f>
        <v/>
      </c>
      <c r="T49" s="61" t="str">
        <f>IF(AND('Mapa final'!$AB$32="Muy Baja",'Mapa final'!$AD$32="Menor"),CONCATENATE("R4C",'Mapa final'!$R$32),"")</f>
        <v/>
      </c>
      <c r="U49" s="62" t="str">
        <f>IF(AND('Mapa final'!$AB$33="Muy Baja",'Mapa final'!$AD$33="Menor"),CONCATENATE("R4C",'Mapa final'!$R$33),"")</f>
        <v/>
      </c>
      <c r="V49" s="51" t="str">
        <f>IF(AND('Mapa final'!$AB$28="Muy Baja",'Mapa final'!$AD$28="Moderado"),CONCATENATE("R4C",'Mapa final'!$R$28),"")</f>
        <v/>
      </c>
      <c r="W49" s="52" t="str">
        <f>IF(AND('Mapa final'!$AB$29="Muy Baja",'Mapa final'!$AD$29="Moderado"),CONCATENATE("R4C",'Mapa final'!$R$29),"")</f>
        <v/>
      </c>
      <c r="X49" s="52" t="str">
        <f>IF(AND('Mapa final'!$AB$30="Muy Baja",'Mapa final'!$AD$30="Moderado"),CONCATENATE("R4C",'Mapa final'!$R$30),"")</f>
        <v/>
      </c>
      <c r="Y49" s="52" t="str">
        <f>IF(AND('Mapa final'!$AB$31="Muy Baja",'Mapa final'!$AD$31="Moderado"),CONCATENATE("R4C",'Mapa final'!$R$31),"")</f>
        <v/>
      </c>
      <c r="Z49" s="52" t="str">
        <f>IF(AND('Mapa final'!$AB$32="Muy Baja",'Mapa final'!$AD$32="Moderado"),CONCATENATE("R4C",'Mapa final'!$R$32),"")</f>
        <v/>
      </c>
      <c r="AA49" s="53" t="str">
        <f>IF(AND('Mapa final'!$AB$33="Muy Baja",'Mapa final'!$AD$33="Moderado"),CONCATENATE("R4C",'Mapa final'!$R$33),"")</f>
        <v/>
      </c>
      <c r="AB49" s="36" t="str">
        <f>IF(AND('Mapa final'!$AB$28="Muy Baja",'Mapa final'!$AD$28="Mayor"),CONCATENATE("R4C",'Mapa final'!$R$28),"")</f>
        <v/>
      </c>
      <c r="AC49" s="37" t="str">
        <f>IF(AND('Mapa final'!$AB$29="Muy Baja",'Mapa final'!$AD$29="Mayor"),CONCATENATE("R4C",'Mapa final'!$R$29),"")</f>
        <v/>
      </c>
      <c r="AD49" s="37" t="str">
        <f>IF(AND('Mapa final'!$AB$30="Muy Baja",'Mapa final'!$AD$30="Mayor"),CONCATENATE("R4C",'Mapa final'!$R$30),"")</f>
        <v/>
      </c>
      <c r="AE49" s="37" t="str">
        <f>IF(AND('Mapa final'!$AB$31="Muy Baja",'Mapa final'!$AD$31="Mayor"),CONCATENATE("R4C",'Mapa final'!$R$31),"")</f>
        <v/>
      </c>
      <c r="AF49" s="37" t="str">
        <f>IF(AND('Mapa final'!$AB$32="Muy Baja",'Mapa final'!$AD$32="Mayor"),CONCATENATE("R4C",'Mapa final'!$R$32),"")</f>
        <v/>
      </c>
      <c r="AG49" s="38" t="str">
        <f>IF(AND('Mapa final'!$AB$33="Muy Baja",'Mapa final'!$AD$33="Mayor"),CONCATENATE("R4C",'Mapa final'!$R$33),"")</f>
        <v/>
      </c>
      <c r="AH49" s="39" t="str">
        <f>IF(AND('Mapa final'!$AB$28="Muy Baja",'Mapa final'!$AD$28="Catastrófico"),CONCATENATE("R4C",'Mapa final'!$R$28),"")</f>
        <v/>
      </c>
      <c r="AI49" s="40" t="str">
        <f>IF(AND('Mapa final'!$AB$29="Muy Baja",'Mapa final'!$AD$29="Catastrófico"),CONCATENATE("R4C",'Mapa final'!$R$29),"")</f>
        <v/>
      </c>
      <c r="AJ49" s="40" t="str">
        <f>IF(AND('Mapa final'!$AB$30="Muy Baja",'Mapa final'!$AD$30="Catastrófico"),CONCATENATE("R4C",'Mapa final'!$R$30),"")</f>
        <v/>
      </c>
      <c r="AK49" s="40" t="str">
        <f>IF(AND('Mapa final'!$AB$31="Muy Baja",'Mapa final'!$AD$31="Catastrófico"),CONCATENATE("R4C",'Mapa final'!$R$31),"")</f>
        <v/>
      </c>
      <c r="AL49" s="40" t="str">
        <f>IF(AND('Mapa final'!$AB$32="Muy Baja",'Mapa final'!$AD$32="Catastrófico"),CONCATENATE("R4C",'Mapa final'!$R$32),"")</f>
        <v/>
      </c>
      <c r="AM49" s="41" t="str">
        <f>IF(AND('Mapa final'!$AB$33="Muy Baja",'Mapa final'!$AD$33="Catastrófico"),CONCATENATE("R4C",'Mapa final'!$R$33),"")</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25">
      <c r="A50" s="67"/>
      <c r="B50" s="451"/>
      <c r="C50" s="451"/>
      <c r="D50" s="452"/>
      <c r="E50" s="550"/>
      <c r="F50" s="549"/>
      <c r="G50" s="549"/>
      <c r="H50" s="549"/>
      <c r="I50" s="565"/>
      <c r="J50" s="60" t="str">
        <f>IF(AND('Mapa final'!$AB$34="Muy Baja",'Mapa final'!$AD$34="Leve"),CONCATENATE("R5C",'Mapa final'!$R$34),"")</f>
        <v/>
      </c>
      <c r="K50" s="61" t="str">
        <f>IF(AND('Mapa final'!$AB$35="Muy Baja",'Mapa final'!$AD$35="Leve"),CONCATENATE("R5C",'Mapa final'!$R$35),"")</f>
        <v/>
      </c>
      <c r="L50" s="61" t="str">
        <f>IF(AND('Mapa final'!$AB$36="Muy Baja",'Mapa final'!$AD$36="Leve"),CONCATENATE("R5C",'Mapa final'!$R$36),"")</f>
        <v/>
      </c>
      <c r="M50" s="61" t="str">
        <f>IF(AND('Mapa final'!$AB$37="Muy Baja",'Mapa final'!$AD$37="Leve"),CONCATENATE("R5C",'Mapa final'!$R$37),"")</f>
        <v/>
      </c>
      <c r="N50" s="61" t="str">
        <f>IF(AND('Mapa final'!$AB$38="Muy Baja",'Mapa final'!$AD$38="Leve"),CONCATENATE("R5C",'Mapa final'!$R$38),"")</f>
        <v/>
      </c>
      <c r="O50" s="62" t="str">
        <f>IF(AND('Mapa final'!$AB$39="Muy Baja",'Mapa final'!$AD$39="Leve"),CONCATENATE("R5C",'Mapa final'!$R$39),"")</f>
        <v/>
      </c>
      <c r="P50" s="60" t="str">
        <f>IF(AND('Mapa final'!$AB$34="Muy Baja",'Mapa final'!$AD$34="Menor"),CONCATENATE("R5C",'Mapa final'!$R$34),"")</f>
        <v/>
      </c>
      <c r="Q50" s="61" t="str">
        <f>IF(AND('Mapa final'!$AB$35="Muy Baja",'Mapa final'!$AD$35="Menor"),CONCATENATE("R5C",'Mapa final'!$R$35),"")</f>
        <v/>
      </c>
      <c r="R50" s="61" t="str">
        <f>IF(AND('Mapa final'!$AB$36="Muy Baja",'Mapa final'!$AD$36="Menor"),CONCATENATE("R5C",'Mapa final'!$R$36),"")</f>
        <v/>
      </c>
      <c r="S50" s="61" t="str">
        <f>IF(AND('Mapa final'!$AB$37="Muy Baja",'Mapa final'!$AD$37="Menor"),CONCATENATE("R5C",'Mapa final'!$R$37),"")</f>
        <v/>
      </c>
      <c r="T50" s="61" t="str">
        <f>IF(AND('Mapa final'!$AB$38="Muy Baja",'Mapa final'!$AD$38="Menor"),CONCATENATE("R5C",'Mapa final'!$R$38),"")</f>
        <v/>
      </c>
      <c r="U50" s="62" t="str">
        <f>IF(AND('Mapa final'!$AB$39="Muy Baja",'Mapa final'!$AD$39="Menor"),CONCATENATE("R5C",'Mapa final'!$R$39),"")</f>
        <v/>
      </c>
      <c r="V50" s="51" t="str">
        <f>IF(AND('Mapa final'!$AB$34="Muy Baja",'Mapa final'!$AD$34="Moderado"),CONCATENATE("R5C",'Mapa final'!$R$34),"")</f>
        <v/>
      </c>
      <c r="W50" s="52" t="str">
        <f>IF(AND('Mapa final'!$AB$35="Muy Baja",'Mapa final'!$AD$35="Moderado"),CONCATENATE("R5C",'Mapa final'!$R$35),"")</f>
        <v/>
      </c>
      <c r="X50" s="52" t="str">
        <f>IF(AND('Mapa final'!$AB$36="Muy Baja",'Mapa final'!$AD$36="Moderado"),CONCATENATE("R5C",'Mapa final'!$R$36),"")</f>
        <v/>
      </c>
      <c r="Y50" s="52" t="str">
        <f>IF(AND('Mapa final'!$AB$37="Muy Baja",'Mapa final'!$AD$37="Moderado"),CONCATENATE("R5C",'Mapa final'!$R$37),"")</f>
        <v/>
      </c>
      <c r="Z50" s="52" t="str">
        <f>IF(AND('Mapa final'!$AB$38="Muy Baja",'Mapa final'!$AD$38="Moderado"),CONCATENATE("R5C",'Mapa final'!$R$38),"")</f>
        <v/>
      </c>
      <c r="AA50" s="53" t="str">
        <f>IF(AND('Mapa final'!$AB$39="Muy Baja",'Mapa final'!$AD$39="Moderado"),CONCATENATE("R5C",'Mapa final'!$R$39),"")</f>
        <v/>
      </c>
      <c r="AB50" s="36" t="str">
        <f>IF(AND('Mapa final'!$AB$34="Muy Baja",'Mapa final'!$AD$34="Mayor"),CONCATENATE("R5C",'Mapa final'!$R$34),"")</f>
        <v/>
      </c>
      <c r="AC50" s="37" t="str">
        <f>IF(AND('Mapa final'!$AB$35="Muy Baja",'Mapa final'!$AD$35="Mayor"),CONCATENATE("R5C",'Mapa final'!$R$35),"")</f>
        <v/>
      </c>
      <c r="AD50" s="37" t="str">
        <f>IF(AND('Mapa final'!$AB$36="Muy Baja",'Mapa final'!$AD$36="Mayor"),CONCATENATE("R5C",'Mapa final'!$R$36),"")</f>
        <v/>
      </c>
      <c r="AE50" s="37" t="str">
        <f>IF(AND('Mapa final'!$AB$37="Muy Baja",'Mapa final'!$AD$37="Mayor"),CONCATENATE("R5C",'Mapa final'!$R$37),"")</f>
        <v/>
      </c>
      <c r="AF50" s="37" t="str">
        <f>IF(AND('Mapa final'!$AB$38="Muy Baja",'Mapa final'!$AD$38="Mayor"),CONCATENATE("R5C",'Mapa final'!$R$38),"")</f>
        <v/>
      </c>
      <c r="AG50" s="38" t="str">
        <f>IF(AND('Mapa final'!$AB$39="Muy Baja",'Mapa final'!$AD$39="Mayor"),CONCATENATE("R5C",'Mapa final'!$R$39),"")</f>
        <v/>
      </c>
      <c r="AH50" s="39" t="str">
        <f>IF(AND('Mapa final'!$AB$34="Muy Baja",'Mapa final'!$AD$34="Catastrófico"),CONCATENATE("R5C",'Mapa final'!$R$34),"")</f>
        <v/>
      </c>
      <c r="AI50" s="40" t="str">
        <f>IF(AND('Mapa final'!$AB$35="Muy Baja",'Mapa final'!$AD$35="Catastrófico"),CONCATENATE("R5C",'Mapa final'!$R$35),"")</f>
        <v/>
      </c>
      <c r="AJ50" s="40" t="str">
        <f>IF(AND('Mapa final'!$AB$36="Muy Baja",'Mapa final'!$AD$36="Catastrófico"),CONCATENATE("R5C",'Mapa final'!$R$36),"")</f>
        <v/>
      </c>
      <c r="AK50" s="40" t="str">
        <f>IF(AND('Mapa final'!$AB$37="Muy Baja",'Mapa final'!$AD$37="Catastrófico"),CONCATENATE("R5C",'Mapa final'!$R$37),"")</f>
        <v/>
      </c>
      <c r="AL50" s="40" t="str">
        <f>IF(AND('Mapa final'!$AB$38="Muy Baja",'Mapa final'!$AD$38="Catastrófico"),CONCATENATE("R5C",'Mapa final'!$R$38),"")</f>
        <v/>
      </c>
      <c r="AM50" s="41" t="str">
        <f>IF(AND('Mapa final'!$AB$39="Muy Baja",'Mapa final'!$AD$39="Catastrófico"),CONCATENATE("R5C",'Mapa final'!$R$39),"")</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25">
      <c r="A51" s="67"/>
      <c r="B51" s="451"/>
      <c r="C51" s="451"/>
      <c r="D51" s="452"/>
      <c r="E51" s="550"/>
      <c r="F51" s="549"/>
      <c r="G51" s="549"/>
      <c r="H51" s="549"/>
      <c r="I51" s="565"/>
      <c r="J51" s="60" t="str">
        <f>IF(AND('Mapa final'!$AB$40="Muy Baja",'Mapa final'!$AD$40="Leve"),CONCATENATE("R6C",'Mapa final'!$R$40),"")</f>
        <v/>
      </c>
      <c r="K51" s="61" t="str">
        <f>IF(AND('Mapa final'!$AB$41="Muy Baja",'Mapa final'!$AD$41="Leve"),CONCATENATE("R6C",'Mapa final'!$R$41),"")</f>
        <v/>
      </c>
      <c r="L51" s="61" t="str">
        <f>IF(AND('Mapa final'!$AB$42="Muy Baja",'Mapa final'!$AD$42="Leve"),CONCATENATE("R6C",'Mapa final'!$R$42),"")</f>
        <v/>
      </c>
      <c r="M51" s="61" t="str">
        <f>IF(AND('Mapa final'!$AB$43="Muy Baja",'Mapa final'!$AD$43="Leve"),CONCATENATE("R6C",'Mapa final'!$R$43),"")</f>
        <v/>
      </c>
      <c r="N51" s="61" t="str">
        <f>IF(AND('Mapa final'!$AB$44="Muy Baja",'Mapa final'!$AD$44="Leve"),CONCATENATE("R6C",'Mapa final'!$R$44),"")</f>
        <v/>
      </c>
      <c r="O51" s="62" t="str">
        <f>IF(AND('Mapa final'!$AB$45="Muy Baja",'Mapa final'!$AD$45="Leve"),CONCATENATE("R6C",'Mapa final'!$R$45),"")</f>
        <v/>
      </c>
      <c r="P51" s="60" t="str">
        <f>IF(AND('Mapa final'!$AB$40="Muy Baja",'Mapa final'!$AD$40="Menor"),CONCATENATE("R6C",'Mapa final'!$R$40),"")</f>
        <v/>
      </c>
      <c r="Q51" s="61" t="str">
        <f>IF(AND('Mapa final'!$AB$41="Muy Baja",'Mapa final'!$AD$41="Menor"),CONCATENATE("R6C",'Mapa final'!$R$41),"")</f>
        <v/>
      </c>
      <c r="R51" s="61" t="str">
        <f>IF(AND('Mapa final'!$AB$42="Muy Baja",'Mapa final'!$AD$42="Menor"),CONCATENATE("R6C",'Mapa final'!$R$42),"")</f>
        <v/>
      </c>
      <c r="S51" s="61" t="str">
        <f>IF(AND('Mapa final'!$AB$43="Muy Baja",'Mapa final'!$AD$43="Menor"),CONCATENATE("R6C",'Mapa final'!$R$43),"")</f>
        <v/>
      </c>
      <c r="T51" s="61" t="str">
        <f>IF(AND('Mapa final'!$AB$44="Muy Baja",'Mapa final'!$AD$44="Menor"),CONCATENATE("R6C",'Mapa final'!$R$44),"")</f>
        <v/>
      </c>
      <c r="U51" s="62" t="str">
        <f>IF(AND('Mapa final'!$AB$45="Muy Baja",'Mapa final'!$AD$45="Menor"),CONCATENATE("R6C",'Mapa final'!$R$45),"")</f>
        <v/>
      </c>
      <c r="V51" s="51" t="str">
        <f>IF(AND('Mapa final'!$AB$40="Muy Baja",'Mapa final'!$AD$40="Moderado"),CONCATENATE("R6C",'Mapa final'!$R$40),"")</f>
        <v/>
      </c>
      <c r="W51" s="52" t="str">
        <f>IF(AND('Mapa final'!$AB$41="Muy Baja",'Mapa final'!$AD$41="Moderado"),CONCATENATE("R6C",'Mapa final'!$R$41),"")</f>
        <v/>
      </c>
      <c r="X51" s="52" t="str">
        <f>IF(AND('Mapa final'!$AB$42="Muy Baja",'Mapa final'!$AD$42="Moderado"),CONCATENATE("R6C",'Mapa final'!$R$42),"")</f>
        <v/>
      </c>
      <c r="Y51" s="52" t="str">
        <f>IF(AND('Mapa final'!$AB$43="Muy Baja",'Mapa final'!$AD$43="Moderado"),CONCATENATE("R6C",'Mapa final'!$R$43),"")</f>
        <v/>
      </c>
      <c r="Z51" s="52" t="str">
        <f>IF(AND('Mapa final'!$AB$44="Muy Baja",'Mapa final'!$AD$44="Moderado"),CONCATENATE("R6C",'Mapa final'!$R$44),"")</f>
        <v/>
      </c>
      <c r="AA51" s="53" t="str">
        <f>IF(AND('Mapa final'!$AB$45="Muy Baja",'Mapa final'!$AD$45="Moderado"),CONCATENATE("R6C",'Mapa final'!$R$45),"")</f>
        <v/>
      </c>
      <c r="AB51" s="36" t="str">
        <f>IF(AND('Mapa final'!$AB$40="Muy Baja",'Mapa final'!$AD$40="Mayor"),CONCATENATE("R6C",'Mapa final'!$R$40),"")</f>
        <v/>
      </c>
      <c r="AC51" s="37" t="str">
        <f>IF(AND('Mapa final'!$AB$41="Muy Baja",'Mapa final'!$AD$41="Mayor"),CONCATENATE("R6C",'Mapa final'!$R$41),"")</f>
        <v/>
      </c>
      <c r="AD51" s="37" t="str">
        <f>IF(AND('Mapa final'!$AB$42="Muy Baja",'Mapa final'!$AD$42="Mayor"),CONCATENATE("R6C",'Mapa final'!$R$42),"")</f>
        <v/>
      </c>
      <c r="AE51" s="37" t="str">
        <f>IF(AND('Mapa final'!$AB$43="Muy Baja",'Mapa final'!$AD$43="Mayor"),CONCATENATE("R6C",'Mapa final'!$R$43),"")</f>
        <v/>
      </c>
      <c r="AF51" s="37" t="str">
        <f>IF(AND('Mapa final'!$AB$44="Muy Baja",'Mapa final'!$AD$44="Mayor"),CONCATENATE("R6C",'Mapa final'!$R$44),"")</f>
        <v/>
      </c>
      <c r="AG51" s="38" t="str">
        <f>IF(AND('Mapa final'!$AB$45="Muy Baja",'Mapa final'!$AD$45="Mayor"),CONCATENATE("R6C",'Mapa final'!$R$45),"")</f>
        <v/>
      </c>
      <c r="AH51" s="39" t="str">
        <f>IF(AND('Mapa final'!$AB$40="Muy Baja",'Mapa final'!$AD$40="Catastrófico"),CONCATENATE("R6C",'Mapa final'!$R$40),"")</f>
        <v/>
      </c>
      <c r="AI51" s="40" t="str">
        <f>IF(AND('Mapa final'!$AB$41="Muy Baja",'Mapa final'!$AD$41="Catastrófico"),CONCATENATE("R6C",'Mapa final'!$R$41),"")</f>
        <v/>
      </c>
      <c r="AJ51" s="40" t="str">
        <f>IF(AND('Mapa final'!$AB$42="Muy Baja",'Mapa final'!$AD$42="Catastrófico"),CONCATENATE("R6C",'Mapa final'!$R$42),"")</f>
        <v/>
      </c>
      <c r="AK51" s="40" t="str">
        <f>IF(AND('Mapa final'!$AB$43="Muy Baja",'Mapa final'!$AD$43="Catastrófico"),CONCATENATE("R6C",'Mapa final'!$R$43),"")</f>
        <v/>
      </c>
      <c r="AL51" s="40" t="str">
        <f>IF(AND('Mapa final'!$AB$44="Muy Baja",'Mapa final'!$AD$44="Catastrófico"),CONCATENATE("R6C",'Mapa final'!$R$44),"")</f>
        <v/>
      </c>
      <c r="AM51" s="41" t="str">
        <f>IF(AND('Mapa final'!$AB$45="Muy Baja",'Mapa final'!$AD$45="Catastrófico"),CONCATENATE("R6C",'Mapa final'!$R$45),"")</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25">
      <c r="A52" s="67"/>
      <c r="B52" s="451"/>
      <c r="C52" s="451"/>
      <c r="D52" s="452"/>
      <c r="E52" s="550"/>
      <c r="F52" s="549"/>
      <c r="G52" s="549"/>
      <c r="H52" s="549"/>
      <c r="I52" s="565"/>
      <c r="J52" s="60" t="str">
        <f>IF(AND('Mapa final'!$AB$46="Muy Baja",'Mapa final'!$AD$46="Leve"),CONCATENATE("R7C",'Mapa final'!$R$46),"")</f>
        <v/>
      </c>
      <c r="K52" s="61" t="str">
        <f>IF(AND('Mapa final'!$AB$47="Muy Baja",'Mapa final'!$AD$47="Leve"),CONCATENATE("R7C",'Mapa final'!$R$47),"")</f>
        <v/>
      </c>
      <c r="L52" s="61" t="str">
        <f>IF(AND('Mapa final'!$AB$48="Muy Baja",'Mapa final'!$AD$48="Leve"),CONCATENATE("R7C",'Mapa final'!$R$48),"")</f>
        <v/>
      </c>
      <c r="M52" s="61" t="str">
        <f>IF(AND('Mapa final'!$AB$49="Muy Baja",'Mapa final'!$AD$49="Leve"),CONCATENATE("R7C",'Mapa final'!$R$49),"")</f>
        <v/>
      </c>
      <c r="N52" s="61" t="str">
        <f>IF(AND('Mapa final'!$AB$50="Muy Baja",'Mapa final'!$AD$50="Leve"),CONCATENATE("R7C",'Mapa final'!$R$50),"")</f>
        <v/>
      </c>
      <c r="O52" s="62" t="str">
        <f>IF(AND('Mapa final'!$AB$51="Muy Baja",'Mapa final'!$AD$51="Leve"),CONCATENATE("R7C",'Mapa final'!$R$51),"")</f>
        <v/>
      </c>
      <c r="P52" s="60" t="str">
        <f>IF(AND('Mapa final'!$AB$46="Muy Baja",'Mapa final'!$AD$46="Menor"),CONCATENATE("R7C",'Mapa final'!$R$46),"")</f>
        <v/>
      </c>
      <c r="Q52" s="61" t="str">
        <f>IF(AND('Mapa final'!$AB$47="Muy Baja",'Mapa final'!$AD$47="Menor"),CONCATENATE("R7C",'Mapa final'!$R$47),"")</f>
        <v/>
      </c>
      <c r="R52" s="61" t="str">
        <f>IF(AND('Mapa final'!$AB$48="Muy Baja",'Mapa final'!$AD$48="Menor"),CONCATENATE("R7C",'Mapa final'!$R$48),"")</f>
        <v/>
      </c>
      <c r="S52" s="61" t="str">
        <f>IF(AND('Mapa final'!$AB$49="Muy Baja",'Mapa final'!$AD$49="Menor"),CONCATENATE("R7C",'Mapa final'!$R$49),"")</f>
        <v/>
      </c>
      <c r="T52" s="61" t="str">
        <f>IF(AND('Mapa final'!$AB$50="Muy Baja",'Mapa final'!$AD$50="Menor"),CONCATENATE("R7C",'Mapa final'!$R$50),"")</f>
        <v/>
      </c>
      <c r="U52" s="62" t="str">
        <f>IF(AND('Mapa final'!$AB$51="Muy Baja",'Mapa final'!$AD$51="Menor"),CONCATENATE("R7C",'Mapa final'!$R$51),"")</f>
        <v/>
      </c>
      <c r="V52" s="51" t="str">
        <f>IF(AND('Mapa final'!$AB$46="Muy Baja",'Mapa final'!$AD$46="Moderado"),CONCATENATE("R7C",'Mapa final'!$R$46),"")</f>
        <v/>
      </c>
      <c r="W52" s="52" t="str">
        <f>IF(AND('Mapa final'!$AB$47="Muy Baja",'Mapa final'!$AD$47="Moderado"),CONCATENATE("R7C",'Mapa final'!$R$47),"")</f>
        <v/>
      </c>
      <c r="X52" s="52" t="str">
        <f>IF(AND('Mapa final'!$AB$48="Muy Baja",'Mapa final'!$AD$48="Moderado"),CONCATENATE("R7C",'Mapa final'!$R$48),"")</f>
        <v/>
      </c>
      <c r="Y52" s="52" t="str">
        <f>IF(AND('Mapa final'!$AB$49="Muy Baja",'Mapa final'!$AD$49="Moderado"),CONCATENATE("R7C",'Mapa final'!$R$49),"")</f>
        <v/>
      </c>
      <c r="Z52" s="52" t="str">
        <f>IF(AND('Mapa final'!$AB$50="Muy Baja",'Mapa final'!$AD$50="Moderado"),CONCATENATE("R7C",'Mapa final'!$R$50),"")</f>
        <v/>
      </c>
      <c r="AA52" s="53" t="str">
        <f>IF(AND('Mapa final'!$AB$51="Muy Baja",'Mapa final'!$AD$51="Moderado"),CONCATENATE("R7C",'Mapa final'!$R$51),"")</f>
        <v/>
      </c>
      <c r="AB52" s="36" t="str">
        <f>IF(AND('Mapa final'!$AB$46="Muy Baja",'Mapa final'!$AD$46="Mayor"),CONCATENATE("R7C",'Mapa final'!$R$46),"")</f>
        <v/>
      </c>
      <c r="AC52" s="37" t="str">
        <f>IF(AND('Mapa final'!$AB$47="Muy Baja",'Mapa final'!$AD$47="Mayor"),CONCATENATE("R7C",'Mapa final'!$R$47),"")</f>
        <v/>
      </c>
      <c r="AD52" s="37" t="str">
        <f>IF(AND('Mapa final'!$AB$48="Muy Baja",'Mapa final'!$AD$48="Mayor"),CONCATENATE("R7C",'Mapa final'!$R$48),"")</f>
        <v/>
      </c>
      <c r="AE52" s="37" t="str">
        <f>IF(AND('Mapa final'!$AB$49="Muy Baja",'Mapa final'!$AD$49="Mayor"),CONCATENATE("R7C",'Mapa final'!$R$49),"")</f>
        <v/>
      </c>
      <c r="AF52" s="37" t="str">
        <f>IF(AND('Mapa final'!$AB$50="Muy Baja",'Mapa final'!$AD$50="Mayor"),CONCATENATE("R7C",'Mapa final'!$R$50),"")</f>
        <v/>
      </c>
      <c r="AG52" s="38" t="str">
        <f>IF(AND('Mapa final'!$AB$51="Muy Baja",'Mapa final'!$AD$51="Mayor"),CONCATENATE("R7C",'Mapa final'!$R$51),"")</f>
        <v/>
      </c>
      <c r="AH52" s="39" t="str">
        <f>IF(AND('Mapa final'!$AB$46="Muy Baja",'Mapa final'!$AD$46="Catastrófico"),CONCATENATE("R7C",'Mapa final'!$R$46),"")</f>
        <v/>
      </c>
      <c r="AI52" s="40" t="str">
        <f>IF(AND('Mapa final'!$AB$47="Muy Baja",'Mapa final'!$AD$47="Catastrófico"),CONCATENATE("R7C",'Mapa final'!$R$47),"")</f>
        <v/>
      </c>
      <c r="AJ52" s="40" t="str">
        <f>IF(AND('Mapa final'!$AB$48="Muy Baja",'Mapa final'!$AD$48="Catastrófico"),CONCATENATE("R7C",'Mapa final'!$R$48),"")</f>
        <v/>
      </c>
      <c r="AK52" s="40" t="str">
        <f>IF(AND('Mapa final'!$AB$49="Muy Baja",'Mapa final'!$AD$49="Catastrófico"),CONCATENATE("R7C",'Mapa final'!$R$49),"")</f>
        <v/>
      </c>
      <c r="AL52" s="40" t="str">
        <f>IF(AND('Mapa final'!$AB$50="Muy Baja",'Mapa final'!$AD$50="Catastrófico"),CONCATENATE("R7C",'Mapa final'!$R$50),"")</f>
        <v/>
      </c>
      <c r="AM52" s="41" t="str">
        <f>IF(AND('Mapa final'!$AB$51="Muy Baja",'Mapa final'!$AD$51="Catastrófico"),CONCATENATE("R7C",'Mapa final'!$R$51),"")</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451"/>
      <c r="C53" s="451"/>
      <c r="D53" s="452"/>
      <c r="E53" s="550"/>
      <c r="F53" s="549"/>
      <c r="G53" s="549"/>
      <c r="H53" s="549"/>
      <c r="I53" s="565"/>
      <c r="J53" s="60" t="str">
        <f>IF(AND('Mapa final'!$AB$52="Muy Baja",'Mapa final'!$AD$52="Leve"),CONCATENATE("R8C",'Mapa final'!$R$52),"")</f>
        <v/>
      </c>
      <c r="K53" s="61" t="str">
        <f>IF(AND('Mapa final'!$AB$53="Muy Baja",'Mapa final'!$AD$53="Leve"),CONCATENATE("R8C",'Mapa final'!$R$53),"")</f>
        <v/>
      </c>
      <c r="L53" s="61" t="str">
        <f>IF(AND('Mapa final'!$AB$54="Muy Baja",'Mapa final'!$AD$54="Leve"),CONCATENATE("R8C",'Mapa final'!$R$54),"")</f>
        <v/>
      </c>
      <c r="M53" s="61" t="str">
        <f>IF(AND('Mapa final'!$AB$55="Muy Baja",'Mapa final'!$AD$55="Leve"),CONCATENATE("R8C",'Mapa final'!$R$55),"")</f>
        <v/>
      </c>
      <c r="N53" s="61" t="str">
        <f>IF(AND('Mapa final'!$AB$56="Muy Baja",'Mapa final'!$AD$56="Leve"),CONCATENATE("R8C",'Mapa final'!$R$56),"")</f>
        <v/>
      </c>
      <c r="O53" s="62" t="str">
        <f>IF(AND('Mapa final'!$AB$57="Muy Baja",'Mapa final'!$AD$57="Leve"),CONCATENATE("R8C",'Mapa final'!$R$57),"")</f>
        <v/>
      </c>
      <c r="P53" s="60" t="str">
        <f>IF(AND('Mapa final'!$AB$52="Muy Baja",'Mapa final'!$AD$52="Menor"),CONCATENATE("R8C",'Mapa final'!$R$52),"")</f>
        <v/>
      </c>
      <c r="Q53" s="61" t="str">
        <f>IF(AND('Mapa final'!$AB$53="Muy Baja",'Mapa final'!$AD$53="Menor"),CONCATENATE("R8C",'Mapa final'!$R$53),"")</f>
        <v/>
      </c>
      <c r="R53" s="61" t="str">
        <f>IF(AND('Mapa final'!$AB$54="Muy Baja",'Mapa final'!$AD$54="Menor"),CONCATENATE("R8C",'Mapa final'!$R$54),"")</f>
        <v/>
      </c>
      <c r="S53" s="61" t="str">
        <f>IF(AND('Mapa final'!$AB$55="Muy Baja",'Mapa final'!$AD$55="Menor"),CONCATENATE("R8C",'Mapa final'!$R$55),"")</f>
        <v/>
      </c>
      <c r="T53" s="61" t="str">
        <f>IF(AND('Mapa final'!$AB$56="Muy Baja",'Mapa final'!$AD$56="Menor"),CONCATENATE("R8C",'Mapa final'!$R$56),"")</f>
        <v/>
      </c>
      <c r="U53" s="62" t="str">
        <f>IF(AND('Mapa final'!$AB$57="Muy Baja",'Mapa final'!$AD$57="Menor"),CONCATENATE("R8C",'Mapa final'!$R$57),"")</f>
        <v/>
      </c>
      <c r="V53" s="51" t="str">
        <f>IF(AND('Mapa final'!$AB$52="Muy Baja",'Mapa final'!$AD$52="Moderado"),CONCATENATE("R8C",'Mapa final'!$R$52),"")</f>
        <v/>
      </c>
      <c r="W53" s="52" t="str">
        <f>IF(AND('Mapa final'!$AB$53="Muy Baja",'Mapa final'!$AD$53="Moderado"),CONCATENATE("R8C",'Mapa final'!$R$53),"")</f>
        <v/>
      </c>
      <c r="X53" s="52" t="str">
        <f>IF(AND('Mapa final'!$AB$54="Muy Baja",'Mapa final'!$AD$54="Moderado"),CONCATENATE("R8C",'Mapa final'!$R$54),"")</f>
        <v/>
      </c>
      <c r="Y53" s="52" t="str">
        <f>IF(AND('Mapa final'!$AB$55="Muy Baja",'Mapa final'!$AD$55="Moderado"),CONCATENATE("R8C",'Mapa final'!$R$55),"")</f>
        <v/>
      </c>
      <c r="Z53" s="52" t="str">
        <f>IF(AND('Mapa final'!$AB$56="Muy Baja",'Mapa final'!$AD$56="Moderado"),CONCATENATE("R8C",'Mapa final'!$R$56),"")</f>
        <v/>
      </c>
      <c r="AA53" s="53" t="str">
        <f>IF(AND('Mapa final'!$AB$57="Muy Baja",'Mapa final'!$AD$57="Moderado"),CONCATENATE("R8C",'Mapa final'!$R$57),"")</f>
        <v/>
      </c>
      <c r="AB53" s="36" t="str">
        <f>IF(AND('Mapa final'!$AB$52="Muy Baja",'Mapa final'!$AD$52="Mayor"),CONCATENATE("R8C",'Mapa final'!$R$52),"")</f>
        <v/>
      </c>
      <c r="AC53" s="37" t="str">
        <f>IF(AND('Mapa final'!$AB$53="Muy Baja",'Mapa final'!$AD$53="Mayor"),CONCATENATE("R8C",'Mapa final'!$R$53),"")</f>
        <v/>
      </c>
      <c r="AD53" s="37" t="str">
        <f>IF(AND('Mapa final'!$AB$54="Muy Baja",'Mapa final'!$AD$54="Mayor"),CONCATENATE("R8C",'Mapa final'!$R$54),"")</f>
        <v/>
      </c>
      <c r="AE53" s="37" t="str">
        <f>IF(AND('Mapa final'!$AB$55="Muy Baja",'Mapa final'!$AD$55="Mayor"),CONCATENATE("R8C",'Mapa final'!$R$55),"")</f>
        <v/>
      </c>
      <c r="AF53" s="37" t="str">
        <f>IF(AND('Mapa final'!$AB$56="Muy Baja",'Mapa final'!$AD$56="Mayor"),CONCATENATE("R8C",'Mapa final'!$R$56),"")</f>
        <v/>
      </c>
      <c r="AG53" s="38" t="str">
        <f>IF(AND('Mapa final'!$AB$57="Muy Baja",'Mapa final'!$AD$57="Mayor"),CONCATENATE("R8C",'Mapa final'!$R$57),"")</f>
        <v/>
      </c>
      <c r="AH53" s="39" t="str">
        <f>IF(AND('Mapa final'!$AB$52="Muy Baja",'Mapa final'!$AD$52="Catastrófico"),CONCATENATE("R8C",'Mapa final'!$R$52),"")</f>
        <v/>
      </c>
      <c r="AI53" s="40" t="str">
        <f>IF(AND('Mapa final'!$AB$53="Muy Baja",'Mapa final'!$AD$53="Catastrófico"),CONCATENATE("R8C",'Mapa final'!$R$53),"")</f>
        <v/>
      </c>
      <c r="AJ53" s="40" t="str">
        <f>IF(AND('Mapa final'!$AB$54="Muy Baja",'Mapa final'!$AD$54="Catastrófico"),CONCATENATE("R8C",'Mapa final'!$R$54),"")</f>
        <v/>
      </c>
      <c r="AK53" s="40" t="str">
        <f>IF(AND('Mapa final'!$AB$55="Muy Baja",'Mapa final'!$AD$55="Catastrófico"),CONCATENATE("R8C",'Mapa final'!$R$55),"")</f>
        <v/>
      </c>
      <c r="AL53" s="40" t="str">
        <f>IF(AND('Mapa final'!$AB$56="Muy Baja",'Mapa final'!$AD$56="Catastrófico"),CONCATENATE("R8C",'Mapa final'!$R$56),"")</f>
        <v/>
      </c>
      <c r="AM53" s="41" t="str">
        <f>IF(AND('Mapa final'!$AB$57="Muy Baja",'Mapa final'!$AD$57="Catastrófico"),CONCATENATE("R8C",'Mapa final'!$R$57),"")</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451"/>
      <c r="C54" s="451"/>
      <c r="D54" s="452"/>
      <c r="E54" s="550"/>
      <c r="F54" s="549"/>
      <c r="G54" s="549"/>
      <c r="H54" s="549"/>
      <c r="I54" s="565"/>
      <c r="J54" s="60" t="str">
        <f>IF(AND('Mapa final'!$AB$58="Muy Baja",'Mapa final'!$AD$58="Leve"),CONCATENATE("R9C",'Mapa final'!$R$58),"")</f>
        <v/>
      </c>
      <c r="K54" s="61" t="str">
        <f>IF(AND('Mapa final'!$AB$59="Muy Baja",'Mapa final'!$AD$59="Leve"),CONCATENATE("R9C",'Mapa final'!$R$59),"")</f>
        <v/>
      </c>
      <c r="L54" s="61" t="str">
        <f>IF(AND('Mapa final'!$AB$60="Muy Baja",'Mapa final'!$AD$60="Leve"),CONCATENATE("R9C",'Mapa final'!$R$60),"")</f>
        <v/>
      </c>
      <c r="M54" s="61" t="str">
        <f>IF(AND('Mapa final'!$AB$61="Muy Baja",'Mapa final'!$AD$61="Leve"),CONCATENATE("R9C",'Mapa final'!$R$61),"")</f>
        <v/>
      </c>
      <c r="N54" s="61" t="str">
        <f>IF(AND('Mapa final'!$AB$62="Muy Baja",'Mapa final'!$AD$62="Leve"),CONCATENATE("R9C",'Mapa final'!$R$62),"")</f>
        <v/>
      </c>
      <c r="O54" s="62" t="str">
        <f>IF(AND('Mapa final'!$AB$63="Muy Baja",'Mapa final'!$AD$63="Leve"),CONCATENATE("R9C",'Mapa final'!$R$63),"")</f>
        <v/>
      </c>
      <c r="P54" s="60" t="str">
        <f>IF(AND('Mapa final'!$AB$58="Muy Baja",'Mapa final'!$AD$58="Menor"),CONCATENATE("R9C",'Mapa final'!$R$58),"")</f>
        <v/>
      </c>
      <c r="Q54" s="61" t="str">
        <f>IF(AND('Mapa final'!$AB$59="Muy Baja",'Mapa final'!$AD$59="Menor"),CONCATENATE("R9C",'Mapa final'!$R$59),"")</f>
        <v/>
      </c>
      <c r="R54" s="61" t="str">
        <f>IF(AND('Mapa final'!$AB$60="Muy Baja",'Mapa final'!$AD$60="Menor"),CONCATENATE("R9C",'Mapa final'!$R$60),"")</f>
        <v/>
      </c>
      <c r="S54" s="61" t="str">
        <f>IF(AND('Mapa final'!$AB$61="Muy Baja",'Mapa final'!$AD$61="Menor"),CONCATENATE("R9C",'Mapa final'!$R$61),"")</f>
        <v/>
      </c>
      <c r="T54" s="61" t="str">
        <f>IF(AND('Mapa final'!$AB$62="Muy Baja",'Mapa final'!$AD$62="Menor"),CONCATENATE("R9C",'Mapa final'!$R$62),"")</f>
        <v/>
      </c>
      <c r="U54" s="62" t="str">
        <f>IF(AND('Mapa final'!$AB$63="Muy Baja",'Mapa final'!$AD$63="Menor"),CONCATENATE("R9C",'Mapa final'!$R$63),"")</f>
        <v/>
      </c>
      <c r="V54" s="51" t="str">
        <f>IF(AND('Mapa final'!$AB$58="Muy Baja",'Mapa final'!$AD$58="Moderado"),CONCATENATE("R9C",'Mapa final'!$R$58),"")</f>
        <v/>
      </c>
      <c r="W54" s="52" t="str">
        <f>IF(AND('Mapa final'!$AB$59="Muy Baja",'Mapa final'!$AD$59="Moderado"),CONCATENATE("R9C",'Mapa final'!$R$59),"")</f>
        <v/>
      </c>
      <c r="X54" s="52" t="str">
        <f>IF(AND('Mapa final'!$AB$60="Muy Baja",'Mapa final'!$AD$60="Moderado"),CONCATENATE("R9C",'Mapa final'!$R$60),"")</f>
        <v/>
      </c>
      <c r="Y54" s="52" t="str">
        <f>IF(AND('Mapa final'!$AB$61="Muy Baja",'Mapa final'!$AD$61="Moderado"),CONCATENATE("R9C",'Mapa final'!$R$61),"")</f>
        <v/>
      </c>
      <c r="Z54" s="52" t="str">
        <f>IF(AND('Mapa final'!$AB$62="Muy Baja",'Mapa final'!$AD$62="Moderado"),CONCATENATE("R9C",'Mapa final'!$R$62),"")</f>
        <v/>
      </c>
      <c r="AA54" s="53" t="str">
        <f>IF(AND('Mapa final'!$AB$63="Muy Baja",'Mapa final'!$AD$63="Moderado"),CONCATENATE("R9C",'Mapa final'!$R$63),"")</f>
        <v/>
      </c>
      <c r="AB54" s="36" t="str">
        <f>IF(AND('Mapa final'!$AB$58="Muy Baja",'Mapa final'!$AD$58="Mayor"),CONCATENATE("R9C",'Mapa final'!$R$58),"")</f>
        <v/>
      </c>
      <c r="AC54" s="37" t="str">
        <f>IF(AND('Mapa final'!$AB$59="Muy Baja",'Mapa final'!$AD$59="Mayor"),CONCATENATE("R9C",'Mapa final'!$R$59),"")</f>
        <v/>
      </c>
      <c r="AD54" s="37" t="str">
        <f>IF(AND('Mapa final'!$AB$60="Muy Baja",'Mapa final'!$AD$60="Mayor"),CONCATENATE("R9C",'Mapa final'!$R$60),"")</f>
        <v/>
      </c>
      <c r="AE54" s="37" t="str">
        <f>IF(AND('Mapa final'!$AB$61="Muy Baja",'Mapa final'!$AD$61="Mayor"),CONCATENATE("R9C",'Mapa final'!$R$61),"")</f>
        <v/>
      </c>
      <c r="AF54" s="37" t="str">
        <f>IF(AND('Mapa final'!$AB$62="Muy Baja",'Mapa final'!$AD$62="Mayor"),CONCATENATE("R9C",'Mapa final'!$R$62),"")</f>
        <v/>
      </c>
      <c r="AG54" s="38" t="str">
        <f>IF(AND('Mapa final'!$AB$63="Muy Baja",'Mapa final'!$AD$63="Mayor"),CONCATENATE("R9C",'Mapa final'!$R$63),"")</f>
        <v/>
      </c>
      <c r="AH54" s="39" t="str">
        <f>IF(AND('Mapa final'!$AB$58="Muy Baja",'Mapa final'!$AD$58="Catastrófico"),CONCATENATE("R9C",'Mapa final'!$R$58),"")</f>
        <v/>
      </c>
      <c r="AI54" s="40" t="str">
        <f>IF(AND('Mapa final'!$AB$59="Muy Baja",'Mapa final'!$AD$59="Catastrófico"),CONCATENATE("R9C",'Mapa final'!$R$59),"")</f>
        <v/>
      </c>
      <c r="AJ54" s="40" t="str">
        <f>IF(AND('Mapa final'!$AB$60="Muy Baja",'Mapa final'!$AD$60="Catastrófico"),CONCATENATE("R9C",'Mapa final'!$R$60),"")</f>
        <v/>
      </c>
      <c r="AK54" s="40" t="str">
        <f>IF(AND('Mapa final'!$AB$61="Muy Baja",'Mapa final'!$AD$61="Catastrófico"),CONCATENATE("R9C",'Mapa final'!$R$61),"")</f>
        <v/>
      </c>
      <c r="AL54" s="40" t="str">
        <f>IF(AND('Mapa final'!$AB$62="Muy Baja",'Mapa final'!$AD$62="Catastrófico"),CONCATENATE("R9C",'Mapa final'!$R$62),"")</f>
        <v/>
      </c>
      <c r="AM54" s="41" t="str">
        <f>IF(AND('Mapa final'!$AB$63="Muy Baja",'Mapa final'!$AD$63="Catastrófico"),CONCATENATE("R9C",'Mapa final'!$R$63),"")</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
      <c r="A55" s="67"/>
      <c r="B55" s="451"/>
      <c r="C55" s="451"/>
      <c r="D55" s="452"/>
      <c r="E55" s="551"/>
      <c r="F55" s="552"/>
      <c r="G55" s="552"/>
      <c r="H55" s="552"/>
      <c r="I55" s="566"/>
      <c r="J55" s="63" t="str">
        <f>IF(AND('Mapa final'!$AB$64="Muy Baja",'Mapa final'!$AD$64="Leve"),CONCATENATE("R10C",'Mapa final'!$R$64),"")</f>
        <v/>
      </c>
      <c r="K55" s="64" t="str">
        <f>IF(AND('Mapa final'!$AB$65="Muy Baja",'Mapa final'!$AD$65="Leve"),CONCATENATE("R10C",'Mapa final'!$R$65),"")</f>
        <v/>
      </c>
      <c r="L55" s="64" t="str">
        <f>IF(AND('Mapa final'!$AB$66="Muy Baja",'Mapa final'!$AD$66="Leve"),CONCATENATE("R10C",'Mapa final'!$R$66),"")</f>
        <v/>
      </c>
      <c r="M55" s="64" t="str">
        <f>IF(AND('Mapa final'!$AB$67="Muy Baja",'Mapa final'!$AD$67="Leve"),CONCATENATE("R10C",'Mapa final'!$R$67),"")</f>
        <v/>
      </c>
      <c r="N55" s="64" t="str">
        <f>IF(AND('Mapa final'!$AB$68="Muy Baja",'Mapa final'!$AD$68="Leve"),CONCATENATE("R10C",'Mapa final'!$R$68),"")</f>
        <v/>
      </c>
      <c r="O55" s="65" t="str">
        <f>IF(AND('Mapa final'!$AB$69="Muy Baja",'Mapa final'!$AD$69="Leve"),CONCATENATE("R10C",'Mapa final'!$R$69),"")</f>
        <v/>
      </c>
      <c r="P55" s="63" t="str">
        <f>IF(AND('Mapa final'!$AB$64="Muy Baja",'Mapa final'!$AD$64="Menor"),CONCATENATE("R10C",'Mapa final'!$R$64),"")</f>
        <v/>
      </c>
      <c r="Q55" s="64" t="str">
        <f>IF(AND('Mapa final'!$AB$65="Muy Baja",'Mapa final'!$AD$65="Menor"),CONCATENATE("R10C",'Mapa final'!$R$65),"")</f>
        <v/>
      </c>
      <c r="R55" s="64" t="str">
        <f>IF(AND('Mapa final'!$AB$66="Muy Baja",'Mapa final'!$AD$66="Menor"),CONCATENATE("R10C",'Mapa final'!$R$66),"")</f>
        <v/>
      </c>
      <c r="S55" s="64" t="str">
        <f>IF(AND('Mapa final'!$AB$67="Muy Baja",'Mapa final'!$AD$67="Menor"),CONCATENATE("R10C",'Mapa final'!$R$67),"")</f>
        <v/>
      </c>
      <c r="T55" s="64" t="str">
        <f>IF(AND('Mapa final'!$AB$68="Muy Baja",'Mapa final'!$AD$68="Menor"),CONCATENATE("R10C",'Mapa final'!$R$68),"")</f>
        <v/>
      </c>
      <c r="U55" s="65" t="str">
        <f>IF(AND('Mapa final'!$AB$69="Muy Baja",'Mapa final'!$AD$69="Menor"),CONCATENATE("R10C",'Mapa final'!$R$69),"")</f>
        <v/>
      </c>
      <c r="V55" s="54" t="str">
        <f>IF(AND('Mapa final'!$AB$64="Muy Baja",'Mapa final'!$AD$64="Moderado"),CONCATENATE("R10C",'Mapa final'!$R$64),"")</f>
        <v/>
      </c>
      <c r="W55" s="55" t="str">
        <f>IF(AND('Mapa final'!$AB$65="Muy Baja",'Mapa final'!$AD$65="Moderado"),CONCATENATE("R10C",'Mapa final'!$R$65),"")</f>
        <v/>
      </c>
      <c r="X55" s="55" t="str">
        <f>IF(AND('Mapa final'!$AB$66="Muy Baja",'Mapa final'!$AD$66="Moderado"),CONCATENATE("R10C",'Mapa final'!$R$66),"")</f>
        <v/>
      </c>
      <c r="Y55" s="55" t="str">
        <f>IF(AND('Mapa final'!$AB$67="Muy Baja",'Mapa final'!$AD$67="Moderado"),CONCATENATE("R10C",'Mapa final'!$R$67),"")</f>
        <v/>
      </c>
      <c r="Z55" s="55" t="str">
        <f>IF(AND('Mapa final'!$AB$68="Muy Baja",'Mapa final'!$AD$68="Moderado"),CONCATENATE("R10C",'Mapa final'!$R$68),"")</f>
        <v/>
      </c>
      <c r="AA55" s="56" t="str">
        <f>IF(AND('Mapa final'!$AB$69="Muy Baja",'Mapa final'!$AD$69="Moderado"),CONCATENATE("R10C",'Mapa final'!$R$69),"")</f>
        <v/>
      </c>
      <c r="AB55" s="42" t="str">
        <f>IF(AND('Mapa final'!$AB$64="Muy Baja",'Mapa final'!$AD$64="Mayor"),CONCATENATE("R10C",'Mapa final'!$R$64),"")</f>
        <v/>
      </c>
      <c r="AC55" s="43" t="str">
        <f>IF(AND('Mapa final'!$AB$65="Muy Baja",'Mapa final'!$AD$65="Mayor"),CONCATENATE("R10C",'Mapa final'!$R$65),"")</f>
        <v/>
      </c>
      <c r="AD55" s="43" t="str">
        <f>IF(AND('Mapa final'!$AB$66="Muy Baja",'Mapa final'!$AD$66="Mayor"),CONCATENATE("R10C",'Mapa final'!$R$66),"")</f>
        <v/>
      </c>
      <c r="AE55" s="43" t="str">
        <f>IF(AND('Mapa final'!$AB$67="Muy Baja",'Mapa final'!$AD$67="Mayor"),CONCATENATE("R10C",'Mapa final'!$R$67),"")</f>
        <v/>
      </c>
      <c r="AF55" s="43" t="str">
        <f>IF(AND('Mapa final'!$AB$68="Muy Baja",'Mapa final'!$AD$68="Mayor"),CONCATENATE("R10C",'Mapa final'!$R$68),"")</f>
        <v/>
      </c>
      <c r="AG55" s="44" t="str">
        <f>IF(AND('Mapa final'!$AB$69="Muy Baja",'Mapa final'!$AD$69="Mayor"),CONCATENATE("R10C",'Mapa final'!$R$69),"")</f>
        <v/>
      </c>
      <c r="AH55" s="45" t="str">
        <f>IF(AND('Mapa final'!$AB$64="Muy Baja",'Mapa final'!$AD$64="Catastrófico"),CONCATENATE("R10C",'Mapa final'!$R$64),"")</f>
        <v/>
      </c>
      <c r="AI55" s="46" t="str">
        <f>IF(AND('Mapa final'!$AB$65="Muy Baja",'Mapa final'!$AD$65="Catastrófico"),CONCATENATE("R10C",'Mapa final'!$R$65),"")</f>
        <v/>
      </c>
      <c r="AJ55" s="46" t="str">
        <f>IF(AND('Mapa final'!$AB$66="Muy Baja",'Mapa final'!$AD$66="Catastrófico"),CONCATENATE("R10C",'Mapa final'!$R$66),"")</f>
        <v/>
      </c>
      <c r="AK55" s="46" t="str">
        <f>IF(AND('Mapa final'!$AB$67="Muy Baja",'Mapa final'!$AD$67="Catastrófico"),CONCATENATE("R10C",'Mapa final'!$R$67),"")</f>
        <v/>
      </c>
      <c r="AL55" s="46" t="str">
        <f>IF(AND('Mapa final'!$AB$68="Muy Baja",'Mapa final'!$AD$68="Catastrófico"),CONCATENATE("R10C",'Mapa final'!$R$68),"")</f>
        <v/>
      </c>
      <c r="AM55" s="47" t="str">
        <f>IF(AND('Mapa final'!$AB$69="Muy Baja",'Mapa final'!$AD$69="Catastrófico"),CONCATENATE("R10C",'Mapa final'!$R$69),"")</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546" t="s">
        <v>107</v>
      </c>
      <c r="K56" s="547"/>
      <c r="L56" s="547"/>
      <c r="M56" s="547"/>
      <c r="N56" s="547"/>
      <c r="O56" s="564"/>
      <c r="P56" s="546" t="s">
        <v>106</v>
      </c>
      <c r="Q56" s="547"/>
      <c r="R56" s="547"/>
      <c r="S56" s="547"/>
      <c r="T56" s="547"/>
      <c r="U56" s="564"/>
      <c r="V56" s="546" t="s">
        <v>105</v>
      </c>
      <c r="W56" s="547"/>
      <c r="X56" s="547"/>
      <c r="Y56" s="547"/>
      <c r="Z56" s="547"/>
      <c r="AA56" s="564"/>
      <c r="AB56" s="546" t="s">
        <v>104</v>
      </c>
      <c r="AC56" s="585"/>
      <c r="AD56" s="547"/>
      <c r="AE56" s="547"/>
      <c r="AF56" s="547"/>
      <c r="AG56" s="564"/>
      <c r="AH56" s="546" t="s">
        <v>103</v>
      </c>
      <c r="AI56" s="547"/>
      <c r="AJ56" s="547"/>
      <c r="AK56" s="547"/>
      <c r="AL56" s="547"/>
      <c r="AM56" s="564"/>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550"/>
      <c r="K57" s="549"/>
      <c r="L57" s="549"/>
      <c r="M57" s="549"/>
      <c r="N57" s="549"/>
      <c r="O57" s="565"/>
      <c r="P57" s="550"/>
      <c r="Q57" s="549"/>
      <c r="R57" s="549"/>
      <c r="S57" s="549"/>
      <c r="T57" s="549"/>
      <c r="U57" s="565"/>
      <c r="V57" s="550"/>
      <c r="W57" s="549"/>
      <c r="X57" s="549"/>
      <c r="Y57" s="549"/>
      <c r="Z57" s="549"/>
      <c r="AA57" s="565"/>
      <c r="AB57" s="550"/>
      <c r="AC57" s="549"/>
      <c r="AD57" s="549"/>
      <c r="AE57" s="549"/>
      <c r="AF57" s="549"/>
      <c r="AG57" s="565"/>
      <c r="AH57" s="550"/>
      <c r="AI57" s="549"/>
      <c r="AJ57" s="549"/>
      <c r="AK57" s="549"/>
      <c r="AL57" s="549"/>
      <c r="AM57" s="565"/>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550"/>
      <c r="K58" s="549"/>
      <c r="L58" s="549"/>
      <c r="M58" s="549"/>
      <c r="N58" s="549"/>
      <c r="O58" s="565"/>
      <c r="P58" s="550"/>
      <c r="Q58" s="549"/>
      <c r="R58" s="549"/>
      <c r="S58" s="549"/>
      <c r="T58" s="549"/>
      <c r="U58" s="565"/>
      <c r="V58" s="550"/>
      <c r="W58" s="549"/>
      <c r="X58" s="549"/>
      <c r="Y58" s="549"/>
      <c r="Z58" s="549"/>
      <c r="AA58" s="565"/>
      <c r="AB58" s="550"/>
      <c r="AC58" s="549"/>
      <c r="AD58" s="549"/>
      <c r="AE58" s="549"/>
      <c r="AF58" s="549"/>
      <c r="AG58" s="565"/>
      <c r="AH58" s="550"/>
      <c r="AI58" s="549"/>
      <c r="AJ58" s="549"/>
      <c r="AK58" s="549"/>
      <c r="AL58" s="549"/>
      <c r="AM58" s="565"/>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550"/>
      <c r="K59" s="549"/>
      <c r="L59" s="549"/>
      <c r="M59" s="549"/>
      <c r="N59" s="549"/>
      <c r="O59" s="565"/>
      <c r="P59" s="550"/>
      <c r="Q59" s="549"/>
      <c r="R59" s="549"/>
      <c r="S59" s="549"/>
      <c r="T59" s="549"/>
      <c r="U59" s="565"/>
      <c r="V59" s="550"/>
      <c r="W59" s="549"/>
      <c r="X59" s="549"/>
      <c r="Y59" s="549"/>
      <c r="Z59" s="549"/>
      <c r="AA59" s="565"/>
      <c r="AB59" s="550"/>
      <c r="AC59" s="549"/>
      <c r="AD59" s="549"/>
      <c r="AE59" s="549"/>
      <c r="AF59" s="549"/>
      <c r="AG59" s="565"/>
      <c r="AH59" s="550"/>
      <c r="AI59" s="549"/>
      <c r="AJ59" s="549"/>
      <c r="AK59" s="549"/>
      <c r="AL59" s="549"/>
      <c r="AM59" s="565"/>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550"/>
      <c r="K60" s="549"/>
      <c r="L60" s="549"/>
      <c r="M60" s="549"/>
      <c r="N60" s="549"/>
      <c r="O60" s="565"/>
      <c r="P60" s="550"/>
      <c r="Q60" s="549"/>
      <c r="R60" s="549"/>
      <c r="S60" s="549"/>
      <c r="T60" s="549"/>
      <c r="U60" s="565"/>
      <c r="V60" s="550"/>
      <c r="W60" s="549"/>
      <c r="X60" s="549"/>
      <c r="Y60" s="549"/>
      <c r="Z60" s="549"/>
      <c r="AA60" s="565"/>
      <c r="AB60" s="550"/>
      <c r="AC60" s="549"/>
      <c r="AD60" s="549"/>
      <c r="AE60" s="549"/>
      <c r="AF60" s="549"/>
      <c r="AG60" s="565"/>
      <c r="AH60" s="550"/>
      <c r="AI60" s="549"/>
      <c r="AJ60" s="549"/>
      <c r="AK60" s="549"/>
      <c r="AL60" s="549"/>
      <c r="AM60" s="565"/>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75" thickBot="1" x14ac:dyDescent="0.3">
      <c r="A61" s="67"/>
      <c r="B61" s="67"/>
      <c r="C61" s="67"/>
      <c r="D61" s="67"/>
      <c r="E61" s="67"/>
      <c r="F61" s="67"/>
      <c r="G61" s="67"/>
      <c r="H61" s="67"/>
      <c r="I61" s="67"/>
      <c r="J61" s="551"/>
      <c r="K61" s="552"/>
      <c r="L61" s="552"/>
      <c r="M61" s="552"/>
      <c r="N61" s="552"/>
      <c r="O61" s="566"/>
      <c r="P61" s="551"/>
      <c r="Q61" s="552"/>
      <c r="R61" s="552"/>
      <c r="S61" s="552"/>
      <c r="T61" s="552"/>
      <c r="U61" s="566"/>
      <c r="V61" s="551"/>
      <c r="W61" s="552"/>
      <c r="X61" s="552"/>
      <c r="Y61" s="552"/>
      <c r="Z61" s="552"/>
      <c r="AA61" s="566"/>
      <c r="AB61" s="551"/>
      <c r="AC61" s="552"/>
      <c r="AD61" s="552"/>
      <c r="AE61" s="552"/>
      <c r="AF61" s="552"/>
      <c r="AG61" s="566"/>
      <c r="AH61" s="551"/>
      <c r="AI61" s="552"/>
      <c r="AJ61" s="552"/>
      <c r="AK61" s="552"/>
      <c r="AL61" s="552"/>
      <c r="AM61" s="566"/>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25">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25">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25">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25">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25">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25">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25">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25">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25">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25">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25">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25">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25">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25">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25">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25">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25">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25">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25">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25">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25">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25">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25">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25">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25">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25">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25">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25">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25">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25">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25">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25">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25">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25">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25">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25">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25">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25">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25">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25">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25">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25">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25">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25">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25">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25">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25">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25">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25">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25">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25">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25">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25">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25">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25">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25">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25">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25">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25">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25">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25">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25">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25">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25">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25">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25">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25">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25">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25">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25">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25">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25">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25">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25">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25">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25">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25">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25">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25">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25">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25">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25">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25">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25">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25">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25">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25">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25">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25">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25">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25">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25">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25">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25">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25">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25">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25">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25">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25">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25">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25">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25">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25">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25">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25">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25">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25">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25">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25">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25">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25">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25">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25">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25">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25">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25">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25">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25">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25">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25">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25">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25">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25">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25">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25">
      <c r="A245" s="67"/>
    </row>
    <row r="246" spans="1:60" x14ac:dyDescent="0.25">
      <c r="A246" s="67"/>
    </row>
    <row r="247" spans="1:60" x14ac:dyDescent="0.25">
      <c r="A247" s="67"/>
    </row>
    <row r="248" spans="1:60" x14ac:dyDescent="0.25">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workbookViewId="0"/>
  </sheetViews>
  <sheetFormatPr baseColWidth="10" defaultRowHeight="15" x14ac:dyDescent="0.25"/>
  <cols>
    <col min="2" max="2" width="24.140625" customWidth="1"/>
    <col min="3" max="3" width="70.140625" customWidth="1"/>
    <col min="4" max="4" width="29.85546875" customWidth="1"/>
  </cols>
  <sheetData>
    <row r="1" spans="1:37" ht="23.25" x14ac:dyDescent="0.25">
      <c r="A1" s="67"/>
      <c r="B1" s="586" t="s">
        <v>55</v>
      </c>
      <c r="C1" s="586"/>
      <c r="D1" s="586"/>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2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5" x14ac:dyDescent="0.25">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1" x14ac:dyDescent="0.25">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1" x14ac:dyDescent="0.25">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1" x14ac:dyDescent="0.25">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6.5" x14ac:dyDescent="0.25">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1" x14ac:dyDescent="0.25">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25">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ht="16.5" x14ac:dyDescent="0.25">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25">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25">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25">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25">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25">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25">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25">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25">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25">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2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25">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25">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2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2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25">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25">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25">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25">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25">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25">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2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25">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25">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25">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25">
      <c r="A35" s="67"/>
    </row>
    <row r="36" spans="1:31" x14ac:dyDescent="0.25">
      <c r="A36" s="67"/>
    </row>
    <row r="37" spans="1:31" x14ac:dyDescent="0.25">
      <c r="A37" s="67"/>
    </row>
    <row r="38" spans="1:31" x14ac:dyDescent="0.25">
      <c r="A38" s="67"/>
    </row>
    <row r="39" spans="1:31" x14ac:dyDescent="0.25">
      <c r="A39" s="67"/>
    </row>
    <row r="40" spans="1:31" x14ac:dyDescent="0.25">
      <c r="A40" s="67"/>
    </row>
    <row r="41" spans="1:31" x14ac:dyDescent="0.25">
      <c r="A41" s="67"/>
    </row>
    <row r="42" spans="1:31" x14ac:dyDescent="0.25">
      <c r="A42" s="67"/>
    </row>
    <row r="43" spans="1:31" x14ac:dyDescent="0.25">
      <c r="A43" s="67"/>
    </row>
    <row r="44" spans="1:31" x14ac:dyDescent="0.25">
      <c r="A44" s="67"/>
    </row>
    <row r="45" spans="1:31" x14ac:dyDescent="0.25">
      <c r="A45" s="67"/>
    </row>
    <row r="46" spans="1:31" x14ac:dyDescent="0.25">
      <c r="A46" s="67"/>
    </row>
    <row r="47" spans="1:31" x14ac:dyDescent="0.25">
      <c r="A47" s="67"/>
    </row>
    <row r="48" spans="1:31" x14ac:dyDescent="0.25">
      <c r="A48" s="67"/>
    </row>
    <row r="49" spans="1:1" x14ac:dyDescent="0.25">
      <c r="A49" s="67"/>
    </row>
    <row r="50" spans="1:1" x14ac:dyDescent="0.25">
      <c r="A50" s="67"/>
    </row>
    <row r="51" spans="1:1" x14ac:dyDescent="0.25">
      <c r="A51" s="67"/>
    </row>
    <row r="52" spans="1:1" x14ac:dyDescent="0.25">
      <c r="A52" s="67"/>
    </row>
    <row r="53" spans="1:1" x14ac:dyDescent="0.25">
      <c r="A53" s="67"/>
    </row>
    <row r="54" spans="1:1" x14ac:dyDescent="0.25">
      <c r="A54" s="67"/>
    </row>
    <row r="55" spans="1:1" x14ac:dyDescent="0.25">
      <c r="A55" s="67"/>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22" workbookViewId="0">
      <selection activeCell="B4" sqref="B4:B8"/>
    </sheetView>
  </sheetViews>
  <sheetFormatPr baseColWidth="10" defaultColWidth="14.28515625" defaultRowHeight="12.75" x14ac:dyDescent="0.2"/>
  <cols>
    <col min="1" max="2" width="14.28515625" style="72"/>
    <col min="3" max="3" width="17" style="72" customWidth="1"/>
    <col min="4" max="4" width="14.28515625" style="72"/>
    <col min="5" max="5" width="46" style="72" customWidth="1"/>
    <col min="6" max="16384" width="14.28515625" style="72"/>
  </cols>
  <sheetData>
    <row r="1" spans="2:6" ht="24" customHeight="1" thickBot="1" x14ac:dyDescent="0.25">
      <c r="B1" s="587" t="s">
        <v>77</v>
      </c>
      <c r="C1" s="588"/>
      <c r="D1" s="588"/>
      <c r="E1" s="588"/>
      <c r="F1" s="589"/>
    </row>
    <row r="2" spans="2:6" ht="16.5" thickBot="1" x14ac:dyDescent="0.3">
      <c r="B2" s="73"/>
      <c r="C2" s="73"/>
      <c r="D2" s="73"/>
      <c r="E2" s="73"/>
      <c r="F2" s="73"/>
    </row>
    <row r="3" spans="2:6" ht="16.5" thickBot="1" x14ac:dyDescent="0.25">
      <c r="B3" s="591" t="s">
        <v>63</v>
      </c>
      <c r="C3" s="592"/>
      <c r="D3" s="592"/>
      <c r="E3" s="85" t="s">
        <v>64</v>
      </c>
      <c r="F3" s="86" t="s">
        <v>65</v>
      </c>
    </row>
    <row r="4" spans="2:6" ht="31.5" x14ac:dyDescent="0.2">
      <c r="B4" s="593" t="s">
        <v>66</v>
      </c>
      <c r="C4" s="595" t="s">
        <v>13</v>
      </c>
      <c r="D4" s="74" t="s">
        <v>14</v>
      </c>
      <c r="E4" s="75" t="s">
        <v>67</v>
      </c>
      <c r="F4" s="76">
        <v>0.25</v>
      </c>
    </row>
    <row r="5" spans="2:6" ht="47.25" x14ac:dyDescent="0.2">
      <c r="B5" s="594"/>
      <c r="C5" s="596"/>
      <c r="D5" s="77" t="s">
        <v>15</v>
      </c>
      <c r="E5" s="78" t="s">
        <v>68</v>
      </c>
      <c r="F5" s="79">
        <v>0.15</v>
      </c>
    </row>
    <row r="6" spans="2:6" ht="47.25" x14ac:dyDescent="0.2">
      <c r="B6" s="594"/>
      <c r="C6" s="596"/>
      <c r="D6" s="77" t="s">
        <v>16</v>
      </c>
      <c r="E6" s="78" t="s">
        <v>69</v>
      </c>
      <c r="F6" s="79">
        <v>0.1</v>
      </c>
    </row>
    <row r="7" spans="2:6" ht="63" x14ac:dyDescent="0.2">
      <c r="B7" s="594"/>
      <c r="C7" s="596" t="s">
        <v>17</v>
      </c>
      <c r="D7" s="77" t="s">
        <v>10</v>
      </c>
      <c r="E7" s="78" t="s">
        <v>70</v>
      </c>
      <c r="F7" s="79">
        <v>0.25</v>
      </c>
    </row>
    <row r="8" spans="2:6" ht="31.5" x14ac:dyDescent="0.2">
      <c r="B8" s="594"/>
      <c r="C8" s="596"/>
      <c r="D8" s="77" t="s">
        <v>9</v>
      </c>
      <c r="E8" s="78" t="s">
        <v>71</v>
      </c>
      <c r="F8" s="79">
        <v>0.15</v>
      </c>
    </row>
    <row r="9" spans="2:6" ht="47.25" x14ac:dyDescent="0.2">
      <c r="B9" s="594" t="s">
        <v>150</v>
      </c>
      <c r="C9" s="596" t="s">
        <v>18</v>
      </c>
      <c r="D9" s="77" t="s">
        <v>19</v>
      </c>
      <c r="E9" s="78" t="s">
        <v>72</v>
      </c>
      <c r="F9" s="80" t="s">
        <v>73</v>
      </c>
    </row>
    <row r="10" spans="2:6" ht="63" x14ac:dyDescent="0.2">
      <c r="B10" s="594"/>
      <c r="C10" s="596"/>
      <c r="D10" s="77" t="s">
        <v>20</v>
      </c>
      <c r="E10" s="78" t="s">
        <v>74</v>
      </c>
      <c r="F10" s="80" t="s">
        <v>73</v>
      </c>
    </row>
    <row r="11" spans="2:6" ht="47.25" x14ac:dyDescent="0.2">
      <c r="B11" s="594"/>
      <c r="C11" s="596" t="s">
        <v>21</v>
      </c>
      <c r="D11" s="77" t="s">
        <v>22</v>
      </c>
      <c r="E11" s="78" t="s">
        <v>75</v>
      </c>
      <c r="F11" s="80" t="s">
        <v>73</v>
      </c>
    </row>
    <row r="12" spans="2:6" ht="47.25" x14ac:dyDescent="0.2">
      <c r="B12" s="594"/>
      <c r="C12" s="596"/>
      <c r="D12" s="77" t="s">
        <v>23</v>
      </c>
      <c r="E12" s="78" t="s">
        <v>76</v>
      </c>
      <c r="F12" s="80" t="s">
        <v>73</v>
      </c>
    </row>
    <row r="13" spans="2:6" ht="31.5" x14ac:dyDescent="0.2">
      <c r="B13" s="594"/>
      <c r="C13" s="596" t="s">
        <v>24</v>
      </c>
      <c r="D13" s="77" t="s">
        <v>114</v>
      </c>
      <c r="E13" s="78" t="s">
        <v>117</v>
      </c>
      <c r="F13" s="80" t="s">
        <v>73</v>
      </c>
    </row>
    <row r="14" spans="2:6" ht="32.25" thickBot="1" x14ac:dyDescent="0.25">
      <c r="B14" s="597"/>
      <c r="C14" s="598"/>
      <c r="D14" s="81" t="s">
        <v>115</v>
      </c>
      <c r="E14" s="82" t="s">
        <v>116</v>
      </c>
      <c r="F14" s="83" t="s">
        <v>73</v>
      </c>
    </row>
    <row r="15" spans="2:6" ht="49.5" customHeight="1" x14ac:dyDescent="0.2">
      <c r="B15" s="590" t="s">
        <v>147</v>
      </c>
      <c r="C15" s="590"/>
      <c r="D15" s="590"/>
      <c r="E15" s="590"/>
      <c r="F15" s="590"/>
    </row>
    <row r="16" spans="2:6" ht="27" customHeight="1" x14ac:dyDescent="0.25">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B15" sqref="B15"/>
    </sheetView>
  </sheetViews>
  <sheetFormatPr baseColWidth="10" defaultColWidth="11.42578125" defaultRowHeight="15" x14ac:dyDescent="0.25"/>
  <cols>
    <col min="1" max="1" width="11.42578125" style="22"/>
    <col min="2" max="2" width="40.42578125" style="22" customWidth="1"/>
    <col min="3" max="3" width="74.85546875" style="22" customWidth="1"/>
    <col min="4" max="4" width="135" style="22" bestFit="1" customWidth="1"/>
    <col min="5" max="5" width="137.85546875" style="22" customWidth="1"/>
    <col min="6" max="16384" width="11.42578125" style="22"/>
  </cols>
  <sheetData>
    <row r="1" spans="1:21" ht="33.75" x14ac:dyDescent="0.25">
      <c r="A1" s="89"/>
      <c r="B1" s="599" t="s">
        <v>62</v>
      </c>
      <c r="C1" s="599"/>
      <c r="D1" s="599"/>
      <c r="E1" s="89"/>
      <c r="F1" s="89"/>
      <c r="G1" s="89"/>
      <c r="H1" s="89"/>
      <c r="I1" s="89"/>
      <c r="J1" s="89"/>
      <c r="K1" s="89"/>
      <c r="L1" s="89"/>
      <c r="M1" s="89"/>
      <c r="N1" s="89"/>
      <c r="O1" s="89"/>
      <c r="P1" s="89"/>
      <c r="Q1" s="89"/>
      <c r="R1" s="89"/>
      <c r="S1" s="89"/>
      <c r="T1" s="89"/>
      <c r="U1" s="89"/>
    </row>
    <row r="2" spans="1:21" x14ac:dyDescent="0.25">
      <c r="A2" s="89"/>
      <c r="B2" s="89"/>
      <c r="C2" s="89"/>
      <c r="D2" s="89"/>
      <c r="E2" s="89"/>
      <c r="F2" s="89"/>
      <c r="G2" s="89"/>
      <c r="H2" s="89"/>
      <c r="I2" s="89"/>
      <c r="J2" s="89"/>
      <c r="K2" s="89"/>
      <c r="L2" s="89"/>
      <c r="M2" s="89"/>
      <c r="N2" s="89"/>
      <c r="O2" s="89"/>
      <c r="P2" s="89"/>
      <c r="Q2" s="89"/>
      <c r="R2" s="89"/>
      <c r="S2" s="89"/>
      <c r="T2" s="89"/>
      <c r="U2" s="89"/>
    </row>
    <row r="3" spans="1:21" ht="30" x14ac:dyDescent="0.25">
      <c r="A3" s="89"/>
      <c r="B3" s="88"/>
      <c r="C3" s="128" t="s">
        <v>56</v>
      </c>
      <c r="D3" s="128" t="s">
        <v>57</v>
      </c>
      <c r="E3" s="89"/>
      <c r="F3" s="89"/>
      <c r="G3" s="89"/>
      <c r="H3" s="89"/>
      <c r="I3" s="89"/>
      <c r="J3" s="89"/>
      <c r="K3" s="89"/>
      <c r="L3" s="89"/>
      <c r="M3" s="89"/>
      <c r="N3" s="89"/>
      <c r="O3" s="89"/>
      <c r="P3" s="89"/>
      <c r="Q3" s="89"/>
      <c r="R3" s="89"/>
      <c r="S3" s="89"/>
      <c r="T3" s="89"/>
      <c r="U3" s="89"/>
    </row>
    <row r="4" spans="1:21" ht="33.75" x14ac:dyDescent="0.25">
      <c r="A4" s="89" t="s">
        <v>82</v>
      </c>
      <c r="B4" s="129" t="s">
        <v>96</v>
      </c>
      <c r="C4" s="130" t="s">
        <v>204</v>
      </c>
      <c r="D4" s="131" t="s">
        <v>92</v>
      </c>
      <c r="E4" s="89"/>
      <c r="F4" s="89"/>
      <c r="G4" s="89"/>
      <c r="H4" s="89"/>
      <c r="I4" s="89"/>
      <c r="J4" s="89"/>
      <c r="K4" s="89"/>
      <c r="L4" s="89"/>
      <c r="M4" s="89"/>
      <c r="N4" s="89"/>
      <c r="O4" s="89"/>
      <c r="P4" s="89"/>
      <c r="Q4" s="89"/>
      <c r="R4" s="89"/>
      <c r="S4" s="89"/>
      <c r="T4" s="89"/>
      <c r="U4" s="89"/>
    </row>
    <row r="5" spans="1:21" ht="67.5" x14ac:dyDescent="0.25">
      <c r="A5" s="89" t="s">
        <v>83</v>
      </c>
      <c r="B5" s="132" t="s">
        <v>58</v>
      </c>
      <c r="C5" s="133" t="s">
        <v>205</v>
      </c>
      <c r="D5" s="134" t="s">
        <v>93</v>
      </c>
      <c r="E5" s="89"/>
      <c r="F5" s="89"/>
      <c r="G5" s="89"/>
      <c r="H5" s="89"/>
      <c r="I5" s="89"/>
      <c r="J5" s="89"/>
      <c r="K5" s="89"/>
      <c r="L5" s="89"/>
      <c r="M5" s="89"/>
      <c r="N5" s="89"/>
      <c r="O5" s="89"/>
      <c r="P5" s="89"/>
      <c r="Q5" s="89"/>
      <c r="R5" s="89"/>
      <c r="S5" s="89"/>
      <c r="T5" s="89"/>
      <c r="U5" s="89"/>
    </row>
    <row r="6" spans="1:21" ht="67.5" x14ac:dyDescent="0.25">
      <c r="A6" s="89" t="s">
        <v>80</v>
      </c>
      <c r="B6" s="135" t="s">
        <v>59</v>
      </c>
      <c r="C6" s="133" t="s">
        <v>209</v>
      </c>
      <c r="D6" s="134" t="s">
        <v>95</v>
      </c>
      <c r="E6" s="89"/>
      <c r="F6" s="89"/>
      <c r="G6" s="89"/>
      <c r="H6" s="89"/>
      <c r="I6" s="89"/>
      <c r="J6" s="89"/>
      <c r="K6" s="89"/>
      <c r="L6" s="89"/>
      <c r="M6" s="89"/>
      <c r="N6" s="89"/>
      <c r="O6" s="89"/>
      <c r="P6" s="89"/>
      <c r="Q6" s="89"/>
      <c r="R6" s="89"/>
      <c r="S6" s="89"/>
      <c r="T6" s="89"/>
      <c r="U6" s="89"/>
    </row>
    <row r="7" spans="1:21" ht="101.25" x14ac:dyDescent="0.25">
      <c r="A7" s="89" t="s">
        <v>7</v>
      </c>
      <c r="B7" s="136" t="s">
        <v>60</v>
      </c>
      <c r="C7" s="133" t="s">
        <v>210</v>
      </c>
      <c r="D7" s="134" t="s">
        <v>94</v>
      </c>
      <c r="E7" s="89"/>
      <c r="F7" s="89"/>
      <c r="G7" s="89"/>
      <c r="H7" s="89"/>
      <c r="I7" s="89"/>
      <c r="J7" s="89"/>
      <c r="K7" s="89"/>
      <c r="L7" s="89"/>
      <c r="M7" s="89"/>
      <c r="N7" s="89"/>
      <c r="O7" s="89"/>
      <c r="P7" s="89"/>
      <c r="Q7" s="89"/>
      <c r="R7" s="89"/>
      <c r="S7" s="89"/>
      <c r="T7" s="89"/>
      <c r="U7" s="89"/>
    </row>
    <row r="8" spans="1:21" ht="67.5" x14ac:dyDescent="0.25">
      <c r="A8" s="89" t="s">
        <v>84</v>
      </c>
      <c r="B8" s="137" t="s">
        <v>61</v>
      </c>
      <c r="C8" s="133" t="s">
        <v>206</v>
      </c>
      <c r="D8" s="134" t="s">
        <v>113</v>
      </c>
      <c r="E8" s="89"/>
      <c r="F8" s="89"/>
      <c r="G8" s="89"/>
      <c r="H8" s="89"/>
      <c r="I8" s="89"/>
      <c r="J8" s="89"/>
      <c r="K8" s="89"/>
      <c r="L8" s="89"/>
      <c r="M8" s="89"/>
      <c r="N8" s="89"/>
      <c r="O8" s="89"/>
      <c r="P8" s="89"/>
      <c r="Q8" s="89"/>
      <c r="R8" s="89"/>
      <c r="S8" s="89"/>
      <c r="T8" s="89"/>
      <c r="U8" s="89"/>
    </row>
    <row r="9" spans="1:21" s="23" customFormat="1" ht="20.25" x14ac:dyDescent="0.25">
      <c r="A9" s="87"/>
      <c r="B9" s="87"/>
      <c r="C9" s="142"/>
      <c r="D9" s="142"/>
      <c r="E9" s="87"/>
      <c r="F9" s="87"/>
      <c r="G9" s="87"/>
      <c r="H9" s="87"/>
      <c r="I9" s="87"/>
      <c r="J9" s="87"/>
      <c r="K9" s="87"/>
      <c r="L9" s="87"/>
      <c r="M9" s="87"/>
      <c r="N9" s="87"/>
      <c r="O9" s="87"/>
      <c r="P9" s="87"/>
      <c r="Q9" s="87"/>
      <c r="R9" s="87"/>
      <c r="S9" s="87"/>
      <c r="T9" s="87"/>
      <c r="U9" s="87"/>
    </row>
    <row r="10" spans="1:21" s="23" customFormat="1" ht="16.5" x14ac:dyDescent="0.25">
      <c r="A10" s="87"/>
      <c r="B10" s="143"/>
      <c r="C10" s="143"/>
      <c r="D10" s="143"/>
      <c r="E10" s="87"/>
      <c r="F10" s="87"/>
      <c r="G10" s="87"/>
      <c r="H10" s="87"/>
      <c r="I10" s="87"/>
      <c r="J10" s="87"/>
      <c r="K10" s="87"/>
      <c r="L10" s="87"/>
      <c r="M10" s="87"/>
      <c r="N10" s="87"/>
      <c r="O10" s="87"/>
      <c r="P10" s="87"/>
      <c r="Q10" s="87"/>
      <c r="R10" s="87"/>
      <c r="S10" s="87"/>
      <c r="T10" s="87"/>
      <c r="U10" s="87"/>
    </row>
    <row r="11" spans="1:21" s="23" customFormat="1" x14ac:dyDescent="0.25">
      <c r="A11" s="87"/>
      <c r="B11" s="87" t="s">
        <v>90</v>
      </c>
      <c r="C11" s="87" t="s">
        <v>208</v>
      </c>
      <c r="D11" s="87" t="s">
        <v>142</v>
      </c>
      <c r="E11" s="87"/>
      <c r="F11" s="87"/>
      <c r="G11" s="87"/>
      <c r="H11" s="87"/>
      <c r="I11" s="87"/>
      <c r="J11" s="87"/>
      <c r="K11" s="87"/>
      <c r="L11" s="87"/>
      <c r="M11" s="87"/>
      <c r="N11" s="87"/>
      <c r="O11" s="87"/>
      <c r="P11" s="87"/>
      <c r="Q11" s="87"/>
      <c r="R11" s="87"/>
      <c r="S11" s="87"/>
      <c r="T11" s="87"/>
      <c r="U11" s="87"/>
    </row>
    <row r="12" spans="1:21" s="23" customFormat="1" x14ac:dyDescent="0.25">
      <c r="A12" s="87"/>
      <c r="B12" s="87" t="s">
        <v>88</v>
      </c>
      <c r="C12" s="87" t="s">
        <v>207</v>
      </c>
      <c r="D12" s="87" t="s">
        <v>143</v>
      </c>
      <c r="E12" s="87"/>
      <c r="F12" s="87"/>
      <c r="G12" s="87"/>
      <c r="H12" s="87"/>
      <c r="I12" s="87"/>
      <c r="J12" s="87"/>
      <c r="K12" s="87"/>
      <c r="L12" s="87"/>
      <c r="M12" s="87"/>
      <c r="N12" s="87"/>
      <c r="O12" s="87"/>
      <c r="P12" s="87"/>
      <c r="Q12" s="87"/>
      <c r="R12" s="87"/>
      <c r="S12" s="87"/>
      <c r="T12" s="87"/>
      <c r="U12" s="87"/>
    </row>
    <row r="13" spans="1:21" s="23" customFormat="1" x14ac:dyDescent="0.25">
      <c r="A13" s="87"/>
      <c r="B13" s="87"/>
      <c r="C13" s="87" t="s">
        <v>211</v>
      </c>
      <c r="D13" s="87" t="s">
        <v>144</v>
      </c>
      <c r="E13" s="87"/>
      <c r="F13" s="87"/>
      <c r="G13" s="87"/>
      <c r="H13" s="87"/>
      <c r="I13" s="87"/>
      <c r="J13" s="87"/>
      <c r="K13" s="87"/>
      <c r="L13" s="87"/>
      <c r="M13" s="87"/>
      <c r="N13" s="87"/>
      <c r="O13" s="87"/>
      <c r="P13" s="87"/>
      <c r="Q13" s="87"/>
      <c r="R13" s="87"/>
      <c r="S13" s="87"/>
      <c r="T13" s="87"/>
      <c r="U13" s="87"/>
    </row>
    <row r="14" spans="1:21" s="23" customFormat="1" x14ac:dyDescent="0.25">
      <c r="A14" s="87"/>
      <c r="B14" s="87"/>
      <c r="C14" s="87" t="s">
        <v>213</v>
      </c>
      <c r="D14" s="87" t="s">
        <v>145</v>
      </c>
      <c r="E14" s="87"/>
      <c r="F14" s="87"/>
      <c r="G14" s="87"/>
      <c r="H14" s="87"/>
      <c r="I14" s="87"/>
      <c r="J14" s="87"/>
      <c r="K14" s="87"/>
      <c r="L14" s="87"/>
      <c r="M14" s="87"/>
      <c r="N14" s="87"/>
      <c r="O14" s="87"/>
      <c r="P14" s="87"/>
      <c r="Q14" s="87"/>
      <c r="R14" s="87"/>
      <c r="S14" s="87"/>
      <c r="T14" s="87"/>
      <c r="U14" s="87"/>
    </row>
    <row r="15" spans="1:21" s="23" customFormat="1" x14ac:dyDescent="0.25">
      <c r="A15" s="87"/>
      <c r="B15" s="87"/>
      <c r="C15" s="87" t="s">
        <v>212</v>
      </c>
      <c r="D15" s="87" t="s">
        <v>146</v>
      </c>
      <c r="E15" s="87"/>
      <c r="F15" s="87"/>
      <c r="G15" s="87"/>
      <c r="H15" s="87"/>
      <c r="I15" s="87"/>
      <c r="J15" s="87"/>
      <c r="K15" s="87"/>
      <c r="L15" s="87"/>
      <c r="M15" s="87"/>
      <c r="N15" s="87"/>
      <c r="O15" s="87"/>
      <c r="P15" s="87"/>
      <c r="Q15" s="87"/>
      <c r="R15" s="87"/>
      <c r="S15" s="87"/>
      <c r="T15" s="87"/>
      <c r="U15" s="87"/>
    </row>
    <row r="16" spans="1:21" s="23" customFormat="1" x14ac:dyDescent="0.25">
      <c r="A16" s="87"/>
      <c r="B16" s="87"/>
      <c r="C16" s="87"/>
      <c r="D16" s="87"/>
      <c r="E16" s="87"/>
      <c r="F16" s="87"/>
      <c r="G16" s="87"/>
      <c r="H16" s="87"/>
      <c r="I16" s="87"/>
      <c r="J16" s="87"/>
      <c r="K16" s="87"/>
      <c r="L16" s="87"/>
      <c r="M16" s="87"/>
      <c r="N16" s="87"/>
      <c r="O16" s="87"/>
    </row>
    <row r="17" spans="1:15" s="23" customFormat="1" x14ac:dyDescent="0.25">
      <c r="A17" s="87"/>
      <c r="B17" s="87"/>
      <c r="C17" s="87"/>
      <c r="D17" s="87"/>
      <c r="E17" s="87"/>
      <c r="F17" s="87"/>
      <c r="G17" s="87"/>
      <c r="H17" s="87"/>
      <c r="I17" s="87"/>
      <c r="J17" s="87"/>
      <c r="K17" s="87"/>
      <c r="L17" s="87"/>
      <c r="M17" s="87"/>
      <c r="N17" s="87"/>
      <c r="O17" s="87"/>
    </row>
    <row r="18" spans="1:15" s="23" customFormat="1" x14ac:dyDescent="0.25">
      <c r="A18" s="87"/>
      <c r="B18" s="87"/>
      <c r="C18" s="87"/>
      <c r="D18" s="87"/>
      <c r="E18" s="87"/>
      <c r="F18" s="87"/>
      <c r="G18" s="87"/>
      <c r="H18" s="87"/>
      <c r="I18" s="87"/>
      <c r="J18" s="87"/>
      <c r="K18" s="87"/>
      <c r="L18" s="87"/>
      <c r="M18" s="87"/>
      <c r="N18" s="87"/>
      <c r="O18" s="87"/>
    </row>
    <row r="19" spans="1:15" s="23" customFormat="1" x14ac:dyDescent="0.25">
      <c r="A19" s="87"/>
      <c r="B19" s="87"/>
      <c r="C19" s="87"/>
      <c r="D19" s="87"/>
      <c r="E19" s="87"/>
      <c r="F19" s="87"/>
      <c r="G19" s="87"/>
      <c r="H19" s="87"/>
      <c r="I19" s="87"/>
      <c r="J19" s="87"/>
      <c r="K19" s="87"/>
      <c r="L19" s="87"/>
      <c r="M19" s="87"/>
      <c r="N19" s="87"/>
      <c r="O19" s="87"/>
    </row>
    <row r="20" spans="1:15" s="23" customFormat="1" x14ac:dyDescent="0.25">
      <c r="A20" s="87"/>
      <c r="B20" s="87"/>
      <c r="C20" s="87"/>
      <c r="D20" s="87"/>
      <c r="E20" s="87"/>
      <c r="F20" s="87"/>
      <c r="G20" s="87"/>
      <c r="H20" s="87"/>
      <c r="I20" s="87"/>
      <c r="J20" s="87"/>
      <c r="K20" s="87"/>
      <c r="L20" s="87"/>
      <c r="M20" s="87"/>
      <c r="N20" s="87"/>
      <c r="O20" s="87"/>
    </row>
    <row r="21" spans="1:15" s="23" customFormat="1" x14ac:dyDescent="0.25">
      <c r="A21" s="87"/>
      <c r="B21" s="87"/>
      <c r="C21" s="87"/>
      <c r="D21" s="87"/>
      <c r="E21" s="87"/>
      <c r="F21" s="87"/>
      <c r="G21" s="87"/>
      <c r="H21" s="87"/>
      <c r="I21" s="87"/>
      <c r="J21" s="87"/>
      <c r="K21" s="87"/>
      <c r="L21" s="87"/>
      <c r="M21" s="87"/>
      <c r="N21" s="87"/>
      <c r="O21" s="87"/>
    </row>
    <row r="22" spans="1:15" s="23" customFormat="1" ht="20.25" x14ac:dyDescent="0.25">
      <c r="A22" s="87"/>
      <c r="B22" s="87"/>
      <c r="C22" s="142"/>
      <c r="D22" s="142"/>
      <c r="E22" s="87"/>
      <c r="F22" s="87"/>
      <c r="G22" s="87"/>
      <c r="H22" s="87"/>
      <c r="I22" s="87"/>
      <c r="J22" s="87"/>
      <c r="K22" s="87"/>
      <c r="L22" s="87"/>
      <c r="M22" s="87"/>
      <c r="N22" s="87"/>
      <c r="O22" s="87"/>
    </row>
    <row r="23" spans="1:15" s="23" customFormat="1" ht="20.25" x14ac:dyDescent="0.25">
      <c r="A23" s="87"/>
      <c r="B23" s="87"/>
      <c r="C23" s="142"/>
      <c r="D23" s="142"/>
      <c r="E23" s="87"/>
      <c r="F23" s="87"/>
      <c r="G23" s="87"/>
      <c r="H23" s="87"/>
      <c r="I23" s="87"/>
      <c r="J23" s="87"/>
      <c r="K23" s="87"/>
      <c r="L23" s="87"/>
      <c r="M23" s="87"/>
      <c r="N23" s="87"/>
      <c r="O23" s="87"/>
    </row>
    <row r="24" spans="1:15" s="23" customFormat="1" ht="20.25" x14ac:dyDescent="0.25">
      <c r="A24" s="87"/>
      <c r="B24" s="87"/>
      <c r="C24" s="142"/>
      <c r="D24" s="142"/>
      <c r="E24" s="87"/>
      <c r="F24" s="87"/>
      <c r="G24" s="87"/>
      <c r="H24" s="87"/>
      <c r="I24" s="87"/>
      <c r="J24" s="87"/>
      <c r="K24" s="87"/>
      <c r="L24" s="87"/>
      <c r="M24" s="87"/>
      <c r="N24" s="87"/>
      <c r="O24" s="87"/>
    </row>
    <row r="25" spans="1:15" s="23" customFormat="1" ht="20.25" x14ac:dyDescent="0.25">
      <c r="A25" s="87"/>
      <c r="B25" s="87"/>
      <c r="C25" s="142"/>
      <c r="D25" s="142"/>
      <c r="E25" s="87"/>
      <c r="F25" s="87"/>
      <c r="G25" s="87"/>
      <c r="H25" s="87"/>
      <c r="I25" s="87"/>
      <c r="J25" s="87"/>
      <c r="K25" s="87"/>
      <c r="L25" s="87"/>
      <c r="M25" s="87"/>
      <c r="N25" s="87"/>
      <c r="O25" s="87"/>
    </row>
    <row r="26" spans="1:15" s="23" customFormat="1" ht="20.25" x14ac:dyDescent="0.25">
      <c r="A26" s="87"/>
      <c r="B26" s="87"/>
      <c r="C26" s="142"/>
      <c r="D26" s="142"/>
      <c r="E26" s="87"/>
      <c r="F26" s="87"/>
      <c r="G26" s="87"/>
      <c r="H26" s="87"/>
      <c r="I26" s="87"/>
      <c r="J26" s="87"/>
      <c r="K26" s="87"/>
      <c r="L26" s="87"/>
      <c r="M26" s="87"/>
      <c r="N26" s="87"/>
      <c r="O26" s="87"/>
    </row>
    <row r="27" spans="1:15" s="23" customFormat="1" ht="20.25" x14ac:dyDescent="0.25">
      <c r="A27" s="87"/>
      <c r="B27" s="87"/>
      <c r="C27" s="142"/>
      <c r="D27" s="142"/>
      <c r="E27" s="87"/>
      <c r="F27" s="87"/>
      <c r="G27" s="87"/>
      <c r="H27" s="87"/>
      <c r="I27" s="87"/>
      <c r="J27" s="87"/>
      <c r="K27" s="87"/>
      <c r="L27" s="87"/>
      <c r="M27" s="87"/>
      <c r="N27" s="87"/>
      <c r="O27" s="87"/>
    </row>
    <row r="28" spans="1:15" s="23" customFormat="1" ht="20.25" x14ac:dyDescent="0.25">
      <c r="A28" s="87"/>
      <c r="B28" s="87"/>
      <c r="C28" s="142"/>
      <c r="D28" s="142"/>
      <c r="E28" s="87"/>
      <c r="F28" s="87"/>
      <c r="G28" s="87"/>
      <c r="H28" s="87"/>
      <c r="I28" s="87"/>
      <c r="J28" s="87"/>
      <c r="K28" s="87"/>
      <c r="L28" s="87"/>
      <c r="M28" s="87"/>
      <c r="N28" s="87"/>
      <c r="O28" s="87"/>
    </row>
    <row r="29" spans="1:15" s="23" customFormat="1" ht="20.25" x14ac:dyDescent="0.25">
      <c r="A29" s="87"/>
      <c r="B29" s="87"/>
      <c r="C29" s="142"/>
      <c r="D29" s="142"/>
      <c r="E29" s="87"/>
      <c r="F29" s="87"/>
      <c r="G29" s="87"/>
      <c r="H29" s="87"/>
      <c r="I29" s="87"/>
      <c r="J29" s="87"/>
      <c r="K29" s="87"/>
      <c r="L29" s="87"/>
      <c r="M29" s="87"/>
      <c r="N29" s="87"/>
      <c r="O29" s="87"/>
    </row>
    <row r="30" spans="1:15" s="23" customFormat="1" ht="20.25" x14ac:dyDescent="0.25">
      <c r="A30" s="87"/>
      <c r="B30" s="87"/>
      <c r="C30" s="142"/>
      <c r="D30" s="142"/>
      <c r="E30" s="87"/>
      <c r="F30" s="87"/>
      <c r="G30" s="87"/>
      <c r="H30" s="87"/>
      <c r="I30" s="87"/>
      <c r="J30" s="87"/>
      <c r="K30" s="87"/>
      <c r="L30" s="87"/>
      <c r="M30" s="87"/>
      <c r="N30" s="87"/>
      <c r="O30" s="87"/>
    </row>
    <row r="31" spans="1:15" s="23" customFormat="1" ht="20.25" x14ac:dyDescent="0.25">
      <c r="A31" s="87"/>
      <c r="B31" s="87"/>
      <c r="C31" s="142"/>
      <c r="D31" s="142"/>
      <c r="E31" s="87"/>
      <c r="F31" s="87"/>
      <c r="G31" s="87"/>
      <c r="H31" s="87"/>
      <c r="I31" s="87"/>
      <c r="J31" s="87"/>
      <c r="K31" s="87"/>
      <c r="L31" s="87"/>
      <c r="M31" s="87"/>
      <c r="N31" s="87"/>
      <c r="O31" s="87"/>
    </row>
    <row r="32" spans="1:15" s="23" customFormat="1" ht="20.25" x14ac:dyDescent="0.25">
      <c r="A32" s="87"/>
      <c r="B32" s="87"/>
      <c r="C32" s="142"/>
      <c r="D32" s="142"/>
      <c r="E32" s="87"/>
      <c r="F32" s="87"/>
      <c r="G32" s="87"/>
      <c r="H32" s="87"/>
      <c r="I32" s="87"/>
      <c r="J32" s="87"/>
      <c r="K32" s="87"/>
      <c r="L32" s="87"/>
      <c r="M32" s="87"/>
      <c r="N32" s="87"/>
      <c r="O32" s="87"/>
    </row>
    <row r="33" spans="1:15" s="23" customFormat="1" ht="20.25" x14ac:dyDescent="0.25">
      <c r="A33" s="87"/>
      <c r="B33" s="87"/>
      <c r="C33" s="142"/>
      <c r="D33" s="142"/>
      <c r="E33" s="87"/>
      <c r="F33" s="87"/>
      <c r="G33" s="87"/>
      <c r="H33" s="87"/>
      <c r="I33" s="87"/>
      <c r="J33" s="87"/>
      <c r="K33" s="87"/>
      <c r="L33" s="87"/>
      <c r="M33" s="87"/>
      <c r="N33" s="87"/>
      <c r="O33" s="87"/>
    </row>
    <row r="34" spans="1:15" s="23" customFormat="1" ht="20.25" x14ac:dyDescent="0.25">
      <c r="A34" s="87"/>
      <c r="B34" s="87"/>
      <c r="C34" s="142"/>
      <c r="D34" s="142"/>
      <c r="E34" s="87"/>
      <c r="F34" s="87"/>
      <c r="G34" s="87"/>
      <c r="H34" s="87"/>
      <c r="I34" s="87"/>
      <c r="J34" s="87"/>
      <c r="K34" s="87"/>
      <c r="L34" s="87"/>
      <c r="M34" s="87"/>
      <c r="N34" s="87"/>
      <c r="O34" s="87"/>
    </row>
    <row r="35" spans="1:15" s="23" customFormat="1" ht="20.25" x14ac:dyDescent="0.25">
      <c r="A35" s="87"/>
      <c r="B35" s="87"/>
      <c r="C35" s="142"/>
      <c r="D35" s="142"/>
      <c r="E35" s="87"/>
      <c r="F35" s="87"/>
      <c r="G35" s="87"/>
      <c r="H35" s="87"/>
      <c r="I35" s="87"/>
      <c r="J35" s="87"/>
      <c r="K35" s="87"/>
      <c r="L35" s="87"/>
      <c r="M35" s="87"/>
      <c r="N35" s="87"/>
      <c r="O35" s="87"/>
    </row>
    <row r="36" spans="1:15" s="23" customFormat="1" ht="20.25" x14ac:dyDescent="0.25">
      <c r="A36" s="87"/>
      <c r="B36" s="87"/>
      <c r="C36" s="142"/>
      <c r="D36" s="142"/>
      <c r="E36" s="87"/>
      <c r="F36" s="87"/>
      <c r="G36" s="87"/>
      <c r="H36" s="87"/>
      <c r="I36" s="87"/>
      <c r="J36" s="87"/>
      <c r="K36" s="87"/>
      <c r="L36" s="87"/>
      <c r="M36" s="87"/>
      <c r="N36" s="87"/>
      <c r="O36" s="87"/>
    </row>
    <row r="37" spans="1:15" s="23" customFormat="1" ht="20.25" x14ac:dyDescent="0.25">
      <c r="A37" s="87"/>
      <c r="B37" s="87"/>
      <c r="C37" s="142"/>
      <c r="D37" s="142"/>
      <c r="E37" s="87"/>
      <c r="F37" s="87"/>
      <c r="G37" s="87"/>
      <c r="H37" s="87"/>
      <c r="I37" s="87"/>
      <c r="J37" s="87"/>
      <c r="K37" s="87"/>
      <c r="L37" s="87"/>
      <c r="M37" s="87"/>
      <c r="N37" s="87"/>
      <c r="O37" s="87"/>
    </row>
    <row r="38" spans="1:15" s="23" customFormat="1" ht="20.25" x14ac:dyDescent="0.25">
      <c r="A38" s="87"/>
      <c r="B38" s="87"/>
      <c r="C38" s="142"/>
      <c r="D38" s="142"/>
      <c r="E38" s="87"/>
      <c r="F38" s="87"/>
      <c r="G38" s="87"/>
      <c r="H38" s="87"/>
      <c r="I38" s="87"/>
      <c r="J38" s="87"/>
      <c r="K38" s="87"/>
      <c r="L38" s="87"/>
      <c r="M38" s="87"/>
      <c r="N38" s="87"/>
      <c r="O38" s="87"/>
    </row>
    <row r="39" spans="1:15" s="23" customFormat="1" ht="20.25" x14ac:dyDescent="0.25">
      <c r="A39" s="87"/>
      <c r="B39" s="87"/>
      <c r="C39" s="142"/>
      <c r="D39" s="142"/>
      <c r="E39" s="87"/>
      <c r="F39" s="87"/>
      <c r="G39" s="87"/>
      <c r="H39" s="87"/>
      <c r="I39" s="87"/>
      <c r="J39" s="87"/>
      <c r="K39" s="87"/>
      <c r="L39" s="87"/>
      <c r="M39" s="87"/>
      <c r="N39" s="87"/>
      <c r="O39" s="87"/>
    </row>
    <row r="40" spans="1:15" s="23" customFormat="1" ht="20.25" x14ac:dyDescent="0.25">
      <c r="A40" s="87"/>
      <c r="B40" s="87"/>
      <c r="C40" s="142"/>
      <c r="D40" s="142"/>
      <c r="E40" s="87"/>
      <c r="F40" s="87"/>
      <c r="G40" s="87"/>
      <c r="H40" s="87"/>
      <c r="I40" s="87"/>
      <c r="J40" s="87"/>
      <c r="K40" s="87"/>
      <c r="L40" s="87"/>
      <c r="M40" s="87"/>
      <c r="N40" s="87"/>
      <c r="O40" s="87"/>
    </row>
    <row r="41" spans="1:15" s="23" customFormat="1" ht="20.25" x14ac:dyDescent="0.25">
      <c r="A41" s="87"/>
      <c r="B41" s="87"/>
      <c r="C41" s="142"/>
      <c r="D41" s="142"/>
      <c r="E41" s="87"/>
      <c r="F41" s="87"/>
      <c r="G41" s="87"/>
      <c r="H41" s="87"/>
      <c r="I41" s="87"/>
      <c r="J41" s="87"/>
      <c r="K41" s="87"/>
      <c r="L41" s="87"/>
      <c r="M41" s="87"/>
      <c r="N41" s="87"/>
      <c r="O41" s="87"/>
    </row>
    <row r="42" spans="1:15" s="23" customFormat="1" ht="20.25" x14ac:dyDescent="0.25">
      <c r="A42" s="87"/>
      <c r="B42" s="87"/>
      <c r="C42" s="142"/>
      <c r="D42" s="142"/>
      <c r="E42" s="87"/>
      <c r="F42" s="87"/>
      <c r="G42" s="87"/>
      <c r="H42" s="87"/>
      <c r="I42" s="87"/>
      <c r="J42" s="87"/>
      <c r="K42" s="87"/>
      <c r="L42" s="87"/>
      <c r="M42" s="87"/>
      <c r="N42" s="87"/>
      <c r="O42" s="87"/>
    </row>
    <row r="43" spans="1:15" s="23" customFormat="1" ht="20.25" x14ac:dyDescent="0.25">
      <c r="A43" s="87"/>
      <c r="B43" s="87"/>
      <c r="C43" s="142"/>
      <c r="D43" s="142"/>
      <c r="E43" s="87"/>
      <c r="F43" s="87"/>
      <c r="G43" s="87"/>
      <c r="H43" s="87"/>
      <c r="I43" s="87"/>
      <c r="J43" s="87"/>
      <c r="K43" s="87"/>
      <c r="L43" s="87"/>
      <c r="M43" s="87"/>
      <c r="N43" s="87"/>
      <c r="O43" s="87"/>
    </row>
    <row r="44" spans="1:15" s="23" customFormat="1" ht="20.25" x14ac:dyDescent="0.25">
      <c r="A44" s="87"/>
      <c r="B44" s="87"/>
      <c r="C44" s="142"/>
      <c r="D44" s="142"/>
      <c r="E44" s="87"/>
      <c r="F44" s="87"/>
      <c r="G44" s="87"/>
      <c r="H44" s="87"/>
      <c r="I44" s="87"/>
      <c r="J44" s="87"/>
      <c r="K44" s="87"/>
      <c r="L44" s="87"/>
      <c r="M44" s="87"/>
      <c r="N44" s="87"/>
      <c r="O44" s="87"/>
    </row>
    <row r="45" spans="1:15" s="23" customFormat="1" ht="20.25" x14ac:dyDescent="0.25">
      <c r="A45" s="87"/>
      <c r="B45" s="87"/>
      <c r="C45" s="142"/>
      <c r="D45" s="142"/>
      <c r="E45" s="87"/>
      <c r="F45" s="87"/>
      <c r="G45" s="87"/>
      <c r="H45" s="87"/>
      <c r="I45" s="87"/>
      <c r="J45" s="87"/>
      <c r="K45" s="87"/>
      <c r="L45" s="87"/>
      <c r="M45" s="87"/>
      <c r="N45" s="87"/>
      <c r="O45" s="87"/>
    </row>
    <row r="46" spans="1:15" s="23" customFormat="1" ht="20.25" x14ac:dyDescent="0.25">
      <c r="A46" s="87"/>
      <c r="B46" s="87"/>
      <c r="C46" s="142"/>
      <c r="D46" s="142"/>
      <c r="E46" s="87"/>
      <c r="F46" s="87"/>
      <c r="G46" s="87"/>
      <c r="H46" s="87"/>
      <c r="I46" s="87"/>
      <c r="J46" s="87"/>
      <c r="K46" s="87"/>
      <c r="L46" s="87"/>
      <c r="M46" s="87"/>
      <c r="N46" s="87"/>
      <c r="O46" s="87"/>
    </row>
    <row r="47" spans="1:15" s="23" customFormat="1" ht="20.25" x14ac:dyDescent="0.25">
      <c r="A47" s="87"/>
      <c r="B47" s="87"/>
      <c r="C47" s="142"/>
      <c r="D47" s="142"/>
      <c r="E47" s="87"/>
      <c r="F47" s="87"/>
      <c r="G47" s="87"/>
      <c r="H47" s="87"/>
      <c r="I47" s="87"/>
      <c r="J47" s="87"/>
      <c r="K47" s="87"/>
      <c r="L47" s="87"/>
      <c r="M47" s="87"/>
      <c r="N47" s="87"/>
      <c r="O47" s="87"/>
    </row>
    <row r="48" spans="1:15" s="23" customFormat="1" ht="20.25" x14ac:dyDescent="0.25">
      <c r="A48" s="87"/>
      <c r="B48" s="87"/>
      <c r="C48" s="142"/>
      <c r="D48" s="142"/>
      <c r="E48" s="87"/>
      <c r="F48" s="87"/>
      <c r="G48" s="87"/>
      <c r="H48" s="87"/>
      <c r="I48" s="87"/>
      <c r="J48" s="87"/>
      <c r="K48" s="87"/>
      <c r="L48" s="87"/>
      <c r="M48" s="87"/>
      <c r="N48" s="87"/>
      <c r="O48" s="87"/>
    </row>
    <row r="49" spans="1:15" s="23" customFormat="1" ht="20.25" x14ac:dyDescent="0.25">
      <c r="A49" s="87"/>
      <c r="B49" s="87"/>
      <c r="C49" s="142"/>
      <c r="D49" s="142"/>
      <c r="E49" s="87"/>
      <c r="F49" s="87"/>
      <c r="G49" s="87"/>
      <c r="H49" s="87"/>
      <c r="I49" s="87"/>
      <c r="J49" s="87"/>
      <c r="K49" s="87"/>
      <c r="L49" s="87"/>
      <c r="M49" s="87"/>
      <c r="N49" s="87"/>
      <c r="O49" s="87"/>
    </row>
    <row r="50" spans="1:15" s="23" customFormat="1" ht="20.25" x14ac:dyDescent="0.25">
      <c r="A50" s="87"/>
      <c r="B50" s="87"/>
      <c r="C50" s="142"/>
      <c r="D50" s="142"/>
      <c r="E50" s="87"/>
      <c r="F50" s="87"/>
      <c r="G50" s="87"/>
      <c r="H50" s="87"/>
      <c r="I50" s="87"/>
      <c r="J50" s="87"/>
      <c r="K50" s="87"/>
      <c r="L50" s="87"/>
      <c r="M50" s="87"/>
      <c r="N50" s="87"/>
      <c r="O50" s="87"/>
    </row>
    <row r="51" spans="1:15" s="23" customFormat="1" ht="20.25" x14ac:dyDescent="0.25">
      <c r="A51" s="87"/>
      <c r="B51" s="87"/>
      <c r="C51" s="142"/>
      <c r="D51" s="142"/>
      <c r="E51" s="87"/>
      <c r="F51" s="87"/>
      <c r="G51" s="87"/>
      <c r="H51" s="87"/>
      <c r="I51" s="87"/>
      <c r="J51" s="87"/>
      <c r="K51" s="87"/>
      <c r="L51" s="87"/>
      <c r="M51" s="87"/>
      <c r="N51" s="87"/>
      <c r="O51" s="87"/>
    </row>
    <row r="52" spans="1:15" s="23" customFormat="1" ht="20.25" x14ac:dyDescent="0.25">
      <c r="A52" s="87"/>
      <c r="C52" s="144"/>
      <c r="D52" s="144"/>
    </row>
    <row r="53" spans="1:15" s="23" customFormat="1" ht="20.25" x14ac:dyDescent="0.25">
      <c r="A53" s="87"/>
      <c r="C53" s="144"/>
      <c r="D53" s="144"/>
    </row>
    <row r="54" spans="1:15" s="23" customFormat="1" ht="20.25" x14ac:dyDescent="0.25">
      <c r="A54" s="87"/>
      <c r="C54" s="144"/>
      <c r="D54" s="144"/>
    </row>
    <row r="55" spans="1:15" s="23" customFormat="1" ht="20.25" x14ac:dyDescent="0.25">
      <c r="A55" s="87"/>
      <c r="C55" s="144"/>
      <c r="D55" s="144"/>
    </row>
    <row r="56" spans="1:15" s="23" customFormat="1" ht="20.25" x14ac:dyDescent="0.25">
      <c r="A56" s="87"/>
      <c r="C56" s="144"/>
      <c r="D56" s="144"/>
    </row>
    <row r="57" spans="1:15" s="23" customFormat="1" ht="20.25" x14ac:dyDescent="0.25">
      <c r="A57" s="87"/>
      <c r="C57" s="144"/>
      <c r="D57" s="144"/>
    </row>
    <row r="58" spans="1:15" s="23" customFormat="1" ht="20.25" x14ac:dyDescent="0.25">
      <c r="A58" s="87"/>
      <c r="C58" s="144"/>
      <c r="D58" s="144"/>
    </row>
    <row r="59" spans="1:15" s="23" customFormat="1" ht="20.25" x14ac:dyDescent="0.25">
      <c r="A59" s="87"/>
      <c r="C59" s="144"/>
      <c r="D59" s="144"/>
    </row>
    <row r="60" spans="1:15" s="23" customFormat="1" ht="20.25" x14ac:dyDescent="0.25">
      <c r="A60" s="87"/>
      <c r="C60" s="144"/>
      <c r="D60" s="144"/>
    </row>
    <row r="61" spans="1:15" s="23" customFormat="1" ht="20.25" x14ac:dyDescent="0.25">
      <c r="A61" s="87"/>
      <c r="C61" s="144"/>
      <c r="D61" s="144"/>
    </row>
    <row r="62" spans="1:15" s="23" customFormat="1" ht="20.25" x14ac:dyDescent="0.25">
      <c r="A62" s="87"/>
      <c r="C62" s="144"/>
      <c r="D62" s="144"/>
    </row>
    <row r="63" spans="1:15" s="23" customFormat="1" ht="20.25" x14ac:dyDescent="0.25">
      <c r="A63" s="87"/>
      <c r="C63" s="144"/>
      <c r="D63" s="144"/>
    </row>
    <row r="64" spans="1:15" s="23" customFormat="1" ht="20.25" x14ac:dyDescent="0.25">
      <c r="A64" s="87"/>
      <c r="C64" s="144"/>
      <c r="D64" s="144"/>
    </row>
    <row r="65" spans="1:4" s="23" customFormat="1" ht="20.25" x14ac:dyDescent="0.25">
      <c r="A65" s="87"/>
      <c r="C65" s="144"/>
      <c r="D65" s="144"/>
    </row>
    <row r="66" spans="1:4" s="23" customFormat="1" ht="20.25" x14ac:dyDescent="0.25">
      <c r="A66" s="87"/>
      <c r="C66" s="144"/>
      <c r="D66" s="144"/>
    </row>
    <row r="67" spans="1:4" s="23" customFormat="1" ht="20.25" x14ac:dyDescent="0.25">
      <c r="A67" s="87"/>
      <c r="C67" s="144"/>
      <c r="D67" s="144"/>
    </row>
    <row r="68" spans="1:4" s="23" customFormat="1" ht="20.25" x14ac:dyDescent="0.25">
      <c r="A68" s="87"/>
      <c r="C68" s="144"/>
      <c r="D68" s="144"/>
    </row>
    <row r="69" spans="1:4" s="23" customFormat="1" ht="20.25" x14ac:dyDescent="0.25">
      <c r="A69" s="87"/>
      <c r="C69" s="144"/>
      <c r="D69" s="144"/>
    </row>
    <row r="70" spans="1:4" s="23" customFormat="1" ht="20.25" x14ac:dyDescent="0.25">
      <c r="A70" s="87"/>
      <c r="C70" s="144"/>
      <c r="D70" s="144"/>
    </row>
    <row r="71" spans="1:4" s="23" customFormat="1" ht="20.25" x14ac:dyDescent="0.25">
      <c r="A71" s="87"/>
      <c r="C71" s="144"/>
      <c r="D71" s="144"/>
    </row>
    <row r="72" spans="1:4" s="23" customFormat="1" ht="20.25" x14ac:dyDescent="0.25">
      <c r="A72" s="87"/>
      <c r="C72" s="144"/>
      <c r="D72" s="144"/>
    </row>
    <row r="73" spans="1:4" s="23" customFormat="1" ht="20.25" x14ac:dyDescent="0.25">
      <c r="A73" s="87"/>
      <c r="C73" s="144"/>
      <c r="D73" s="144"/>
    </row>
    <row r="74" spans="1:4" s="23" customFormat="1" ht="20.25" x14ac:dyDescent="0.25">
      <c r="A74" s="87"/>
      <c r="C74" s="144"/>
      <c r="D74" s="144"/>
    </row>
    <row r="75" spans="1:4" s="23" customFormat="1" ht="20.25" x14ac:dyDescent="0.25">
      <c r="A75" s="87"/>
      <c r="C75" s="144"/>
      <c r="D75" s="144"/>
    </row>
    <row r="76" spans="1:4" s="23" customFormat="1" ht="20.25" x14ac:dyDescent="0.25">
      <c r="A76" s="87"/>
      <c r="C76" s="144"/>
      <c r="D76" s="144"/>
    </row>
    <row r="77" spans="1:4" s="23" customFormat="1" ht="20.25" x14ac:dyDescent="0.25">
      <c r="A77" s="87"/>
      <c r="C77" s="144"/>
      <c r="D77" s="144"/>
    </row>
    <row r="78" spans="1:4" s="23" customFormat="1" ht="20.25" x14ac:dyDescent="0.25">
      <c r="A78" s="87"/>
      <c r="C78" s="144"/>
      <c r="D78" s="144"/>
    </row>
    <row r="79" spans="1:4" s="23" customFormat="1" ht="20.25" x14ac:dyDescent="0.25">
      <c r="A79" s="87"/>
      <c r="C79" s="144"/>
      <c r="D79" s="144"/>
    </row>
    <row r="80" spans="1:4" s="23" customFormat="1" ht="20.25" x14ac:dyDescent="0.25">
      <c r="A80" s="87"/>
      <c r="C80" s="144"/>
      <c r="D80" s="144"/>
    </row>
    <row r="81" spans="1:4" s="23" customFormat="1" ht="20.25" x14ac:dyDescent="0.25">
      <c r="A81" s="87"/>
      <c r="C81" s="144"/>
      <c r="D81" s="144"/>
    </row>
    <row r="82" spans="1:4" s="23" customFormat="1" ht="20.25" x14ac:dyDescent="0.25">
      <c r="A82" s="87"/>
      <c r="C82" s="144"/>
      <c r="D82" s="144"/>
    </row>
    <row r="83" spans="1:4" s="23" customFormat="1" ht="20.25" x14ac:dyDescent="0.25">
      <c r="A83" s="87"/>
      <c r="C83" s="144"/>
      <c r="D83" s="144"/>
    </row>
    <row r="84" spans="1:4" s="23" customFormat="1" ht="20.25" x14ac:dyDescent="0.25">
      <c r="A84" s="87"/>
      <c r="C84" s="144"/>
      <c r="D84" s="144"/>
    </row>
    <row r="85" spans="1:4" s="23" customFormat="1" ht="20.25" x14ac:dyDescent="0.25">
      <c r="A85" s="87"/>
      <c r="C85" s="144"/>
      <c r="D85" s="144"/>
    </row>
    <row r="86" spans="1:4" s="23" customFormat="1" ht="20.25" x14ac:dyDescent="0.25">
      <c r="A86" s="87"/>
      <c r="C86" s="144"/>
      <c r="D86" s="144"/>
    </row>
    <row r="87" spans="1:4" s="23" customFormat="1" ht="20.25" x14ac:dyDescent="0.25">
      <c r="A87" s="87"/>
      <c r="C87" s="144"/>
      <c r="D87" s="144"/>
    </row>
    <row r="88" spans="1:4" s="23" customFormat="1" ht="20.25" x14ac:dyDescent="0.25">
      <c r="A88" s="87"/>
      <c r="C88" s="144"/>
      <c r="D88" s="144"/>
    </row>
    <row r="89" spans="1:4" s="23" customFormat="1" ht="20.25" x14ac:dyDescent="0.25">
      <c r="A89" s="87"/>
      <c r="C89" s="144"/>
      <c r="D89" s="144"/>
    </row>
    <row r="90" spans="1:4" s="23" customFormat="1" ht="20.25" x14ac:dyDescent="0.25">
      <c r="A90" s="87"/>
      <c r="C90" s="144"/>
      <c r="D90" s="144"/>
    </row>
    <row r="91" spans="1:4" s="23" customFormat="1" ht="20.25" x14ac:dyDescent="0.25">
      <c r="A91" s="87"/>
      <c r="C91" s="144"/>
      <c r="D91" s="144"/>
    </row>
    <row r="92" spans="1:4" s="23" customFormat="1" ht="20.25" x14ac:dyDescent="0.25">
      <c r="A92" s="87"/>
      <c r="C92" s="144"/>
      <c r="D92" s="144"/>
    </row>
    <row r="93" spans="1:4" s="23" customFormat="1" ht="20.25" x14ac:dyDescent="0.25">
      <c r="A93" s="87"/>
      <c r="C93" s="144"/>
      <c r="D93" s="144"/>
    </row>
    <row r="94" spans="1:4" s="23" customFormat="1" ht="20.25" x14ac:dyDescent="0.25">
      <c r="A94" s="87"/>
      <c r="C94" s="144"/>
      <c r="D94" s="144"/>
    </row>
    <row r="95" spans="1:4" s="23" customFormat="1" ht="20.25" x14ac:dyDescent="0.25">
      <c r="A95" s="87"/>
      <c r="C95" s="144"/>
      <c r="D95" s="144"/>
    </row>
    <row r="96" spans="1:4" s="23" customFormat="1" ht="20.25" x14ac:dyDescent="0.25">
      <c r="A96" s="87"/>
      <c r="C96" s="144"/>
      <c r="D96" s="144"/>
    </row>
    <row r="97" spans="1:4" s="23" customFormat="1" ht="20.25" x14ac:dyDescent="0.25">
      <c r="A97" s="87"/>
      <c r="C97" s="144"/>
      <c r="D97" s="144"/>
    </row>
    <row r="98" spans="1:4" s="23" customFormat="1" ht="20.25" x14ac:dyDescent="0.25">
      <c r="A98" s="87"/>
      <c r="C98" s="144"/>
      <c r="D98" s="144"/>
    </row>
    <row r="99" spans="1:4" s="23" customFormat="1" ht="20.25" x14ac:dyDescent="0.25">
      <c r="A99" s="87"/>
      <c r="C99" s="144"/>
      <c r="D99" s="144"/>
    </row>
    <row r="100" spans="1:4" s="23" customFormat="1" ht="20.25" x14ac:dyDescent="0.25">
      <c r="A100" s="87"/>
      <c r="C100" s="144"/>
      <c r="D100" s="144"/>
    </row>
    <row r="101" spans="1:4" s="23" customFormat="1" ht="20.25" x14ac:dyDescent="0.25">
      <c r="A101" s="87"/>
      <c r="C101" s="144"/>
      <c r="D101" s="144"/>
    </row>
    <row r="102" spans="1:4" s="23" customFormat="1" ht="20.25" x14ac:dyDescent="0.25">
      <c r="A102" s="87"/>
      <c r="C102" s="144"/>
      <c r="D102" s="144"/>
    </row>
    <row r="103" spans="1:4" s="23" customFormat="1" ht="20.25" x14ac:dyDescent="0.25">
      <c r="A103" s="87"/>
      <c r="C103" s="144"/>
      <c r="D103" s="144"/>
    </row>
    <row r="104" spans="1:4" s="23" customFormat="1" ht="20.25" x14ac:dyDescent="0.25">
      <c r="A104" s="87"/>
      <c r="C104" s="144"/>
      <c r="D104" s="144"/>
    </row>
    <row r="105" spans="1:4" s="23" customFormat="1" ht="20.25" x14ac:dyDescent="0.25">
      <c r="A105" s="87"/>
      <c r="C105" s="144"/>
      <c r="D105" s="144"/>
    </row>
    <row r="106" spans="1:4" s="23" customFormat="1" ht="20.25" x14ac:dyDescent="0.25">
      <c r="A106" s="87"/>
      <c r="C106" s="144"/>
      <c r="D106" s="144"/>
    </row>
    <row r="107" spans="1:4" s="23" customFormat="1" ht="20.25" x14ac:dyDescent="0.25">
      <c r="A107" s="87"/>
      <c r="C107" s="144"/>
      <c r="D107" s="144"/>
    </row>
    <row r="108" spans="1:4" s="23" customFormat="1" ht="20.25" x14ac:dyDescent="0.25">
      <c r="A108" s="87"/>
      <c r="C108" s="144"/>
      <c r="D108" s="144"/>
    </row>
    <row r="109" spans="1:4" s="23" customFormat="1" ht="20.25" x14ac:dyDescent="0.25">
      <c r="A109" s="87"/>
      <c r="C109" s="144"/>
      <c r="D109" s="144"/>
    </row>
    <row r="110" spans="1:4" s="23" customFormat="1" ht="20.25" x14ac:dyDescent="0.25">
      <c r="A110" s="87"/>
      <c r="C110" s="144"/>
      <c r="D110" s="144"/>
    </row>
    <row r="111" spans="1:4" s="23" customFormat="1" ht="20.25" x14ac:dyDescent="0.25">
      <c r="A111" s="87"/>
      <c r="C111" s="144"/>
      <c r="D111" s="144"/>
    </row>
    <row r="112" spans="1:4" s="23" customFormat="1" ht="20.25" x14ac:dyDescent="0.25">
      <c r="A112" s="87"/>
      <c r="C112" s="144"/>
      <c r="D112" s="144"/>
    </row>
    <row r="113" spans="1:4" s="23" customFormat="1" ht="20.25" x14ac:dyDescent="0.25">
      <c r="A113" s="87"/>
      <c r="C113" s="144"/>
      <c r="D113" s="144"/>
    </row>
    <row r="114" spans="1:4" s="23" customFormat="1" ht="20.25" x14ac:dyDescent="0.25">
      <c r="A114" s="87"/>
      <c r="C114" s="144"/>
      <c r="D114" s="144"/>
    </row>
    <row r="115" spans="1:4" s="23" customFormat="1" ht="20.25" x14ac:dyDescent="0.25">
      <c r="A115" s="87"/>
      <c r="C115" s="144"/>
      <c r="D115" s="144"/>
    </row>
    <row r="116" spans="1:4" s="23" customFormat="1" ht="20.25" x14ac:dyDescent="0.25">
      <c r="A116" s="87"/>
      <c r="C116" s="144"/>
      <c r="D116" s="144"/>
    </row>
    <row r="117" spans="1:4" s="23" customFormat="1" ht="20.25" x14ac:dyDescent="0.25">
      <c r="A117" s="87"/>
      <c r="C117" s="144"/>
      <c r="D117" s="144"/>
    </row>
    <row r="118" spans="1:4" s="23" customFormat="1" ht="20.25" x14ac:dyDescent="0.25">
      <c r="A118" s="87"/>
      <c r="C118" s="144"/>
      <c r="D118" s="144"/>
    </row>
    <row r="119" spans="1:4" s="23" customFormat="1" ht="20.25" x14ac:dyDescent="0.25">
      <c r="A119" s="87"/>
      <c r="C119" s="144"/>
      <c r="D119" s="144"/>
    </row>
    <row r="120" spans="1:4" s="23" customFormat="1" ht="20.25" x14ac:dyDescent="0.25">
      <c r="A120" s="87"/>
      <c r="C120" s="144"/>
      <c r="D120" s="144"/>
    </row>
    <row r="121" spans="1:4" s="23" customFormat="1" ht="20.25" x14ac:dyDescent="0.25">
      <c r="A121" s="87"/>
      <c r="C121" s="144"/>
      <c r="D121" s="144"/>
    </row>
    <row r="122" spans="1:4" s="23" customFormat="1" ht="20.25" x14ac:dyDescent="0.25">
      <c r="A122" s="87"/>
      <c r="C122" s="144"/>
      <c r="D122" s="144"/>
    </row>
    <row r="123" spans="1:4" s="23" customFormat="1" ht="20.25" x14ac:dyDescent="0.25">
      <c r="A123" s="87"/>
      <c r="C123" s="144"/>
      <c r="D123" s="144"/>
    </row>
    <row r="124" spans="1:4" s="23" customFormat="1" ht="20.25" x14ac:dyDescent="0.25">
      <c r="A124" s="87"/>
      <c r="C124" s="144"/>
      <c r="D124" s="144"/>
    </row>
    <row r="125" spans="1:4" s="23" customFormat="1" ht="20.25" x14ac:dyDescent="0.25">
      <c r="A125" s="87"/>
      <c r="C125" s="144"/>
      <c r="D125" s="144"/>
    </row>
    <row r="126" spans="1:4" s="23" customFormat="1" ht="20.25" x14ac:dyDescent="0.25">
      <c r="A126" s="87"/>
      <c r="C126" s="144"/>
      <c r="D126" s="144"/>
    </row>
    <row r="127" spans="1:4" s="23" customFormat="1" ht="20.25" x14ac:dyDescent="0.25">
      <c r="A127" s="87"/>
      <c r="C127" s="144"/>
      <c r="D127" s="144"/>
    </row>
    <row r="128" spans="1:4" s="23" customFormat="1" ht="20.25" x14ac:dyDescent="0.25">
      <c r="A128" s="87"/>
      <c r="C128" s="144"/>
      <c r="D128" s="144"/>
    </row>
    <row r="129" spans="1:4" s="23" customFormat="1" ht="20.25" x14ac:dyDescent="0.25">
      <c r="A129" s="87"/>
      <c r="C129" s="144"/>
      <c r="D129" s="144"/>
    </row>
    <row r="130" spans="1:4" s="23" customFormat="1" ht="20.25" x14ac:dyDescent="0.25">
      <c r="A130" s="87"/>
      <c r="C130" s="144"/>
      <c r="D130" s="144"/>
    </row>
    <row r="131" spans="1:4" s="23" customFormat="1" ht="20.25" x14ac:dyDescent="0.25">
      <c r="A131" s="87"/>
      <c r="C131" s="144"/>
      <c r="D131" s="144"/>
    </row>
    <row r="132" spans="1:4" s="23" customFormat="1" ht="20.25" x14ac:dyDescent="0.25">
      <c r="A132" s="87"/>
      <c r="C132" s="144"/>
      <c r="D132" s="144"/>
    </row>
    <row r="133" spans="1:4" s="23" customFormat="1" ht="20.25" x14ac:dyDescent="0.25">
      <c r="A133" s="87"/>
      <c r="C133" s="144"/>
      <c r="D133" s="144"/>
    </row>
    <row r="134" spans="1:4" s="23" customFormat="1" ht="20.25" x14ac:dyDescent="0.25">
      <c r="A134" s="87"/>
      <c r="C134" s="144"/>
      <c r="D134" s="144"/>
    </row>
    <row r="135" spans="1:4" s="23" customFormat="1" ht="20.25" x14ac:dyDescent="0.25">
      <c r="A135" s="87"/>
      <c r="C135" s="144"/>
      <c r="D135" s="144"/>
    </row>
    <row r="136" spans="1:4" s="23" customFormat="1" ht="20.25" x14ac:dyDescent="0.25">
      <c r="A136" s="87"/>
      <c r="C136" s="144"/>
      <c r="D136" s="144"/>
    </row>
    <row r="137" spans="1:4" s="23" customFormat="1" ht="20.25" x14ac:dyDescent="0.25">
      <c r="A137" s="87"/>
      <c r="C137" s="144"/>
      <c r="D137" s="144"/>
    </row>
    <row r="138" spans="1:4" s="23" customFormat="1" ht="20.25" x14ac:dyDescent="0.25">
      <c r="A138" s="87"/>
      <c r="C138" s="144"/>
      <c r="D138" s="144"/>
    </row>
    <row r="139" spans="1:4" s="23" customFormat="1" ht="20.25" x14ac:dyDescent="0.25">
      <c r="A139" s="87"/>
      <c r="C139" s="144"/>
      <c r="D139" s="144"/>
    </row>
    <row r="140" spans="1:4" s="23" customFormat="1" ht="20.25" x14ac:dyDescent="0.25">
      <c r="A140" s="87"/>
      <c r="C140" s="144"/>
      <c r="D140" s="144"/>
    </row>
    <row r="141" spans="1:4" s="23" customFormat="1" ht="20.25" x14ac:dyDescent="0.25">
      <c r="A141" s="87"/>
      <c r="C141" s="144"/>
      <c r="D141" s="144"/>
    </row>
    <row r="142" spans="1:4" s="23" customFormat="1" ht="20.25" x14ac:dyDescent="0.25">
      <c r="A142" s="87"/>
      <c r="C142" s="144"/>
      <c r="D142" s="144"/>
    </row>
    <row r="143" spans="1:4" s="23" customFormat="1" ht="20.25" x14ac:dyDescent="0.25">
      <c r="A143" s="87"/>
      <c r="C143" s="144"/>
      <c r="D143" s="144"/>
    </row>
    <row r="144" spans="1:4" s="23" customFormat="1" ht="20.25" x14ac:dyDescent="0.25">
      <c r="A144" s="87"/>
      <c r="C144" s="144"/>
      <c r="D144" s="144"/>
    </row>
    <row r="145" spans="1:4" s="23" customFormat="1" ht="20.25" x14ac:dyDescent="0.25">
      <c r="A145" s="87"/>
      <c r="C145" s="144"/>
      <c r="D145" s="144"/>
    </row>
    <row r="146" spans="1:4" s="23" customFormat="1" ht="20.25" x14ac:dyDescent="0.25">
      <c r="A146" s="87"/>
      <c r="C146" s="144"/>
      <c r="D146" s="144"/>
    </row>
    <row r="147" spans="1:4" s="23" customFormat="1" ht="20.25" x14ac:dyDescent="0.25">
      <c r="A147" s="87"/>
      <c r="C147" s="144"/>
      <c r="D147" s="144"/>
    </row>
    <row r="148" spans="1:4" s="23" customFormat="1" ht="20.25" x14ac:dyDescent="0.25">
      <c r="A148" s="87"/>
      <c r="C148" s="144"/>
      <c r="D148" s="144"/>
    </row>
    <row r="149" spans="1:4" s="23" customFormat="1" ht="20.25" x14ac:dyDescent="0.25">
      <c r="A149" s="87"/>
      <c r="C149" s="144"/>
      <c r="D149" s="144"/>
    </row>
    <row r="150" spans="1:4" s="23" customFormat="1" ht="20.25" x14ac:dyDescent="0.25">
      <c r="A150" s="87"/>
      <c r="C150" s="144"/>
      <c r="D150" s="144"/>
    </row>
    <row r="151" spans="1:4" s="23" customFormat="1" ht="20.25" x14ac:dyDescent="0.25">
      <c r="A151" s="87"/>
      <c r="C151" s="144"/>
      <c r="D151" s="144"/>
    </row>
    <row r="152" spans="1:4" s="23" customFormat="1" ht="20.25" x14ac:dyDescent="0.25">
      <c r="A152" s="87"/>
      <c r="C152" s="144"/>
      <c r="D152" s="144"/>
    </row>
    <row r="153" spans="1:4" s="23" customFormat="1" ht="20.25" x14ac:dyDescent="0.25">
      <c r="A153" s="87"/>
      <c r="C153" s="144"/>
      <c r="D153" s="144"/>
    </row>
    <row r="154" spans="1:4" s="23" customFormat="1" ht="20.25" x14ac:dyDescent="0.25">
      <c r="A154" s="87"/>
      <c r="C154" s="144"/>
      <c r="D154" s="144"/>
    </row>
    <row r="155" spans="1:4" s="23" customFormat="1" ht="20.25" x14ac:dyDescent="0.25">
      <c r="A155" s="87"/>
      <c r="C155" s="144"/>
      <c r="D155" s="144"/>
    </row>
    <row r="156" spans="1:4" s="23" customFormat="1" ht="20.25" x14ac:dyDescent="0.25">
      <c r="A156" s="87"/>
      <c r="C156" s="144"/>
      <c r="D156" s="144"/>
    </row>
    <row r="157" spans="1:4" s="23" customFormat="1" ht="20.25" x14ac:dyDescent="0.25">
      <c r="A157" s="87"/>
      <c r="C157" s="144"/>
      <c r="D157" s="144"/>
    </row>
    <row r="158" spans="1:4" s="23" customFormat="1" ht="20.25" x14ac:dyDescent="0.25">
      <c r="A158" s="87"/>
      <c r="C158" s="144"/>
      <c r="D158" s="144"/>
    </row>
    <row r="159" spans="1:4" s="23" customFormat="1" ht="20.25" x14ac:dyDescent="0.25">
      <c r="A159" s="87"/>
      <c r="C159" s="144"/>
      <c r="D159" s="144"/>
    </row>
    <row r="160" spans="1:4" s="23" customFormat="1" ht="20.25" x14ac:dyDescent="0.25">
      <c r="A160" s="87"/>
      <c r="C160" s="144"/>
      <c r="D160" s="144"/>
    </row>
    <row r="161" spans="1:4" s="23" customFormat="1" ht="20.25" x14ac:dyDescent="0.25">
      <c r="A161" s="87"/>
      <c r="C161" s="144"/>
      <c r="D161" s="144"/>
    </row>
    <row r="162" spans="1:4" s="23" customFormat="1" ht="20.25" x14ac:dyDescent="0.25">
      <c r="A162" s="87"/>
      <c r="C162" s="144"/>
      <c r="D162" s="144"/>
    </row>
    <row r="163" spans="1:4" s="23" customFormat="1" ht="20.25" x14ac:dyDescent="0.25">
      <c r="A163" s="87"/>
      <c r="C163" s="144"/>
      <c r="D163" s="144"/>
    </row>
    <row r="164" spans="1:4" s="23" customFormat="1" ht="20.25" x14ac:dyDescent="0.25">
      <c r="A164" s="87"/>
      <c r="C164" s="144"/>
      <c r="D164" s="144"/>
    </row>
    <row r="165" spans="1:4" s="23" customFormat="1" ht="20.25" x14ac:dyDescent="0.25">
      <c r="A165" s="87"/>
      <c r="C165" s="144"/>
      <c r="D165" s="144"/>
    </row>
    <row r="166" spans="1:4" s="23" customFormat="1" ht="20.25" x14ac:dyDescent="0.25">
      <c r="A166" s="87"/>
      <c r="C166" s="144"/>
      <c r="D166" s="144"/>
    </row>
    <row r="167" spans="1:4" s="23" customFormat="1" ht="20.25" x14ac:dyDescent="0.25">
      <c r="A167" s="87"/>
      <c r="C167" s="144"/>
      <c r="D167" s="144"/>
    </row>
    <row r="168" spans="1:4" s="23" customFormat="1" ht="20.25" x14ac:dyDescent="0.25">
      <c r="A168" s="87"/>
      <c r="C168" s="144"/>
      <c r="D168" s="144"/>
    </row>
    <row r="169" spans="1:4" s="23" customFormat="1" ht="20.25" x14ac:dyDescent="0.25">
      <c r="A169" s="87"/>
      <c r="C169" s="144"/>
      <c r="D169" s="144"/>
    </row>
    <row r="170" spans="1:4" s="23" customFormat="1" ht="20.25" x14ac:dyDescent="0.25">
      <c r="A170" s="87"/>
      <c r="C170" s="144"/>
      <c r="D170" s="144"/>
    </row>
    <row r="171" spans="1:4" s="23" customFormat="1" ht="20.25" x14ac:dyDescent="0.25">
      <c r="A171" s="87"/>
      <c r="C171" s="144"/>
      <c r="D171" s="144"/>
    </row>
    <row r="172" spans="1:4" s="23" customFormat="1" ht="20.25" x14ac:dyDescent="0.25">
      <c r="A172" s="87"/>
      <c r="C172" s="144"/>
      <c r="D172" s="144"/>
    </row>
    <row r="173" spans="1:4" s="23" customFormat="1" ht="20.25" x14ac:dyDescent="0.25">
      <c r="A173" s="87"/>
      <c r="C173" s="144"/>
      <c r="D173" s="144"/>
    </row>
    <row r="174" spans="1:4" s="23" customFormat="1" ht="20.25" x14ac:dyDescent="0.25">
      <c r="A174" s="87"/>
      <c r="C174" s="144"/>
      <c r="D174" s="144"/>
    </row>
    <row r="175" spans="1:4" s="23" customFormat="1" ht="20.25" x14ac:dyDescent="0.25">
      <c r="A175" s="87"/>
      <c r="C175" s="144"/>
      <c r="D175" s="144"/>
    </row>
    <row r="176" spans="1:4" s="23" customFormat="1" ht="20.25" x14ac:dyDescent="0.25">
      <c r="A176" s="87"/>
      <c r="C176" s="144"/>
      <c r="D176" s="144"/>
    </row>
    <row r="177" spans="1:4" s="23" customFormat="1" ht="20.25" x14ac:dyDescent="0.25">
      <c r="A177" s="87"/>
      <c r="C177" s="144"/>
      <c r="D177" s="144"/>
    </row>
    <row r="178" spans="1:4" s="23" customFormat="1" ht="20.25" x14ac:dyDescent="0.25">
      <c r="A178" s="87"/>
      <c r="C178" s="144"/>
      <c r="D178" s="144"/>
    </row>
    <row r="179" spans="1:4" s="23" customFormat="1" ht="20.25" x14ac:dyDescent="0.25">
      <c r="A179" s="87"/>
      <c r="C179" s="144"/>
      <c r="D179" s="144"/>
    </row>
    <row r="180" spans="1:4" s="23" customFormat="1" ht="20.25" x14ac:dyDescent="0.25">
      <c r="A180" s="87"/>
      <c r="C180" s="144"/>
      <c r="D180" s="144"/>
    </row>
    <row r="181" spans="1:4" s="23" customFormat="1" ht="20.25" x14ac:dyDescent="0.25">
      <c r="A181" s="87"/>
      <c r="C181" s="144"/>
      <c r="D181" s="144"/>
    </row>
    <row r="182" spans="1:4" s="23" customFormat="1" ht="20.25" x14ac:dyDescent="0.25">
      <c r="A182" s="87"/>
      <c r="C182" s="144"/>
      <c r="D182" s="144"/>
    </row>
    <row r="183" spans="1:4" s="23" customFormat="1" ht="20.25" x14ac:dyDescent="0.25">
      <c r="A183" s="87"/>
      <c r="C183" s="144"/>
      <c r="D183" s="144"/>
    </row>
    <row r="184" spans="1:4" s="23" customFormat="1" ht="20.25" x14ac:dyDescent="0.25">
      <c r="A184" s="87"/>
      <c r="C184" s="144"/>
      <c r="D184" s="144"/>
    </row>
    <row r="185" spans="1:4" s="23" customFormat="1" ht="20.25" x14ac:dyDescent="0.25">
      <c r="A185" s="87"/>
      <c r="C185" s="144"/>
      <c r="D185" s="144"/>
    </row>
    <row r="186" spans="1:4" s="23" customFormat="1" ht="20.25" x14ac:dyDescent="0.25">
      <c r="A186" s="87"/>
      <c r="C186" s="144"/>
      <c r="D186" s="144"/>
    </row>
    <row r="187" spans="1:4" s="23" customFormat="1" ht="20.25" x14ac:dyDescent="0.25">
      <c r="A187" s="87"/>
      <c r="C187" s="144"/>
      <c r="D187" s="144"/>
    </row>
    <row r="188" spans="1:4" s="23" customFormat="1" ht="20.25" x14ac:dyDescent="0.25">
      <c r="A188" s="87"/>
      <c r="C188" s="144"/>
      <c r="D188" s="144"/>
    </row>
    <row r="189" spans="1:4" s="23" customFormat="1" ht="20.25" x14ac:dyDescent="0.25">
      <c r="A189" s="87"/>
      <c r="C189" s="144"/>
      <c r="D189" s="144"/>
    </row>
    <row r="190" spans="1:4" s="23" customFormat="1" ht="20.25" x14ac:dyDescent="0.25">
      <c r="A190" s="87"/>
      <c r="C190" s="144"/>
      <c r="D190" s="144"/>
    </row>
    <row r="191" spans="1:4" s="23" customFormat="1" ht="20.25" x14ac:dyDescent="0.25">
      <c r="A191" s="87"/>
      <c r="C191" s="144"/>
      <c r="D191" s="144"/>
    </row>
    <row r="192" spans="1:4" s="23" customFormat="1" ht="20.25" x14ac:dyDescent="0.25">
      <c r="A192" s="87"/>
      <c r="C192" s="144"/>
      <c r="D192" s="144"/>
    </row>
    <row r="193" spans="1:4" s="23" customFormat="1" ht="20.25" x14ac:dyDescent="0.25">
      <c r="A193" s="87"/>
      <c r="C193" s="144"/>
      <c r="D193" s="144"/>
    </row>
    <row r="194" spans="1:4" s="23" customFormat="1" ht="20.25" x14ac:dyDescent="0.25">
      <c r="A194" s="87"/>
      <c r="C194" s="144"/>
      <c r="D194" s="144"/>
    </row>
    <row r="195" spans="1:4" s="23" customFormat="1" ht="20.25" x14ac:dyDescent="0.25">
      <c r="A195" s="87"/>
      <c r="C195" s="144"/>
      <c r="D195" s="144"/>
    </row>
    <row r="196" spans="1:4" s="23" customFormat="1" ht="20.25" x14ac:dyDescent="0.25">
      <c r="A196" s="87"/>
      <c r="C196" s="144"/>
      <c r="D196" s="144"/>
    </row>
    <row r="197" spans="1:4" s="23" customFormat="1" ht="20.25" x14ac:dyDescent="0.25">
      <c r="A197" s="87"/>
      <c r="C197" s="144"/>
      <c r="D197" s="144"/>
    </row>
    <row r="198" spans="1:4" s="23" customFormat="1" ht="20.25" x14ac:dyDescent="0.25">
      <c r="A198" s="87"/>
      <c r="C198" s="144"/>
      <c r="D198" s="144"/>
    </row>
    <row r="199" spans="1:4" s="23" customFormat="1" ht="20.25" x14ac:dyDescent="0.25">
      <c r="A199" s="87"/>
      <c r="C199" s="144"/>
      <c r="D199" s="144"/>
    </row>
    <row r="200" spans="1:4" s="23" customFormat="1" ht="20.25" x14ac:dyDescent="0.25">
      <c r="A200" s="87"/>
      <c r="C200" s="144"/>
      <c r="D200" s="144"/>
    </row>
    <row r="201" spans="1:4" s="23" customFormat="1" ht="20.25" x14ac:dyDescent="0.25">
      <c r="A201" s="87"/>
      <c r="C201" s="144"/>
      <c r="D201" s="144"/>
    </row>
    <row r="202" spans="1:4" s="23" customFormat="1" ht="20.25" x14ac:dyDescent="0.25">
      <c r="A202" s="87"/>
      <c r="C202" s="144"/>
      <c r="D202" s="144"/>
    </row>
    <row r="203" spans="1:4" s="23" customFormat="1" ht="20.25" x14ac:dyDescent="0.25">
      <c r="A203" s="87"/>
      <c r="C203" s="144"/>
      <c r="D203" s="144"/>
    </row>
    <row r="204" spans="1:4" s="23" customFormat="1" ht="20.25" x14ac:dyDescent="0.25">
      <c r="A204" s="87"/>
      <c r="C204" s="144"/>
      <c r="D204" s="144"/>
    </row>
    <row r="205" spans="1:4" s="23" customFormat="1" ht="20.25" x14ac:dyDescent="0.25">
      <c r="A205" s="87"/>
      <c r="C205" s="144"/>
      <c r="D205" s="144"/>
    </row>
    <row r="206" spans="1:4" s="23" customFormat="1" ht="20.25" x14ac:dyDescent="0.25">
      <c r="A206" s="87"/>
      <c r="C206" s="144"/>
      <c r="D206" s="144"/>
    </row>
    <row r="207" spans="1:4" s="23" customFormat="1" ht="20.25" x14ac:dyDescent="0.25">
      <c r="A207" s="87"/>
      <c r="C207" s="144"/>
      <c r="D207" s="144"/>
    </row>
    <row r="208" spans="1:4" s="23" customFormat="1" x14ac:dyDescent="0.25">
      <c r="A208" s="87"/>
    </row>
    <row r="209" spans="1:8" s="23" customFormat="1" ht="20.25" x14ac:dyDescent="0.25">
      <c r="A209" s="87"/>
      <c r="B209" s="145" t="s">
        <v>87</v>
      </c>
      <c r="C209" s="145" t="s">
        <v>139</v>
      </c>
      <c r="D209" s="146" t="s">
        <v>87</v>
      </c>
      <c r="E209" s="146" t="s">
        <v>139</v>
      </c>
    </row>
    <row r="210" spans="1:8" s="23" customFormat="1" ht="42" x14ac:dyDescent="0.35">
      <c r="A210" s="87"/>
      <c r="B210" s="147" t="s">
        <v>89</v>
      </c>
      <c r="C210" s="147" t="s">
        <v>204</v>
      </c>
      <c r="D210" s="23" t="s">
        <v>89</v>
      </c>
      <c r="F210" s="23" t="str">
        <f>IF(NOT(ISBLANK(D210)),D210,IF(NOT(ISBLANK(E210)),"     "&amp;E210,FALSE))</f>
        <v>Afectación Económica o presupuestal</v>
      </c>
      <c r="G210" s="23" t="s">
        <v>89</v>
      </c>
      <c r="H210" s="23" t="str">
        <f>IF(NOT(ISERROR(MATCH(G210,_xlfn.ANCHORARRAY(B221),0))),F223&amp;"Por favor no seleccionar los criterios de impacto",G210)</f>
        <v>❌Por favor no seleccionar los criterios de impacto</v>
      </c>
    </row>
    <row r="211" spans="1:8" s="23" customFormat="1" ht="42" x14ac:dyDescent="0.35">
      <c r="A211" s="87"/>
      <c r="B211" s="147" t="s">
        <v>89</v>
      </c>
      <c r="C211" s="147" t="s">
        <v>205</v>
      </c>
      <c r="E211" s="23" t="s">
        <v>204</v>
      </c>
      <c r="F211" s="23" t="str">
        <f t="shared" ref="F211:F221" si="0">IF(NOT(ISBLANK(D211)),D211,IF(NOT(ISBLANK(E211)),"     "&amp;E211,FALSE))</f>
        <v xml:space="preserve">     Afectación menor a 200 SMLMV</v>
      </c>
    </row>
    <row r="212" spans="1:8" s="23" customFormat="1" ht="42" x14ac:dyDescent="0.35">
      <c r="A212" s="87"/>
      <c r="B212" s="147" t="s">
        <v>89</v>
      </c>
      <c r="C212" s="147" t="s">
        <v>209</v>
      </c>
      <c r="E212" s="23" t="s">
        <v>205</v>
      </c>
      <c r="F212" s="23" t="str">
        <f t="shared" si="0"/>
        <v xml:space="preserve">     Entre 200 y 1000 SMLMV</v>
      </c>
    </row>
    <row r="213" spans="1:8" s="23" customFormat="1" ht="42" x14ac:dyDescent="0.35">
      <c r="A213" s="87"/>
      <c r="B213" s="147" t="s">
        <v>89</v>
      </c>
      <c r="C213" s="147" t="s">
        <v>210</v>
      </c>
      <c r="E213" s="23" t="s">
        <v>209</v>
      </c>
      <c r="F213" s="23" t="str">
        <f t="shared" si="0"/>
        <v xml:space="preserve">     Entre 1000 y 5000 SMLMV </v>
      </c>
    </row>
    <row r="214" spans="1:8" s="23" customFormat="1" ht="42" x14ac:dyDescent="0.35">
      <c r="A214" s="87"/>
      <c r="B214" s="147" t="s">
        <v>89</v>
      </c>
      <c r="C214" s="147" t="s">
        <v>206</v>
      </c>
      <c r="E214" s="23" t="s">
        <v>210</v>
      </c>
      <c r="F214" s="23" t="str">
        <f t="shared" si="0"/>
        <v xml:space="preserve">     Entre 5000 y 10000 SMLMV</v>
      </c>
    </row>
    <row r="215" spans="1:8" s="23" customFormat="1" ht="42" x14ac:dyDescent="0.35">
      <c r="A215" s="87"/>
      <c r="B215" s="147" t="s">
        <v>57</v>
      </c>
      <c r="C215" s="147" t="s">
        <v>92</v>
      </c>
      <c r="E215" s="23" t="s">
        <v>206</v>
      </c>
      <c r="F215" s="23" t="str">
        <f t="shared" si="0"/>
        <v xml:space="preserve">     Mayor a 10000 SMLMV</v>
      </c>
    </row>
    <row r="216" spans="1:8" s="23" customFormat="1" ht="63" x14ac:dyDescent="0.35">
      <c r="A216" s="87"/>
      <c r="B216" s="147" t="s">
        <v>57</v>
      </c>
      <c r="C216" s="147" t="s">
        <v>93</v>
      </c>
      <c r="D216" s="23" t="s">
        <v>57</v>
      </c>
      <c r="F216" s="23" t="str">
        <f t="shared" si="0"/>
        <v>Pérdida Reputacional</v>
      </c>
    </row>
    <row r="217" spans="1:8" s="23" customFormat="1" ht="42" x14ac:dyDescent="0.35">
      <c r="A217" s="87"/>
      <c r="B217" s="147" t="s">
        <v>57</v>
      </c>
      <c r="C217" s="147" t="s">
        <v>95</v>
      </c>
      <c r="E217" s="23" t="s">
        <v>92</v>
      </c>
      <c r="F217" s="23" t="str">
        <f>IF(NOT(ISBLANK(D217)),D217,IF(NOT(ISBLANK(E217)),"     "&amp;E217,FALSE))</f>
        <v xml:space="preserve">     El riesgo afecta la imagen de alguna área de la organización</v>
      </c>
    </row>
    <row r="218" spans="1:8" s="23" customFormat="1" ht="63" x14ac:dyDescent="0.35">
      <c r="A218" s="87"/>
      <c r="B218" s="147" t="s">
        <v>57</v>
      </c>
      <c r="C218" s="147"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35">
      <c r="A219" s="87"/>
      <c r="B219" s="147" t="s">
        <v>57</v>
      </c>
      <c r="C219" s="147" t="s">
        <v>113</v>
      </c>
      <c r="E219" s="23" t="s">
        <v>95</v>
      </c>
      <c r="F219" s="23" t="str">
        <f t="shared" si="0"/>
        <v xml:space="preserve">     El riesgo afecta la imagen de la entidad con algunos usuarios de relevancia frente al logro de los objetivos</v>
      </c>
    </row>
    <row r="220" spans="1:8" s="23" customFormat="1" x14ac:dyDescent="0.25">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25">
      <c r="A221" s="87"/>
      <c r="B221" s="23" t="str" cm="1">
        <f t="array" ref="B221:B223">_xlfn.UNIQUE(Tabla1[[#All],[Criterios]])</f>
        <v>Criterios</v>
      </c>
      <c r="E221" s="23" t="s">
        <v>113</v>
      </c>
      <c r="F221" s="23" t="str">
        <f t="shared" si="0"/>
        <v xml:space="preserve">     El riesgo afecta la imagen de la entidad a nivel nacional, con efecto publicitarios sostenible a nivel país</v>
      </c>
    </row>
    <row r="222" spans="1:8" s="23" customFormat="1" x14ac:dyDescent="0.25">
      <c r="A222" s="87"/>
      <c r="B222" s="23" t="str">
        <v>Afectación Económica o presupuestal</v>
      </c>
    </row>
    <row r="223" spans="1:8" s="23" customFormat="1" x14ac:dyDescent="0.25">
      <c r="B223" s="23" t="str">
        <v>Pérdida Reputacional</v>
      </c>
      <c r="F223" s="148" t="s">
        <v>140</v>
      </c>
    </row>
    <row r="224" spans="1:8" s="23" customFormat="1" x14ac:dyDescent="0.25">
      <c r="F224" s="148" t="s">
        <v>141</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vt:lpstr>
      <vt:lpstr>Priorizacion de Causas</vt:lpstr>
      <vt:lpstr>DOFA</vt:lpstr>
      <vt:lpstr>Matriz Calor Inherente</vt:lpstr>
      <vt:lpstr>Matriz Calor Residual</vt:lpstr>
      <vt:lpstr>Tabla probabilidad</vt:lpstr>
      <vt:lpstr>Tabla Valoración controles</vt:lpstr>
      <vt:lpstr>Tabla Impacto</vt:lpstr>
      <vt:lpstr>Mapa final</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marisol valbuena bedoya</cp:lastModifiedBy>
  <cp:lastPrinted>2024-07-08T13:32:39Z</cp:lastPrinted>
  <dcterms:created xsi:type="dcterms:W3CDTF">2020-03-24T23:12:47Z</dcterms:created>
  <dcterms:modified xsi:type="dcterms:W3CDTF">2024-07-08T13:33:40Z</dcterms:modified>
</cp:coreProperties>
</file>